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800" windowHeight="12210"/>
  </bookViews>
  <sheets>
    <sheet sheetId="1" name="Informacion de Cotización" state="visible" r:id="rId4"/>
    <sheet sheetId="2" name="Materiales" state="visible" r:id="rId5"/>
    <sheet sheetId="3" name="M.O" state="visible" r:id="rId6"/>
    <sheet sheetId="15" name="SERVICIOS" state="visible" r:id="rId7"/>
    <sheet sheetId="6" name="Materiales Resumido" state="visible" r:id="rId8"/>
    <sheet sheetId="5" name="Hoja1" state="hidden" r:id="rId9"/>
    <sheet sheetId="10" name="Base Material" state="visible" r:id="rId10"/>
    <sheet sheetId="17" name="Base M.O" state="visible" r:id="rId11"/>
    <sheet sheetId="16" name="Comparativa" state="visible" r:id="rId12"/>
  </sheets>
  <definedNames>
    <definedName name="_xlnm._FilterDatabase">Materiales!$A$2:$O$189</definedName>
    <definedName name="_xlnm.Print_Area" localSheetId="1">'Materiales'!$A1:$Q185</definedName>
    <definedName name="_xlnm.Print_Area" localSheetId="3">'SERVICIOS'!$O9:$Y140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F7" authorId="0">
      <text>
        <r>
          <rPr>
            <color rgb="FF000000"/>
            <family val="2"/>
            <sz val="11"/>
            <rFont val="Arial"/>
          </rPr>
          <t xml:space="preserve">======
</t>
        </r>
        <r>
          <rPr>
            <color rgb="FF000000"/>
            <family val="2"/>
            <sz val="11"/>
            <rFont val="Arial"/>
          </rPr>
          <t xml:space="preserve">ID#AAAAPfgRIbo
</t>
        </r>
        <r>
          <rPr>
            <color rgb="FF000000"/>
            <family val="2"/>
            <sz val="11"/>
            <rFont val="Arial"/>
          </rPr>
          <t xml:space="preserve">Microsoft Office User    (2021-09-27 14:40:03)
</t>
        </r>
        <r>
          <rPr>
            <color rgb="FF000000"/>
            <family val="2"/>
            <sz val="11"/>
            <rFont val="Arial"/>
          </rPr>
          <t>COLOCAR VALOR PORCENTUAL</t>
        </r>
      </text>
    </comment>
  </commentList>
</comments>
</file>

<file path=xl/sharedStrings.xml><?xml version="1.0" encoding="utf-8"?>
<sst xmlns="http://schemas.openxmlformats.org/spreadsheetml/2006/main" count="3410" uniqueCount="1324">
  <si>
    <t xml:space="preserve">DATOS CLIENTE </t>
  </si>
  <si>
    <t>DETALLE DE COSTOS TERMINACIONES y SERVICIOS</t>
  </si>
  <si>
    <t>Costo</t>
  </si>
  <si>
    <t>CASSAFORMA</t>
  </si>
  <si>
    <t>CASSAFORMA+  LTN</t>
  </si>
  <si>
    <t>Cassaforma (2P) + LTN</t>
  </si>
  <si>
    <t>CASSASIP</t>
  </si>
  <si>
    <t>STEEL FRAMING</t>
  </si>
  <si>
    <t>Ladrillo</t>
  </si>
  <si>
    <t>Cliente</t>
  </si>
  <si>
    <t>gsidajioasd</t>
  </si>
  <si>
    <t>Completar</t>
  </si>
  <si>
    <t>Aberturas - Estimado</t>
  </si>
  <si>
    <t>MATERIAL</t>
  </si>
  <si>
    <t>M.O</t>
  </si>
  <si>
    <t>Ubicación de la Obra</t>
  </si>
  <si>
    <t>Mendoza</t>
  </si>
  <si>
    <t>Puertas y puerta principal</t>
  </si>
  <si>
    <t>$</t>
  </si>
  <si>
    <t>Materiales</t>
  </si>
  <si>
    <t>Mano de obra</t>
  </si>
  <si>
    <t>Terminaciones</t>
  </si>
  <si>
    <t>Proyecto y aportes</t>
  </si>
  <si>
    <t>Fecha de cotización</t>
  </si>
  <si>
    <t>Losa radiante eléctrica</t>
  </si>
  <si>
    <t>Etapa Temprana</t>
  </si>
  <si>
    <t xml:space="preserve">Agua </t>
  </si>
  <si>
    <t>Fundaciones</t>
  </si>
  <si>
    <t>Datos de plano municipal</t>
  </si>
  <si>
    <t>Aire acondicionado</t>
  </si>
  <si>
    <t>Estructura</t>
  </si>
  <si>
    <t>Perímetro del lote</t>
  </si>
  <si>
    <t>ml</t>
  </si>
  <si>
    <t>Artefactos</t>
  </si>
  <si>
    <t>Revoques</t>
  </si>
  <si>
    <t xml:space="preserve">Frente del Lote </t>
  </si>
  <si>
    <t>Cloaca</t>
  </si>
  <si>
    <t>CASSAFORMA+ Techo LTN</t>
  </si>
  <si>
    <t>Metros cuadrados de planta baja</t>
  </si>
  <si>
    <t>m2</t>
  </si>
  <si>
    <t>Electricidad</t>
  </si>
  <si>
    <t>TOTAL</t>
  </si>
  <si>
    <t>Metros cuadrados de planta alta</t>
  </si>
  <si>
    <t>Gas</t>
  </si>
  <si>
    <t>Pesos= Mat + MO</t>
  </si>
  <si>
    <t>Superficie Pérgolas-cochera  cubiertas (techado)</t>
  </si>
  <si>
    <t>Revestiento plastico paredes externas  (mat + m.o)</t>
  </si>
  <si>
    <t>USD= Mat + MO</t>
  </si>
  <si>
    <t>Superficie Pérgolas semi cubierta (pérgola)</t>
  </si>
  <si>
    <t>Empastado y pintado de cielorraso ( interno)</t>
  </si>
  <si>
    <t>USD/m2</t>
  </si>
  <si>
    <t>Sup. Aleros</t>
  </si>
  <si>
    <t>Mueble de cocina, placares</t>
  </si>
  <si>
    <t>Sup. Cochera Semi cubierta  (pergola)</t>
  </si>
  <si>
    <t>Piedra o mesada de mueble de cocina</t>
  </si>
  <si>
    <t>Cassaforma (2p) + LTN</t>
  </si>
  <si>
    <t>Superficie Total</t>
  </si>
  <si>
    <t>Detalles en chapa - molduras- cumbrera y garganta  de hogar</t>
  </si>
  <si>
    <t>Superficie de Cómputo</t>
  </si>
  <si>
    <t>Zingueria y desagüe pluvial con zinguero</t>
  </si>
  <si>
    <t>Instalación de artefactos: sanitarios - eléctricos.</t>
  </si>
  <si>
    <t>Panelizado</t>
  </si>
  <si>
    <t>Muros PB perímetro</t>
  </si>
  <si>
    <t>Zócalos de madera (porcelanato o a definir)</t>
  </si>
  <si>
    <t>Muros PB interiores + Churrasquera + Otros</t>
  </si>
  <si>
    <t>Fletes, contenedores, limpieza final del terreno (nivelación)</t>
  </si>
  <si>
    <t>Muros Steel Concrete PA perímetro</t>
  </si>
  <si>
    <t>Ladrillo refractario</t>
  </si>
  <si>
    <t>Muros Steel Concrete PA interiores</t>
  </si>
  <si>
    <t>Total de  costos estimados</t>
  </si>
  <si>
    <t>Altura de. Muro planta baja</t>
  </si>
  <si>
    <t>Altura de. Muro en planta alta</t>
  </si>
  <si>
    <t>DETALLE DE COSTOS DE PROYECTO</t>
  </si>
  <si>
    <t xml:space="preserve">COSTO </t>
  </si>
  <si>
    <t>Tabiques Durlock  PB-PA</t>
  </si>
  <si>
    <t>Proyecto</t>
  </si>
  <si>
    <t>Balcon con porcelnato?</t>
  </si>
  <si>
    <t>Pregunta</t>
  </si>
  <si>
    <t>Aforos al colegio de ingenieros</t>
  </si>
  <si>
    <t>SEEL FRAMING</t>
  </si>
  <si>
    <t>Hormigón Visto</t>
  </si>
  <si>
    <t>Aforo municipal</t>
  </si>
  <si>
    <t>Aberturas</t>
  </si>
  <si>
    <t>Puerta principal</t>
  </si>
  <si>
    <t>cantidad</t>
  </si>
  <si>
    <t>ETPAS COTIZADAS</t>
  </si>
  <si>
    <t>INCLUIDO</t>
  </si>
  <si>
    <t>Puertas</t>
  </si>
  <si>
    <t>Nicelación del terreno y compactación</t>
  </si>
  <si>
    <t>NO</t>
  </si>
  <si>
    <t>Ventanas</t>
  </si>
  <si>
    <t>SI</t>
  </si>
  <si>
    <t>Puerta Ventana</t>
  </si>
  <si>
    <t>Muros</t>
  </si>
  <si>
    <t>Cantidad de bocas eléctricas y tablero</t>
  </si>
  <si>
    <t>Techos</t>
  </si>
  <si>
    <t>Preguntas</t>
  </si>
  <si>
    <t>Cochera - galeria</t>
  </si>
  <si>
    <t>Con Cocina?</t>
  </si>
  <si>
    <t>Revoque fino interior</t>
  </si>
  <si>
    <t>Con Lavandería?</t>
  </si>
  <si>
    <t>Churrasquera</t>
  </si>
  <si>
    <t>Cuantos Banos de visita?</t>
  </si>
  <si>
    <t>Veredines dentro  del lote</t>
  </si>
  <si>
    <t>Cuantos banos?</t>
  </si>
  <si>
    <t>Veredines externos</t>
  </si>
  <si>
    <t>Cantidad de aires acondicionados</t>
  </si>
  <si>
    <t>Agua</t>
  </si>
  <si>
    <t>Cuantas Churrasquera u hogar</t>
  </si>
  <si>
    <t>Cantidades</t>
  </si>
  <si>
    <t>Otros</t>
  </si>
  <si>
    <t xml:space="preserve">Gas </t>
  </si>
  <si>
    <t>Pozo Septico</t>
  </si>
  <si>
    <t>SI o NO</t>
  </si>
  <si>
    <t>Icono</t>
  </si>
  <si>
    <t>Proyecto de gas, tramitación y aprobación.</t>
  </si>
  <si>
    <t>Cisterna enterrada</t>
  </si>
  <si>
    <t>Luz (sin instalacion de artefactos)</t>
  </si>
  <si>
    <t>Con Pluviales</t>
  </si>
  <si>
    <t xml:space="preserve">Kit de pre instalación de aires acondicionados </t>
  </si>
  <si>
    <t>Porcelanato</t>
  </si>
  <si>
    <t>Cielorraso</t>
  </si>
  <si>
    <t>Cierre definitivo</t>
  </si>
  <si>
    <t>Luz</t>
  </si>
  <si>
    <t>Pileta IPC</t>
  </si>
  <si>
    <t>Pozo filtrante</t>
  </si>
  <si>
    <t>Colocación Artefactos de baño, cocina y lavandería</t>
  </si>
  <si>
    <t>Aberturas: Puertas y ventanas</t>
  </si>
  <si>
    <t>Losa radiante de agua</t>
  </si>
  <si>
    <t>Jardinería, riego, relleno.</t>
  </si>
  <si>
    <t>Molduras de cumbrera</t>
  </si>
  <si>
    <t>Mesada de cocina, placares, colocacion de zocalos en los mismos</t>
  </si>
  <si>
    <t>Moldura de ventanas</t>
  </si>
  <si>
    <t>Moldura en chapa, puertas de churrasqueras, cumbrera de hogar</t>
  </si>
  <si>
    <t>Cielorraso de placa de Yeso</t>
  </si>
  <si>
    <t>Revestimiento plástico exterior e interior</t>
  </si>
  <si>
    <t>Cielorraso de Yeso</t>
  </si>
  <si>
    <t>Empastado y pintura de cielorraso</t>
  </si>
  <si>
    <t xml:space="preserve">Porcelanato </t>
  </si>
  <si>
    <t>Zinguería y goteros perimetral, molduras y canteros</t>
  </si>
  <si>
    <t>Rayado o fino de muros interiores</t>
  </si>
  <si>
    <t>Limpieza Final de obra, posterior al pintado</t>
  </si>
  <si>
    <t>Vereda vehicular y peatonal peperndic. a la calle</t>
  </si>
  <si>
    <t>Vereda Peatonal paralelo a la calle</t>
  </si>
  <si>
    <t>Cierre Provisorio</t>
  </si>
  <si>
    <t>Cierre Definitivo</t>
  </si>
  <si>
    <t>Churrasquera de ladrillo y/o Hogar</t>
  </si>
  <si>
    <t>Con pileta?</t>
  </si>
  <si>
    <t>Cuenta con arquitecto?</t>
  </si>
  <si>
    <t>Con proyecto?</t>
  </si>
  <si>
    <t>Costo porcelanato</t>
  </si>
  <si>
    <t xml:space="preserve">Cotización del Dólar: </t>
  </si>
  <si>
    <t>USD Oficial</t>
  </si>
  <si>
    <t xml:space="preserve">Dólar </t>
  </si>
  <si>
    <t>USD</t>
  </si>
  <si>
    <t>Pedio 1: un precio ( en funcion de 40 casas en estudio por estadistica mostramos un precio final de materiales y mano de obra. Terminaciones: no muestra</t>
  </si>
  <si>
    <t>Pedido 2 ( Bathouse): deslgoce del precio ( cuadro del h 22 al K57)</t>
  </si>
  <si>
    <t>Pedido 3 ( Bathouse -  terminaciones): Con planos + firma de contrato se fiultran y se uestran datos de costos unitarios por etapa de materiales y de mano de obra.  ( mostrar Hoja de materiales resumido, Hoja de mano de obra)</t>
  </si>
  <si>
    <t>Consultas</t>
  </si>
  <si>
    <t>Numeración</t>
  </si>
  <si>
    <t>Numeracion</t>
  </si>
  <si>
    <t>Sistema constructivo</t>
  </si>
  <si>
    <t>Steel Concrete</t>
  </si>
  <si>
    <t>Cassaforma</t>
  </si>
  <si>
    <t>Tipo de techo</t>
  </si>
  <si>
    <t>Chapa</t>
  </si>
  <si>
    <t>Fenólico</t>
  </si>
  <si>
    <t>NOMBRES DE PROVINCIAS</t>
  </si>
  <si>
    <t>Buenos Aires</t>
  </si>
  <si>
    <t>Catamarca</t>
  </si>
  <si>
    <t>Chaco</t>
  </si>
  <si>
    <t>Chubut</t>
  </si>
  <si>
    <t>Ciudad Autónoma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</si>
  <si>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</si>
  <si>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</si>
  <si>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</si>
  <si>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</si>
  <si>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</si>
  <si>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</si>
  <si>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</si>
  <si>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</si>
  <si>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</si>
  <si>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</si>
  <si>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</si>
  <si>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</si>
  <si>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</si>
  <si>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</si>
  <si>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</si>
  <si>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</si>
  <si>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</si>
  <si>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</si>
  <si>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Altura de muro</t>
  </si>
  <si>
    <t>SUPERFICIE DE OBRA</t>
  </si>
  <si>
    <t>Casa de 60 m2</t>
  </si>
  <si>
    <t>Casa de 100 m2</t>
  </si>
  <si>
    <t>Casa de 150 m2</t>
  </si>
  <si>
    <t>Casa de 200 m2</t>
  </si>
  <si>
    <t>Casa de 250 m2</t>
  </si>
  <si>
    <t>Monto de contrato de Mano de Obra</t>
  </si>
  <si>
    <t>Superficie de obra</t>
  </si>
  <si>
    <t>Monto de contrato de M.O</t>
  </si>
  <si>
    <t>Fondo de reparo (5%)</t>
  </si>
  <si>
    <t>Valor de pagos parciales</t>
  </si>
  <si>
    <t>Armado de platea: vigas, platinas, encofrado.</t>
  </si>
  <si>
    <t>Armado de desagüe cloaca de planta baja.</t>
  </si>
  <si>
    <t>Armado de cloaca y agua en PB</t>
  </si>
  <si>
    <t>Llenado de platea (hormigón)</t>
  </si>
  <si>
    <t>Columnas metálicas PB-PA</t>
  </si>
  <si>
    <t>Vigas metálicas PB-PA</t>
  </si>
  <si>
    <t>Correas metálicas PB-PA</t>
  </si>
  <si>
    <t>Entrepiso metálico, colocación de entablonado</t>
  </si>
  <si>
    <t>Paredes de ladrillo. Churrasquera.</t>
  </si>
  <si>
    <t>Armado de agua fría y caliente</t>
  </si>
  <si>
    <t>Armado de techo.</t>
  </si>
  <si>
    <t>Armado de entrepiso de PB.</t>
  </si>
  <si>
    <t>Revoque Grueso Exterior</t>
  </si>
  <si>
    <t>Revoque grueso interior</t>
  </si>
  <si>
    <t>Tendido eléctrico, cableado</t>
  </si>
  <si>
    <t>Molduras</t>
  </si>
  <si>
    <t>Cielorraso PB-PA</t>
  </si>
  <si>
    <t>Revestimiento plástico</t>
  </si>
  <si>
    <t>Verediens</t>
  </si>
  <si>
    <t>Banquinas</t>
  </si>
  <si>
    <t>Zócalos</t>
  </si>
  <si>
    <t>Instalación artefactos de baño</t>
  </si>
  <si>
    <t>Pago final del fondo de reparo</t>
  </si>
  <si>
    <t>ETAPA</t>
  </si>
  <si>
    <t>Nombre</t>
  </si>
  <si>
    <t>CODIGO</t>
  </si>
  <si>
    <t>Casf</t>
  </si>
  <si>
    <t>C + LTN</t>
  </si>
  <si>
    <t>C(2) LTN</t>
  </si>
  <si>
    <t>SIP</t>
  </si>
  <si>
    <t>Framing</t>
  </si>
  <si>
    <t>Unidad</t>
  </si>
  <si>
    <t>COSTO</t>
  </si>
  <si>
    <t>CASSAFORMA+LTN</t>
  </si>
  <si>
    <t>Cassf (2p) + LTN</t>
  </si>
  <si>
    <t>Steel Framinng</t>
  </si>
  <si>
    <t>LADRILLO</t>
  </si>
  <si>
    <t>CIERRE PRELIMINAR</t>
  </si>
  <si>
    <t>RAFIA (VERDE) 1,85 M - XMT</t>
  </si>
  <si>
    <t>XCRATRAF1.9X1</t>
  </si>
  <si>
    <t>m</t>
  </si>
  <si>
    <t>ESTABILIZADO X 6MTS</t>
  </si>
  <si>
    <t>XCESAGMESTAB</t>
  </si>
  <si>
    <t>viaje</t>
  </si>
  <si>
    <t xml:space="preserve">PUNTAL EUCA NATURAL Ø 10-12 X 2,50 MT.- </t>
  </si>
  <si>
    <t xml:space="preserve">XCPUBPUNTAL1 </t>
  </si>
  <si>
    <t>postes</t>
  </si>
  <si>
    <t xml:space="preserve">ALFAJIA ALAMO S/CEPILLAR 0,5` X 2` X 2,2 MTS.-E 3 </t>
  </si>
  <si>
    <t>XCALBALFAJ8</t>
  </si>
  <si>
    <t>unidad</t>
  </si>
  <si>
    <t>CLAVO PTA PARIS 2 1/2`</t>
  </si>
  <si>
    <t>CLPP002.5</t>
  </si>
  <si>
    <t>kg</t>
  </si>
  <si>
    <t>CORRALITO</t>
  </si>
  <si>
    <t>ALFAJ ALAM SCEPILL2"X2"X2,2M</t>
  </si>
  <si>
    <t>XCALBALFAJ9</t>
  </si>
  <si>
    <t xml:space="preserve">ALFAJIA ALAMO 2 CANTOS CEPILL 1` X 4` X 2,2 MTS.- </t>
  </si>
  <si>
    <t xml:space="preserve">XCALBALFAJ10 </t>
  </si>
  <si>
    <t>tablas</t>
  </si>
  <si>
    <t>POZO DE INFILTRACIÓN</t>
  </si>
  <si>
    <t>Piedra Bola</t>
  </si>
  <si>
    <t>XCPIRPIEDRA1RA6M</t>
  </si>
  <si>
    <t>FUNDACIONES HUELLA DE LA CASA</t>
  </si>
  <si>
    <t>H.MALLA Q 188 - 6MM ( 15 X 15 ) - (2,4 X 6)</t>
  </si>
  <si>
    <t>MAQ188006</t>
  </si>
  <si>
    <t>mallas</t>
  </si>
  <si>
    <t>H. CONSTRUCCION DN 10</t>
  </si>
  <si>
    <t>CODN0010</t>
  </si>
  <si>
    <t>barras</t>
  </si>
  <si>
    <t>H. CONSTRUCCION DN 6</t>
  </si>
  <si>
    <t>CODN006</t>
  </si>
  <si>
    <t>FUNDACIONES GALERIA Y COCHERA</t>
  </si>
  <si>
    <t>H. MALLA Q 188 - 6MM ( 15 X 15 ) - (2,4 X 6)</t>
  </si>
  <si>
    <t>FUNDACIONES ENCOFRADO</t>
  </si>
  <si>
    <t>alfajía</t>
  </si>
  <si>
    <t>ALFAJ ALAM SCEPILL1"X4"X2,2M</t>
  </si>
  <si>
    <t>ALAMBRE NEG N°17</t>
  </si>
  <si>
    <t>ALNE0017</t>
  </si>
  <si>
    <t>ALAMBRE NEG N°14</t>
  </si>
  <si>
    <t>ALNE0014</t>
  </si>
  <si>
    <t>H. CONSTRUCCION DN 8</t>
  </si>
  <si>
    <t>CODN008</t>
  </si>
  <si>
    <t>H. Servicio de bomba</t>
  </si>
  <si>
    <t>HormiH21bomba</t>
  </si>
  <si>
    <t>servicio</t>
  </si>
  <si>
    <t>H. Hormigon H 21</t>
  </si>
  <si>
    <t>HormiH21</t>
  </si>
  <si>
    <t>m3</t>
  </si>
  <si>
    <t>Estructura METÁLICA PLANTA BAJA</t>
  </si>
  <si>
    <t xml:space="preserve">E. PLATINAS 200 X 200 CHAPA 3/16` </t>
  </si>
  <si>
    <t>XCPLIV20X20X316</t>
  </si>
  <si>
    <t>platinas</t>
  </si>
  <si>
    <t>E. EST CUAD 100 X 100 X 2.50 LC</t>
  </si>
  <si>
    <t>ESC0100X100X2.5</t>
  </si>
  <si>
    <t>caños</t>
  </si>
  <si>
    <t>E. PERFIL C 160 X 60 X 20 X 2.00</t>
  </si>
  <si>
    <t>PC00160X60X2.0</t>
  </si>
  <si>
    <t>perfiles</t>
  </si>
  <si>
    <t>FENOLICO INDUST 18MM 1,22X2,44</t>
  </si>
  <si>
    <t>XCFEBFENO3</t>
  </si>
  <si>
    <t>fenólicos</t>
  </si>
  <si>
    <t>PINTURA ASFÁLTICA 18 LITROS</t>
  </si>
  <si>
    <t>XCPIMPTPIAS18LTLAMG</t>
  </si>
  <si>
    <t>tachos</t>
  </si>
  <si>
    <t>HERRER TORNILLO AUTO 14-50-A16</t>
  </si>
  <si>
    <t>HETOR0014.50A16</t>
  </si>
  <si>
    <t>caja de 100</t>
  </si>
  <si>
    <t>Estructura METÁLICA PLANTA ALTA</t>
  </si>
  <si>
    <t>E. PERFIL C 140 X 60 X 20 X 2.00</t>
  </si>
  <si>
    <t>PC00140X60X2.0</t>
  </si>
  <si>
    <t>Panel Foil Roof 50 mm Trapezoidal Cincalum/ Cara int Foil Blanco</t>
  </si>
  <si>
    <t>ChapaFoilroof</t>
  </si>
  <si>
    <t>Tornillo y capeloto</t>
  </si>
  <si>
    <t>Tornillo y Capeloto</t>
  </si>
  <si>
    <t>SELLADOR POLIU FLEXPU GRISX300</t>
  </si>
  <si>
    <t>XCSEW99-1025</t>
  </si>
  <si>
    <t>Estructura METÁLICA CONSUMIBLES</t>
  </si>
  <si>
    <t>ELECTRODO CONARCO 13A - 2.50</t>
  </si>
  <si>
    <t>ELCO0013A02.5</t>
  </si>
  <si>
    <t>THINNER 500 X LITRO</t>
  </si>
  <si>
    <t>XPTHDTH500</t>
  </si>
  <si>
    <t>litros</t>
  </si>
  <si>
    <t>ANTIOX COLOR X 4LT (GRISESPAC)</t>
  </si>
  <si>
    <t>ANTCOL00X4LT(G)</t>
  </si>
  <si>
    <t>DISC ABR 114.30 X 1.60 X 22.20</t>
  </si>
  <si>
    <t>DIAB00114.3X1.6</t>
  </si>
  <si>
    <t>discos</t>
  </si>
  <si>
    <t>DISC ABR 228.60 X 1.90 X 22.00</t>
  </si>
  <si>
    <t>DIAB00228.6X1.9</t>
  </si>
  <si>
    <t>Estructura  vigas</t>
  </si>
  <si>
    <t>varillas</t>
  </si>
  <si>
    <t>Estructura  columnas</t>
  </si>
  <si>
    <t xml:space="preserve">Estructura </t>
  </si>
  <si>
    <t>Estructura PÉRGOLA</t>
  </si>
  <si>
    <t>EST REC 50 X 70 X 2.50 LC</t>
  </si>
  <si>
    <t xml:space="preserve">ESC050X70X2.5 </t>
  </si>
  <si>
    <t>Estructura COCHERA</t>
  </si>
  <si>
    <t>ESCALERA</t>
  </si>
  <si>
    <t>ARENA ANCHORIS X 6 MTS</t>
  </si>
  <si>
    <t>XCARRARENA6M</t>
  </si>
  <si>
    <t>RIPIO X 6 MTS</t>
  </si>
  <si>
    <t>XCRIA6MRIPIO</t>
  </si>
  <si>
    <t>CEMENTO CPP 30 BOLSA 50 KG</t>
  </si>
  <si>
    <t>XCEMCPC40B50</t>
  </si>
  <si>
    <t>bolsas</t>
  </si>
  <si>
    <t>TIRANT ALAM SCEPILL3`X3`X2,2M</t>
  </si>
  <si>
    <t xml:space="preserve">XCTIBALFAJ3 </t>
  </si>
  <si>
    <t>CHURRASQUERA</t>
  </si>
  <si>
    <t>TEJUELA REFRACTARIA 27MM</t>
  </si>
  <si>
    <t>XCTESTER27</t>
  </si>
  <si>
    <t>ladrillos</t>
  </si>
  <si>
    <t>ADHESIVO W.TEC REFRACTAR 20KG</t>
  </si>
  <si>
    <t>XCADW940045</t>
  </si>
  <si>
    <t>Bolsas</t>
  </si>
  <si>
    <t>ALFAJ ALAM SCEPILL 1/2"X3"X2,2M</t>
  </si>
  <si>
    <t>XCALBALFAJ1</t>
  </si>
  <si>
    <t>alfajia</t>
  </si>
  <si>
    <t>Tornillo SKS 12/140</t>
  </si>
  <si>
    <t>tornillos</t>
  </si>
  <si>
    <t>Placa  de 90</t>
  </si>
  <si>
    <t>XCPACASSASIP</t>
  </si>
  <si>
    <t>SIP90</t>
  </si>
  <si>
    <t>Tornillo HTS550 5mmx50mm</t>
  </si>
  <si>
    <t>Basecoat bolsa 30Kg Weber</t>
  </si>
  <si>
    <t xml:space="preserve">Wichi membrana Hidrófuga Roofing 30m2 (1,2 x 26m) </t>
  </si>
  <si>
    <t xml:space="preserve">EPS 30mm 20Kg/m3 x m2 Mastropor (13 planchas 2m x1m) </t>
  </si>
  <si>
    <t>Sostenedor EPS</t>
  </si>
  <si>
    <t>Steel Framing</t>
  </si>
  <si>
    <t>OSB 9,5mm x 1,22 x 2,44 Estructural</t>
  </si>
  <si>
    <t>PL 12,5mm Placo Premium</t>
  </si>
  <si>
    <t>Cinta de papel x 75m</t>
  </si>
  <si>
    <t>PGC 100x0,9x6</t>
  </si>
  <si>
    <t>PGU100 x 0,9x 6</t>
  </si>
  <si>
    <t>Cantonera 2.6m metálica</t>
  </si>
  <si>
    <t>Masilla 28Kg Quimix</t>
  </si>
  <si>
    <t>Malla de Fibra 120gr x 50m2 ROLLO (1m x 50m)</t>
  </si>
  <si>
    <t>Espuma PU Expansive 750ml Fischer</t>
  </si>
  <si>
    <t>Taco 8mm c/tope</t>
  </si>
  <si>
    <t>T Fix 5,2 x 44,5 mm (10x1 3/4)</t>
  </si>
  <si>
    <t>T 1 Mecha 8x9/16</t>
  </si>
  <si>
    <t>T 2 Aguja</t>
  </si>
  <si>
    <t>Banda Acústica 3mm x 10cm Isolant</t>
  </si>
  <si>
    <t>rollo</t>
  </si>
  <si>
    <t>Lana Acustiber 21,84 m2 ( Muro)</t>
  </si>
  <si>
    <t>T Fix 3,8 x 57,2 mm (6x2 1/4)</t>
  </si>
  <si>
    <t xml:space="preserve">T 1 Aguja 8x9/16 </t>
  </si>
  <si>
    <t>PANELIZADO</t>
  </si>
  <si>
    <t>P. PANELES EPS - 10 cm - C/malla</t>
  </si>
  <si>
    <t>XCPACPSN10-300</t>
  </si>
  <si>
    <t>panel</t>
  </si>
  <si>
    <t>P. PANELES EPS Reforzado - 12 cm - C/malla</t>
  </si>
  <si>
    <t>XCPACPSN12-300</t>
  </si>
  <si>
    <t>PANELIZADO - San Juan</t>
  </si>
  <si>
    <t>P. MALLA PLANA 20 X 116 (REFUERZO VENTANAS)</t>
  </si>
  <si>
    <t>XCMACMAP</t>
  </si>
  <si>
    <t>P. Malla en U - CASSAFORMA</t>
  </si>
  <si>
    <t>XCMACRGU-12</t>
  </si>
  <si>
    <t>P. MALLA ANGULAR 20 X 20 X 116</t>
  </si>
  <si>
    <t>XCMACMA-20</t>
  </si>
  <si>
    <t>P. Malla MAE</t>
  </si>
  <si>
    <t>XCMACMAE</t>
  </si>
  <si>
    <t>P. ELASTÓMERO PARA REVOQUE PROYECTADO</t>
  </si>
  <si>
    <t>XCEL00027</t>
  </si>
  <si>
    <t>P.FIBRAS POLIPROP 12x600gr  PARA REVOQUE</t>
  </si>
  <si>
    <t>XCFIF12600</t>
  </si>
  <si>
    <t>600 gr</t>
  </si>
  <si>
    <t>ANCLAJE QUIMICO</t>
  </si>
  <si>
    <t>XCANW99-2006</t>
  </si>
  <si>
    <t>Anclajes</t>
  </si>
  <si>
    <t>REVOQUE</t>
  </si>
  <si>
    <t>ARENA ANCHORIS X 6 MT-TER.</t>
  </si>
  <si>
    <t xml:space="preserve">SELLADOR POLIU WEBER FLEX PU GRIS X 300-A 2 </t>
  </si>
  <si>
    <t>plomos</t>
  </si>
  <si>
    <t>xcladrillo</t>
  </si>
  <si>
    <t>Losa</t>
  </si>
  <si>
    <t>CARPETA DE NIVELACIÓN</t>
  </si>
  <si>
    <t>Bolsa de Tergopol molido 1/5 m3</t>
  </si>
  <si>
    <t>Xctergopolmolido</t>
  </si>
  <si>
    <t>REVOQUE FINO</t>
  </si>
  <si>
    <t>CAL HIDRATADA SUPERIOR</t>
  </si>
  <si>
    <t>XCCAS40-14-0001</t>
  </si>
  <si>
    <t>Arena Fina</t>
  </si>
  <si>
    <t>XCARRARENAFINA6M</t>
  </si>
  <si>
    <t>VEREDINES</t>
  </si>
  <si>
    <t>ENTRADA PEATONAL Y VEHICULAR</t>
  </si>
  <si>
    <t>CIERRE DEFINITIVO</t>
  </si>
  <si>
    <t>AL TEJ.ROMB N°14 50 X 2MTX15MT</t>
  </si>
  <si>
    <t>ALRO001463X2X15</t>
  </si>
  <si>
    <t>HERRER LOIA ART. 0211</t>
  </si>
  <si>
    <t>HELO00211</t>
  </si>
  <si>
    <t>tensores</t>
  </si>
  <si>
    <t>IMPERMEABILIZACIÓN</t>
  </si>
  <si>
    <t>MEMBRANA LIQ TECHOS L X20 BLAN</t>
  </si>
  <si>
    <t>XCMEW944011</t>
  </si>
  <si>
    <t>GARGOLA</t>
  </si>
  <si>
    <t>XCGAPGARGOLA4020</t>
  </si>
  <si>
    <t>gargolas</t>
  </si>
  <si>
    <t xml:space="preserve">MEMBRANA ALUMINIO FLEX KOVERTECH 40 KGS.-C1 </t>
  </si>
  <si>
    <t xml:space="preserve">XCMEKMT450 </t>
  </si>
  <si>
    <t xml:space="preserve">rollo </t>
  </si>
  <si>
    <t xml:space="preserve">GOTERO GALVANIZ CHAPA 30 N° 140 (9,5-3-1-1)-E 4 </t>
  </si>
  <si>
    <t xml:space="preserve">XCGOEGOT301402 </t>
  </si>
  <si>
    <t>goteros</t>
  </si>
  <si>
    <t>CINTA TRAMAD AUTOADHE 90M 70GR</t>
  </si>
  <si>
    <t xml:space="preserve">XCCIC14103 </t>
  </si>
  <si>
    <t>rollos</t>
  </si>
  <si>
    <t>MASILLA BASECOAT  25KG</t>
  </si>
  <si>
    <t>XCMAS60404357</t>
  </si>
  <si>
    <t>CIELORRASO de Placa de Yeso</t>
  </si>
  <si>
    <t>PLACA YESO AP 9.5X1,2X2,4</t>
  </si>
  <si>
    <t>XCPLV97-100020</t>
  </si>
  <si>
    <t>placas</t>
  </si>
  <si>
    <t xml:space="preserve">PLACA YESO PLACO STD 12,5MM (1,20M X 2,40M)-E 4 </t>
  </si>
  <si>
    <t xml:space="preserve">XCPLP95-210040 </t>
  </si>
  <si>
    <t>PERFIL CANTONERA</t>
  </si>
  <si>
    <t>XCPES269101</t>
  </si>
  <si>
    <t>SOLERA 35MM X 2.6 M</t>
  </si>
  <si>
    <t xml:space="preserve">XCSOS11201 </t>
  </si>
  <si>
    <t>Buña perimetral</t>
  </si>
  <si>
    <t xml:space="preserve">XCBUS269103 </t>
  </si>
  <si>
    <t>buñas</t>
  </si>
  <si>
    <t>MONTANTE 35MM X 2.6 M</t>
  </si>
  <si>
    <t>XCMOS11101</t>
  </si>
  <si>
    <t>TORNILLO DA 8X1/2" MECHA (T1)</t>
  </si>
  <si>
    <t>XFTOETDAM8X12</t>
  </si>
  <si>
    <t>TORNILLO DRYW 6X1" RF AGUJA T2</t>
  </si>
  <si>
    <t>XFTOETDRFA6X1</t>
  </si>
  <si>
    <t xml:space="preserve">MASILLA PLACO LPU X 28 KG- </t>
  </si>
  <si>
    <t xml:space="preserve">XCMAP97-310010 </t>
  </si>
  <si>
    <t>CINTA DE PAPEL X 150 MTS</t>
  </si>
  <si>
    <t>XCCIC14102</t>
  </si>
  <si>
    <t>TACO PLASTICO 8MM</t>
  </si>
  <si>
    <t>XFTAP38009</t>
  </si>
  <si>
    <t xml:space="preserve">Tornillo c/frs Fix5x45 </t>
  </si>
  <si>
    <t>XFTOETF5X45</t>
  </si>
  <si>
    <t>Cielorraso de Yeso suspendido</t>
  </si>
  <si>
    <t xml:space="preserve">CLAVO PTA PARIS 2 </t>
  </si>
  <si>
    <t>CLPP002</t>
  </si>
  <si>
    <t>Yeso YEMACO Bolsa x 40kg</t>
  </si>
  <si>
    <t>YESOYEMA40kg</t>
  </si>
  <si>
    <t>Met dep yeso 450 (o,75 x2)</t>
  </si>
  <si>
    <t>MDOOYE45007x</t>
  </si>
  <si>
    <t>paquete de 10</t>
  </si>
  <si>
    <t>Clavo de Acero CP 50x3.3</t>
  </si>
  <si>
    <t>XFCLF611060</t>
  </si>
  <si>
    <t>caja</t>
  </si>
  <si>
    <t>Tabiques Livianos</t>
  </si>
  <si>
    <t>placa</t>
  </si>
  <si>
    <t>SOLERA 70MM X 2.6 M</t>
  </si>
  <si>
    <t>XCSOS11202</t>
  </si>
  <si>
    <t>MONTANTE 70MM X 2.6 M</t>
  </si>
  <si>
    <t>XCMOS11102</t>
  </si>
  <si>
    <t>cantonera</t>
  </si>
  <si>
    <t>XCCIE1181</t>
  </si>
  <si>
    <t>PISOS</t>
  </si>
  <si>
    <t>PASTINA W.COLOR CLA 2KNIEVE</t>
  </si>
  <si>
    <t>XCPAW921200</t>
  </si>
  <si>
    <t>cajas de 5 kg</t>
  </si>
  <si>
    <t>DISCO PORCELANATO PREMIUM 4"</t>
  </si>
  <si>
    <t>XFDITTP115</t>
  </si>
  <si>
    <t>PORCELANATO PARA PISOS Y GALERIA</t>
  </si>
  <si>
    <t>A definir</t>
  </si>
  <si>
    <t>PORCELANATO PARA PAREDES DE BAÑO</t>
  </si>
  <si>
    <t>PORCELANATO PARA LAVANDERÍA</t>
  </si>
  <si>
    <t>PORCELANATO PARA ZOCALOS</t>
  </si>
  <si>
    <t>ADHESIVO PORCE FLEX HOLCIM</t>
  </si>
  <si>
    <t>xcadh10075564</t>
  </si>
  <si>
    <t>FLETES</t>
  </si>
  <si>
    <t>XCFLETES</t>
  </si>
  <si>
    <t>fletes</t>
  </si>
  <si>
    <t>CONTENEDORES</t>
  </si>
  <si>
    <t xml:space="preserve">XCCOTCONTRES </t>
  </si>
  <si>
    <t>contenedor</t>
  </si>
  <si>
    <t>Aumento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</si>
  <si>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</si>
  <si>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</si>
  <si>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</si>
  <si>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</si>
  <si>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</si>
  <si>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</si>
  <si>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</si>
  <si>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</si>
  <si>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</si>
  <si>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</si>
  <si>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</si>
  <si>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</si>
  <si>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Etapa</t>
  </si>
  <si>
    <t>Responsable</t>
  </si>
  <si>
    <t>Cant.</t>
  </si>
  <si>
    <t>$/unidad</t>
  </si>
  <si>
    <t>Costo M.O</t>
  </si>
  <si>
    <t>%</t>
  </si>
  <si>
    <t xml:space="preserve">Margen </t>
  </si>
  <si>
    <t>N°</t>
  </si>
  <si>
    <t>DENOMINACION</t>
  </si>
  <si>
    <t>UN</t>
  </si>
  <si>
    <t>CANTIDAD</t>
  </si>
  <si>
    <t>% INC.</t>
  </si>
  <si>
    <t>SUMA</t>
  </si>
  <si>
    <t>REVISIÓN</t>
  </si>
  <si>
    <t>Etapa temprana</t>
  </si>
  <si>
    <t>Cierre perimetral provisorio.</t>
  </si>
  <si>
    <t>global</t>
  </si>
  <si>
    <t>TRABAJOS PRELIMINARES</t>
  </si>
  <si>
    <t>Electricista</t>
  </si>
  <si>
    <t>Tablero de obra.</t>
  </si>
  <si>
    <t>1-1</t>
  </si>
  <si>
    <t>Cierre perimetral de obra (provisorio), replanteo, armado obrador</t>
  </si>
  <si>
    <t>Gl</t>
  </si>
  <si>
    <t>Plomero</t>
  </si>
  <si>
    <t>Instalación cloacal.</t>
  </si>
  <si>
    <t>1-2</t>
  </si>
  <si>
    <t>Tablero de obra, puesta a tierra</t>
  </si>
  <si>
    <t>Instalación pluvial con bajada de pluviales</t>
  </si>
  <si>
    <t>FUNDACIONES</t>
  </si>
  <si>
    <t>Pozo infiltración.</t>
  </si>
  <si>
    <t>2-1</t>
  </si>
  <si>
    <t>Huella de la casa</t>
  </si>
  <si>
    <t>Pozo séptico.</t>
  </si>
  <si>
    <t>globlal</t>
  </si>
  <si>
    <t>2-2</t>
  </si>
  <si>
    <t>Pérgola o galería</t>
  </si>
  <si>
    <t xml:space="preserve">Albañilería </t>
  </si>
  <si>
    <t>Platea. (Fundación)</t>
  </si>
  <si>
    <t>2-3</t>
  </si>
  <si>
    <t>Cochera dentro de la línea municipal</t>
  </si>
  <si>
    <t>Bases aisladas</t>
  </si>
  <si>
    <t>bases</t>
  </si>
  <si>
    <t>Cerramiento</t>
  </si>
  <si>
    <t>Zapatas corridas, relleno, armado de vigas y contrapiso</t>
  </si>
  <si>
    <t>3-1</t>
  </si>
  <si>
    <t>Planta de muros</t>
  </si>
  <si>
    <t>Platea - Pérgolas.</t>
  </si>
  <si>
    <t>3-2</t>
  </si>
  <si>
    <t>Panelizado de detalles y molduras varias</t>
  </si>
  <si>
    <t>Platea - Cochera.</t>
  </si>
  <si>
    <t>3-3</t>
  </si>
  <si>
    <t>Losa Cassaforma</t>
  </si>
  <si>
    <t>Hogar con garganta y ladrillo refractario.</t>
  </si>
  <si>
    <t>3-4</t>
  </si>
  <si>
    <t>Tabique de Durlock</t>
  </si>
  <si>
    <t>Metalúrgico</t>
  </si>
  <si>
    <t>Estructura planta baja.</t>
  </si>
  <si>
    <t>ESTRUCTURA</t>
  </si>
  <si>
    <t>Fenólico o chapa en entrepiso o techo (pintura asfáltica).</t>
  </si>
  <si>
    <t>4-1</t>
  </si>
  <si>
    <t>Planta baja</t>
  </si>
  <si>
    <t>Estructura planta alta.</t>
  </si>
  <si>
    <t>4-2</t>
  </si>
  <si>
    <t>Planta alta</t>
  </si>
  <si>
    <t>Fenólico o chapa en techo.</t>
  </si>
  <si>
    <t>4-3</t>
  </si>
  <si>
    <t>Cochera</t>
  </si>
  <si>
    <t>Panelizadores</t>
  </si>
  <si>
    <t>Panelizado de planta baja y panta alta.</t>
  </si>
  <si>
    <t>4-4</t>
  </si>
  <si>
    <t>Pérgola - galería -aleros</t>
  </si>
  <si>
    <t>Panelizado de viga galería y cochera.</t>
  </si>
  <si>
    <t>REVOQUES</t>
  </si>
  <si>
    <t>Panelizado de losa Cassaforma.</t>
  </si>
  <si>
    <t>5-1</t>
  </si>
  <si>
    <t xml:space="preserve">Revoque grueso planta baja </t>
  </si>
  <si>
    <t>Vigas y columnas PB</t>
  </si>
  <si>
    <t>5-2</t>
  </si>
  <si>
    <t xml:space="preserve">Revoque grueso planta  alta </t>
  </si>
  <si>
    <t>Cierre con ladrillos PB</t>
  </si>
  <si>
    <t>5-3</t>
  </si>
  <si>
    <t>Revoque de losa en cara inferior</t>
  </si>
  <si>
    <t>Vigas y columnas PA</t>
  </si>
  <si>
    <t>5-4</t>
  </si>
  <si>
    <t>Llenado de losa cara exterior con hormigón elaborado</t>
  </si>
  <si>
    <t>Cierre con ladrillos PA</t>
  </si>
  <si>
    <t>5-5</t>
  </si>
  <si>
    <t xml:space="preserve">Entrefino o fino interior </t>
  </si>
  <si>
    <t>Emplacado</t>
  </si>
  <si>
    <t>Cerramiento PB</t>
  </si>
  <si>
    <t>5-6</t>
  </si>
  <si>
    <t xml:space="preserve">Hormigón Visto </t>
  </si>
  <si>
    <t>Cerrameinto PA</t>
  </si>
  <si>
    <t>5-7</t>
  </si>
  <si>
    <t>Revoques de panelizado de detalles y molduras varias</t>
  </si>
  <si>
    <t>Instalación agua.</t>
  </si>
  <si>
    <t>5-8</t>
  </si>
  <si>
    <t>Instalación gas, gabinete, ventilaciones.</t>
  </si>
  <si>
    <t>Proyecto de Gas, factibilidad e inspecciones parciales.</t>
  </si>
  <si>
    <t>6-1</t>
  </si>
  <si>
    <t>Escalera</t>
  </si>
  <si>
    <t>Estructura cochera.</t>
  </si>
  <si>
    <t>CUBIERTA DE TECHOS</t>
  </si>
  <si>
    <t>Estructura pérgola - galería - aleros.</t>
  </si>
  <si>
    <t>7-1</t>
  </si>
  <si>
    <t>Fenólico o chapa en entrepiso o techo ( pintura asfáltica)</t>
  </si>
  <si>
    <t>Instalación eléctrica baja y media tensión.</t>
  </si>
  <si>
    <t>7-2</t>
  </si>
  <si>
    <t>Albañilería -Panelizado</t>
  </si>
  <si>
    <t>Revoque grueso planta baja.</t>
  </si>
  <si>
    <t>7-3</t>
  </si>
  <si>
    <t>Impermeabilización de techo</t>
  </si>
  <si>
    <t>Revoque grueso planta alta.</t>
  </si>
  <si>
    <t>7-4</t>
  </si>
  <si>
    <t>Colocación de gotero</t>
  </si>
  <si>
    <t>Revoque de losa en cara inferior Cassaforma.</t>
  </si>
  <si>
    <t>CONTRAPISOS, VEREDINES, BANQUINAS Y TERMINACIÓN DE COCHERA</t>
  </si>
  <si>
    <t>Llenado de losa en cara exterior Cassaforma.</t>
  </si>
  <si>
    <t>8-1</t>
  </si>
  <si>
    <t>Carpeta de nivelación planta baja</t>
  </si>
  <si>
    <t>Entrefino o fino interior.</t>
  </si>
  <si>
    <t>8-2</t>
  </si>
  <si>
    <t>Carpeta de nivelación planta alta o nivelacion de cubierta.</t>
  </si>
  <si>
    <t>Entrefino o fino interior. Exterior de PA</t>
  </si>
  <si>
    <t>8-3</t>
  </si>
  <si>
    <t>Carpeta de entrepiso o pendiente de techo.</t>
  </si>
  <si>
    <t>8-4</t>
  </si>
  <si>
    <t xml:space="preserve">Puente vehicular  y veredines de acceso a la casa fuera de la línea municipal </t>
  </si>
  <si>
    <t>Albañilería - Techo</t>
  </si>
  <si>
    <t>Nivelación carpeta de techo en Cassaforma</t>
  </si>
  <si>
    <t>8-5</t>
  </si>
  <si>
    <t>Veredines</t>
  </si>
  <si>
    <t>Escalera.</t>
  </si>
  <si>
    <t>PISOS Y ZÓCALOS</t>
  </si>
  <si>
    <t>Hormigón visto.</t>
  </si>
  <si>
    <t>9-1</t>
  </si>
  <si>
    <t xml:space="preserve">Porcelanato y zócalos en planta baja </t>
  </si>
  <si>
    <t>Revoques en perímetro galerías y cochera.</t>
  </si>
  <si>
    <t>9-2</t>
  </si>
  <si>
    <t>Porcelanato y zócalos en planta alta</t>
  </si>
  <si>
    <t>Vereda peatonal paralelo a la calle &lt;1m.</t>
  </si>
  <si>
    <t>9-3</t>
  </si>
  <si>
    <t>Revestimiento baños</t>
  </si>
  <si>
    <t>Carpeta de nivelación para porcelanato en planta baja.</t>
  </si>
  <si>
    <t>CIELORRASOS</t>
  </si>
  <si>
    <t>Moldura de techo</t>
  </si>
  <si>
    <t>10-1</t>
  </si>
  <si>
    <t>Suspendido de Durlock planta baja</t>
  </si>
  <si>
    <t>Moldura de  de aberturas</t>
  </si>
  <si>
    <t>10-2</t>
  </si>
  <si>
    <t>Suspendido de Durlock planta alta</t>
  </si>
  <si>
    <t>Banquinas.</t>
  </si>
  <si>
    <t>Suspendido de yeso en planta baja</t>
  </si>
  <si>
    <t>Puente vehicular y veredines de acceso a la casa fuera de L.M</t>
  </si>
  <si>
    <t>Suspendido de yeso en planta alta</t>
  </si>
  <si>
    <t>Veredines perimetrales.</t>
  </si>
  <si>
    <t>10-3</t>
  </si>
  <si>
    <t>Cajones y corte de pintura</t>
  </si>
  <si>
    <t>Cierre definitivo.</t>
  </si>
  <si>
    <t>INSTALACIÓN SANITARIA</t>
  </si>
  <si>
    <t>Tanques enterrados terminados con viga de hormigón y chupón.</t>
  </si>
  <si>
    <t>11-1</t>
  </si>
  <si>
    <t>Instalación cloacal</t>
  </si>
  <si>
    <t>Impermeabilización de techo.</t>
  </si>
  <si>
    <t>11-2</t>
  </si>
  <si>
    <t>Instalación pluviales</t>
  </si>
  <si>
    <t>Impermeabilización de techo en Steel Concrete.</t>
  </si>
  <si>
    <t>11-3</t>
  </si>
  <si>
    <t>Pozo infiltración y vinculación</t>
  </si>
  <si>
    <t>Colocación de gotero.</t>
  </si>
  <si>
    <t>11-4</t>
  </si>
  <si>
    <t>Pozo séptico y vinculación</t>
  </si>
  <si>
    <t>Durlero</t>
  </si>
  <si>
    <t>Cielorraso suspendido de Durlock en planta baja.</t>
  </si>
  <si>
    <t>11-5</t>
  </si>
  <si>
    <t>Distribución agua fría y caliente con vinculación a tanques</t>
  </si>
  <si>
    <t>Cielorraso suspendido de Durlock en planta alta.</t>
  </si>
  <si>
    <t>INSTALACIÓN ELÉCTRICA</t>
  </si>
  <si>
    <t>Yesero</t>
  </si>
  <si>
    <t>Cielorraso suspendido de Yeso en planta baja.</t>
  </si>
  <si>
    <t>12-1</t>
  </si>
  <si>
    <t>Instalación eléctrica baja y media tensión</t>
  </si>
  <si>
    <t>Cielorraso suspendido de Yeso en planta alta.</t>
  </si>
  <si>
    <t>GAS</t>
  </si>
  <si>
    <t>Corte de pintura.</t>
  </si>
  <si>
    <t>13-1</t>
  </si>
  <si>
    <t>Proyecto de gas, factibilidad e inspecciones</t>
  </si>
  <si>
    <t>Cajones cortineros.</t>
  </si>
  <si>
    <t>13-2</t>
  </si>
  <si>
    <t>Armado de gas, gabinete y ventilaciones</t>
  </si>
  <si>
    <t>Tabique de Durlock.</t>
  </si>
  <si>
    <t>OTROS</t>
  </si>
  <si>
    <t>Ceramista</t>
  </si>
  <si>
    <t xml:space="preserve">Porcelanato en planta baja. </t>
  </si>
  <si>
    <t>14-1</t>
  </si>
  <si>
    <t>Cierre definitivo (30 % palos, 30% tela, 30% viga inferior, 10% desencofrado)</t>
  </si>
  <si>
    <t xml:space="preserve">Zócalos de planta baja. </t>
  </si>
  <si>
    <t>14-2</t>
  </si>
  <si>
    <t xml:space="preserve">Churrasquera - Hogar </t>
  </si>
  <si>
    <t>Porcelanato en planta alta.</t>
  </si>
  <si>
    <t>14-3</t>
  </si>
  <si>
    <t>Riego</t>
  </si>
  <si>
    <t>Zócalos de planta alta.</t>
  </si>
  <si>
    <t>14-4</t>
  </si>
  <si>
    <t>Pintura</t>
  </si>
  <si>
    <t>Porcelanato en galería.</t>
  </si>
  <si>
    <t>14-5</t>
  </si>
  <si>
    <t>Instalación eléctrica en jardines</t>
  </si>
  <si>
    <t>Revestimiento de escalera.</t>
  </si>
  <si>
    <t>14-6</t>
  </si>
  <si>
    <t>Instalación de artefactos sanitarios, eléctricos, termotanque y extractor de cocina</t>
  </si>
  <si>
    <t>Porcelanato en pared de cocina y zócalo de mueble de cocina.</t>
  </si>
  <si>
    <t>14-7</t>
  </si>
  <si>
    <t>Limpieza de tanques, cloacas, limpieza final de obra</t>
  </si>
  <si>
    <t>Revestimiento de baños.</t>
  </si>
  <si>
    <t>baños</t>
  </si>
  <si>
    <t>Costo Directo</t>
  </si>
  <si>
    <t>Valorización (O*CD)</t>
  </si>
  <si>
    <t>Cocina</t>
  </si>
  <si>
    <t>unidades</t>
  </si>
  <si>
    <t>Lavanderia</t>
  </si>
  <si>
    <t>Etiquetas de fila</t>
  </si>
  <si>
    <t>Suma de Costo</t>
  </si>
  <si>
    <t>Baño de visita</t>
  </si>
  <si>
    <t xml:space="preserve">Baños </t>
  </si>
  <si>
    <t>Aires</t>
  </si>
  <si>
    <t xml:space="preserve">Pozo septico </t>
  </si>
  <si>
    <t>Artefacto</t>
  </si>
  <si>
    <t>Cisternas</t>
  </si>
  <si>
    <t>Pluviales</t>
  </si>
  <si>
    <t>(en blanco)</t>
  </si>
  <si>
    <t>Total general</t>
  </si>
  <si>
    <t>DETALLE</t>
  </si>
  <si>
    <t>Ite,</t>
  </si>
  <si>
    <t>Detalle</t>
  </si>
  <si>
    <t>Baño de visitas</t>
  </si>
  <si>
    <t xml:space="preserve">Baño </t>
  </si>
  <si>
    <t>Vent.</t>
  </si>
  <si>
    <t>COCINA</t>
  </si>
  <si>
    <t>Lavand</t>
  </si>
  <si>
    <t>Cisterna</t>
  </si>
  <si>
    <t>Externo</t>
  </si>
  <si>
    <t>Pozo Sèptico</t>
  </si>
  <si>
    <t>codigo</t>
  </si>
  <si>
    <t>Tipo</t>
  </si>
  <si>
    <t>Libre</t>
  </si>
  <si>
    <t>Cantidad</t>
  </si>
  <si>
    <t>Buje de 110 a 63</t>
  </si>
  <si>
    <t>Cámara de inpeccion de 60x60</t>
  </si>
  <si>
    <t>Caño cámara de 110</t>
  </si>
  <si>
    <t>Caño de 110</t>
  </si>
  <si>
    <t>Caño  40</t>
  </si>
  <si>
    <t>Caño de 50</t>
  </si>
  <si>
    <t>Caño 63</t>
  </si>
  <si>
    <t>Cemento blanco ( por kg)</t>
  </si>
  <si>
    <t>Cilastic transparente</t>
  </si>
  <si>
    <t>Codo 110x110 hermba hermaba</t>
  </si>
  <si>
    <t>Codo 110x45</t>
  </si>
  <si>
    <t xml:space="preserve">Codo de 110  </t>
  </si>
  <si>
    <t>Codo de 110 con base</t>
  </si>
  <si>
    <t>Codo de 110 de 45 º</t>
  </si>
  <si>
    <t xml:space="preserve">Codo de 40 a 45  </t>
  </si>
  <si>
    <t>Codo de 40 a 45 hermbra hembra</t>
  </si>
  <si>
    <t>Codo de 40 hembra hembra</t>
  </si>
  <si>
    <t>Codo de 50 hembra hembra</t>
  </si>
  <si>
    <t>Codo de 63 a 45</t>
  </si>
  <si>
    <t>Cupla de 40</t>
  </si>
  <si>
    <t>Cupla de 110</t>
  </si>
  <si>
    <t>Embudo de 110 con membrana (aguaduc)</t>
  </si>
  <si>
    <t>Pieta de patio 110x63x40 (5 bocas)</t>
  </si>
  <si>
    <t>Pileta de patio 160x110</t>
  </si>
  <si>
    <t>Ramal T de 110</t>
  </si>
  <si>
    <t>Ramal Y 110x110</t>
  </si>
  <si>
    <t>Ramal Y 110x63</t>
  </si>
  <si>
    <t>Rejilla abierta 8x8</t>
  </si>
  <si>
    <t>Rejilla abierta 15x15</t>
  </si>
  <si>
    <t>Rejilla ciega de 15x15</t>
  </si>
  <si>
    <t>Sifon simple</t>
  </si>
  <si>
    <t>Sifon doble</t>
  </si>
  <si>
    <t>Sombrerete de 110</t>
  </si>
  <si>
    <t>Tanque septico de 1100 lts</t>
  </si>
  <si>
    <t>Tapa DE PVC 110 con aro de goma</t>
  </si>
  <si>
    <t>Tapa de PVC 110</t>
  </si>
  <si>
    <t>Tapa de PVC  40</t>
  </si>
  <si>
    <t>Caño 110</t>
  </si>
  <si>
    <t>Tornillo para inodoro completo</t>
  </si>
  <si>
    <t>Aerosoles</t>
  </si>
  <si>
    <t>cinta métrica perforada (por metro)</t>
  </si>
  <si>
    <t>Tonrillo del 8</t>
  </si>
  <si>
    <t>Taco del 8</t>
  </si>
  <si>
    <t>AGUA</t>
  </si>
  <si>
    <t>Bomba Rowa para cisterna de 3 baños</t>
  </si>
  <si>
    <t>Codo fusión 20x1/2 hembra</t>
  </si>
  <si>
    <t>Codo fusión 25x1/2</t>
  </si>
  <si>
    <t>Codo fusión 25X3/4 hembra</t>
  </si>
  <si>
    <t>Codo fusión 32X3/4 hembra</t>
  </si>
  <si>
    <t>Codo fusión de 25</t>
  </si>
  <si>
    <t>Concexión de tanque 3/4</t>
  </si>
  <si>
    <t>Conexión de tanque de 1"</t>
  </si>
  <si>
    <t>Cupla de 25 fusion</t>
  </si>
  <si>
    <t>Cupla de 32 fusión</t>
  </si>
  <si>
    <t>Cupla de 32x1" fusion Hembra</t>
  </si>
  <si>
    <t>Cupla de fusión 20x1/2 macho</t>
  </si>
  <si>
    <t>Cupla de fusión 20x3/8 hembra</t>
  </si>
  <si>
    <t>Entrerosca de 1"1/2</t>
  </si>
  <si>
    <t xml:space="preserve">Entrerosca de 3/4  </t>
  </si>
  <si>
    <t>Entrerosca de 3/4 galvanizada</t>
  </si>
  <si>
    <t>Flexible de 35x1/2 mallado</t>
  </si>
  <si>
    <t>flotante 3/4 alta presión</t>
  </si>
  <si>
    <t>Flotante electrico</t>
  </si>
  <si>
    <t>Kit de conección de agua</t>
  </si>
  <si>
    <t>LLave campana embellecida 1/2</t>
  </si>
  <si>
    <t>Llave de 3/4 a 1/2 ( Lavarropa)</t>
  </si>
  <si>
    <t>Llave esferica de 25</t>
  </si>
  <si>
    <t>Llave esférica de 3/4</t>
  </si>
  <si>
    <t>Prolongadores de 1/2x20mm</t>
  </si>
  <si>
    <t>Reducciones de 1"1/2x1"</t>
  </si>
  <si>
    <t>Reducciones de 1"1/2x3/4</t>
  </si>
  <si>
    <t>Sobrepaso fusión de 25</t>
  </si>
  <si>
    <t>Surtidores de media</t>
  </si>
  <si>
    <t>T de 1"1/2</t>
  </si>
  <si>
    <t xml:space="preserve">T de 25 fusión fusión </t>
  </si>
  <si>
    <t>T de 32 fusión fusión</t>
  </si>
  <si>
    <t>Tanque de 1500 lts</t>
  </si>
  <si>
    <t>Tapa fusión de 25</t>
  </si>
  <si>
    <t>Tapa fusión de 32</t>
  </si>
  <si>
    <t>Tapones de 1/2</t>
  </si>
  <si>
    <t>Tirón de 32</t>
  </si>
  <si>
    <t>Tiron de fusión de 20</t>
  </si>
  <si>
    <t>Tiron de fusión de 25</t>
  </si>
  <si>
    <t>Union doble fusión 32x1"</t>
  </si>
  <si>
    <t>Llaves de 1 " metálica</t>
  </si>
  <si>
    <t>Cañamo (gramos)</t>
  </si>
  <si>
    <t>Sellarosca grandes</t>
  </si>
  <si>
    <t>Conectores ( extensores de agua para artefactos)</t>
  </si>
  <si>
    <t>Válvula de retención de bronce</t>
  </si>
  <si>
    <t>AIRE</t>
  </si>
  <si>
    <t xml:space="preserve">Aire </t>
  </si>
  <si>
    <t>Caja plastica vertical duratop/Demaduracces</t>
  </si>
  <si>
    <t>Caño de cobre 3/8 ( metros)</t>
  </si>
  <si>
    <t>Caño de cobre 1/4 (metros)</t>
  </si>
  <si>
    <t>Caño de cobre 1/2 (metros)</t>
  </si>
  <si>
    <t>Cinta adhesiva blanca c/adhesivo 20mx72mm/A1</t>
  </si>
  <si>
    <t>Cable tipo taller 5x1"1/2 Electicarlsub</t>
  </si>
  <si>
    <t>Tira en 1,83 m 1/2" Aire acondicionado/Acc Uruia</t>
  </si>
  <si>
    <t>Tira en 1,83 m 3/8" Aire acondicionado/Acc Uruia</t>
  </si>
  <si>
    <t>SD-Tubo PVC Cl10-25x1.2mm 6M JP (20) TRIGRESDT</t>
  </si>
  <si>
    <t>Codo 90 25 mm PN10 ERA/ERAPVC</t>
  </si>
  <si>
    <t>Codo 45 25 mm PN10 ERA/ERAPVC</t>
  </si>
  <si>
    <t>SD-Manguito SD/BR de 25 mm x 3/4" (50)/TIGRESDC</t>
  </si>
  <si>
    <t>AD-adhesivo especial X205CC 175 GR (30)/TIGREADHES</t>
  </si>
  <si>
    <t>Multicapa fusion S 3,2 25 mm x 4 mm ( emb.20 unid)</t>
  </si>
  <si>
    <t>Código</t>
  </si>
  <si>
    <t>Artefactos y Accesorios</t>
  </si>
  <si>
    <t>Vogue Plus Inod. Largo (PA505) LZA 5051/LOZAAQUALAF</t>
  </si>
  <si>
    <t>Vogue Plus Depòsito para Inodoro DECA/LOZAAQUALAF</t>
  </si>
  <si>
    <t>Vogue Plus Asciento para inodoro C/Tapa VOGUE PLUS LZA-5017/L</t>
  </si>
  <si>
    <t>Bacha: Deca Bacha de apoyo cuadrada L70</t>
  </si>
  <si>
    <t>Vogue Plus Bidet 3 Aguj. (BA5)/ LOZAAAQUALAF</t>
  </si>
  <si>
    <t>Estal. Grif Quartier Lever Bidet/GRIFEStaLGRIF</t>
  </si>
  <si>
    <t>Cuadro de ducha de empotrar: Piazza Mind 21406 - Ducxha dse embutir</t>
  </si>
  <si>
    <t>Bacha de cocina: Johnson - Bacha de cocina R37</t>
  </si>
  <si>
    <t>Bacha de lavanderia: Johnson - Bacha lavadero LN50 50x40x25</t>
  </si>
  <si>
    <t>Monocomando baños: Hydros - Monocomando De Cocina Calyx 15911</t>
  </si>
  <si>
    <t>Monocomando lavanderia: Piazza - Monocomando cocina Emblem 10012</t>
  </si>
  <si>
    <t>Monocomando cocina:Piazza - Monocomando cocina gourmet con extensión 10300</t>
  </si>
  <si>
    <t>ELECTRICIDAD</t>
  </si>
  <si>
    <t>Pilastra</t>
  </si>
  <si>
    <t>Living</t>
  </si>
  <si>
    <t>Hab. +Vest.+baño</t>
  </si>
  <si>
    <t>Habit.</t>
  </si>
  <si>
    <t>Pasillo</t>
  </si>
  <si>
    <t>Baño Comun</t>
  </si>
  <si>
    <t>Baño visitas</t>
  </si>
  <si>
    <t>Pergola Vehicular</t>
  </si>
  <si>
    <t>Quincho</t>
  </si>
  <si>
    <t>Churrasq.</t>
  </si>
  <si>
    <t>Bomba</t>
  </si>
  <si>
    <t>Artef.</t>
  </si>
  <si>
    <t>Cable subterraneo 3x2,5</t>
  </si>
  <si>
    <t>Cable subterraneo 3x1,5</t>
  </si>
  <si>
    <t>Cable subterraneo 5x6</t>
  </si>
  <si>
    <t>Caja Chapa Octogonal Grande CH18 Obra</t>
  </si>
  <si>
    <t>Caja Chapa Octogonal Chica CH18 Obra</t>
  </si>
  <si>
    <t>Caja  Chapa retangular CH18 Obra</t>
  </si>
  <si>
    <t>Caja chapa cuadrada  10x10 + tapa ciega CH18 OBRA</t>
  </si>
  <si>
    <t>Conector 3/4 Esp. Delga P/caño Metálico</t>
  </si>
  <si>
    <t>Interruptor union simple blanco</t>
  </si>
  <si>
    <t>Interruptor unip. Combinado blanco</t>
  </si>
  <si>
    <t>Caja chapa de pase 10x10x10 + tapa ciega CH18 Obra</t>
  </si>
  <si>
    <t>Tapon ciego blanco</t>
  </si>
  <si>
    <t>Toma blanco 10A Sist Mod (600undi)</t>
  </si>
  <si>
    <t>Toma exterior 20 AMPER BCO</t>
  </si>
  <si>
    <t>Conector para tubo de PVC 20 mm</t>
  </si>
  <si>
    <t>Uniones de 20</t>
  </si>
  <si>
    <t>Conectores de 25</t>
  </si>
  <si>
    <t>Uniones de 25</t>
  </si>
  <si>
    <t>Toma corriente de 20 ampere</t>
  </si>
  <si>
    <t>Tablero de 24 bocas</t>
  </si>
  <si>
    <t>Tablero de 60 bocas</t>
  </si>
  <si>
    <t>Tablero de 36 bocas</t>
  </si>
  <si>
    <t>Bastidor unico</t>
  </si>
  <si>
    <t>Tapa 3D Modob</t>
  </si>
  <si>
    <t>Tuboelectric tubo rig extrap. 32 mm</t>
  </si>
  <si>
    <t>Adhesivo sellador 100cc GEAD</t>
  </si>
  <si>
    <t>Caja Capsulada Azul Vacia 32 A</t>
  </si>
  <si>
    <t>Caja sigma IP55 2 Mod Gris</t>
  </si>
  <si>
    <t>Precintos de 15cm a 20 cm (paquetes)</t>
  </si>
  <si>
    <t>Caño de 32</t>
  </si>
  <si>
    <t>Conector para tubo de PVC 32 mm</t>
  </si>
  <si>
    <t>uniones de 32</t>
  </si>
  <si>
    <t>Curva de aluminio 2 1/2 x 4,2 mt</t>
  </si>
  <si>
    <t>Curva de 32</t>
  </si>
  <si>
    <t>Tornillo T1 mecha</t>
  </si>
  <si>
    <t>Grampas (omega de 20)</t>
  </si>
  <si>
    <t>CABLE UNIPOLAR CAT-4 2,5mmx1Mt VERDE</t>
  </si>
  <si>
    <t>CABLE UNIPOLAR CAT-4 2,5mmx1Mt ROJO</t>
  </si>
  <si>
    <t>CABLE UNIPOLAR CAT-4 1,5mmx1Mt VERDE</t>
  </si>
  <si>
    <t>CABLE UNIPOLAR CAT-4 1,5mmx1Mt ROJO</t>
  </si>
  <si>
    <t>CABLE UNIPOLAR CAT-4 6,0mmx1Mt NEGRO</t>
  </si>
  <si>
    <t>Cable (100m) - 6mm - marrón</t>
  </si>
  <si>
    <t>CABLE UNIPOLAR CAT-4 6,0mmx1Mt VERDE</t>
  </si>
  <si>
    <t>Cinta asilante</t>
  </si>
  <si>
    <t>Térmica 4x25</t>
  </si>
  <si>
    <t>Interruptor diferencial TMD-30 2x25A JELUZ Disyuntor</t>
  </si>
  <si>
    <t>Térmica 4x32</t>
  </si>
  <si>
    <t>Térmica 4x16</t>
  </si>
  <si>
    <t>Térmica 2x10</t>
  </si>
  <si>
    <t>Térmica 2x16</t>
  </si>
  <si>
    <t>Térmica 4x20</t>
  </si>
  <si>
    <t>Llave termomagnética 2x25A Jeluz</t>
  </si>
  <si>
    <t>Llave termomagnética 2x16A Jeluz</t>
  </si>
  <si>
    <t>Bornera 6mm Verde/amarillo</t>
  </si>
  <si>
    <t>Disco de corte de 4 (chico)</t>
  </si>
  <si>
    <t>Mecha de copa de 25mm vimeta, sin guía</t>
  </si>
  <si>
    <t>Porta fusible 0,1</t>
  </si>
  <si>
    <t>Gabinete Gab Met. Empotrar 313x313x85</t>
  </si>
  <si>
    <t>Gabinete p/termica Gabxel c/riel GEE 35x30 IP65 GEE 3530 IP65</t>
  </si>
  <si>
    <t>Jabalina lisa de Acero- Cobre 3/4 16M19</t>
  </si>
  <si>
    <t>Mordaza para jabalina de PAT 3/4 16M19 M19</t>
  </si>
  <si>
    <t>Bolsa de carbonilla de 12,5 kg</t>
  </si>
  <si>
    <t>Caja de inspeccion para jabalina PVC</t>
  </si>
  <si>
    <t>Cable unipolar de 4mm verde/amarillo</t>
  </si>
  <si>
    <t>Cable unipolar de 4mm negro</t>
  </si>
  <si>
    <t>Cable unipolar de 4mm celeste</t>
  </si>
  <si>
    <t>Cable unipolar de 4mm rojo</t>
  </si>
  <si>
    <t>Cable unipolar de 6mm verde/amarillo</t>
  </si>
  <si>
    <t>Inte. Term. Schneider E9 4x32A 4,5 KA</t>
  </si>
  <si>
    <t>Interuptor diferencial DOMAE 3P 16 A 3 KA</t>
  </si>
  <si>
    <t>Inte. Term. Schneider E9 4x16A 4,5 KA</t>
  </si>
  <si>
    <t>Interuptor diferencial DOMAE 4x25A 30MA</t>
  </si>
  <si>
    <t>Ficha hembra Base Trifásica IND 3x32A C/N</t>
  </si>
  <si>
    <t>Adaptador Jeluz P/Riel DIN 1 MOD</t>
  </si>
  <si>
    <t>Modulo Jeluz 1 Toma C/N Blanco</t>
  </si>
  <si>
    <t>Con gas?</t>
  </si>
  <si>
    <t>Gabinete de Gas Hormigon 0,5x0,45x0,3 Aprob</t>
  </si>
  <si>
    <t>Llave de gas de 19 mm M-H " Cromo" FV</t>
  </si>
  <si>
    <t>Llave de gas 25mm M-H con Campana</t>
  </si>
  <si>
    <t>Codo 90ª HH-1"-(25mm)</t>
  </si>
  <si>
    <t>Codo 90ª HH 3/4 --(20mm)</t>
  </si>
  <si>
    <t>Tee-1"-25mm</t>
  </si>
  <si>
    <t>Buje Reducción 1"x3/4</t>
  </si>
  <si>
    <t>Tee reduccion 1"x3/4</t>
  </si>
  <si>
    <t>Tupo epoxi nuevo 3/4 x 6,4m</t>
  </si>
  <si>
    <t>Cupla c/borde-1"-(25mm)</t>
  </si>
  <si>
    <t>Cupla c/Borde-3/4x6,4m</t>
  </si>
  <si>
    <t>Tapon M-1"(25mm)</t>
  </si>
  <si>
    <t>Tapon M-3/4"(20mm)</t>
  </si>
  <si>
    <t>Glicerina Valinco 500gr GP-247</t>
  </si>
  <si>
    <t>Litargirio Valinco 500gr Gp-247</t>
  </si>
  <si>
    <t>Pintura epoxi Tecno 2 componentes x 1 litro</t>
  </si>
  <si>
    <t>Bulit Pincel serie Economy 1 1/2" Largo</t>
  </si>
  <si>
    <t>Rejilla Gas Aprobada 20x20/200 cm2 AIR</t>
  </si>
  <si>
    <t>Caño en chapa de 10 cm</t>
  </si>
  <si>
    <t>Caño de chapa de 12,5 cm</t>
  </si>
  <si>
    <t>Caño de chapa de 15 cm</t>
  </si>
  <si>
    <t>Curva Artvualda de 10 cm</t>
  </si>
  <si>
    <t>Curva articulada de 12,5 cm</t>
  </si>
  <si>
    <t>Curva articulada de 15 cm</t>
  </si>
  <si>
    <t>Sombrerete para gas doble aro de 10 cm</t>
  </si>
  <si>
    <t>Sombrerete para gas doble aro de 12,5 cm</t>
  </si>
  <si>
    <t>Sombrerete para gas doble aro de 15 cm</t>
  </si>
  <si>
    <t>Sellador acrílico pintable blanco 400 gr 510/520</t>
  </si>
  <si>
    <t>Regulador A6 con flexible</t>
  </si>
  <si>
    <t>Conexión dielectrica aluminio 1-1/4-3/4 Nueva</t>
  </si>
  <si>
    <t>Flexible Gas Acero Inox 1/2"x40 cm aprobado</t>
  </si>
  <si>
    <t>Teflón azul 3/4x20 m Den 0,3 G/cm3 LAT</t>
  </si>
  <si>
    <t>Cupla red 32x25mm p/gas</t>
  </si>
  <si>
    <t>Buje reducción 40x32mm</t>
  </si>
  <si>
    <t>Codo 90° 32mm p/gas</t>
  </si>
  <si>
    <t>Codo 90° 40mm p/gas</t>
  </si>
  <si>
    <t>Cupla 40mm p/gas</t>
  </si>
  <si>
    <t>Tee reduccion 32x25mm</t>
  </si>
  <si>
    <t>Tapón 1/2" epoxi</t>
  </si>
  <si>
    <t>Codo 90° 40x1 1/4" H p/gas</t>
  </si>
  <si>
    <t>Buje reducción 1 1/4 x 1</t>
  </si>
  <si>
    <t>Tubo 32mm p/gas</t>
  </si>
  <si>
    <t>Tubo 40mm p/gas</t>
  </si>
  <si>
    <t>Válvula de cierre de cono 32mm p/gas</t>
  </si>
  <si>
    <t>Codo 90° 32x3/4 H p/gas</t>
  </si>
  <si>
    <t>MATERIALES RESUMIDO UNIFICADO</t>
  </si>
  <si>
    <t>Suma de Casf</t>
  </si>
  <si>
    <t>Suma de C + LTN</t>
  </si>
  <si>
    <t>Suma de C(2) LTN</t>
  </si>
  <si>
    <t>Suma de SIP</t>
  </si>
  <si>
    <t>Suma de Framing</t>
  </si>
  <si>
    <t>Suma de Ladrillo</t>
  </si>
  <si>
    <t>Nivelación, compactación, preparación del terreno.</t>
  </si>
  <si>
    <t>Fundaciones.</t>
  </si>
  <si>
    <t>Steel Concrete: estrcutura metálica y paneles.</t>
  </si>
  <si>
    <t>Techo: panel Foil Roof</t>
  </si>
  <si>
    <t>Codigo</t>
  </si>
  <si>
    <t>DESCRIPCIÓN (agosto 2023)</t>
  </si>
  <si>
    <t>COSTO CON IVA</t>
  </si>
  <si>
    <t>AL TEJ.ROMB N∞14 63 X 2MTX15MT</t>
  </si>
  <si>
    <t>ALAMBRE NEG N∞14</t>
  </si>
  <si>
    <t>ALAMBRE NEG N∞17</t>
  </si>
  <si>
    <t xml:space="preserve">XCALBALFAJ8 </t>
  </si>
  <si>
    <t>ALFAJ ALAM SCEPILL2`X2`X2,2M</t>
  </si>
  <si>
    <t xml:space="preserve">ANCLAJE QUIMICO WEBER X 300 ML-A 2 </t>
  </si>
  <si>
    <t>ARENA FINA X 6 MT-TER.</t>
  </si>
  <si>
    <t xml:space="preserve">BUÑA PERIMETRAL X 2.6 MTS. (PERFIL ZETA) -D1 </t>
  </si>
  <si>
    <t>CAL SUBLIME X 25 KG</t>
  </si>
  <si>
    <t>CEMENTO CPC 40 ECO BOLSA 50 KG - HOLCIM</t>
  </si>
  <si>
    <t xml:space="preserve">CINTA DE PAPEL X 150 MTS-A 5 </t>
  </si>
  <si>
    <t xml:space="preserve">CLAVO PTA PARIS 2 1/2` </t>
  </si>
  <si>
    <t>CLAVO PTA PARIS 2`</t>
  </si>
  <si>
    <t>CLAVOS DE ACERO CP 50 X 3.3</t>
  </si>
  <si>
    <t>CODN0012</t>
  </si>
  <si>
    <t>CONSTRUCCION DN 12</t>
  </si>
  <si>
    <t>CONSTRUCCION DN 6</t>
  </si>
  <si>
    <t>CONSTRUCCION DN 8</t>
  </si>
  <si>
    <t>CONSTRUCCION DN 10</t>
  </si>
  <si>
    <t xml:space="preserve">DISCO PORCELANATO PREMIUM 4 1/2-A 1 </t>
  </si>
  <si>
    <t xml:space="preserve">ELASTOMERO PARA REVOQUE X 20 KG - STEEL CONCRETE-C 1 </t>
  </si>
  <si>
    <t xml:space="preserve">ELECTRODO CONARCO 13A - 2.50 </t>
  </si>
  <si>
    <t>EST CUAD 100 X 100 X 2.50 LC</t>
  </si>
  <si>
    <t xml:space="preserve">ESTABILIZADO X 6 MT-TER. </t>
  </si>
  <si>
    <t>FENOLICO INDUSTRIAL 18</t>
  </si>
  <si>
    <t>FIBRAS POLIPROP 12x600gr  PARA REVOQUE</t>
  </si>
  <si>
    <t>Gargola Hormigon 50x20</t>
  </si>
  <si>
    <t>HERRER LOIA ART. 0211 - [100 X 37 X 2,5]</t>
  </si>
  <si>
    <t>MALLA ANGULAR 20 X 20 X 116</t>
  </si>
  <si>
    <t>MALLA EN U P/PANEL 10 (12 CM)</t>
  </si>
  <si>
    <t>MALLA ENTERA 240 X 116</t>
  </si>
  <si>
    <t>MALLA PLANA 20 X 116 (REFUERZO VENTANAS)</t>
  </si>
  <si>
    <t xml:space="preserve">MALLA Q 188 - 6MM ( 15 X 15 ) - [2,4 X 6] </t>
  </si>
  <si>
    <t xml:space="preserve">XCMAS60404357 </t>
  </si>
  <si>
    <t xml:space="preserve">MASILLA BASE COAT SINTEPLAST 25KG-C 1 </t>
  </si>
  <si>
    <t>MD00YE45O07X2</t>
  </si>
  <si>
    <t>MET DESP YESO 450  (0.75 X 2)</t>
  </si>
  <si>
    <t xml:space="preserve">MONTANTE 70MM X 2.6 M-E 4 </t>
  </si>
  <si>
    <t>PANEL CASSAFORMA PRN 12-300 (3,6M2)</t>
  </si>
  <si>
    <t>PANEL CASSAFORMA PSN 10-300 (3,6M2)</t>
  </si>
  <si>
    <t>XCPAW92-1200</t>
  </si>
  <si>
    <t>PASTINA WEBER PRESTIGE X 2 KGS. NIEVE-B 2</t>
  </si>
  <si>
    <t>PERFIL C 140 X 60 X 20 X 2.00</t>
  </si>
  <si>
    <t>PERFIL C 160 X 60 X 20 X 2.00</t>
  </si>
  <si>
    <t>PERFIL CANTONERA X 2.6 MTS. -D1</t>
  </si>
  <si>
    <t>PIEDRA BOLA DE 1RA X 6 MT</t>
  </si>
  <si>
    <t>PINTURA ASFALTICA X 18 LTS. MG</t>
  </si>
  <si>
    <t>PLACA CEMENTICIA 6MM 1,2 X 2,4</t>
  </si>
  <si>
    <t>XCPLP95-210340</t>
  </si>
  <si>
    <t>PLACA YESO PLACO STD 9,5MM (1,20M X 2,40M)-E 4</t>
  </si>
  <si>
    <t xml:space="preserve">PLATINAS 200 X 200 CHAPA 3/16` </t>
  </si>
  <si>
    <t xml:space="preserve">RAFIA VERDE (TELA DE CERCO) 1,90 M X MT-E 1 </t>
  </si>
  <si>
    <t>SOLERA 35MM X 2.6 M-E 4</t>
  </si>
  <si>
    <t>SOLERA 70MM X 2.6 M-E 4</t>
  </si>
  <si>
    <t xml:space="preserve">TACO PLASTICO No 8 PY-A 8 </t>
  </si>
  <si>
    <t>THINNER 500 X LITRO-C 1</t>
  </si>
  <si>
    <t xml:space="preserve">TIRANTE ALAMO S/CEPILLAR 3` X 3` X 2,2 MTS. ALFAJIA-E 3 </t>
  </si>
  <si>
    <t xml:space="preserve">TORNILLO CABEZA FRES FIX 5 X 45-A 8 </t>
  </si>
  <si>
    <t xml:space="preserve">TORNILLO DA 8 X 1/2` MECHA (T1)-A 8 </t>
  </si>
  <si>
    <t xml:space="preserve">TORNILLO DRYW 6 X 1` RF AGUJA (T2)-A 8 </t>
  </si>
  <si>
    <t>Horigon H 21</t>
  </si>
  <si>
    <t>Kit fijacion</t>
  </si>
  <si>
    <t>Servicio de bomba</t>
  </si>
  <si>
    <t>Ladrillos unidad</t>
  </si>
  <si>
    <t>Contendores</t>
  </si>
  <si>
    <t>Fletes</t>
  </si>
  <si>
    <t>Servicios</t>
  </si>
  <si>
    <t>AD-ADHESIVO PESADO GRIS TIGRE 118ML (24)</t>
  </si>
  <si>
    <t>ADAPTADOR JELUZ P/RIEL DIN 1 MOD 20510</t>
  </si>
  <si>
    <t>Adhesivo Sellador para tubos y acceso 100 CC GEAD</t>
  </si>
  <si>
    <t>BACHA DOBLE R 37 63,3 x 34 x 15</t>
  </si>
  <si>
    <t>BACHA LAVADERO LN 50 50 x 40 x 25</t>
  </si>
  <si>
    <t>BACHA DE APOYO CUADRADA L70***no viene mas</t>
  </si>
  <si>
    <t>BASTIDOR UNICO 3MOD.SIST.MOD. KD40702</t>
  </si>
  <si>
    <t>BOLSA DE CARBONILLA de 12.5 kg</t>
  </si>
  <si>
    <t>BOMBA MAX PRESS 22 / 2 PLANTAS 3 DUCHAS</t>
  </si>
  <si>
    <t>BORNERA TIERRA 6 MM VERDE/AMARILLO</t>
  </si>
  <si>
    <t>BORNERA TIERRA 2.5 / 4 MM VERDE/AMARILLO</t>
  </si>
  <si>
    <t>SOLUCION LUBRICANTE X 400CC. generica LOSUNG</t>
  </si>
  <si>
    <t>CC RED CUPLA DE REDUCC. M-H 110-63MM DURATOP</t>
  </si>
  <si>
    <t>BUJE REDUCCIÓN-1° x 3/4°</t>
  </si>
  <si>
    <t>PINCEL CLASICO 15/2  -  1 1/2°   576095</t>
  </si>
  <si>
    <t>CABLE UNIPOLAR CAT-4 6,0mmx1Mt MARRON</t>
  </si>
  <si>
    <t>CABLE SUBTERRANEO 3X1.5</t>
  </si>
  <si>
    <t>CABLE SUBTERRANEO 3X2.5</t>
  </si>
  <si>
    <t>CABLE SUBTERRANEO 5X6</t>
  </si>
  <si>
    <t>CABLE TIPO TALLER 5 X 1.5 MM</t>
  </si>
  <si>
    <t>CABLE UNIPOLAR CAT-4 4,0mmx1Mt CELESTE</t>
  </si>
  <si>
    <t>CABLE UNIPOLAR CAT-4 4,0mmx1Mt NEGRO</t>
  </si>
  <si>
    <t>CABLE UNIPOLAR CAT-4 4,0mmx1Mt ROJO</t>
  </si>
  <si>
    <t>CABLE UNIPOLAR CAT-4 4,0mmx1Mt VERDE</t>
  </si>
  <si>
    <t>CAJA CHAPA RECTANGULAR CH18 OBRA</t>
  </si>
  <si>
    <t>CAJA CAPSULADA AZUL VACIA 32A.(10unid) KL48881</t>
  </si>
  <si>
    <t>CAJA CHAPA CUADRADA 10X10 CH18 OBRA</t>
  </si>
  <si>
    <t>TAPA METALICA CUADRADA 10X10</t>
  </si>
  <si>
    <t>CAJA CHAPA DE PASE 10X10X10</t>
  </si>
  <si>
    <t>CAJA CHAPA OCTOGONAL CHICA CH18 OBRA</t>
  </si>
  <si>
    <t>CAJA CHAPA OCTOGONAL GRANDE CH18 OBRA</t>
  </si>
  <si>
    <t>Caja de Inspecc. S/B.NeutroMat. AislCI6 p jabalina</t>
  </si>
  <si>
    <t>CAJA PLASTICA VERTICAL DURATOP</t>
  </si>
  <si>
    <t>CAJA SIGMA IP55 2Mód.GRIS C/MEMB(10unid) KL42213</t>
  </si>
  <si>
    <t>ANILLO P/ CAMARA INSPECCION 60X60X35</t>
  </si>
  <si>
    <t>CAÑAMO x 50 grs (10) (10)</t>
  </si>
  <si>
    <t>CCC CAÑO CAMARA 110 MM COMPLETO DURATOP</t>
  </si>
  <si>
    <t>DURA TUBO 110 X 4000 MM DURATOP</t>
  </si>
  <si>
    <t>MULTICAPA FUSION 32mm x 4m (emb.15 unid) (15</t>
  </si>
  <si>
    <t>DURA TUBO 40 X 4000 MM DURATOP</t>
  </si>
  <si>
    <t>DURA TUBO 50 X 4000 MM DURATOP</t>
  </si>
  <si>
    <t>DURA TUBO 63 X 4000 MM DURATOP</t>
  </si>
  <si>
    <t>CAÑO EN CHAPA DE 12,5 CM.</t>
  </si>
  <si>
    <t>CAÑO EN CHAPA DE 15 CM.</t>
  </si>
  <si>
    <t>CAÑO COBRE 1/2° X 2 METROS - 0,52 KG</t>
  </si>
  <si>
    <t>CAÑO COBRE 1/4° X 2 METROS - 0,248 KG</t>
  </si>
  <si>
    <t>CAÑO COBRE 3/8° X 3 METROS - 0,57 KG</t>
  </si>
  <si>
    <t>CAÑO EN CHAPA DE 10 CM.</t>
  </si>
  <si>
    <t>CEMENTO BLANCO X 1KG</t>
  </si>
  <si>
    <t>SELLADOR DE SILICONA ACETICA 280GR TRANSPARENTE</t>
  </si>
  <si>
    <t>CINTA ADHESIVA W 2°x30Mx0.13MM</t>
  </si>
  <si>
    <t>CINTA AISLADORA VINITAPE 20MTS</t>
  </si>
  <si>
    <t>CCUHH CODO A 87º30' H-H 110MM DURATOP</t>
  </si>
  <si>
    <t>CCAHH CODO A 45º H-H 110MM DURATOP</t>
  </si>
  <si>
    <t>CODO 45º 25MM PN10 ERA</t>
  </si>
  <si>
    <t>CODO 90º 25MM PN10 ERA</t>
  </si>
  <si>
    <t>CODOS H.H. 90 3/4° - EPOXI</t>
  </si>
  <si>
    <t>CODOS H.H. 90 1° - EPOXI</t>
  </si>
  <si>
    <t>FCU Codo 90º HH 110mm (1) (6)</t>
  </si>
  <si>
    <t>CCUMH CODO A 87º30' M-H 110MM C/BASE DURATOP</t>
  </si>
  <si>
    <t>FCU Codo 90º HH 40mm F-F (1) (30)</t>
  </si>
  <si>
    <t>FCA Codo 45º HH 40mm F-F (1) (30)</t>
  </si>
  <si>
    <t>CCAHH CODO A 45º H-H 40MM DURATOP</t>
  </si>
  <si>
    <t>CCUHH CODO A 87º30' H-H 40MM DURATOP</t>
  </si>
  <si>
    <t>CCUHH CODO A 87º30' H-H 50MM DURATOP</t>
  </si>
  <si>
    <t>CCAHH CODO A 45º H-H 63MM DURATOP</t>
  </si>
  <si>
    <t>FCUiH Codo 90ºins.H 20x1/2°F-R (20) (120)</t>
  </si>
  <si>
    <t>FCUiH Codo 90ºins.H 25x1/2°F-R (20) (120)</t>
  </si>
  <si>
    <t>FCUiH Codo 90ºins.H 25x3/4°F-R (20) (120)</t>
  </si>
  <si>
    <t>FCUiH Codo 90ºins.H 32x3/4°F-R (10) (60)</t>
  </si>
  <si>
    <t>FCU Codo 90º HH 25mm F-F (25) (375)</t>
  </si>
  <si>
    <t>MATA Adap.p/tanque c/jta.3/4° (10) (60)</t>
  </si>
  <si>
    <t>Conector para tubo PVC 32mmCTRG032</t>
  </si>
  <si>
    <t>Conector para tubo PVC 20mmCTRG020</t>
  </si>
  <si>
    <t>FLEJE PERFORADO FISHER 30 MTS</t>
  </si>
  <si>
    <t>Conector para tubo PVC 25mmCTRG025</t>
  </si>
  <si>
    <t>MATA Adap.p/tanque c/jta. 1° (6) (36)</t>
  </si>
  <si>
    <t>CONEXION DIELECTRICA ALUMINIO 1-1/4 - 3/4 NUEVA</t>
  </si>
  <si>
    <t>FV ARIZONA 0103/B1P-CR JUEGO PARA BAÑE Y DUCHA</t>
  </si>
  <si>
    <t>CUPLAS C/BORDE 1° - EPOXI</t>
  </si>
  <si>
    <t>CUPLAS C/BORDE 3/4° - EPOXI</t>
  </si>
  <si>
    <t>CC CUPLA 110MM DURATOP</t>
  </si>
  <si>
    <t>FC Cupla HH 25mm F-F (25) (375)</t>
  </si>
  <si>
    <t>FC Cupla HH 32mm F-F (10) (150)</t>
  </si>
  <si>
    <t>FCiH Cupla c/ins.H 32x1° F-R (10) (60)</t>
  </si>
  <si>
    <t>CC CUPLA 40MM DURATOP</t>
  </si>
  <si>
    <t>CC CUPLA 63MM DURATOP</t>
  </si>
  <si>
    <t>FCiM Cupla c/ins.M 20x1/2° F-R (20) (120)</t>
  </si>
  <si>
    <t>FCiH Cupla c/ins.H 20x3/8° F-R (20) (120)</t>
  </si>
  <si>
    <t>CURVA ARTICULADA DE 12,5 CM.</t>
  </si>
  <si>
    <t>CURVA ARTICULADA DE 15 CM.</t>
  </si>
  <si>
    <t>CURVA ARTICULADA DE 10 CM.</t>
  </si>
  <si>
    <t>FBU Curva 90º HH 32mm F-F (10) (60)</t>
  </si>
  <si>
    <t>CURVA HH 90-2 1/2°-(63mm)</t>
  </si>
  <si>
    <t>DISCO DE CORTE 4° 115X1.6X22.2 AMARILLO Y115-IM</t>
  </si>
  <si>
    <t>EMBUDO DISCO 110 C/MEMBR. 1 4160</t>
  </si>
  <si>
    <t>ROSCAS C/TUERCA 1 1/2° - EPOXI</t>
  </si>
  <si>
    <t>ROSCAS C/TUERCA 3/4° - EPOXI</t>
  </si>
  <si>
    <t>ROSCA C/ TUERCA GALVA 3/4</t>
  </si>
  <si>
    <t>ESTALGRIF QUARTIER LEVER BIDET</t>
  </si>
  <si>
    <t>FICHA HEMBRA BASE TRIFASICA IND 3X32A C/N</t>
  </si>
  <si>
    <t>Flexible mallado 1/2°x25 cm********************</t>
  </si>
  <si>
    <t>FLEXIBLE GAS ACERO INOX 1/2° X 40 CM APROBADO</t>
  </si>
  <si>
    <t>FLOTANTE 3/4° VARILLA REG ALTA P C/BOYA F455</t>
  </si>
  <si>
    <t>INTERRUPTOR FLOTANTE  3,0 MTS</t>
  </si>
  <si>
    <t>GABINETE GAS APROB HORMIGON 0,50X0,45X0,30</t>
  </si>
  <si>
    <t>GABINETE GAB MET EMPOT 313X313X85 MARCIP-20 GPE-30</t>
  </si>
  <si>
    <t>GLICERINA VALINCO 500g GP-247</t>
  </si>
  <si>
    <t>GRAMPA OMEGA DE 160 MM.</t>
  </si>
  <si>
    <t>GRAMPA OMEGA DE  20MM 1/2° GRAM</t>
  </si>
  <si>
    <t>INTE. TERM. SCHNEIDER E9 4x16A 4,5KA EZ9F34416</t>
  </si>
  <si>
    <t>INTE. TERM. SCHNEIDER E9 4x32A 4,5KA EZ9F34432</t>
  </si>
  <si>
    <t>INTERRUPTOR DIFERENCIAL 4x25A GENROD</t>
  </si>
  <si>
    <t>INTERRUPTOR DIFERENCIAL 4x40A GENROD</t>
  </si>
  <si>
    <t>INTERR.UNIP.SIMPLE BLANCO KD40100</t>
  </si>
  <si>
    <t>INTERR.UNIP.COMBINADO BLANCO KD40115</t>
  </si>
  <si>
    <t>INTERRUPTOR DIFERENCIAL DOMAE 2X25A 30MA-16790****</t>
  </si>
  <si>
    <t>INTERRUPTOR DIFERENCIAL DOMAE 4X25A 30MA-11028****</t>
  </si>
  <si>
    <t>Jabalina Lisa de Acero-Cobre ø3/4 x 1500°</t>
  </si>
  <si>
    <t>KIT DE MEDICION DE 1/2° S/MEDIDOR AYSAM S/CAJ DN15</t>
  </si>
  <si>
    <t>LITARGIRIO 500GR</t>
  </si>
  <si>
    <t>LLAVE GAS 1/2° BCE CAMPANA CROMADA GENERICA</t>
  </si>
  <si>
    <t>CANILLA SIMPLE ESCUADRA PARA LAVARROPAS GENERICA</t>
  </si>
  <si>
    <t>GVE VALVULA ESFERICA DE 25 MM SIGAS ( 1)</t>
  </si>
  <si>
    <t>FV 0810.01-19-B LLAVE GAS DE 19MM M-H °BRONCE°</t>
  </si>
  <si>
    <t>FCMLL Llave de paso cabezal metalico 25mm (6) (18)</t>
  </si>
  <si>
    <t>LLAVE GAS 3/4° BCE SIN CAMPANA GENERICA</t>
  </si>
  <si>
    <t>LLAVE TERMOMAGNETICA 2X16A JELUZ JCC21645</t>
  </si>
  <si>
    <t>LLAVE TERMOMAGNETICA 2X25A JELUZ JGC22545</t>
  </si>
  <si>
    <t>SIERRA COPA GIRO TRIPLEX  14mm VENTURO</t>
  </si>
  <si>
    <t>MODULO JELUZ 1 TOMA C/N BLANCO 20067/68</t>
  </si>
  <si>
    <t>MONOCOMANDO COC GOURMET VERTICAL 10303SS PIAZZA</t>
  </si>
  <si>
    <t>Mordaza para Jabalina de PAT ø3/4° 16M19</t>
  </si>
  <si>
    <t>MULTICAPA FUSION 25mm x 4m (emb.20 unid) (20</t>
  </si>
  <si>
    <t>CPP PIL. DE PATIO MOD 110 C/ SAL. 63MM C/5 ENTR. 4</t>
  </si>
  <si>
    <t>CPP PILETA DE PATIO 160-110 C/3  ENTR. 110 NUEVO!!</t>
  </si>
  <si>
    <t>PINTURA EPOXI TEKNO 2 COMPONENTES x 1 LITRO</t>
  </si>
  <si>
    <t>Los trabajos empezados tienen los precios ya acordados, se actuliza el saldo Prox actulizacion en Marzo</t>
  </si>
  <si>
    <t>PRECIOS  31/12/2023 a 1/03/2024</t>
  </si>
  <si>
    <t>Gremio</t>
  </si>
  <si>
    <t>DETALLE DE COSTOS DE MANO DE OBRA</t>
  </si>
  <si>
    <t>Costo/unidad</t>
  </si>
  <si>
    <t>Instalación agua</t>
  </si>
  <si>
    <t>Tanque enterrado, terminado con viga de hormigón y chupón.</t>
  </si>
  <si>
    <t>tanques</t>
  </si>
  <si>
    <t>pozo</t>
  </si>
  <si>
    <t>unitario</t>
  </si>
  <si>
    <t xml:space="preserve">Poste obra </t>
  </si>
  <si>
    <t>Conexión de artefactos eléctricos</t>
  </si>
  <si>
    <t>Platea</t>
  </si>
  <si>
    <t>Zapata corrida con pintura asfaltica, relleno y llenado</t>
  </si>
  <si>
    <t>Cierre perimetral provisorio</t>
  </si>
  <si>
    <t>Excavación de pozo y armado de canasto, lleno 1x1x1</t>
  </si>
  <si>
    <t>Viga o Columna encofrada y llenada</t>
  </si>
  <si>
    <t>Membrana con pintura asfáltica</t>
  </si>
  <si>
    <t>Columna 40x40xml</t>
  </si>
  <si>
    <t>Escalera de Hormigón</t>
  </si>
  <si>
    <t>Revoque grueso planta baja</t>
  </si>
  <si>
    <t xml:space="preserve">Revoque grueso planta alta </t>
  </si>
  <si>
    <t>Revoque fino planta alta exterior</t>
  </si>
  <si>
    <t>Revoque entrefino o fino interior y exterior en PB</t>
  </si>
  <si>
    <t>Carpeta en planta alta o nivelación</t>
  </si>
  <si>
    <t xml:space="preserve">Carpeta en planta baja  </t>
  </si>
  <si>
    <t>Hormigón visto en PB</t>
  </si>
  <si>
    <t>Hormigón visto en PA</t>
  </si>
  <si>
    <t>Hormigón visto por metro lineal</t>
  </si>
  <si>
    <t>Revoque (galería o cochera) 3 caras</t>
  </si>
  <si>
    <t>Veredines con matacantos y terminación llaneada o alisada.</t>
  </si>
  <si>
    <t>Babeta</t>
  </si>
  <si>
    <t xml:space="preserve">Recuadro de viga superior o coronamiento </t>
  </si>
  <si>
    <t>Recuadro de aberturas, puertas</t>
  </si>
  <si>
    <t>Revestimiento de pluviales con malla de metal desplegado</t>
  </si>
  <si>
    <t>Molduras de techo</t>
  </si>
  <si>
    <t>Molduras de puertas y ventanas</t>
  </si>
  <si>
    <t>Albañilería - Cassaforma</t>
  </si>
  <si>
    <t>Panelizado por m2 de superficie</t>
  </si>
  <si>
    <t>Albañilería - cassaforma</t>
  </si>
  <si>
    <t>Soldado, atado de paneles internos por ml</t>
  </si>
  <si>
    <t>Panelizado por m2 de superficie en parapeto</t>
  </si>
  <si>
    <t>Panelizado de losa</t>
  </si>
  <si>
    <t>Armado de columnas o vigas, llenado y encofrado por metro lineal</t>
  </si>
  <si>
    <t>Cierre con ladrillos</t>
  </si>
  <si>
    <t>Base Coat + EPS + OSB + Lana de Vidrio + PLaca</t>
  </si>
  <si>
    <t>Muros de baño</t>
  </si>
  <si>
    <t>Porcelanato en la escalera</t>
  </si>
  <si>
    <t>Estructura (platinas, tensores y pórticos)</t>
  </si>
  <si>
    <t>Pérgolas</t>
  </si>
  <si>
    <t>Colocación de fenólico</t>
  </si>
  <si>
    <t>Colocación de techo de chapa, con zingueria</t>
  </si>
  <si>
    <t>Colocación de zingueria</t>
  </si>
  <si>
    <t>Tensores diagonales</t>
  </si>
  <si>
    <t>por X</t>
  </si>
  <si>
    <t>Cielorraso de yeso</t>
  </si>
  <si>
    <t>Cielorraso de yeso: moldura perimetral</t>
  </si>
  <si>
    <t>Corte de pintura</t>
  </si>
  <si>
    <t>Cortinero</t>
  </si>
  <si>
    <t>Cielorraso de yeso "esquinero</t>
  </si>
  <si>
    <t>Cielorraso de Durlock</t>
  </si>
  <si>
    <t>cajón de cortinero</t>
  </si>
  <si>
    <t>Tabique de durlock</t>
  </si>
  <si>
    <t>1. Certificado</t>
  </si>
  <si>
    <t>Pago quincenal, se certifica el día previo a hasta las 12:00 pm, con el arquitecto de la obra. Informandose en el grupo.</t>
  </si>
  <si>
    <t>2. Informe de Certificado</t>
  </si>
  <si>
    <t>Todo certificado informado posterior a las 12 hs en cada grupo interno, (Ej: 12:01), se pagará el proximo día habil de la semana siguiente</t>
  </si>
  <si>
    <t>3. Pago certificado</t>
  </si>
  <si>
    <t xml:space="preserve">En la quincena se paga el  certificado menos el adelanto. Se pagará el 90% del certificado el ultimo dia laboral y  el 10% restante tras aprobación de las actividades certificadas, aporpabadas por el arquitecto,  el siguietne día hábil. </t>
  </si>
  <si>
    <t>Sistema</t>
  </si>
  <si>
    <t>Mat.</t>
  </si>
  <si>
    <t>M.O.</t>
  </si>
  <si>
    <t>Serv.</t>
  </si>
  <si>
    <t>Termn.</t>
  </si>
  <si>
    <t>Costo/ USD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</si>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</sst>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&quot;$&quot; * #,##0_ ;_ &quot;$&quot; * -#,##0_ ;_ &quot;$&quot; * &quot;-&quot;??_ ;_ @_ "/>
    <numFmt numFmtId="165" formatCode="_(&quot;$&quot; * #,##0_);_(&quot;$&quot; * (#,##0);_(&quot;$&quot; * &quot;-&quot;??_);_(@_)"/>
    <numFmt numFmtId="166" formatCode="[$USD] #,##0_);([$USD] #,##0)"/>
    <numFmt numFmtId="167" formatCode="_(&quot;$&quot; * #,##0.00_);_(&quot;$&quot; * (#,##0.00);_(&quot;$&quot; * &quot;-&quot;??_);_(@_)"/>
    <numFmt numFmtId="168" formatCode="&quot;$&quot; #,##0;[Red]&quot;$&quot; -#,##0"/>
    <numFmt numFmtId="169" formatCode="0.0"/>
    <numFmt numFmtId="170" formatCode="&quot;$&quot; #,##0.00"/>
    <numFmt numFmtId="171" formatCode="_ &quot;$&quot; * #,##0.00_ ;_ &quot;$&quot; * -#,##0.00_ ;_ &quot;$&quot; * &quot;-&quot;??_ ;_ @_ "/>
  </numFmts>
  <fonts count="50" x14ac:knownFonts="1">
    <font>
      <color theme="1"/>
      <family val="2"/>
      <scheme val="minor"/>
      <sz val="11"/>
      <name val="Calibri"/>
    </font>
    <font>
      <color theme="1"/>
      <family val="2"/>
      <sz val="9"/>
      <name val="Arial"/>
    </font>
    <font>
      <b/>
      <color theme="1"/>
      <family val="2"/>
      <sz val="9"/>
      <name val="Arial"/>
    </font>
    <font>
      <family val="2"/>
      <sz val="9"/>
      <name val="Arial"/>
    </font>
    <font>
      <b/>
      <color rgb="FF006100"/>
      <family val="2"/>
      <sz val="9"/>
      <name val="Arial"/>
    </font>
    <font>
      <b/>
      <color rgb="FF9C0006"/>
      <family val="2"/>
      <sz val="9"/>
      <name val="Arial"/>
    </font>
    <font>
      <b/>
      <color rgb="FF9C5700"/>
      <family val="2"/>
      <sz val="9"/>
      <name val="Arial"/>
    </font>
    <font>
      <color rgb="FF006100"/>
      <family val="2"/>
      <sz val="9"/>
      <name val="Arial"/>
    </font>
    <font>
      <color rgb="FF3F3F76"/>
      <family val="2"/>
      <sz val="9"/>
      <name val="Arial"/>
    </font>
    <font>
      <b/>
      <color rgb="FF000000"/>
      <family val="2"/>
      <sz val="9"/>
      <name val="Arial"/>
    </font>
    <font>
      <color rgb="FF000000"/>
      <family val="2"/>
      <sz val="9"/>
      <name val="Arial"/>
    </font>
    <font>
      <b/>
      <color rgb="FF3F3F76"/>
      <family val="2"/>
      <sz val="9"/>
      <name val="Arial"/>
    </font>
    <font>
      <color rgb="FFFF0000"/>
      <family val="2"/>
      <sz val="9"/>
      <name val="Arial"/>
    </font>
    <font>
      <color theme="1"/>
      <family val="2"/>
      <sz val="8"/>
      <name val="Arial"/>
    </font>
    <font>
      <b/>
      <color theme="1"/>
      <family val="2"/>
      <sz val="8"/>
      <name val="Arial"/>
    </font>
    <font>
      <b/>
      <color rgb="FF006100"/>
      <family val="2"/>
      <sz val="8"/>
      <name val="Arial"/>
    </font>
    <font>
      <b/>
      <color rgb="FF3F3F76"/>
      <family val="2"/>
      <sz val="8"/>
      <name val="Arial"/>
    </font>
    <font>
      <b/>
      <color rgb="FF9C5700"/>
      <family val="2"/>
      <sz val="8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b/>
      <color rgb="FF006100"/>
      <family val="2"/>
      <sz val="12"/>
      <name val="Arial"/>
    </font>
    <font>
      <b/>
      <color rgb="FF3F3F76"/>
      <family val="2"/>
      <sz val="12"/>
      <name val="Arial"/>
    </font>
    <font>
      <b/>
      <color theme="1"/>
      <family val="2"/>
      <sz val="12"/>
      <name val="Arial"/>
    </font>
    <font>
      <b/>
      <color rgb="FF9C5700"/>
      <family val="2"/>
      <sz val="12"/>
      <name val="Arial"/>
    </font>
    <font>
      <b/>
      <color rgb="FF9C5700"/>
      <family val="2"/>
      <sz val="10"/>
      <name val="Arial"/>
    </font>
    <font>
      <b/>
      <color rgb="FF006100"/>
      <family val="2"/>
      <sz val="10"/>
      <name val="Arial"/>
    </font>
    <font>
      <b/>
      <color rgb="FF3F3F76"/>
      <family val="2"/>
      <sz val="10"/>
      <name val="Arial"/>
    </font>
    <font>
      <b/>
      <family val="2"/>
      <sz val="10"/>
      <name val="Arial"/>
    </font>
    <font>
      <color rgb="FF9C5700"/>
      <family val="2"/>
      <sz val="10"/>
      <name val="Arial"/>
    </font>
    <font>
      <color rgb="FF9C0006"/>
      <family val="2"/>
      <sz val="10"/>
      <name val="Arial"/>
    </font>
    <font>
      <color rgb="FF006100"/>
      <family val="2"/>
      <sz val="10"/>
      <name val="Arial"/>
    </font>
    <font>
      <color rgb="FF3F3F76"/>
      <family val="2"/>
      <sz val="10"/>
      <name val="Arial"/>
    </font>
    <font>
      <color rgb="FF000000"/>
      <family val="2"/>
      <sz val="10"/>
      <name val="Arial"/>
    </font>
    <font>
      <color rgb="FF9C5700"/>
      <family val="2"/>
      <sz val="8"/>
      <name val="Arial"/>
    </font>
    <font>
      <color theme="1"/>
      <sz val="11"/>
      <name val="Arial"/>
    </font>
    <font>
      <color rgb="FF006100"/>
      <family val="2"/>
      <scheme val="minor"/>
      <sz val="12"/>
      <name val="Calibri"/>
    </font>
    <font>
      <color theme="1"/>
      <family val="2"/>
      <sz val="11"/>
      <name val="Calibri"/>
    </font>
    <font>
      <color theme="1"/>
      <family val="2"/>
      <sz val="11"/>
      <name val="Arial"/>
    </font>
    <font>
      <color rgb="FF006100"/>
      <family val="2"/>
      <sz val="8"/>
      <name val="Arial"/>
    </font>
    <font>
      <color theme="0"/>
      <family val="2"/>
      <scheme val="minor"/>
      <sz val="12"/>
      <name val="Calibri"/>
    </font>
    <font>
      <color theme="1"/>
      <family val="2"/>
      <sz val="9"/>
      <name val="Calibri"/>
    </font>
    <font>
      <color theme="1"/>
      <sz val="8"/>
      <name val="Libre Baskerville"/>
    </font>
    <font>
      <b/>
      <color theme="1"/>
      <family val="2"/>
      <sz val="11"/>
      <name val="Arial"/>
    </font>
    <font>
      <b/>
      <color theme="1"/>
      <family val="2"/>
      <sz val="11"/>
      <name val="Calibri"/>
    </font>
    <font>
      <color rgb="FF9C5700"/>
      <family val="2"/>
      <sz val="12"/>
      <name val="Calibri"/>
    </font>
    <font>
      <color rgb="FF3F3F76"/>
      <family val="2"/>
      <scheme val="minor"/>
      <sz val="12"/>
      <name val="Calibri"/>
    </font>
    <font>
      <color rgb="FF006100"/>
      <family val="2"/>
      <scheme val="minor"/>
      <sz val="11"/>
      <name val="Calibri"/>
    </font>
    <font>
      <color theme="1"/>
      <sz val="9"/>
      <name val="Libre Baskerville"/>
    </font>
    <font>
      <color rgb="FF9C0006"/>
      <family val="2"/>
      <scheme val="minor"/>
      <sz val="12"/>
      <name val="Calibri"/>
    </font>
    <font>
      <color theme="1"/>
      <sz val="11"/>
      <name val="Libre Baskerville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2" tint="-0.1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theme="7" tint="0.3999755851924192"/>
        <bgColor rgb="FFC6EFCE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"/>
        <bgColor theme="0"/>
      </patternFill>
    </fill>
    <fill>
      <patternFill patternType="solid">
        <fgColor theme="5" tint="0.3999755851924192"/>
        <bgColor theme="0"/>
      </patternFill>
    </fill>
    <fill>
      <patternFill patternType="solid">
        <fgColor theme="8" tint="0.5999938962981048"/>
        <bgColor theme="0"/>
      </patternFill>
    </fill>
    <fill>
      <patternFill patternType="solid">
        <fgColor theme="2" tint="-0.1499984740745262"/>
        <bgColor theme="0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theme="0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  <fill>
      <patternFill patternType="solid">
        <fgColor rgb="FFD0CECE"/>
        <bgColor rgb="FFD0CECE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7090"/>
        <bgColor rgb="FFFF7090"/>
      </patternFill>
    </fill>
    <fill>
      <patternFill patternType="solid">
        <fgColor rgb="FFBDD6EE"/>
        <bgColor rgb="FFBDD6EE"/>
      </patternFill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CA69AD"/>
        <bgColor rgb="FFCA69AD"/>
      </patternFill>
    </fill>
    <fill>
      <patternFill patternType="solid">
        <fgColor theme="7"/>
        <bgColor rgb="FFCA69AD"/>
      </patternFill>
    </fill>
    <fill>
      <patternFill patternType="solid">
        <fgColor theme="6" tint="0.5999633777886288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"/>
        <bgColor rgb="FFFF7090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3" borderId="4" xfId="0" applyFont="1" applyFill="1" applyBorder="1" applyAlignment="1">
      <alignment horizontal="center"/>
    </xf>
    <xf numFmtId="0" fontId="1" fillId="0" borderId="5" xfId="0" applyFont="1" applyBorder="1"/>
    <xf numFmtId="0" fontId="4" fillId="4" borderId="6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5" fillId="6" borderId="8" xfId="0" applyFont="1" applyFill="1" applyBorder="1"/>
    <xf numFmtId="0" fontId="5" fillId="6" borderId="9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7" fillId="4" borderId="6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vertical="center" wrapText="1"/>
    </xf>
    <xf numFmtId="0" fontId="1" fillId="0" borderId="10" xfId="0" applyFont="1" applyBorder="1"/>
    <xf numFmtId="0" fontId="1" fillId="9" borderId="11" xfId="0" applyFont="1" applyFill="1" applyBorder="1" applyAlignment="1">
      <alignment horizontal="left"/>
    </xf>
    <xf numFmtId="0" fontId="3" fillId="9" borderId="12" xfId="0" applyFont="1" applyFill="1" applyBorder="1"/>
    <xf numFmtId="0" fontId="1" fillId="0" borderId="4" xfId="0" applyFont="1" applyBorder="1"/>
    <xf numFmtId="164" fontId="1" fillId="0" borderId="4" xfId="0" applyNumberFormat="1" applyFont="1" applyBorder="1"/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1" fillId="0" borderId="0" xfId="0" applyNumberFormat="1" applyFont="1"/>
    <xf numFmtId="0" fontId="2" fillId="10" borderId="15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" fillId="0" borderId="18" xfId="0" applyFont="1" applyBorder="1"/>
    <xf numFmtId="164" fontId="1" fillId="0" borderId="19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4" fontId="1" fillId="0" borderId="21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65" fontId="1" fillId="0" borderId="19" xfId="0" applyNumberFormat="1" applyFont="1" applyBorder="1"/>
    <xf numFmtId="165" fontId="1" fillId="0" borderId="23" xfId="0" applyNumberFormat="1" applyFont="1" applyBorder="1"/>
    <xf numFmtId="165" fontId="1" fillId="0" borderId="20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6" fontId="1" fillId="0" borderId="19" xfId="0" applyNumberFormat="1" applyFont="1" applyBorder="1"/>
    <xf numFmtId="166" fontId="1" fillId="0" borderId="23" xfId="0" applyNumberFormat="1" applyFont="1" applyBorder="1"/>
    <xf numFmtId="166" fontId="1" fillId="0" borderId="20" xfId="0" applyNumberFormat="1" applyFont="1" applyBorder="1"/>
    <xf numFmtId="0" fontId="7" fillId="4" borderId="24" xfId="0" applyFont="1" applyFill="1" applyBorder="1" applyAlignment="1">
      <alignment horizontal="left" vertical="center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11" borderId="23" xfId="0" applyFont="1" applyFill="1" applyBorder="1" applyAlignment="1">
      <alignment horizontal="center"/>
    </xf>
    <xf numFmtId="0" fontId="1" fillId="0" borderId="28" xfId="0" applyFont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/>
    </xf>
    <xf numFmtId="0" fontId="1" fillId="0" borderId="28" xfId="0" applyFont="1" applyBorder="1"/>
    <xf numFmtId="0" fontId="2" fillId="10" borderId="29" xfId="0" applyFont="1" applyFill="1" applyBorder="1" applyAlignment="1">
      <alignment horizontal="center" vertical="center"/>
    </xf>
    <xf numFmtId="165" fontId="2" fillId="10" borderId="30" xfId="0" applyNumberFormat="1" applyFont="1" applyFill="1" applyBorder="1" applyAlignment="1">
      <alignment horizontal="center" vertical="center"/>
    </xf>
    <xf numFmtId="165" fontId="2" fillId="10" borderId="31" xfId="0" applyNumberFormat="1" applyFont="1" applyFill="1" applyBorder="1" applyAlignment="1">
      <alignment horizontal="center" vertical="center"/>
    </xf>
    <xf numFmtId="0" fontId="1" fillId="0" borderId="6" xfId="0" applyFont="1" applyBorder="1"/>
    <xf numFmtId="164" fontId="2" fillId="0" borderId="8" xfId="0" applyNumberFormat="1" applyFont="1" applyBorder="1"/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0" fontId="1" fillId="0" borderId="34" xfId="0" applyFont="1" applyBorder="1"/>
    <xf numFmtId="164" fontId="1" fillId="0" borderId="35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7" fillId="4" borderId="4" xfId="0" applyNumberFormat="1" applyFont="1" applyFill="1" applyBorder="1"/>
    <xf numFmtId="0" fontId="5" fillId="6" borderId="6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left"/>
    </xf>
    <xf numFmtId="0" fontId="2" fillId="12" borderId="38" xfId="0" applyFont="1" applyFill="1" applyBorder="1" applyAlignment="1">
      <alignment horizontal="center"/>
    </xf>
    <xf numFmtId="0" fontId="2" fillId="12" borderId="39" xfId="0" applyFont="1" applyFill="1" applyBorder="1"/>
    <xf numFmtId="0" fontId="2" fillId="12" borderId="40" xfId="0" applyFont="1" applyFill="1" applyBorder="1" applyAlignment="1">
      <alignment horizontal="left"/>
    </xf>
    <xf numFmtId="0" fontId="2" fillId="12" borderId="41" xfId="0" applyFont="1" applyFill="1" applyBorder="1" applyAlignment="1">
      <alignment horizontal="center"/>
    </xf>
    <xf numFmtId="0" fontId="2" fillId="12" borderId="42" xfId="0" applyFont="1" applyFill="1" applyBorder="1"/>
    <xf numFmtId="0" fontId="1" fillId="0" borderId="43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vertical="center"/>
    </xf>
    <xf numFmtId="0" fontId="1" fillId="0" borderId="46" xfId="0" applyFont="1" applyBorder="1" applyAlignment="1">
      <alignment horizontal="left"/>
    </xf>
    <xf numFmtId="0" fontId="1" fillId="11" borderId="47" xfId="0" applyFont="1" applyFill="1" applyBorder="1" applyAlignment="1">
      <alignment horizontal="center"/>
    </xf>
    <xf numFmtId="0" fontId="1" fillId="0" borderId="48" xfId="0" applyFont="1" applyBorder="1" applyAlignment="1">
      <alignment horizontal="left" vertical="center"/>
    </xf>
    <xf numFmtId="0" fontId="6" fillId="7" borderId="6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right"/>
    </xf>
    <xf numFmtId="164" fontId="2" fillId="3" borderId="4" xfId="0" applyNumberFormat="1" applyFont="1" applyFill="1" applyBorder="1"/>
    <xf numFmtId="0" fontId="1" fillId="9" borderId="47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1" fillId="0" borderId="23" xfId="0" applyFont="1" applyBorder="1"/>
    <xf numFmtId="164" fontId="1" fillId="0" borderId="23" xfId="0" applyNumberFormat="1" applyFont="1" applyBorder="1"/>
    <xf numFmtId="0" fontId="1" fillId="0" borderId="50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9" fillId="1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left"/>
    </xf>
    <xf numFmtId="167" fontId="1" fillId="0" borderId="0" xfId="0" applyNumberFormat="1" applyFont="1"/>
    <xf numFmtId="0" fontId="7" fillId="14" borderId="4" xfId="0" applyFont="1" applyFill="1" applyBorder="1" applyAlignment="1">
      <alignment horizontal="center"/>
    </xf>
    <xf numFmtId="0" fontId="1" fillId="0" borderId="52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0" fillId="15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165" fontId="1" fillId="0" borderId="28" xfId="0" applyNumberFormat="1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" fillId="0" borderId="37" xfId="0" applyFont="1" applyBorder="1" applyAlignment="1">
      <alignment horizontal="left"/>
    </xf>
    <xf numFmtId="0" fontId="12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left" vertical="center"/>
    </xf>
    <xf numFmtId="0" fontId="1" fillId="9" borderId="23" xfId="0" applyFont="1" applyFill="1" applyBorder="1"/>
    <xf numFmtId="0" fontId="1" fillId="11" borderId="23" xfId="0" applyFont="1" applyFill="1" applyBorder="1"/>
    <xf numFmtId="0" fontId="7" fillId="4" borderId="23" xfId="0" applyFont="1" applyFill="1" applyBorder="1"/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left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1" fillId="0" borderId="23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2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53" xfId="0" applyFont="1" applyFill="1" applyBorder="1" applyAlignment="1">
      <alignment horizontal="center"/>
    </xf>
    <xf numFmtId="0" fontId="1" fillId="0" borderId="53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1" xfId="0" applyFont="1" applyBorder="1" applyAlignment="1">
      <alignment horizontal="left"/>
    </xf>
    <xf numFmtId="0" fontId="3" fillId="0" borderId="54" xfId="0" applyFont="1" applyBorder="1"/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/>
    <xf numFmtId="168" fontId="1" fillId="0" borderId="0" xfId="0" applyNumberFormat="1" applyFont="1"/>
    <xf numFmtId="168" fontId="1" fillId="0" borderId="0" xfId="0" applyNumberFormat="1" applyFont="1" applyAlignment="1">
      <alignment vertical="center"/>
    </xf>
    <xf numFmtId="9" fontId="1" fillId="0" borderId="0" xfId="0" applyNumberFormat="1" applyFont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right"/>
    </xf>
    <xf numFmtId="164" fontId="13" fillId="0" borderId="15" xfId="0" applyNumberFormat="1" applyFont="1" applyBorder="1"/>
    <xf numFmtId="164" fontId="13" fillId="0" borderId="17" xfId="0" applyNumberFormat="1" applyFont="1" applyBorder="1"/>
    <xf numFmtId="164" fontId="13" fillId="0" borderId="16" xfId="0" applyNumberFormat="1" applyFont="1" applyBorder="1"/>
    <xf numFmtId="0" fontId="13" fillId="0" borderId="0" xfId="0" applyFont="1" applyAlignment="1">
      <alignment horizontal="center"/>
    </xf>
    <xf numFmtId="0" fontId="14" fillId="16" borderId="55" xfId="0" applyFont="1" applyFill="1" applyBorder="1" applyAlignment="1">
      <alignment horizontal="center" vertical="center" wrapText="1"/>
    </xf>
    <xf numFmtId="0" fontId="14" fillId="16" borderId="56" xfId="0" applyFont="1" applyFill="1" applyBorder="1" applyAlignment="1">
      <alignment horizontal="center" vertical="center" wrapText="1"/>
    </xf>
    <xf numFmtId="10" fontId="15" fillId="4" borderId="57" xfId="0" applyNumberFormat="1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/>
    </xf>
    <xf numFmtId="0" fontId="17" fillId="17" borderId="13" xfId="0" applyFont="1" applyFill="1" applyBorder="1" applyAlignment="1">
      <alignment horizontal="center" vertical="center"/>
    </xf>
    <xf numFmtId="0" fontId="16" fillId="8" borderId="58" xfId="0" applyFont="1" applyFill="1" applyBorder="1" applyAlignment="1">
      <alignment horizontal="center" vertical="center"/>
    </xf>
    <xf numFmtId="0" fontId="14" fillId="16" borderId="59" xfId="0" applyFont="1" applyFill="1" applyBorder="1" applyAlignment="1">
      <alignment horizontal="center" vertical="center" wrapText="1"/>
    </xf>
    <xf numFmtId="0" fontId="14" fillId="16" borderId="60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61" xfId="0" applyFont="1" applyBorder="1" applyAlignment="1">
      <alignment horizontal="left"/>
    </xf>
    <xf numFmtId="169" fontId="13" fillId="0" borderId="15" xfId="0" applyNumberFormat="1" applyFont="1" applyBorder="1" applyAlignment="1">
      <alignment horizontal="center"/>
    </xf>
    <xf numFmtId="169" fontId="13" fillId="0" borderId="17" xfId="0" applyNumberFormat="1" applyFont="1" applyBorder="1" applyAlignment="1">
      <alignment horizontal="center"/>
    </xf>
    <xf numFmtId="169" fontId="13" fillId="0" borderId="16" xfId="0" applyNumberFormat="1" applyFont="1" applyBorder="1" applyAlignment="1">
      <alignment horizontal="center"/>
    </xf>
    <xf numFmtId="0" fontId="13" fillId="0" borderId="62" xfId="0" applyFont="1" applyBorder="1"/>
    <xf numFmtId="165" fontId="13" fillId="0" borderId="61" xfId="0" applyNumberFormat="1" applyFont="1" applyBorder="1" applyAlignment="1">
      <alignment horizontal="right"/>
    </xf>
    <xf numFmtId="0" fontId="13" fillId="19" borderId="19" xfId="0" applyFont="1" applyFill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63" xfId="0" applyFont="1" applyBorder="1" applyAlignment="1">
      <alignment horizontal="left"/>
    </xf>
    <xf numFmtId="169" fontId="13" fillId="0" borderId="19" xfId="0" applyNumberFormat="1" applyFont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169" fontId="13" fillId="0" borderId="20" xfId="0" applyNumberFormat="1" applyFont="1" applyBorder="1" applyAlignment="1">
      <alignment horizontal="center"/>
    </xf>
    <xf numFmtId="0" fontId="13" fillId="0" borderId="64" xfId="0" applyFont="1" applyBorder="1"/>
    <xf numFmtId="165" fontId="13" fillId="0" borderId="63" xfId="0" applyNumberFormat="1" applyFont="1" applyBorder="1" applyAlignment="1">
      <alignment horizontal="right"/>
    </xf>
    <xf numFmtId="164" fontId="13" fillId="0" borderId="19" xfId="0" applyNumberFormat="1" applyFont="1" applyBorder="1"/>
    <xf numFmtId="164" fontId="13" fillId="0" borderId="23" xfId="0" applyNumberFormat="1" applyFont="1" applyBorder="1"/>
    <xf numFmtId="164" fontId="13" fillId="0" borderId="20" xfId="0" applyNumberFormat="1" applyFont="1" applyBorder="1"/>
    <xf numFmtId="0" fontId="13" fillId="19" borderId="35" xfId="0" applyFont="1" applyFill="1" applyBorder="1" applyAlignment="1">
      <alignment horizontal="left"/>
    </xf>
    <xf numFmtId="0" fontId="13" fillId="0" borderId="65" xfId="0" applyFont="1" applyBorder="1" applyAlignment="1">
      <alignment horizontal="left"/>
    </xf>
    <xf numFmtId="0" fontId="13" fillId="0" borderId="66" xfId="0" applyFont="1" applyBorder="1" applyAlignment="1">
      <alignment horizontal="left"/>
    </xf>
    <xf numFmtId="169" fontId="13" fillId="0" borderId="35" xfId="0" applyNumberFormat="1" applyFont="1" applyBorder="1" applyAlignment="1">
      <alignment horizontal="center"/>
    </xf>
    <xf numFmtId="169" fontId="13" fillId="0" borderId="65" xfId="0" applyNumberFormat="1" applyFont="1" applyBorder="1" applyAlignment="1">
      <alignment horizontal="center"/>
    </xf>
    <xf numFmtId="169" fontId="13" fillId="0" borderId="36" xfId="0" applyNumberFormat="1" applyFont="1" applyBorder="1" applyAlignment="1">
      <alignment horizontal="center"/>
    </xf>
    <xf numFmtId="0" fontId="13" fillId="0" borderId="67" xfId="0" applyFont="1" applyBorder="1"/>
    <xf numFmtId="165" fontId="13" fillId="0" borderId="66" xfId="0" applyNumberFormat="1" applyFont="1" applyBorder="1" applyAlignment="1">
      <alignment horizontal="right"/>
    </xf>
    <xf numFmtId="164" fontId="13" fillId="0" borderId="35" xfId="0" applyNumberFormat="1" applyFont="1" applyBorder="1"/>
    <xf numFmtId="164" fontId="13" fillId="0" borderId="65" xfId="0" applyNumberFormat="1" applyFont="1" applyBorder="1"/>
    <xf numFmtId="164" fontId="13" fillId="0" borderId="36" xfId="0" applyNumberFormat="1" applyFont="1" applyBorder="1"/>
    <xf numFmtId="0" fontId="13" fillId="20" borderId="29" xfId="0" applyFont="1" applyFill="1" applyBorder="1"/>
    <xf numFmtId="0" fontId="13" fillId="0" borderId="30" xfId="0" applyFont="1" applyBorder="1" applyAlignment="1">
      <alignment horizontal="left"/>
    </xf>
    <xf numFmtId="0" fontId="13" fillId="0" borderId="68" xfId="0" applyFont="1" applyBorder="1" applyAlignment="1">
      <alignment horizontal="left"/>
    </xf>
    <xf numFmtId="169" fontId="13" fillId="0" borderId="29" xfId="0" applyNumberFormat="1" applyFont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169" fontId="13" fillId="0" borderId="31" xfId="0" applyNumberFormat="1" applyFont="1" applyBorder="1" applyAlignment="1">
      <alignment horizontal="center"/>
    </xf>
    <xf numFmtId="0" fontId="13" fillId="0" borderId="69" xfId="0" applyFont="1" applyBorder="1"/>
    <xf numFmtId="165" fontId="13" fillId="0" borderId="68" xfId="0" applyNumberFormat="1" applyFont="1" applyBorder="1" applyAlignment="1">
      <alignment horizontal="right"/>
    </xf>
    <xf numFmtId="164" fontId="13" fillId="0" borderId="29" xfId="0" applyNumberFormat="1" applyFont="1" applyBorder="1"/>
    <xf numFmtId="164" fontId="13" fillId="0" borderId="30" xfId="0" applyNumberFormat="1" applyFont="1" applyBorder="1"/>
    <xf numFmtId="164" fontId="13" fillId="0" borderId="31" xfId="0" applyNumberFormat="1" applyFont="1" applyBorder="1"/>
    <xf numFmtId="0" fontId="13" fillId="20" borderId="19" xfId="0" applyFont="1" applyFill="1" applyBorder="1"/>
    <xf numFmtId="0" fontId="13" fillId="0" borderId="23" xfId="0" applyFont="1" applyBorder="1"/>
    <xf numFmtId="0" fontId="13" fillId="20" borderId="70" xfId="0" applyFont="1" applyFill="1" applyBorder="1"/>
    <xf numFmtId="0" fontId="13" fillId="0" borderId="55" xfId="0" applyFont="1" applyBorder="1" applyAlignment="1">
      <alignment horizontal="left"/>
    </xf>
    <xf numFmtId="0" fontId="13" fillId="0" borderId="56" xfId="0" applyFont="1" applyBorder="1" applyAlignment="1">
      <alignment horizontal="left"/>
    </xf>
    <xf numFmtId="169" fontId="13" fillId="0" borderId="70" xfId="0" applyNumberFormat="1" applyFont="1" applyBorder="1" applyAlignment="1">
      <alignment horizontal="center"/>
    </xf>
    <xf numFmtId="169" fontId="13" fillId="0" borderId="55" xfId="0" applyNumberFormat="1" applyFont="1" applyBorder="1" applyAlignment="1">
      <alignment horizontal="center"/>
    </xf>
    <xf numFmtId="169" fontId="13" fillId="0" borderId="71" xfId="0" applyNumberFormat="1" applyFont="1" applyBorder="1" applyAlignment="1">
      <alignment horizontal="center"/>
    </xf>
    <xf numFmtId="0" fontId="13" fillId="0" borderId="72" xfId="0" applyFont="1" applyBorder="1"/>
    <xf numFmtId="165" fontId="13" fillId="0" borderId="56" xfId="0" applyNumberFormat="1" applyFont="1" applyBorder="1" applyAlignment="1">
      <alignment horizontal="right"/>
    </xf>
    <xf numFmtId="164" fontId="13" fillId="0" borderId="70" xfId="0" applyNumberFormat="1" applyFont="1" applyBorder="1"/>
    <xf numFmtId="164" fontId="13" fillId="0" borderId="55" xfId="0" applyNumberFormat="1" applyFont="1" applyBorder="1"/>
    <xf numFmtId="164" fontId="13" fillId="0" borderId="71" xfId="0" applyNumberFormat="1" applyFont="1" applyBorder="1"/>
    <xf numFmtId="0" fontId="13" fillId="17" borderId="15" xfId="0" applyFont="1" applyFill="1" applyBorder="1" applyAlignment="1">
      <alignment horizontal="left"/>
    </xf>
    <xf numFmtId="0" fontId="13" fillId="17" borderId="19" xfId="0" applyFont="1" applyFill="1" applyBorder="1" applyAlignment="1">
      <alignment horizontal="left"/>
    </xf>
    <xf numFmtId="0" fontId="13" fillId="21" borderId="19" xfId="0" applyFont="1" applyFill="1" applyBorder="1" applyAlignment="1">
      <alignment horizontal="left"/>
    </xf>
    <xf numFmtId="0" fontId="13" fillId="0" borderId="63" xfId="0" applyFont="1" applyBorder="1"/>
    <xf numFmtId="0" fontId="13" fillId="21" borderId="35" xfId="0" applyFont="1" applyFill="1" applyBorder="1" applyAlignment="1">
      <alignment horizontal="left"/>
    </xf>
    <xf numFmtId="0" fontId="13" fillId="22" borderId="19" xfId="0" applyFont="1" applyFill="1" applyBorder="1" applyAlignment="1">
      <alignment horizontal="left"/>
    </xf>
    <xf numFmtId="0" fontId="13" fillId="21" borderId="15" xfId="0" applyFont="1" applyFill="1" applyBorder="1" applyAlignment="1">
      <alignment horizontal="left"/>
    </xf>
    <xf numFmtId="0" fontId="13" fillId="21" borderId="29" xfId="0" applyFont="1" applyFill="1" applyBorder="1" applyAlignment="1">
      <alignment horizontal="left"/>
    </xf>
    <xf numFmtId="0" fontId="13" fillId="21" borderId="70" xfId="0" applyFont="1" applyFill="1" applyBorder="1" applyAlignment="1">
      <alignment horizontal="left"/>
    </xf>
    <xf numFmtId="0" fontId="13" fillId="23" borderId="15" xfId="0" applyFont="1" applyFill="1" applyBorder="1" applyAlignment="1">
      <alignment horizontal="left"/>
    </xf>
    <xf numFmtId="0" fontId="13" fillId="23" borderId="19" xfId="0" applyFont="1" applyFill="1" applyBorder="1" applyAlignment="1">
      <alignment horizontal="left"/>
    </xf>
    <xf numFmtId="0" fontId="13" fillId="23" borderId="35" xfId="0" applyFont="1" applyFill="1" applyBorder="1" applyAlignment="1">
      <alignment horizontal="left"/>
    </xf>
    <xf numFmtId="165" fontId="13" fillId="0" borderId="73" xfId="0" applyNumberFormat="1" applyFont="1" applyBorder="1" applyAlignment="1">
      <alignment horizontal="right"/>
    </xf>
    <xf numFmtId="0" fontId="13" fillId="24" borderId="15" xfId="0" applyFont="1" applyFill="1" applyBorder="1" applyAlignment="1">
      <alignment horizontal="left"/>
    </xf>
    <xf numFmtId="169" fontId="13" fillId="0" borderId="61" xfId="0" applyNumberFormat="1" applyFont="1" applyBorder="1" applyAlignment="1">
      <alignment horizontal="center"/>
    </xf>
    <xf numFmtId="0" fontId="13" fillId="0" borderId="15" xfId="0" applyFont="1" applyBorder="1"/>
    <xf numFmtId="165" fontId="13" fillId="0" borderId="16" xfId="0" applyNumberFormat="1" applyFont="1" applyBorder="1" applyAlignment="1">
      <alignment horizontal="right"/>
    </xf>
    <xf numFmtId="164" fontId="13" fillId="0" borderId="62" xfId="0" applyNumberFormat="1" applyFont="1" applyBorder="1"/>
    <xf numFmtId="0" fontId="13" fillId="24" borderId="19" xfId="0" applyFont="1" applyFill="1" applyBorder="1" applyAlignment="1">
      <alignment horizontal="left"/>
    </xf>
    <xf numFmtId="169" fontId="13" fillId="0" borderId="63" xfId="0" applyNumberFormat="1" applyFont="1" applyBorder="1" applyAlignment="1">
      <alignment horizontal="center"/>
    </xf>
    <xf numFmtId="0" fontId="13" fillId="0" borderId="19" xfId="0" applyFont="1" applyBorder="1"/>
    <xf numFmtId="165" fontId="13" fillId="0" borderId="20" xfId="0" applyNumberFormat="1" applyFont="1" applyBorder="1" applyAlignment="1">
      <alignment horizontal="right"/>
    </xf>
    <xf numFmtId="164" fontId="13" fillId="0" borderId="64" xfId="0" applyNumberFormat="1" applyFont="1" applyBorder="1"/>
    <xf numFmtId="0" fontId="13" fillId="24" borderId="35" xfId="0" applyFont="1" applyFill="1" applyBorder="1" applyAlignment="1">
      <alignment horizontal="left"/>
    </xf>
    <xf numFmtId="169" fontId="13" fillId="0" borderId="66" xfId="0" applyNumberFormat="1" applyFont="1" applyBorder="1" applyAlignment="1">
      <alignment horizontal="center"/>
    </xf>
    <xf numFmtId="0" fontId="13" fillId="0" borderId="35" xfId="0" applyFont="1" applyBorder="1"/>
    <xf numFmtId="165" fontId="13" fillId="0" borderId="36" xfId="0" applyNumberFormat="1" applyFont="1" applyBorder="1" applyAlignment="1">
      <alignment horizontal="right"/>
    </xf>
    <xf numFmtId="164" fontId="13" fillId="0" borderId="67" xfId="0" applyNumberFormat="1" applyFont="1" applyBorder="1"/>
    <xf numFmtId="0" fontId="13" fillId="25" borderId="29" xfId="0" applyFont="1" applyFill="1" applyBorder="1" applyAlignment="1">
      <alignment horizontal="left"/>
    </xf>
    <xf numFmtId="0" fontId="13" fillId="25" borderId="19" xfId="0" applyFont="1" applyFill="1" applyBorder="1" applyAlignment="1">
      <alignment horizontal="left"/>
    </xf>
    <xf numFmtId="0" fontId="13" fillId="25" borderId="70" xfId="0" applyFont="1" applyFill="1" applyBorder="1" applyAlignment="1">
      <alignment horizontal="left"/>
    </xf>
    <xf numFmtId="0" fontId="13" fillId="22" borderId="15" xfId="0" applyFont="1" applyFill="1" applyBorder="1" applyAlignment="1">
      <alignment horizontal="left"/>
    </xf>
    <xf numFmtId="0" fontId="13" fillId="22" borderId="35" xfId="0" applyFont="1" applyFill="1" applyBorder="1" applyAlignment="1">
      <alignment horizontal="left"/>
    </xf>
    <xf numFmtId="0" fontId="13" fillId="26" borderId="15" xfId="0" applyFont="1" applyFill="1" applyBorder="1" applyAlignment="1">
      <alignment horizontal="left"/>
    </xf>
    <xf numFmtId="0" fontId="13" fillId="26" borderId="19" xfId="0" applyFont="1" applyFill="1" applyBorder="1" applyAlignment="1">
      <alignment horizontal="left"/>
    </xf>
    <xf numFmtId="0" fontId="13" fillId="26" borderId="35" xfId="0" applyFont="1" applyFill="1" applyBorder="1" applyAlignment="1">
      <alignment horizontal="left"/>
    </xf>
    <xf numFmtId="0" fontId="13" fillId="27" borderId="15" xfId="0" applyFont="1" applyFill="1" applyBorder="1" applyAlignment="1">
      <alignment horizontal="left"/>
    </xf>
    <xf numFmtId="0" fontId="13" fillId="27" borderId="19" xfId="0" applyFont="1" applyFill="1" applyBorder="1" applyAlignment="1">
      <alignment horizontal="left"/>
    </xf>
    <xf numFmtId="0" fontId="13" fillId="27" borderId="35" xfId="0" applyFont="1" applyFill="1" applyBorder="1" applyAlignment="1">
      <alignment horizontal="left"/>
    </xf>
    <xf numFmtId="0" fontId="14" fillId="0" borderId="61" xfId="0" applyFont="1" applyBorder="1" applyAlignment="1">
      <alignment horizontal="left"/>
    </xf>
    <xf numFmtId="0" fontId="13" fillId="27" borderId="70" xfId="0" applyFont="1" applyFill="1" applyBorder="1" applyAlignment="1">
      <alignment horizontal="left"/>
    </xf>
    <xf numFmtId="0" fontId="13" fillId="28" borderId="15" xfId="0" applyFont="1" applyFill="1" applyBorder="1" applyAlignment="1">
      <alignment horizontal="left"/>
    </xf>
    <xf numFmtId="0" fontId="13" fillId="28" borderId="19" xfId="0" applyFont="1" applyFill="1" applyBorder="1" applyAlignment="1">
      <alignment horizontal="left"/>
    </xf>
    <xf numFmtId="0" fontId="13" fillId="28" borderId="70" xfId="0" applyFont="1" applyFill="1" applyBorder="1" applyAlignment="1">
      <alignment horizontal="left"/>
    </xf>
    <xf numFmtId="0" fontId="13" fillId="29" borderId="29" xfId="0" applyFont="1" applyFill="1" applyBorder="1" applyAlignment="1">
      <alignment horizontal="left"/>
    </xf>
    <xf numFmtId="0" fontId="13" fillId="29" borderId="19" xfId="0" applyFont="1" applyFill="1" applyBorder="1" applyAlignment="1">
      <alignment horizontal="left"/>
    </xf>
    <xf numFmtId="0" fontId="13" fillId="29" borderId="35" xfId="0" applyFont="1" applyFill="1" applyBorder="1" applyAlignment="1">
      <alignment horizontal="left"/>
    </xf>
    <xf numFmtId="0" fontId="13" fillId="9" borderId="15" xfId="0" applyFont="1" applyFill="1" applyBorder="1" applyAlignment="1">
      <alignment horizontal="left"/>
    </xf>
    <xf numFmtId="0" fontId="13" fillId="9" borderId="35" xfId="0" applyFont="1" applyFill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1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/>
    </xf>
    <xf numFmtId="170" fontId="19" fillId="27" borderId="23" xfId="0" applyNumberFormat="1" applyFont="1" applyFill="1" applyBorder="1" applyAlignment="1">
      <alignment horizontal="center" vertical="center"/>
    </xf>
    <xf numFmtId="10" fontId="20" fillId="4" borderId="23" xfId="0" applyNumberFormat="1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 wrapText="1"/>
    </xf>
    <xf numFmtId="0" fontId="22" fillId="16" borderId="23" xfId="0" applyFont="1" applyFill="1" applyBorder="1" applyAlignment="1">
      <alignment horizontal="center" vertical="center" wrapText="1"/>
    </xf>
    <xf numFmtId="0" fontId="23" fillId="7" borderId="23" xfId="0" applyFont="1" applyFill="1" applyBorder="1" applyAlignment="1">
      <alignment horizontal="center" vertical="center"/>
    </xf>
    <xf numFmtId="0" fontId="23" fillId="17" borderId="23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170" fontId="18" fillId="0" borderId="0" xfId="0" applyNumberFormat="1" applyFont="1" applyAlignment="1">
      <alignment horizontal="center"/>
    </xf>
    <xf numFmtId="164" fontId="19" fillId="30" borderId="23" xfId="0" applyNumberFormat="1" applyFont="1" applyFill="1" applyBorder="1"/>
    <xf numFmtId="0" fontId="24" fillId="31" borderId="49" xfId="0" applyFont="1" applyFill="1" applyBorder="1" applyAlignment="1">
      <alignment horizontal="center" vertical="center"/>
    </xf>
    <xf numFmtId="9" fontId="24" fillId="31" borderId="49" xfId="0" applyNumberFormat="1" applyFont="1" applyFill="1" applyBorder="1"/>
    <xf numFmtId="0" fontId="18" fillId="0" borderId="56" xfId="0" applyFont="1" applyBorder="1" applyAlignment="1">
      <alignment horizontal="center"/>
    </xf>
    <xf numFmtId="0" fontId="18" fillId="0" borderId="72" xfId="0" applyFont="1" applyBorder="1" applyAlignment="1">
      <alignment horizontal="center"/>
    </xf>
    <xf numFmtId="10" fontId="19" fillId="32" borderId="8" xfId="0" applyNumberFormat="1" applyFont="1" applyFill="1" applyBorder="1" applyAlignment="1">
      <alignment horizontal="center" vertical="center"/>
    </xf>
    <xf numFmtId="10" fontId="19" fillId="32" borderId="74" xfId="0" applyNumberFormat="1" applyFont="1" applyFill="1" applyBorder="1" applyAlignment="1">
      <alignment horizontal="center" vertical="center"/>
    </xf>
    <xf numFmtId="10" fontId="19" fillId="32" borderId="9" xfId="0" applyNumberFormat="1" applyFont="1" applyFill="1" applyBorder="1" applyAlignment="1">
      <alignment horizontal="center" vertical="center"/>
    </xf>
    <xf numFmtId="10" fontId="19" fillId="32" borderId="75" xfId="0" applyNumberFormat="1" applyFont="1" applyFill="1" applyBorder="1" applyAlignment="1">
      <alignment horizontal="center" vertical="center" wrapText="1"/>
    </xf>
    <xf numFmtId="10" fontId="25" fillId="4" borderId="57" xfId="0" applyNumberFormat="1" applyFont="1" applyFill="1" applyBorder="1" applyAlignment="1">
      <alignment horizontal="center" vertical="center"/>
    </xf>
    <xf numFmtId="0" fontId="26" fillId="8" borderId="57" xfId="0" applyFont="1" applyFill="1" applyBorder="1" applyAlignment="1">
      <alignment horizontal="center" vertical="center" wrapText="1"/>
    </xf>
    <xf numFmtId="0" fontId="19" fillId="16" borderId="56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/>
    </xf>
    <xf numFmtId="0" fontId="24" fillId="17" borderId="13" xfId="0" applyFont="1" applyFill="1" applyBorder="1" applyAlignment="1">
      <alignment horizontal="center" vertical="center"/>
    </xf>
    <xf numFmtId="0" fontId="26" fillId="8" borderId="58" xfId="0" applyFont="1" applyFill="1" applyBorder="1" applyAlignment="1">
      <alignment horizontal="center" vertical="center"/>
    </xf>
    <xf numFmtId="0" fontId="27" fillId="33" borderId="4" xfId="0" applyFont="1" applyFill="1" applyBorder="1" applyAlignment="1">
      <alignment horizontal="center" vertical="center" wrapText="1" indent="1"/>
    </xf>
    <xf numFmtId="0" fontId="27" fillId="33" borderId="4" xfId="0" applyFont="1" applyFill="1" applyBorder="1" applyAlignment="1">
      <alignment horizontal="center" vertical="center" wrapText="1"/>
    </xf>
    <xf numFmtId="0" fontId="27" fillId="33" borderId="11" xfId="0" applyFont="1" applyFill="1" applyBorder="1" applyAlignment="1">
      <alignment horizontal="center" vertical="center" wrapText="1"/>
    </xf>
    <xf numFmtId="170" fontId="27" fillId="33" borderId="4" xfId="0" applyNumberFormat="1" applyFont="1" applyFill="1" applyBorder="1" applyAlignment="1">
      <alignment horizontal="center" vertical="center" wrapText="1" indent="1"/>
    </xf>
    <xf numFmtId="10" fontId="27" fillId="33" borderId="76" xfId="0" applyNumberFormat="1" applyFont="1" applyFill="1" applyBorder="1" applyAlignment="1">
      <alignment horizontal="center" vertical="center" wrapText="1"/>
    </xf>
    <xf numFmtId="165" fontId="19" fillId="34" borderId="76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18" borderId="15" xfId="0" applyFont="1" applyFill="1" applyBorder="1" applyAlignment="1">
      <alignment horizontal="left"/>
    </xf>
    <xf numFmtId="0" fontId="28" fillId="31" borderId="17" xfId="0" applyFont="1" applyFill="1" applyBorder="1"/>
    <xf numFmtId="0" fontId="18" fillId="35" borderId="17" xfId="0" applyFont="1" applyFill="1" applyBorder="1"/>
    <xf numFmtId="1" fontId="18" fillId="0" borderId="17" xfId="0" applyNumberFormat="1" applyFont="1" applyBorder="1" applyAlignment="1">
      <alignment horizontal="center"/>
    </xf>
    <xf numFmtId="0" fontId="18" fillId="0" borderId="17" xfId="0" applyFont="1" applyBorder="1"/>
    <xf numFmtId="164" fontId="18" fillId="0" borderId="17" xfId="0" applyNumberFormat="1" applyFont="1" applyBorder="1"/>
    <xf numFmtId="10" fontId="18" fillId="0" borderId="17" xfId="0" applyNumberFormat="1" applyFont="1" applyBorder="1"/>
    <xf numFmtId="164" fontId="29" fillId="6" borderId="17" xfId="0" applyNumberFormat="1" applyFont="1" applyFill="1" applyBorder="1"/>
    <xf numFmtId="164" fontId="30" fillId="0" borderId="17" xfId="0" applyNumberFormat="1" applyFont="1" applyBorder="1"/>
    <xf numFmtId="0" fontId="18" fillId="27" borderId="4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left" vertical="center"/>
    </xf>
    <xf numFmtId="0" fontId="19" fillId="27" borderId="47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11" xfId="0" applyFont="1" applyFill="1" applyBorder="1" applyAlignment="1">
      <alignment horizontal="center" vertical="center"/>
    </xf>
    <xf numFmtId="0" fontId="19" fillId="27" borderId="77" xfId="0" applyFont="1" applyFill="1" applyBorder="1" applyAlignment="1">
      <alignment horizontal="center" vertical="center"/>
    </xf>
    <xf numFmtId="165" fontId="19" fillId="27" borderId="77" xfId="0" applyNumberFormat="1" applyFont="1" applyFill="1" applyBorder="1" applyAlignment="1">
      <alignment horizontal="center" vertical="center"/>
    </xf>
    <xf numFmtId="165" fontId="19" fillId="27" borderId="78" xfId="0" applyNumberFormat="1" applyFont="1" applyFill="1" applyBorder="1" applyAlignment="1">
      <alignment horizontal="center" vertical="center"/>
    </xf>
    <xf numFmtId="165" fontId="19" fillId="27" borderId="11" xfId="0" applyNumberFormat="1" applyFont="1" applyFill="1" applyBorder="1" applyAlignment="1">
      <alignment horizontal="center" vertical="center"/>
    </xf>
    <xf numFmtId="165" fontId="19" fillId="27" borderId="28" xfId="0" applyNumberFormat="1" applyFont="1" applyFill="1" applyBorder="1" applyAlignment="1">
      <alignment horizontal="center" vertical="center"/>
    </xf>
    <xf numFmtId="165" fontId="18" fillId="0" borderId="0" xfId="0" applyNumberFormat="1" applyFont="1"/>
    <xf numFmtId="165" fontId="18" fillId="0" borderId="29" xfId="0" applyNumberFormat="1" applyFont="1" applyBorder="1"/>
    <xf numFmtId="165" fontId="18" fillId="0" borderId="31" xfId="0" applyNumberFormat="1" applyFont="1" applyBorder="1"/>
    <xf numFmtId="0" fontId="18" fillId="18" borderId="19" xfId="0" applyFont="1" applyFill="1" applyBorder="1" applyAlignment="1">
      <alignment horizontal="left"/>
    </xf>
    <xf numFmtId="0" fontId="28" fillId="31" borderId="23" xfId="0" applyFont="1" applyFill="1" applyBorder="1"/>
    <xf numFmtId="0" fontId="18" fillId="35" borderId="23" xfId="0" applyFont="1" applyFill="1" applyBorder="1"/>
    <xf numFmtId="1" fontId="18" fillId="0" borderId="23" xfId="0" applyNumberFormat="1" applyFont="1" applyBorder="1" applyAlignment="1">
      <alignment horizontal="center"/>
    </xf>
    <xf numFmtId="0" fontId="18" fillId="0" borderId="23" xfId="0" applyFont="1" applyBorder="1"/>
    <xf numFmtId="164" fontId="18" fillId="0" borderId="23" xfId="0" applyNumberFormat="1" applyFont="1" applyBorder="1"/>
    <xf numFmtId="10" fontId="18" fillId="0" borderId="23" xfId="0" applyNumberFormat="1" applyFont="1" applyBorder="1"/>
    <xf numFmtId="164" fontId="29" fillId="6" borderId="23" xfId="0" applyNumberFormat="1" applyFont="1" applyFill="1" applyBorder="1"/>
    <xf numFmtId="164" fontId="30" fillId="0" borderId="23" xfId="0" applyNumberFormat="1" applyFont="1" applyBorder="1"/>
    <xf numFmtId="49" fontId="18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 vertical="center"/>
    </xf>
    <xf numFmtId="170" fontId="18" fillId="0" borderId="4" xfId="0" applyNumberFormat="1" applyFont="1" applyBorder="1" applyAlignment="1">
      <alignment horizontal="center" vertical="center"/>
    </xf>
    <xf numFmtId="170" fontId="18" fillId="0" borderId="11" xfId="0" applyNumberFormat="1" applyFont="1" applyBorder="1" applyAlignment="1">
      <alignment horizontal="center" vertical="center"/>
    </xf>
    <xf numFmtId="10" fontId="18" fillId="35" borderId="77" xfId="0" applyNumberFormat="1" applyFont="1" applyFill="1" applyBorder="1" applyAlignment="1">
      <alignment horizontal="center" vertical="center"/>
    </xf>
    <xf numFmtId="165" fontId="18" fillId="0" borderId="77" xfId="0" applyNumberFormat="1" applyFont="1" applyBorder="1" applyAlignment="1">
      <alignment horizontal="center" vertical="center"/>
    </xf>
    <xf numFmtId="165" fontId="18" fillId="0" borderId="78" xfId="0" applyNumberFormat="1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/>
    </xf>
    <xf numFmtId="165" fontId="18" fillId="0" borderId="28" xfId="0" applyNumberFormat="1" applyFont="1" applyBorder="1" applyAlignment="1">
      <alignment horizontal="center" vertical="center"/>
    </xf>
    <xf numFmtId="165" fontId="18" fillId="0" borderId="19" xfId="0" applyNumberFormat="1" applyFont="1" applyBorder="1"/>
    <xf numFmtId="165" fontId="18" fillId="0" borderId="20" xfId="0" applyNumberFormat="1" applyFont="1" applyBorder="1"/>
    <xf numFmtId="0" fontId="18" fillId="36" borderId="23" xfId="0" applyFont="1" applyFill="1" applyBorder="1"/>
    <xf numFmtId="0" fontId="18" fillId="0" borderId="23" xfId="0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0" fontId="18" fillId="0" borderId="77" xfId="0" applyNumberFormat="1" applyFont="1" applyBorder="1" applyAlignment="1">
      <alignment horizontal="center" vertical="center"/>
    </xf>
    <xf numFmtId="0" fontId="18" fillId="18" borderId="35" xfId="0" applyFont="1" applyFill="1" applyBorder="1" applyAlignment="1">
      <alignment horizontal="left"/>
    </xf>
    <xf numFmtId="0" fontId="18" fillId="36" borderId="65" xfId="0" applyFont="1" applyFill="1" applyBorder="1"/>
    <xf numFmtId="0" fontId="18" fillId="35" borderId="65" xfId="0" applyFont="1" applyFill="1" applyBorder="1"/>
    <xf numFmtId="0" fontId="18" fillId="0" borderId="65" xfId="0" applyFont="1" applyBorder="1" applyAlignment="1">
      <alignment horizontal="center"/>
    </xf>
    <xf numFmtId="0" fontId="18" fillId="0" borderId="65" xfId="0" applyFont="1" applyBorder="1"/>
    <xf numFmtId="164" fontId="18" fillId="0" borderId="65" xfId="0" applyNumberFormat="1" applyFont="1" applyBorder="1"/>
    <xf numFmtId="10" fontId="18" fillId="0" borderId="65" xfId="0" applyNumberFormat="1" applyFont="1" applyBorder="1"/>
    <xf numFmtId="164" fontId="29" fillId="6" borderId="65" xfId="0" applyNumberFormat="1" applyFont="1" applyFill="1" applyBorder="1"/>
    <xf numFmtId="164" fontId="30" fillId="0" borderId="65" xfId="0" applyNumberFormat="1" applyFont="1" applyBorder="1"/>
    <xf numFmtId="0" fontId="30" fillId="4" borderId="15" xfId="0" applyFont="1" applyFill="1" applyBorder="1" applyAlignment="1">
      <alignment horizontal="left"/>
    </xf>
    <xf numFmtId="0" fontId="18" fillId="37" borderId="17" xfId="0" applyFont="1" applyFill="1" applyBorder="1"/>
    <xf numFmtId="0" fontId="30" fillId="4" borderId="19" xfId="0" applyFont="1" applyFill="1" applyBorder="1" applyAlignment="1">
      <alignment horizontal="left"/>
    </xf>
    <xf numFmtId="0" fontId="18" fillId="37" borderId="23" xfId="0" applyFont="1" applyFill="1" applyBorder="1"/>
    <xf numFmtId="0" fontId="18" fillId="35" borderId="30" xfId="0" applyFont="1" applyFill="1" applyBorder="1"/>
    <xf numFmtId="1" fontId="18" fillId="0" borderId="30" xfId="0" applyNumberFormat="1" applyFont="1" applyBorder="1" applyAlignment="1">
      <alignment horizontal="center"/>
    </xf>
    <xf numFmtId="0" fontId="18" fillId="0" borderId="30" xfId="0" applyFont="1" applyBorder="1"/>
    <xf numFmtId="164" fontId="18" fillId="0" borderId="30" xfId="0" applyNumberFormat="1" applyFont="1" applyBorder="1"/>
    <xf numFmtId="164" fontId="30" fillId="0" borderId="30" xfId="0" applyNumberFormat="1" applyFont="1" applyBorder="1"/>
    <xf numFmtId="0" fontId="18" fillId="0" borderId="4" xfId="0" applyFont="1" applyBorder="1"/>
    <xf numFmtId="0" fontId="30" fillId="4" borderId="35" xfId="0" applyFont="1" applyFill="1" applyBorder="1" applyAlignment="1">
      <alignment horizontal="left"/>
    </xf>
    <xf numFmtId="0" fontId="18" fillId="37" borderId="65" xfId="0" applyFont="1" applyFill="1" applyBorder="1"/>
    <xf numFmtId="1" fontId="18" fillId="0" borderId="65" xfId="0" applyNumberFormat="1" applyFont="1" applyBorder="1" applyAlignment="1">
      <alignment horizontal="center"/>
    </xf>
    <xf numFmtId="0" fontId="18" fillId="21" borderId="15" xfId="0" applyFont="1" applyFill="1" applyBorder="1" applyAlignment="1">
      <alignment horizontal="left"/>
    </xf>
    <xf numFmtId="0" fontId="18" fillId="38" borderId="17" xfId="0" applyFont="1" applyFill="1" applyBorder="1"/>
    <xf numFmtId="1" fontId="18" fillId="39" borderId="17" xfId="0" applyNumberFormat="1" applyFont="1" applyFill="1" applyBorder="1" applyAlignment="1">
      <alignment horizontal="center"/>
    </xf>
    <xf numFmtId="164" fontId="30" fillId="10" borderId="23" xfId="0" applyNumberFormat="1" applyFont="1" applyFill="1" applyBorder="1"/>
    <xf numFmtId="0" fontId="18" fillId="21" borderId="19" xfId="0" applyFont="1" applyFill="1" applyBorder="1" applyAlignment="1">
      <alignment horizontal="left"/>
    </xf>
    <xf numFmtId="0" fontId="18" fillId="38" borderId="23" xfId="0" applyFont="1" applyFill="1" applyBorder="1"/>
    <xf numFmtId="1" fontId="18" fillId="39" borderId="23" xfId="0" applyNumberFormat="1" applyFont="1" applyFill="1" applyBorder="1" applyAlignment="1">
      <alignment horizontal="center"/>
    </xf>
    <xf numFmtId="0" fontId="18" fillId="40" borderId="23" xfId="0" applyFont="1" applyFill="1" applyBorder="1"/>
    <xf numFmtId="0" fontId="18" fillId="35" borderId="4" xfId="0" applyFont="1" applyFill="1" applyBorder="1"/>
    <xf numFmtId="0" fontId="31" fillId="8" borderId="79" xfId="0" applyFont="1" applyFill="1" applyBorder="1"/>
    <xf numFmtId="0" fontId="18" fillId="35" borderId="49" xfId="0" applyFont="1" applyFill="1" applyBorder="1"/>
    <xf numFmtId="49" fontId="18" fillId="0" borderId="11" xfId="0" applyNumberFormat="1" applyFont="1" applyBorder="1" applyAlignment="1">
      <alignment horizontal="center" vertical="center"/>
    </xf>
    <xf numFmtId="0" fontId="18" fillId="27" borderId="11" xfId="0" applyFont="1" applyFill="1" applyBorder="1" applyAlignment="1">
      <alignment horizontal="center" vertical="center"/>
    </xf>
    <xf numFmtId="0" fontId="18" fillId="21" borderId="35" xfId="0" applyFont="1" applyFill="1" applyBorder="1" applyAlignment="1">
      <alignment horizontal="left"/>
    </xf>
    <xf numFmtId="0" fontId="28" fillId="31" borderId="65" xfId="0" applyFont="1" applyFill="1" applyBorder="1"/>
    <xf numFmtId="0" fontId="18" fillId="41" borderId="15" xfId="0" applyFont="1" applyFill="1" applyBorder="1"/>
    <xf numFmtId="0" fontId="18" fillId="41" borderId="19" xfId="0" applyFont="1" applyFill="1" applyBorder="1"/>
    <xf numFmtId="0" fontId="18" fillId="0" borderId="49" xfId="0" applyFont="1" applyBorder="1"/>
    <xf numFmtId="1" fontId="18" fillId="35" borderId="23" xfId="0" applyNumberFormat="1" applyFont="1" applyFill="1" applyBorder="1" applyAlignment="1">
      <alignment horizontal="center"/>
    </xf>
    <xf numFmtId="0" fontId="18" fillId="41" borderId="35" xfId="0" applyFont="1" applyFill="1" applyBorder="1"/>
    <xf numFmtId="0" fontId="18" fillId="27" borderId="15" xfId="0" applyFont="1" applyFill="1" applyBorder="1"/>
    <xf numFmtId="0" fontId="18" fillId="42" borderId="17" xfId="0" applyFont="1" applyFill="1" applyBorder="1"/>
    <xf numFmtId="0" fontId="18" fillId="27" borderId="19" xfId="0" applyFont="1" applyFill="1" applyBorder="1"/>
    <xf numFmtId="0" fontId="18" fillId="42" borderId="23" xfId="0" applyFont="1" applyFill="1" applyBorder="1"/>
    <xf numFmtId="0" fontId="18" fillId="27" borderId="49" xfId="0" applyFont="1" applyFill="1" applyBorder="1" applyAlignment="1">
      <alignment horizontal="center" vertical="center"/>
    </xf>
    <xf numFmtId="0" fontId="18" fillId="43" borderId="23" xfId="0" applyFont="1" applyFill="1" applyBorder="1"/>
    <xf numFmtId="0" fontId="32" fillId="0" borderId="4" xfId="0" applyFont="1" applyBorder="1"/>
    <xf numFmtId="10" fontId="18" fillId="0" borderId="80" xfId="0" applyNumberFormat="1" applyFont="1" applyBorder="1" applyAlignment="1">
      <alignment horizontal="center" vertical="center"/>
    </xf>
    <xf numFmtId="165" fontId="18" fillId="0" borderId="80" xfId="0" applyNumberFormat="1" applyFont="1" applyBorder="1" applyAlignment="1">
      <alignment horizontal="center" vertical="center"/>
    </xf>
    <xf numFmtId="165" fontId="18" fillId="0" borderId="81" xfId="0" applyNumberFormat="1" applyFont="1" applyBorder="1" applyAlignment="1">
      <alignment horizontal="center" vertical="center"/>
    </xf>
    <xf numFmtId="165" fontId="18" fillId="0" borderId="82" xfId="0" applyNumberFormat="1" applyFont="1" applyBorder="1" applyAlignment="1">
      <alignment horizontal="center" vertical="center"/>
    </xf>
    <xf numFmtId="165" fontId="18" fillId="0" borderId="39" xfId="0" applyNumberFormat="1" applyFont="1" applyBorder="1" applyAlignment="1">
      <alignment horizontal="center" vertical="center"/>
    </xf>
    <xf numFmtId="165" fontId="18" fillId="0" borderId="35" xfId="0" applyNumberFormat="1" applyFont="1" applyBorder="1"/>
    <xf numFmtId="165" fontId="18" fillId="0" borderId="36" xfId="0" applyNumberFormat="1" applyFont="1" applyBorder="1"/>
    <xf numFmtId="0" fontId="18" fillId="27" borderId="35" xfId="0" applyFont="1" applyFill="1" applyBorder="1"/>
    <xf numFmtId="0" fontId="18" fillId="43" borderId="65" xfId="0" applyFont="1" applyFill="1" applyBorder="1"/>
    <xf numFmtId="10" fontId="18" fillId="0" borderId="83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165" fontId="18" fillId="0" borderId="84" xfId="0" applyNumberFormat="1" applyFont="1" applyBorder="1" applyAlignment="1">
      <alignment horizontal="center" vertical="center"/>
    </xf>
    <xf numFmtId="165" fontId="18" fillId="0" borderId="85" xfId="0" applyNumberFormat="1" applyFont="1" applyBorder="1" applyAlignment="1">
      <alignment horizontal="center" vertical="center"/>
    </xf>
    <xf numFmtId="165" fontId="28" fillId="7" borderId="8" xfId="0" applyNumberFormat="1" applyFont="1" applyFill="1" applyBorder="1"/>
    <xf numFmtId="165" fontId="18" fillId="0" borderId="9" xfId="0" applyNumberFormat="1" applyFont="1" applyBorder="1"/>
    <xf numFmtId="0" fontId="18" fillId="0" borderId="61" xfId="0" applyFont="1" applyBorder="1" applyAlignment="1">
      <alignment horizontal="center"/>
    </xf>
    <xf numFmtId="0" fontId="18" fillId="0" borderId="62" xfId="0" applyFont="1" applyBorder="1" applyAlignment="1">
      <alignment horizontal="center"/>
    </xf>
    <xf numFmtId="164" fontId="18" fillId="32" borderId="68" xfId="0" applyNumberFormat="1" applyFont="1" applyFill="1" applyBorder="1"/>
    <xf numFmtId="9" fontId="19" fillId="30" borderId="86" xfId="0" applyNumberFormat="1" applyFont="1" applyFill="1" applyBorder="1"/>
    <xf numFmtId="164" fontId="19" fillId="30" borderId="87" xfId="0" applyNumberFormat="1" applyFont="1" applyFill="1" applyBorder="1"/>
    <xf numFmtId="0" fontId="18" fillId="0" borderId="63" xfId="0" applyFont="1" applyBorder="1" applyAlignment="1">
      <alignment horizontal="center"/>
    </xf>
    <xf numFmtId="0" fontId="18" fillId="0" borderId="64" xfId="0" applyFont="1" applyBorder="1" applyAlignment="1">
      <alignment horizontal="center"/>
    </xf>
    <xf numFmtId="164" fontId="18" fillId="32" borderId="23" xfId="0" applyNumberFormat="1" applyFont="1" applyFill="1" applyBorder="1"/>
    <xf numFmtId="9" fontId="18" fillId="30" borderId="0" xfId="0" applyNumberFormat="1" applyFont="1" applyFill="1"/>
    <xf numFmtId="164" fontId="18" fillId="30" borderId="0" xfId="0" applyNumberFormat="1" applyFont="1" applyFill="1"/>
    <xf numFmtId="164" fontId="18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9" xfId="0" applyFont="1" applyBorder="1" applyAlignment="1">
      <alignment horizontal="left" wrapText="1"/>
    </xf>
    <xf numFmtId="0" fontId="13" fillId="34" borderId="23" xfId="0" applyFont="1" applyFill="1" applyBorder="1" applyAlignment="1">
      <alignment horizontal="right" wrapText="1"/>
    </xf>
    <xf numFmtId="0" fontId="13" fillId="0" borderId="63" xfId="0" applyFont="1" applyBorder="1" applyAlignment="1">
      <alignment horizontal="left" wrapText="1"/>
    </xf>
    <xf numFmtId="165" fontId="13" fillId="0" borderId="23" xfId="0" applyNumberFormat="1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165" fontId="13" fillId="0" borderId="23" xfId="0" applyNumberFormat="1" applyFont="1" applyBorder="1"/>
    <xf numFmtId="0" fontId="13" fillId="0" borderId="63" xfId="0" applyFont="1" applyBorder="1" applyAlignment="1">
      <alignment horizontal="left" vertical="center" wrapText="1"/>
    </xf>
    <xf numFmtId="10" fontId="13" fillId="0" borderId="19" xfId="0" applyNumberFormat="1" applyFont="1" applyBorder="1" applyAlignment="1">
      <alignment horizontal="left" wrapText="1"/>
    </xf>
    <xf numFmtId="0" fontId="14" fillId="0" borderId="0" xfId="0" applyFont="1" applyAlignment="1">
      <alignment horizontal="right" vertical="center" wrapText="1"/>
    </xf>
    <xf numFmtId="165" fontId="14" fillId="0" borderId="23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0" fontId="13" fillId="0" borderId="0" xfId="0" applyNumberFormat="1" applyFont="1" applyAlignment="1">
      <alignment horizontal="left" wrapText="1"/>
    </xf>
    <xf numFmtId="165" fontId="13" fillId="0" borderId="0" xfId="0" applyNumberFormat="1" applyFont="1" applyAlignment="1">
      <alignment horizontal="center" wrapText="1"/>
    </xf>
    <xf numFmtId="0" fontId="14" fillId="44" borderId="15" xfId="0" applyFont="1" applyFill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center" wrapText="1"/>
    </xf>
    <xf numFmtId="0" fontId="14" fillId="44" borderId="17" xfId="0" applyFont="1" applyFill="1" applyBorder="1" applyAlignment="1">
      <alignment horizontal="center" vertical="top" wrapText="1"/>
    </xf>
    <xf numFmtId="0" fontId="13" fillId="0" borderId="88" xfId="0" applyFont="1" applyBorder="1" applyAlignment="1">
      <alignment horizontal="center" wrapText="1"/>
    </xf>
    <xf numFmtId="0" fontId="13" fillId="0" borderId="88" xfId="0" applyFont="1" applyBorder="1" applyAlignment="1">
      <alignment wrapText="1"/>
    </xf>
    <xf numFmtId="0" fontId="13" fillId="0" borderId="89" xfId="0" applyFont="1" applyBorder="1" applyAlignment="1">
      <alignment wrapText="1"/>
    </xf>
    <xf numFmtId="0" fontId="14" fillId="44" borderId="23" xfId="0" applyFont="1" applyFill="1" applyBorder="1" applyAlignment="1">
      <alignment horizontal="center" vertical="top" wrapText="1"/>
    </xf>
    <xf numFmtId="0" fontId="13" fillId="44" borderId="19" xfId="0" applyFont="1" applyFill="1" applyBorder="1" applyAlignment="1">
      <alignment horizontal="right" wrapText="1"/>
    </xf>
    <xf numFmtId="0" fontId="33" fillId="7" borderId="29" xfId="0" applyFont="1" applyFill="1" applyBorder="1" applyAlignment="1">
      <alignment horizontal="center" vertical="center" wrapText="1"/>
    </xf>
    <xf numFmtId="0" fontId="13" fillId="44" borderId="23" xfId="0" applyFont="1" applyFill="1" applyBorder="1" applyAlignment="1">
      <alignment horizontal="left" wrapText="1"/>
    </xf>
    <xf numFmtId="0" fontId="13" fillId="44" borderId="23" xfId="0" applyFont="1" applyFill="1" applyBorder="1" applyAlignment="1">
      <alignment horizontal="center" wrapText="1"/>
    </xf>
    <xf numFmtId="0" fontId="13" fillId="0" borderId="90" xfId="0" applyFont="1" applyBorder="1" applyAlignment="1">
      <alignment horizontal="center" wrapText="1"/>
    </xf>
    <xf numFmtId="0" fontId="33" fillId="7" borderId="23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left" wrapText="1"/>
    </xf>
    <xf numFmtId="171" fontId="13" fillId="0" borderId="23" xfId="0" applyNumberFormat="1" applyFont="1" applyBorder="1" applyAlignment="1">
      <alignment horizontal="center" wrapText="1"/>
    </xf>
    <xf numFmtId="164" fontId="13" fillId="0" borderId="23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14" fillId="44" borderId="19" xfId="0" applyFont="1" applyFill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center" wrapText="1"/>
    </xf>
    <xf numFmtId="0" fontId="14" fillId="0" borderId="90" xfId="0" applyFont="1" applyBorder="1" applyAlignment="1">
      <alignment wrapText="1"/>
    </xf>
    <xf numFmtId="0" fontId="13" fillId="44" borderId="23" xfId="0" applyFont="1" applyFill="1" applyBorder="1" applyAlignment="1">
      <alignment wrapText="1"/>
    </xf>
    <xf numFmtId="0" fontId="14" fillId="0" borderId="75" xfId="0" applyFont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14" fillId="29" borderId="19" xfId="0" applyFont="1" applyFill="1" applyBorder="1" applyAlignment="1">
      <alignment horizontal="center" vertical="top" wrapText="1"/>
    </xf>
    <xf numFmtId="0" fontId="13" fillId="44" borderId="19" xfId="0" applyFont="1" applyFill="1" applyBorder="1" applyAlignment="1">
      <alignment horizontal="right" vertical="top" wrapText="1"/>
    </xf>
    <xf numFmtId="0" fontId="14" fillId="29" borderId="23" xfId="0" applyFont="1" applyFill="1" applyBorder="1" applyAlignment="1">
      <alignment horizontal="center" vertical="top" wrapText="1"/>
    </xf>
    <xf numFmtId="0" fontId="14" fillId="29" borderId="17" xfId="0" applyFont="1" applyFill="1" applyBorder="1" applyAlignment="1">
      <alignment horizontal="center" vertical="center" wrapText="1"/>
    </xf>
    <xf numFmtId="0" fontId="14" fillId="29" borderId="1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3" fillId="29" borderId="19" xfId="0" applyFont="1" applyFill="1" applyBorder="1" applyAlignment="1">
      <alignment horizontal="right" wrapText="1"/>
    </xf>
    <xf numFmtId="0" fontId="13" fillId="29" borderId="23" xfId="0" applyFont="1" applyFill="1" applyBorder="1" applyAlignment="1">
      <alignment wrapText="1"/>
    </xf>
    <xf numFmtId="0" fontId="13" fillId="29" borderId="23" xfId="0" applyFont="1" applyFill="1" applyBorder="1" applyAlignment="1">
      <alignment horizontal="center" wrapText="1"/>
    </xf>
    <xf numFmtId="0" fontId="13" fillId="29" borderId="20" xfId="0" applyFont="1" applyFill="1" applyBorder="1" applyAlignment="1">
      <alignment horizontal="center" wrapText="1"/>
    </xf>
    <xf numFmtId="0" fontId="13" fillId="0" borderId="23" xfId="0" applyFont="1" applyBorder="1" applyAlignment="1">
      <alignment wrapText="1"/>
    </xf>
    <xf numFmtId="0" fontId="13" fillId="41" borderId="19" xfId="0" applyFont="1" applyFill="1" applyBorder="1" applyAlignment="1">
      <alignment horizontal="right" wrapText="1"/>
    </xf>
    <xf numFmtId="0" fontId="13" fillId="29" borderId="35" xfId="0" applyFont="1" applyFill="1" applyBorder="1" applyAlignment="1">
      <alignment horizontal="right" wrapText="1"/>
    </xf>
    <xf numFmtId="0" fontId="13" fillId="29" borderId="65" xfId="0" applyFont="1" applyFill="1" applyBorder="1" applyAlignment="1">
      <alignment wrapText="1"/>
    </xf>
    <xf numFmtId="0" fontId="13" fillId="29" borderId="65" xfId="0" applyFont="1" applyFill="1" applyBorder="1" applyAlignment="1">
      <alignment horizontal="center" wrapText="1"/>
    </xf>
    <xf numFmtId="0" fontId="13" fillId="29" borderId="36" xfId="0" applyFont="1" applyFill="1" applyBorder="1" applyAlignment="1">
      <alignment horizontal="center" wrapText="1"/>
    </xf>
    <xf numFmtId="1" fontId="33" fillId="7" borderId="23" xfId="0" applyNumberFormat="1" applyFont="1" applyFill="1" applyBorder="1" applyAlignment="1">
      <alignment horizontal="center" vertical="center" wrapText="1"/>
    </xf>
    <xf numFmtId="2" fontId="13" fillId="0" borderId="23" xfId="0" applyNumberFormat="1" applyFont="1" applyBorder="1" applyAlignment="1">
      <alignment horizontal="center" wrapText="1"/>
    </xf>
    <xf numFmtId="0" fontId="13" fillId="17" borderId="23" xfId="0" applyFont="1" applyFill="1" applyBorder="1" applyAlignment="1">
      <alignment wrapText="1"/>
    </xf>
    <xf numFmtId="0" fontId="13" fillId="17" borderId="23" xfId="0" applyFont="1" applyFill="1" applyBorder="1" applyAlignment="1">
      <alignment horizontal="center" wrapText="1"/>
    </xf>
    <xf numFmtId="0" fontId="14" fillId="17" borderId="23" xfId="0" applyFont="1" applyFill="1" applyBorder="1" applyAlignment="1">
      <alignment wrapText="1"/>
    </xf>
    <xf numFmtId="0" fontId="14" fillId="17" borderId="23" xfId="0" applyFont="1" applyFill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5" fillId="4" borderId="68" xfId="0" applyFont="1" applyFill="1" applyBorder="1"/>
    <xf numFmtId="0" fontId="35" fillId="4" borderId="91" xfId="0" applyFont="1" applyFill="1" applyBorder="1"/>
    <xf numFmtId="0" fontId="35" fillId="4" borderId="0" xfId="0" applyFont="1" applyFill="1"/>
    <xf numFmtId="0" fontId="34" fillId="0" borderId="23" xfId="0" applyFont="1" applyBorder="1"/>
    <xf numFmtId="0" fontId="34" fillId="0" borderId="23" xfId="0" applyFont="1" applyBorder="1" applyAlignment="1">
      <alignment horizontal="left"/>
    </xf>
    <xf numFmtId="1" fontId="34" fillId="0" borderId="23" xfId="0" applyNumberFormat="1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6" fillId="0" borderId="0" xfId="0" applyFont="1"/>
    <xf numFmtId="0" fontId="37" fillId="0" borderId="0" xfId="0" applyFont="1"/>
    <xf numFmtId="165" fontId="37" fillId="0" borderId="0" xfId="0" applyNumberFormat="1" applyFont="1"/>
    <xf numFmtId="0" fontId="38" fillId="4" borderId="23" xfId="0" applyFont="1" applyFill="1" applyBorder="1"/>
    <xf numFmtId="0" fontId="38" fillId="4" borderId="23" xfId="0" applyFont="1" applyFill="1" applyBorder="1" applyAlignment="1">
      <alignment horizontal="center"/>
    </xf>
    <xf numFmtId="167" fontId="13" fillId="34" borderId="23" xfId="0" applyNumberFormat="1" applyFont="1" applyFill="1" applyBorder="1"/>
    <xf numFmtId="167" fontId="39" fillId="45" borderId="23" xfId="0" applyNumberFormat="1" applyFont="1" applyFill="1" applyBorder="1"/>
    <xf numFmtId="167" fontId="13" fillId="0" borderId="23" xfId="0" applyNumberFormat="1" applyFont="1" applyBorder="1"/>
    <xf numFmtId="0" fontId="40" fillId="0" borderId="0" xfId="0" applyFont="1"/>
    <xf numFmtId="0" fontId="41" fillId="0" borderId="33" xfId="0" applyFont="1" applyBorder="1"/>
    <xf numFmtId="0" fontId="41" fillId="0" borderId="30" xfId="0" applyFont="1" applyBorder="1" applyAlignment="1">
      <alignment horizontal="left"/>
    </xf>
    <xf numFmtId="0" fontId="41" fillId="0" borderId="23" xfId="0" applyFont="1" applyBorder="1" applyAlignment="1">
      <alignment horizontal="left"/>
    </xf>
    <xf numFmtId="0" fontId="42" fillId="34" borderId="6" xfId="0" applyFont="1" applyFill="1" applyBorder="1" applyAlignment="1">
      <alignment horizontal="center"/>
    </xf>
    <xf numFmtId="0" fontId="42" fillId="34" borderId="13" xfId="0" applyFont="1" applyFill="1" applyBorder="1" applyAlignment="1">
      <alignment horizontal="center"/>
    </xf>
    <xf numFmtId="0" fontId="42" fillId="34" borderId="7" xfId="0" applyFont="1" applyFill="1" applyBorder="1" applyAlignment="1">
      <alignment horizontal="center"/>
    </xf>
    <xf numFmtId="9" fontId="34" fillId="0" borderId="0" xfId="0" applyNumberFormat="1" applyFont="1"/>
    <xf numFmtId="0" fontId="42" fillId="0" borderId="6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14" fontId="43" fillId="32" borderId="92" xfId="0" applyNumberFormat="1" applyFont="1" applyFill="1" applyBorder="1" applyAlignment="1">
      <alignment horizontal="center" vertical="center"/>
    </xf>
    <xf numFmtId="10" fontId="43" fillId="32" borderId="93" xfId="0" applyNumberFormat="1" applyFont="1" applyFill="1" applyBorder="1" applyAlignment="1">
      <alignment horizontal="center" vertical="center"/>
    </xf>
    <xf numFmtId="10" fontId="43" fillId="32" borderId="94" xfId="0" applyNumberFormat="1" applyFont="1" applyFill="1" applyBorder="1" applyAlignment="1">
      <alignment horizontal="center" vertical="center"/>
    </xf>
    <xf numFmtId="10" fontId="43" fillId="32" borderId="92" xfId="0" applyNumberFormat="1" applyFont="1" applyFill="1" applyBorder="1" applyAlignment="1">
      <alignment horizontal="center" vertical="center"/>
    </xf>
    <xf numFmtId="0" fontId="36" fillId="36" borderId="95" xfId="0" applyFont="1" applyFill="1" applyBorder="1"/>
    <xf numFmtId="0" fontId="36" fillId="0" borderId="96" xfId="0" applyFont="1" applyBorder="1"/>
    <xf numFmtId="164" fontId="37" fillId="0" borderId="97" xfId="0" applyNumberFormat="1" applyFont="1" applyBorder="1"/>
    <xf numFmtId="0" fontId="36" fillId="36" borderId="10" xfId="0" applyFont="1" applyFill="1" applyBorder="1"/>
    <xf numFmtId="0" fontId="36" fillId="0" borderId="4" xfId="0" applyFont="1" applyBorder="1"/>
    <xf numFmtId="164" fontId="37" fillId="0" borderId="28" xfId="0" applyNumberFormat="1" applyFont="1" applyBorder="1"/>
    <xf numFmtId="0" fontId="36" fillId="35" borderId="23" xfId="0" applyFont="1" applyFill="1" applyBorder="1"/>
    <xf numFmtId="0" fontId="44" fillId="31" borderId="95" xfId="0" applyFont="1" applyFill="1" applyBorder="1"/>
    <xf numFmtId="0" fontId="44" fillId="31" borderId="10" xfId="0" applyFont="1" applyFill="1" applyBorder="1"/>
    <xf numFmtId="0" fontId="44" fillId="31" borderId="98" xfId="0" applyFont="1" applyFill="1" applyBorder="1"/>
    <xf numFmtId="0" fontId="36" fillId="0" borderId="49" xfId="0" applyFont="1" applyBorder="1"/>
    <xf numFmtId="164" fontId="37" fillId="0" borderId="99" xfId="0" applyNumberFormat="1" applyFont="1" applyBorder="1"/>
    <xf numFmtId="0" fontId="36" fillId="37" borderId="15" xfId="0" applyFont="1" applyFill="1" applyBorder="1"/>
    <xf numFmtId="0" fontId="36" fillId="0" borderId="17" xfId="0" applyFont="1" applyBorder="1"/>
    <xf numFmtId="164" fontId="37" fillId="0" borderId="16" xfId="0" applyNumberFormat="1" applyFont="1" applyBorder="1"/>
    <xf numFmtId="164" fontId="37" fillId="0" borderId="100" xfId="0" applyNumberFormat="1" applyFont="1" applyBorder="1"/>
    <xf numFmtId="0" fontId="36" fillId="37" borderId="19" xfId="0" applyFont="1" applyFill="1" applyBorder="1"/>
    <xf numFmtId="0" fontId="36" fillId="0" borderId="30" xfId="0" applyFont="1" applyBorder="1"/>
    <xf numFmtId="164" fontId="37" fillId="0" borderId="31" xfId="0" applyNumberFormat="1" applyFont="1" applyBorder="1"/>
    <xf numFmtId="0" fontId="36" fillId="0" borderId="23" xfId="0" applyFont="1" applyBorder="1"/>
    <xf numFmtId="164" fontId="37" fillId="0" borderId="20" xfId="0" applyNumberFormat="1" applyFont="1" applyBorder="1"/>
    <xf numFmtId="0" fontId="36" fillId="46" borderId="19" xfId="0" applyFont="1" applyFill="1" applyBorder="1"/>
    <xf numFmtId="0" fontId="36" fillId="37" borderId="35" xfId="0" applyFont="1" applyFill="1" applyBorder="1"/>
    <xf numFmtId="0" fontId="36" fillId="0" borderId="65" xfId="0" applyFont="1" applyBorder="1"/>
    <xf numFmtId="164" fontId="37" fillId="0" borderId="36" xfId="0" applyNumberFormat="1" applyFont="1" applyBorder="1"/>
    <xf numFmtId="0" fontId="36" fillId="37" borderId="27" xfId="0" applyFont="1" applyFill="1" applyBorder="1"/>
    <xf numFmtId="0" fontId="36" fillId="0" borderId="47" xfId="0" applyFont="1" applyBorder="1"/>
    <xf numFmtId="164" fontId="37" fillId="0" borderId="52" xfId="0" applyNumberFormat="1" applyFont="1" applyBorder="1"/>
    <xf numFmtId="0" fontId="36" fillId="37" borderId="10" xfId="0" applyFont="1" applyFill="1" applyBorder="1"/>
    <xf numFmtId="0" fontId="36" fillId="37" borderId="37" xfId="0" applyFont="1" applyFill="1" applyBorder="1"/>
    <xf numFmtId="0" fontId="36" fillId="0" borderId="38" xfId="0" applyFont="1" applyBorder="1"/>
    <xf numFmtId="164" fontId="37" fillId="0" borderId="39" xfId="0" applyNumberFormat="1" applyFont="1" applyBorder="1"/>
    <xf numFmtId="0" fontId="36" fillId="37" borderId="98" xfId="0" applyFont="1" applyFill="1" applyBorder="1"/>
    <xf numFmtId="164" fontId="37" fillId="0" borderId="92" xfId="0" applyNumberFormat="1" applyFont="1" applyBorder="1"/>
    <xf numFmtId="0" fontId="36" fillId="40" borderId="15" xfId="0" applyFont="1" applyFill="1" applyBorder="1"/>
    <xf numFmtId="0" fontId="36" fillId="40" borderId="19" xfId="0" applyFont="1" applyFill="1" applyBorder="1"/>
    <xf numFmtId="0" fontId="36" fillId="40" borderId="70" xfId="0" applyFont="1" applyFill="1" applyBorder="1"/>
    <xf numFmtId="0" fontId="45" fillId="8" borderId="79" xfId="0" applyFont="1" applyFill="1" applyBorder="1"/>
    <xf numFmtId="0" fontId="36" fillId="43" borderId="10" xfId="0" applyFont="1" applyFill="1" applyBorder="1"/>
    <xf numFmtId="0" fontId="36" fillId="43" borderId="37" xfId="0" applyFont="1" applyFill="1" applyBorder="1"/>
    <xf numFmtId="0" fontId="36" fillId="38" borderId="95" xfId="0" applyFont="1" applyFill="1" applyBorder="1"/>
    <xf numFmtId="0" fontId="36" fillId="38" borderId="10" xfId="0" applyFont="1" applyFill="1" applyBorder="1"/>
    <xf numFmtId="0" fontId="36" fillId="38" borderId="37" xfId="0" applyFont="1" applyFill="1" applyBorder="1"/>
    <xf numFmtId="0" fontId="36" fillId="42" borderId="95" xfId="0" applyFont="1" applyFill="1" applyBorder="1"/>
    <xf numFmtId="0" fontId="36" fillId="42" borderId="10" xfId="0" applyFont="1" applyFill="1" applyBorder="1"/>
    <xf numFmtId="0" fontId="36" fillId="42" borderId="37" xfId="0" applyFont="1" applyFill="1" applyBorder="1"/>
    <xf numFmtId="0" fontId="36" fillId="42" borderId="27" xfId="0" applyFont="1" applyFill="1" applyBorder="1"/>
    <xf numFmtId="0" fontId="46" fillId="4" borderId="23" xfId="0" applyFont="1" applyFill="1" applyBorder="1" applyAlignment="1">
      <alignment horizontal="left" vertical="top"/>
    </xf>
    <xf numFmtId="0" fontId="36" fillId="0" borderId="23" xfId="0" applyFont="1" applyBorder="1" applyAlignment="1">
      <alignment horizontal="left"/>
    </xf>
    <xf numFmtId="0" fontId="46" fillId="4" borderId="23" xfId="0" applyFont="1" applyFill="1" applyBorder="1" applyAlignment="1">
      <alignment horizontal="left" vertical="center"/>
    </xf>
    <xf numFmtId="0" fontId="36" fillId="0" borderId="63" xfId="0" applyFont="1" applyBorder="1" applyAlignment="1">
      <alignment horizontal="left" vertical="top" wrapText="1"/>
    </xf>
    <xf numFmtId="0" fontId="36" fillId="0" borderId="33" xfId="0" applyFont="1" applyBorder="1" applyAlignment="1">
      <alignment horizontal="left" vertical="top" wrapText="1"/>
    </xf>
    <xf numFmtId="0" fontId="36" fillId="0" borderId="64" xfId="0" applyFont="1" applyBorder="1" applyAlignment="1">
      <alignment horizontal="left" vertical="top" wrapText="1"/>
    </xf>
    <xf numFmtId="0" fontId="42" fillId="10" borderId="23" xfId="0" applyFont="1" applyFill="1" applyBorder="1" applyAlignment="1">
      <alignment horizontal="center"/>
    </xf>
    <xf numFmtId="0" fontId="47" fillId="0" borderId="23" xfId="0" applyFont="1" applyBorder="1"/>
    <xf numFmtId="0" fontId="35" fillId="4" borderId="23" xfId="0" applyFont="1" applyFill="1" applyBorder="1" applyAlignment="1">
      <alignment horizontal="center"/>
    </xf>
    <xf numFmtId="0" fontId="48" fillId="6" borderId="23" xfId="0" applyFont="1" applyFill="1" applyBorder="1" applyAlignment="1">
      <alignment horizontal="center"/>
    </xf>
    <xf numFmtId="166" fontId="34" fillId="0" borderId="23" xfId="0" applyNumberFormat="1" applyFont="1" applyBorder="1"/>
    <xf numFmtId="9" fontId="34" fillId="0" borderId="23" xfId="0" applyNumberFormat="1" applyFont="1" applyBorder="1"/>
    <xf numFmtId="9" fontId="45" fillId="8" borderId="79" xfId="0" applyNumberFormat="1" applyFont="1" applyFill="1" applyBorder="1"/>
    <xf numFmtId="0" fontId="49" fillId="0" borderId="91" xfId="0" applyFont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6"/>
      </font>
    </dxf>
    <dxf>
      <font>
        <color theme="6"/>
      </font>
    </dxf>
    <dxf>
      <fill>
        <patternFill>
          <bgColor theme="6" tint="0.5999633777886288"/>
        </patternFill>
      </fill>
    </dxf>
    <dxf>
      <fill>
        <patternFill>
          <bgColor theme="6" tint="0.5999633777886288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ont>
        <color theme="1"/>
      </font>
      <fill>
        <patternFill patternType="solid">
          <bgColor theme="0" tint="-0.1499984740745262"/>
        </patternFill>
      </fill>
    </dxf>
    <dxf>
      <fill>
        <patternFill>
          <bgColor theme="6" tint="0.599963377788628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7.xml"/><Relationship Id="rId12" Type="http://schemas.openxmlformats.org/officeDocument/2006/relationships/worksheet" Target="worksheets/sheet1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0</xdr:colOff>
      <xdr:row>238</xdr:row>
      <xdr:rowOff>57150</xdr:rowOff>
    </xdr:from>
    <xdr:ext cx="1114425" cy="1571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rgentina.gob.ar/buenosaires" TargetMode="External"/><Relationship Id="rId2" Type="http://schemas.openxmlformats.org/officeDocument/2006/relationships/hyperlink" Target="https://www.argentina.gob.ar/catamarca" TargetMode="External"/><Relationship Id="rId3" Type="http://schemas.openxmlformats.org/officeDocument/2006/relationships/hyperlink" Target="https://www.argentina.gob.ar/chaco" TargetMode="External"/><Relationship Id="rId4" Type="http://schemas.openxmlformats.org/officeDocument/2006/relationships/hyperlink" Target="https://www.argentina.gob.ar/chubut" TargetMode="External"/><Relationship Id="rId5" Type="http://schemas.openxmlformats.org/officeDocument/2006/relationships/hyperlink" Target="https://www.argentina.gob.ar/caba" TargetMode="External"/><Relationship Id="rId6" Type="http://schemas.openxmlformats.org/officeDocument/2006/relationships/hyperlink" Target="https://www.argentina.gob.ar/cordoba" TargetMode="External"/><Relationship Id="rId7" Type="http://schemas.openxmlformats.org/officeDocument/2006/relationships/hyperlink" Target="https://www.argentina.gob.ar/corrientes" TargetMode="External"/><Relationship Id="rId8" Type="http://schemas.openxmlformats.org/officeDocument/2006/relationships/hyperlink" Target="https://www.argentina.gob.ar/entre-rios" TargetMode="External"/><Relationship Id="rId9" Type="http://schemas.openxmlformats.org/officeDocument/2006/relationships/hyperlink" Target="https://www.argentina.gob.ar/formosa" TargetMode="External"/><Relationship Id="rId10" Type="http://schemas.openxmlformats.org/officeDocument/2006/relationships/hyperlink" Target="https://www.argentina.gob.ar/jujuy" TargetMode="External"/><Relationship Id="rId11" Type="http://schemas.openxmlformats.org/officeDocument/2006/relationships/hyperlink" Target="https://www.argentina.gob.ar/lapampa" TargetMode="External"/><Relationship Id="rId12" Type="http://schemas.openxmlformats.org/officeDocument/2006/relationships/hyperlink" Target="https://www.argentina.gob.ar/la-rioja" TargetMode="External"/><Relationship Id="rId13" Type="http://schemas.openxmlformats.org/officeDocument/2006/relationships/hyperlink" Target="https://www.argentina.gob.ar/mendoza" TargetMode="External"/><Relationship Id="rId14" Type="http://schemas.openxmlformats.org/officeDocument/2006/relationships/hyperlink" Target="https://www.argentina.gob.ar/provincia-de-misiones" TargetMode="External"/><Relationship Id="rId15" Type="http://schemas.openxmlformats.org/officeDocument/2006/relationships/hyperlink" Target="https://www.argentina.gob.ar/neuquen" TargetMode="External"/><Relationship Id="rId16" Type="http://schemas.openxmlformats.org/officeDocument/2006/relationships/hyperlink" Target="https://www.argentina.gob.ar/rionegro" TargetMode="External"/><Relationship Id="rId17" Type="http://schemas.openxmlformats.org/officeDocument/2006/relationships/hyperlink" Target="https://www.argentina.gob.ar/salta" TargetMode="External"/><Relationship Id="rId18" Type="http://schemas.openxmlformats.org/officeDocument/2006/relationships/hyperlink" Target="https://www.argentina.gob.ar/sanjuan" TargetMode="External"/><Relationship Id="rId19" Type="http://schemas.openxmlformats.org/officeDocument/2006/relationships/hyperlink" Target="https://www.argentina.gob.ar/sanluis" TargetMode="External"/><Relationship Id="rId20" Type="http://schemas.openxmlformats.org/officeDocument/2006/relationships/hyperlink" Target="https://www.argentina.gob.ar/santacruz" TargetMode="External"/><Relationship Id="rId21" Type="http://schemas.openxmlformats.org/officeDocument/2006/relationships/hyperlink" Target="https://www.argentina.gob.ar/santafe" TargetMode="External"/><Relationship Id="rId22" Type="http://schemas.openxmlformats.org/officeDocument/2006/relationships/hyperlink" Target="https://www.argentina.gob.ar/santiago" TargetMode="External"/><Relationship Id="rId23" Type="http://schemas.openxmlformats.org/officeDocument/2006/relationships/hyperlink" Target="https://www.argentina.gob.ar/tierradelfuego" TargetMode="External"/><Relationship Id="rId24" Type="http://schemas.openxmlformats.org/officeDocument/2006/relationships/hyperlink" Target="https://www.argentina.gob.ar/tucuman" TargetMode="External"/><Relationship Id="rId25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4"/>
  <sheetViews>
    <sheetView workbookViewId="0" showGridLines="0" zoomScale="125" zoomScaleNormal="69">
      <selection activeCell="B60" sqref="B60"/>
    </sheetView>
  </sheetViews>
  <sheetFormatPr defaultRowHeight="15" outlineLevelRow="0" outlineLevelCol="0" x14ac:dyDescent="0" defaultColWidth="12.625"/>
  <cols>
    <col min="1" max="1" width="35.375" style="1" customWidth="1"/>
    <col min="2" max="2" width="9.625" style="2" customWidth="1"/>
    <col min="3" max="3" width="14.125" style="1" customWidth="1"/>
    <col min="4" max="4" width="12.5" style="1" customWidth="1"/>
    <col min="5" max="5" width="48.375" style="1" customWidth="1"/>
    <col min="6" max="6" width="11.375" style="1" customWidth="1"/>
    <col min="7" max="7" width="4.5" style="1" customWidth="1"/>
    <col min="8" max="8" width="14.875" style="1" customWidth="1"/>
    <col min="9" max="9" width="12.125" style="1" customWidth="1"/>
    <col min="10" max="10" width="13.625" style="1" customWidth="1"/>
    <col min="11" max="11" width="14" style="1" customWidth="1"/>
    <col min="12" max="12" width="6" style="1" customWidth="1"/>
    <col min="13" max="13" width="14.5" style="1" customWidth="1"/>
    <col min="14" max="20" width="13.375" style="1" customWidth="1"/>
    <col min="21" max="21" width="12.875" style="1" customWidth="1"/>
    <col min="22" max="22" width="13.375" style="1" customWidth="1"/>
    <col min="23" max="23" width="12.875" style="1" customWidth="1"/>
    <col min="24" max="24" width="13.375" style="1" customWidth="1"/>
    <col min="25" max="16384" width="12.625" style="1" customWidth="1"/>
  </cols>
  <sheetData>
    <row r="1" ht="18" customHeight="1" spans="1:25" x14ac:dyDescent="0.25">
      <c r="A1" s="3" t="s">
        <v>0</v>
      </c>
      <c r="B1" s="4"/>
      <c r="C1" s="5"/>
      <c r="E1" s="6" t="s">
        <v>1</v>
      </c>
      <c r="F1" s="6" t="s">
        <v>2</v>
      </c>
      <c r="M1" s="7"/>
      <c r="N1" s="8" t="s">
        <v>3</v>
      </c>
      <c r="O1" s="9"/>
      <c r="P1" s="10" t="s">
        <v>4</v>
      </c>
      <c r="Q1" s="11"/>
      <c r="R1" s="12" t="s">
        <v>5</v>
      </c>
      <c r="S1" s="13"/>
      <c r="T1" s="14" t="s">
        <v>6</v>
      </c>
      <c r="U1" s="15"/>
      <c r="V1" s="16" t="s">
        <v>7</v>
      </c>
      <c r="W1" s="17"/>
      <c r="X1" s="18" t="s">
        <v>8</v>
      </c>
      <c r="Y1" s="19"/>
    </row>
    <row r="2" ht="12.75" customHeight="1" spans="1:29" x14ac:dyDescent="0.25">
      <c r="A2" s="20" t="s">
        <v>9</v>
      </c>
      <c r="B2" s="21" t="s">
        <v>10</v>
      </c>
      <c r="C2" s="22"/>
      <c r="D2" s="1" t="s">
        <v>11</v>
      </c>
      <c r="E2" s="23" t="s">
        <v>12</v>
      </c>
      <c r="F2" s="24">
        <f>+(B31*(1.5*2.3)+B32*(2.3*2.5))*350*B67</f>
        <v>0</v>
      </c>
      <c r="H2" s="25" t="s">
        <v>3</v>
      </c>
      <c r="I2" s="26"/>
      <c r="J2" s="26"/>
      <c r="K2" s="27"/>
      <c r="M2" s="28"/>
      <c r="N2" s="29" t="s">
        <v>13</v>
      </c>
      <c r="O2" s="30" t="s">
        <v>14</v>
      </c>
      <c r="P2" s="29" t="s">
        <v>13</v>
      </c>
      <c r="Q2" s="30" t="s">
        <v>14</v>
      </c>
      <c r="R2" s="29" t="s">
        <v>13</v>
      </c>
      <c r="S2" s="30" t="s">
        <v>14</v>
      </c>
      <c r="T2" s="29" t="s">
        <v>13</v>
      </c>
      <c r="U2" s="30" t="s">
        <v>14</v>
      </c>
      <c r="V2" s="29" t="s">
        <v>13</v>
      </c>
      <c r="W2" s="30" t="s">
        <v>14</v>
      </c>
      <c r="X2" s="29" t="s">
        <v>13</v>
      </c>
      <c r="Y2" s="30" t="s">
        <v>14</v>
      </c>
      <c r="AC2" s="31"/>
    </row>
    <row r="3" ht="12" customHeight="1" spans="1:25" x14ac:dyDescent="0.25">
      <c r="A3" s="20" t="s">
        <v>15</v>
      </c>
      <c r="B3" s="21" t="s">
        <v>16</v>
      </c>
      <c r="C3" s="22"/>
      <c r="D3" s="1" t="s">
        <v>11</v>
      </c>
      <c r="E3" s="23" t="s">
        <v>17</v>
      </c>
      <c r="F3" s="24">
        <f>950*B29*B67+B30*100*B67</f>
        <v>0</v>
      </c>
      <c r="H3" s="32" t="s">
        <v>18</v>
      </c>
      <c r="I3" s="33" t="s">
        <v>19</v>
      </c>
      <c r="J3" s="33" t="s">
        <v>20</v>
      </c>
      <c r="K3" s="34" t="s">
        <v>21</v>
      </c>
      <c r="M3" s="35" t="s">
        <v>22</v>
      </c>
      <c r="N3" s="36">
        <f>+$F$26+$F$27</f>
        <v>1703625</v>
      </c>
      <c r="O3" s="37">
        <f>$F$25</f>
        <v>5110875</v>
      </c>
      <c r="P3" s="36">
        <f>+$F$26+$F$27</f>
        <v>1703625</v>
      </c>
      <c r="Q3" s="37">
        <f>$F$25</f>
        <v>5110875</v>
      </c>
      <c r="R3" s="36">
        <f>+$F$26+$F$27</f>
        <v>1703625</v>
      </c>
      <c r="S3" s="37">
        <f>$F$25</f>
        <v>5110875</v>
      </c>
      <c r="T3" s="36">
        <f>+$F$26+$F$27</f>
        <v>1703625</v>
      </c>
      <c r="U3" s="37">
        <f>$F$25</f>
        <v>5110875</v>
      </c>
      <c r="V3" s="36">
        <f>+$F$26+$F$27</f>
        <v>1703625</v>
      </c>
      <c r="W3" s="37">
        <f>$F$25</f>
        <v>5110875</v>
      </c>
      <c r="X3" s="36">
        <f>+$F$26+$F$27</f>
        <v>1703625</v>
      </c>
      <c r="Y3" s="37">
        <f>$F$25</f>
        <v>5110875</v>
      </c>
    </row>
    <row r="4" ht="12.75" customHeight="1" spans="1:25" x14ac:dyDescent="0.25">
      <c r="A4" s="38" t="s">
        <v>23</v>
      </c>
      <c r="B4" s="39">
        <f>+TODAY()</f>
        <v>45322</v>
      </c>
      <c r="C4" s="40"/>
      <c r="E4" s="23" t="s">
        <v>24</v>
      </c>
      <c r="F4" s="24">
        <f>+(2.66+34)*(B10+B9)*B67</f>
        <v>7561125</v>
      </c>
      <c r="H4" s="41">
        <f>N10</f>
        <v>113470839.29395296</v>
      </c>
      <c r="I4" s="42">
        <f>Materiales!L1</f>
        <v>51071036.79395295</v>
      </c>
      <c r="J4" s="42">
        <f>O9</f>
        <v>38946149</v>
      </c>
      <c r="K4" s="43">
        <f>$F$22</f>
        <v>24463312.5</v>
      </c>
      <c r="M4" s="35" t="s">
        <v>25</v>
      </c>
      <c r="N4" s="44">
        <f>SUM(Materiales!L3:L11)</f>
        <v>1615991.75</v>
      </c>
      <c r="O4" s="45">
        <f>SUM(M.O!J9:J14)</f>
        <v>2618000.0000000005</v>
      </c>
      <c r="P4" s="44">
        <f>SUM(Materiales!N3:N11)</f>
        <v>1615991.75</v>
      </c>
      <c r="Q4" s="45">
        <f>SUM(M.O!K9:K14)</f>
        <v>2618000.0000000005</v>
      </c>
      <c r="R4" s="44">
        <f>SUM(Materiales!N3:N11)</f>
        <v>1615991.75</v>
      </c>
      <c r="S4" s="45">
        <f>SUM(M.O!L9:L14)</f>
        <v>2618000.0000000005</v>
      </c>
      <c r="T4" s="44">
        <f>SUM(Materiales!O3:O11)</f>
        <v>1615991.75</v>
      </c>
      <c r="U4" s="45">
        <f>SUM(M.O!M9:M14)</f>
        <v>2618000.0000000005</v>
      </c>
      <c r="V4" s="44">
        <f>SUM(Materiales!P3:P11)</f>
        <v>1615991.75</v>
      </c>
      <c r="W4" s="45">
        <f>SUM(M.O!N9:N14)</f>
        <v>2618000.0000000005</v>
      </c>
      <c r="X4" s="44">
        <f>SUM(Materiales!Q3:Q11)</f>
        <v>1615991.75</v>
      </c>
      <c r="Y4" s="45">
        <f>SUM(M.O!O9:O14)</f>
        <v>2618000.0000000005</v>
      </c>
    </row>
    <row r="5" ht="12.75" customHeight="1" spans="5:25" x14ac:dyDescent="0.25">
      <c r="E5" s="23" t="s">
        <v>26</v>
      </c>
      <c r="F5" s="24">
        <f>SERVICIOS!G10</f>
        <v>3300000</v>
      </c>
      <c r="H5" s="46">
        <f>H4/$B$68</f>
        <v>102225.98134590356</v>
      </c>
      <c r="I5" s="47">
        <f>I4/$B$68</f>
        <v>46009.943057615266</v>
      </c>
      <c r="J5" s="47">
        <f>J4/$B$68</f>
        <v>35086.62072072072</v>
      </c>
      <c r="K5" s="48">
        <f>K4/$B$68</f>
        <v>22039.02027027027</v>
      </c>
      <c r="M5" s="35" t="s">
        <v>27</v>
      </c>
      <c r="N5" s="44">
        <f>SUM(Materiales!L12:L24)+$F$8</f>
        <v>9364038.615887148</v>
      </c>
      <c r="O5" s="45">
        <f>SUM(M.O!J15:J20)</f>
        <v>4981900</v>
      </c>
      <c r="P5" s="44">
        <f>SUM(Materiales!M12:M24)+$F$8</f>
        <v>9364038.615887148</v>
      </c>
      <c r="Q5" s="45">
        <f>SUM(M.O!K15:K20)</f>
        <v>4981900</v>
      </c>
      <c r="R5" s="44">
        <f>SUM(Materiales!N12:N24)+$F$8</f>
        <v>9364038.615887148</v>
      </c>
      <c r="S5" s="45">
        <f>SUM(M.O!L15:L20)</f>
        <v>4981900</v>
      </c>
      <c r="T5" s="44">
        <f>SUM(Materiales!O12:O24)+$F$8</f>
        <v>6655367.8556990605</v>
      </c>
      <c r="U5" s="45">
        <f>SUM(M.O!M15:M20)</f>
        <v>4981900</v>
      </c>
      <c r="V5" s="44">
        <f>SUM(Materiales!P12:P24)+$F$8</f>
        <v>9364038.615887148</v>
      </c>
      <c r="W5" s="45">
        <f>SUM(M.O!N15:N20)</f>
        <v>4981900</v>
      </c>
      <c r="X5" s="44">
        <f>SUM(Materiales!Q12:Q24)+$F$8</f>
        <v>3140021.4299999997</v>
      </c>
      <c r="Y5" s="45">
        <f>SUM(M.O!O15:O20)</f>
        <v>5553900</v>
      </c>
    </row>
    <row r="6" ht="12.75" customHeight="1" spans="1:25" x14ac:dyDescent="0.25">
      <c r="A6" s="49" t="s">
        <v>28</v>
      </c>
      <c r="B6" s="50"/>
      <c r="C6" s="51"/>
      <c r="E6" s="23" t="s">
        <v>29</v>
      </c>
      <c r="F6" s="24">
        <v>0</v>
      </c>
      <c r="H6" s="46">
        <f>H5/$B$16</f>
        <v>346.52875032509684</v>
      </c>
      <c r="I6" s="47">
        <f>I5/$B$16</f>
        <v>155.96590866988225</v>
      </c>
      <c r="J6" s="47">
        <f>J5/$B$16</f>
        <v>118.93769735837532</v>
      </c>
      <c r="K6" s="48">
        <f>K5/$B$16</f>
        <v>74.70854328905176</v>
      </c>
      <c r="M6" s="35" t="s">
        <v>30</v>
      </c>
      <c r="N6" s="44">
        <f>SUM(Materiales!L25:L111)+$F$10+$F$9+$F$6+$F$5</f>
        <v>18331664.22078328</v>
      </c>
      <c r="O6" s="45">
        <f>SUM(M.O!J21:J39)</f>
        <v>5085784</v>
      </c>
      <c r="P6" s="44">
        <f>SUM(Materiales!M25:M111)+$F$10+$F$9+$F$6+$F$5</f>
        <v>23848123.293601017</v>
      </c>
      <c r="Q6" s="45">
        <f>SUM(M.O!K21:K39)</f>
        <v>5118784</v>
      </c>
      <c r="R6" s="44">
        <f>SUM(Materiales!N25:N111)+$F$10+$F$9+$F$6+$F$5</f>
        <v>25629903.955410372</v>
      </c>
      <c r="S6" s="45">
        <f>SUM(M.O!L21:L39)</f>
        <v>8638784</v>
      </c>
      <c r="T6" s="44">
        <f>SUM(Materiales!O25:O111)+$F$10+$F$9+$F$6+$F$5</f>
        <v>22456804.527660344</v>
      </c>
      <c r="U6" s="45">
        <f>SUM(M.O!M21:M39)</f>
        <v>8638784</v>
      </c>
      <c r="V6" s="44">
        <f>SUM(Materiales!P25:P111)+$F$10+$F$9+$F$6+$F$5</f>
        <v>22556554.527660344</v>
      </c>
      <c r="W6" s="45">
        <f>SUM(M.O!N21:N39)</f>
        <v>8638784</v>
      </c>
      <c r="X6" s="44">
        <f>SUM(Materiales!Q25:Q111)+$F$10+$F$9+$F$6+$F$5</f>
        <v>23452672.527660344</v>
      </c>
      <c r="Y6" s="45">
        <f>SUM(M.O!O21:O39)</f>
        <v>4614544</v>
      </c>
    </row>
    <row r="7" ht="12.75" customHeight="1" spans="1:25" x14ac:dyDescent="0.25">
      <c r="A7" s="52" t="s">
        <v>31</v>
      </c>
      <c r="B7" s="53"/>
      <c r="C7" s="54" t="s">
        <v>32</v>
      </c>
      <c r="D7" s="1" t="s">
        <v>11</v>
      </c>
      <c r="E7" s="23" t="s">
        <v>33</v>
      </c>
      <c r="F7" s="24">
        <v>0</v>
      </c>
      <c r="M7" s="35" t="s">
        <v>34</v>
      </c>
      <c r="N7" s="44">
        <f>SUM(Materiales!L112:L136)</f>
        <v>4378065.173333334</v>
      </c>
      <c r="O7" s="45">
        <f>SUM(M.O!J40:J62)</f>
        <v>10797710.000000002</v>
      </c>
      <c r="P7" s="44">
        <f>SUM(Materiales!M112:M136)</f>
        <v>658544.3333333334</v>
      </c>
      <c r="Q7" s="45">
        <f>SUM(M.O!K40:K62)</f>
        <v>3809960.0000000005</v>
      </c>
      <c r="R7" s="44">
        <f>SUM(Materiales!N112:N136)</f>
        <v>2432802.8333333335</v>
      </c>
      <c r="S7" s="45">
        <f>SUM(M.O!L40:L62)</f>
        <v>4210360</v>
      </c>
      <c r="T7" s="44">
        <f>SUM(Materiales!O112:O136)</f>
        <v>0</v>
      </c>
      <c r="U7" s="45">
        <f>SUM(M.O!M40:M62)</f>
        <v>6220830.023446219</v>
      </c>
      <c r="V7" s="44">
        <f>SUM(Materiales!P112:P136)</f>
        <v>1774258.5</v>
      </c>
      <c r="W7" s="45">
        <f>SUM(M.O!N40:N62)</f>
        <v>6220830</v>
      </c>
      <c r="X7" s="44">
        <f>SUM(Materiales!Q112:Q136)</f>
        <v>4849628.573333333</v>
      </c>
      <c r="Y7" s="45">
        <f>SUM(M.O!O40:O62)</f>
        <v>6331710</v>
      </c>
    </row>
    <row r="8" ht="12.75" customHeight="1" spans="1:25" x14ac:dyDescent="0.25">
      <c r="A8" s="38" t="s">
        <v>35</v>
      </c>
      <c r="B8" s="53"/>
      <c r="C8" s="54" t="s">
        <v>32</v>
      </c>
      <c r="D8" s="1" t="s">
        <v>11</v>
      </c>
      <c r="E8" s="23" t="s">
        <v>36</v>
      </c>
      <c r="F8" s="24">
        <v>0</v>
      </c>
      <c r="H8" s="55" t="s">
        <v>37</v>
      </c>
      <c r="I8" s="56"/>
      <c r="J8" s="56"/>
      <c r="K8" s="57"/>
      <c r="M8" s="35" t="s">
        <v>21</v>
      </c>
      <c r="N8" s="44">
        <f>SUM(Materiales!L136:L183)+$F$7+$F$22-$F$5-$F$6-$F$8-$F$9-$F$10</f>
        <v>39131305.5339492</v>
      </c>
      <c r="O8" s="45">
        <f>SUM(M.O!J63:J77)</f>
        <v>10351880</v>
      </c>
      <c r="P8" s="44">
        <f>SUM(Materiales!M136:M183)+$F$7+$F$22-$F$5-$F$6-$F$8-$F$9-$F$10</f>
        <v>33813092.45061587</v>
      </c>
      <c r="Q8" s="45">
        <f>SUM(M.O!K63:K77)</f>
        <v>10351880</v>
      </c>
      <c r="R8" s="44">
        <f>SUM(Materiales!N136:N183)+$F$7+$F$22-$F$5-$F$6-$F$8-$F$9-$F$10</f>
        <v>33813092.45061587</v>
      </c>
      <c r="S8" s="45">
        <f>SUM(M.O!L63:L77)</f>
        <v>10351880</v>
      </c>
      <c r="T8" s="44">
        <f>SUM(Materiales!O136:O183)+$F$7+$F$22-$F$5-$F$6-$F$8-$F$9-$F$10</f>
        <v>33813092.45061587</v>
      </c>
      <c r="U8" s="45">
        <f>SUM(M.O!M63:M77)</f>
        <v>10351880</v>
      </c>
      <c r="V8" s="44">
        <f>SUM(Materiales!P136:P183)+$F$7+$F$22-$F$5-$F$6-$F$8-$F$9-$F$10</f>
        <v>33813092.45061587</v>
      </c>
      <c r="W8" s="45">
        <f>SUM(M.O!N63:N77)</f>
        <v>10351880</v>
      </c>
      <c r="X8" s="44">
        <f>SUM(Materiales!Q136:Q183)+$F$7+$F$22-$F$5-$F$6-$F$8-$F$9-$F$10</f>
        <v>33813092.45061587</v>
      </c>
      <c r="Y8" s="45">
        <f>SUM(M.O!O63:O77)</f>
        <v>10351880</v>
      </c>
    </row>
    <row r="9" ht="12.75" customHeight="1" spans="1:25" x14ac:dyDescent="0.25">
      <c r="A9" s="38" t="s">
        <v>38</v>
      </c>
      <c r="B9" s="58">
        <v>32</v>
      </c>
      <c r="C9" s="59" t="s">
        <v>39</v>
      </c>
      <c r="D9" s="1" t="s">
        <v>11</v>
      </c>
      <c r="E9" s="23" t="s">
        <v>40</v>
      </c>
      <c r="F9" s="24">
        <v>0</v>
      </c>
      <c r="H9" s="60" t="s">
        <v>18</v>
      </c>
      <c r="I9" s="61" t="s">
        <v>19</v>
      </c>
      <c r="J9" s="61" t="s">
        <v>20</v>
      </c>
      <c r="K9" s="62" t="s">
        <v>21</v>
      </c>
      <c r="M9" s="63" t="s">
        <v>41</v>
      </c>
      <c r="N9" s="64">
        <f t="shared" ref="N9:Y9" si="0">SUM(N3:N8)</f>
        <v>74524690.29395296</v>
      </c>
      <c r="O9" s="64">
        <f t="shared" si="0"/>
        <v>38946149</v>
      </c>
      <c r="P9" s="64">
        <f t="shared" si="0"/>
        <v>71003415.44343737</v>
      </c>
      <c r="Q9" s="64">
        <f t="shared" si="0"/>
        <v>31991399</v>
      </c>
      <c r="R9" s="64">
        <f t="shared" si="0"/>
        <v>74559454.60524672</v>
      </c>
      <c r="S9" s="64">
        <f t="shared" si="0"/>
        <v>35911799</v>
      </c>
      <c r="T9" s="64">
        <f t="shared" si="0"/>
        <v>66244881.58397527</v>
      </c>
      <c r="U9" s="64">
        <f t="shared" si="0"/>
        <v>37922269.02344622</v>
      </c>
      <c r="V9" s="64">
        <f t="shared" si="0"/>
        <v>70827560.84416336</v>
      </c>
      <c r="W9" s="64">
        <f t="shared" si="0"/>
        <v>37922269</v>
      </c>
      <c r="X9" s="64">
        <f t="shared" si="0"/>
        <v>68575031.73160955</v>
      </c>
      <c r="Y9" s="64">
        <f t="shared" si="0"/>
        <v>34580909</v>
      </c>
    </row>
    <row r="10" ht="12" customHeight="1" spans="1:25" x14ac:dyDescent="0.25">
      <c r="A10" s="38" t="s">
        <v>42</v>
      </c>
      <c r="B10" s="58">
        <v>32</v>
      </c>
      <c r="C10" s="59" t="s">
        <v>39</v>
      </c>
      <c r="D10" s="1" t="s">
        <v>11</v>
      </c>
      <c r="E10" s="23" t="s">
        <v>43</v>
      </c>
      <c r="F10" s="24">
        <v>0</v>
      </c>
      <c r="H10" s="41">
        <f>P10</f>
        <v>102994814.44343737</v>
      </c>
      <c r="I10" s="42">
        <f>Materiales!M1</f>
        <v>47549761.94343735</v>
      </c>
      <c r="J10" s="42">
        <f>Q9</f>
        <v>31991399</v>
      </c>
      <c r="K10" s="43">
        <f>$F$22</f>
        <v>24463312.5</v>
      </c>
      <c r="M10" s="28" t="s">
        <v>44</v>
      </c>
      <c r="N10" s="65">
        <f>N9+O9</f>
        <v>113470839.29395296</v>
      </c>
      <c r="O10" s="66"/>
      <c r="P10" s="65">
        <f>P9+Q9</f>
        <v>102994814.44343737</v>
      </c>
      <c r="Q10" s="67"/>
      <c r="R10" s="65">
        <f>R9+S9</f>
        <v>110471253.60524672</v>
      </c>
      <c r="S10" s="66"/>
      <c r="T10" s="65">
        <f>T9+U9</f>
        <v>104167150.60742149</v>
      </c>
      <c r="U10" s="66"/>
      <c r="V10" s="65">
        <f>V9+W9</f>
        <v>108749829.84416336</v>
      </c>
      <c r="W10" s="66"/>
      <c r="X10" s="65">
        <f>X9+Y9</f>
        <v>103155940.73160955</v>
      </c>
      <c r="Y10" s="66"/>
    </row>
    <row r="11" ht="12" customHeight="1" spans="1:25" x14ac:dyDescent="0.25">
      <c r="A11" s="38" t="s">
        <v>45</v>
      </c>
      <c r="B11" s="58">
        <v>32</v>
      </c>
      <c r="C11" s="59" t="s">
        <v>39</v>
      </c>
      <c r="D11" s="1" t="s">
        <v>11</v>
      </c>
      <c r="E11" s="23" t="s">
        <v>46</v>
      </c>
      <c r="F11" s="24">
        <f>+(17)*B67*((B19*B23)+(B21*B24))</f>
        <v>0</v>
      </c>
      <c r="H11" s="46">
        <f>H10/$B$68</f>
        <v>92788.12112021385</v>
      </c>
      <c r="I11" s="47">
        <f>I10/$B$68</f>
        <v>42837.623372466085</v>
      </c>
      <c r="J11" s="47">
        <f>J10/$B$68</f>
        <v>28821.08018018018</v>
      </c>
      <c r="K11" s="48">
        <f>K10/$B$68</f>
        <v>22039.02027027027</v>
      </c>
      <c r="M11" s="35" t="s">
        <v>47</v>
      </c>
      <c r="N11" s="36">
        <f>N10/$B$68</f>
        <v>102225.98134590356</v>
      </c>
      <c r="O11" s="37"/>
      <c r="P11" s="36">
        <f>P10/$B$68</f>
        <v>92788.12112021385</v>
      </c>
      <c r="Q11" s="68"/>
      <c r="R11" s="36">
        <f>R10/$B$68</f>
        <v>99523.65189661867</v>
      </c>
      <c r="S11" s="37"/>
      <c r="T11" s="36">
        <f>T10/$B$68</f>
        <v>93844.27982650585</v>
      </c>
      <c r="U11" s="37"/>
      <c r="V11" s="36">
        <f>V10/$B$68</f>
        <v>97972.81967942645</v>
      </c>
      <c r="W11" s="37"/>
      <c r="X11" s="36">
        <f>X10/$B$68</f>
        <v>92933.27993838699</v>
      </c>
      <c r="Y11" s="37"/>
    </row>
    <row r="12" ht="12.75" customHeight="1" spans="1:25" x14ac:dyDescent="0.25">
      <c r="A12" s="38" t="s">
        <v>48</v>
      </c>
      <c r="B12" s="58">
        <v>32</v>
      </c>
      <c r="C12" s="59" t="s">
        <v>39</v>
      </c>
      <c r="D12" s="1" t="s">
        <v>11</v>
      </c>
      <c r="E12" s="23" t="s">
        <v>49</v>
      </c>
      <c r="F12" s="24">
        <f>10*((B19*2.7+B20*2*2.7+B21*2.7+B22*2*2.7)+B16)*B67</f>
        <v>2433750</v>
      </c>
      <c r="H12" s="46">
        <f>H11/$B$16</f>
        <v>314.53600379733507</v>
      </c>
      <c r="I12" s="47">
        <f>I11/$B$16</f>
        <v>145.21228261852912</v>
      </c>
      <c r="J12" s="47">
        <f>J11/$B$16</f>
        <v>97.6985768819667</v>
      </c>
      <c r="K12" s="48">
        <f>K11/$B$16</f>
        <v>74.70854328905176</v>
      </c>
      <c r="M12" s="69" t="s">
        <v>50</v>
      </c>
      <c r="N12" s="70">
        <f>N11/$B$16</f>
        <v>346.52875032509684</v>
      </c>
      <c r="O12" s="71"/>
      <c r="P12" s="70">
        <f>P11/$B$16</f>
        <v>314.53600379733507</v>
      </c>
      <c r="Q12" s="71"/>
      <c r="R12" s="70">
        <f>R11/$B$16</f>
        <v>337.3683115139616</v>
      </c>
      <c r="S12" s="71"/>
      <c r="T12" s="70">
        <f>T11/$B$16</f>
        <v>318.11620280171473</v>
      </c>
      <c r="U12" s="71"/>
      <c r="V12" s="70">
        <f>V11/$B$16</f>
        <v>332.11125315059815</v>
      </c>
      <c r="W12" s="71"/>
      <c r="X12" s="70">
        <f>X11/$B$16</f>
        <v>315.0280675877525</v>
      </c>
      <c r="Y12" s="71"/>
    </row>
    <row r="13" ht="12.75" customHeight="1" spans="1:6" x14ac:dyDescent="0.25">
      <c r="A13" s="38" t="s">
        <v>51</v>
      </c>
      <c r="B13" s="53"/>
      <c r="C13" s="59" t="s">
        <v>39</v>
      </c>
      <c r="D13" s="1" t="s">
        <v>11</v>
      </c>
      <c r="E13" s="23" t="s">
        <v>52</v>
      </c>
      <c r="F13" s="72"/>
    </row>
    <row r="14" ht="12.75" customHeight="1" spans="1:11" x14ac:dyDescent="0.25">
      <c r="A14" s="38" t="s">
        <v>53</v>
      </c>
      <c r="B14" s="58"/>
      <c r="C14" s="59" t="s">
        <v>39</v>
      </c>
      <c r="D14" s="1" t="s">
        <v>11</v>
      </c>
      <c r="E14" s="23" t="s">
        <v>54</v>
      </c>
      <c r="F14" s="72"/>
      <c r="H14" s="73" t="s">
        <v>55</v>
      </c>
      <c r="I14" s="74"/>
      <c r="J14" s="74"/>
      <c r="K14" s="75"/>
    </row>
    <row r="15" ht="12.75" customHeight="1" spans="1:11" x14ac:dyDescent="0.25">
      <c r="A15" s="76" t="s">
        <v>56</v>
      </c>
      <c r="B15" s="77">
        <f>+B9+B10+B11+B12+B13+B14</f>
        <v>315</v>
      </c>
      <c r="C15" s="78" t="s">
        <v>39</v>
      </c>
      <c r="E15" s="23" t="s">
        <v>57</v>
      </c>
      <c r="F15" s="24">
        <f>B16*B67*5</f>
        <v>1216875</v>
      </c>
      <c r="H15" s="60" t="s">
        <v>18</v>
      </c>
      <c r="I15" s="61" t="s">
        <v>19</v>
      </c>
      <c r="J15" s="61" t="s">
        <v>20</v>
      </c>
      <c r="K15" s="62" t="s">
        <v>21</v>
      </c>
    </row>
    <row r="16" ht="12.75" customHeight="1" spans="1:11" x14ac:dyDescent="0.25">
      <c r="A16" s="79" t="s">
        <v>58</v>
      </c>
      <c r="B16" s="80">
        <f>B9+B10+B11+B12/2+B13/2+B14/2</f>
        <v>295</v>
      </c>
      <c r="C16" s="81" t="s">
        <v>39</v>
      </c>
      <c r="E16" s="23" t="s">
        <v>59</v>
      </c>
      <c r="F16" s="24">
        <f>F15*0.7</f>
        <v>851812.5</v>
      </c>
      <c r="H16" s="41">
        <f>R10</f>
        <v>110471253.60524672</v>
      </c>
      <c r="I16" s="42">
        <f>Materiales!N1</f>
        <v>51105801.10524671</v>
      </c>
      <c r="J16" s="42">
        <f>S9</f>
        <v>35911799</v>
      </c>
      <c r="K16" s="43">
        <f>$F$22</f>
        <v>24463312.5</v>
      </c>
    </row>
    <row r="17" ht="12.75" customHeight="1" spans="3:11" x14ac:dyDescent="0.25">
      <c r="C17" s="82"/>
      <c r="E17" s="23" t="s">
        <v>60</v>
      </c>
      <c r="F17" s="24">
        <f>F5*0.08</f>
        <v>264000</v>
      </c>
      <c r="H17" s="46">
        <f>H16/$B$68</f>
        <v>99523.65189661867</v>
      </c>
      <c r="I17" s="47">
        <f>I16/$B$68</f>
        <v>46041.26225697902</v>
      </c>
      <c r="J17" s="47">
        <f>J16/$B$68</f>
        <v>32352.972072072072</v>
      </c>
      <c r="K17" s="48">
        <f>K16/$B$68</f>
        <v>22039.02027027027</v>
      </c>
    </row>
    <row r="18" ht="12.75" customHeight="1" spans="1:14" x14ac:dyDescent="0.25">
      <c r="A18" s="83" t="s">
        <v>61</v>
      </c>
      <c r="B18" s="84"/>
      <c r="C18" s="85"/>
      <c r="E18" s="23" t="str">
        <f>CONCATENATE("Pisos (huella de la casa, galeria y cochera)","  =$ ",C66)</f>
        <v>Pisos (huella de la casa, galeria y cochera)  =$ 18975</v>
      </c>
      <c r="F18" s="24">
        <f>(B67*30)*(B15+(B37+B38)*9)</f>
        <v>7796250</v>
      </c>
      <c r="H18" s="46">
        <f>H17/$B$16</f>
        <v>337.3683115139616</v>
      </c>
      <c r="I18" s="47">
        <f>I17/$B$16</f>
        <v>156.0720754473865</v>
      </c>
      <c r="J18" s="47">
        <f>J17/$B$16</f>
        <v>109.67109176973584</v>
      </c>
      <c r="K18" s="48">
        <f>K17/$B$16</f>
        <v>74.70854328905176</v>
      </c>
      <c r="N18" s="31"/>
    </row>
    <row r="19" ht="12.75" customHeight="1" spans="1:6" x14ac:dyDescent="0.25">
      <c r="A19" s="86" t="s">
        <v>62</v>
      </c>
      <c r="B19" s="87"/>
      <c r="C19" s="88" t="s">
        <v>32</v>
      </c>
      <c r="D19" s="1" t="s">
        <v>11</v>
      </c>
      <c r="E19" s="23" t="s">
        <v>63</v>
      </c>
      <c r="F19" s="24">
        <f>(B19+B20*2+B21+B22*2)*B67*5</f>
        <v>0</v>
      </c>
    </row>
    <row r="20" ht="12.75" customHeight="1" spans="1:11" x14ac:dyDescent="0.25">
      <c r="A20" s="86" t="s">
        <v>64</v>
      </c>
      <c r="B20" s="87"/>
      <c r="C20" s="88" t="s">
        <v>32</v>
      </c>
      <c r="D20" s="1" t="s">
        <v>11</v>
      </c>
      <c r="E20" s="23" t="s">
        <v>65</v>
      </c>
      <c r="F20" s="24">
        <f>B15*4*B67</f>
        <v>1039500</v>
      </c>
      <c r="H20" s="89" t="s">
        <v>6</v>
      </c>
      <c r="I20" s="90"/>
      <c r="J20" s="90"/>
      <c r="K20" s="91"/>
    </row>
    <row r="21" ht="12" customHeight="1" spans="1:11" x14ac:dyDescent="0.25">
      <c r="A21" s="86" t="s">
        <v>66</v>
      </c>
      <c r="B21" s="87"/>
      <c r="C21" s="88" t="s">
        <v>32</v>
      </c>
      <c r="D21" s="1" t="s">
        <v>11</v>
      </c>
      <c r="E21" s="23" t="s">
        <v>67</v>
      </c>
      <c r="F21" s="24">
        <f>Materiales!K116*2*120*'Informacion de Cotización'!B40</f>
        <v>48000</v>
      </c>
      <c r="H21" s="60" t="s">
        <v>18</v>
      </c>
      <c r="I21" s="61" t="s">
        <v>19</v>
      </c>
      <c r="J21" s="61" t="s">
        <v>20</v>
      </c>
      <c r="K21" s="62" t="s">
        <v>21</v>
      </c>
    </row>
    <row r="22" ht="12" customHeight="1" spans="1:11" x14ac:dyDescent="0.25">
      <c r="A22" s="86" t="s">
        <v>68</v>
      </c>
      <c r="B22" s="87"/>
      <c r="C22" s="88" t="s">
        <v>32</v>
      </c>
      <c r="D22" s="1" t="s">
        <v>11</v>
      </c>
      <c r="E22" s="92" t="s">
        <v>69</v>
      </c>
      <c r="F22" s="93">
        <f>SUM(F2:F20)</f>
        <v>24463312.5</v>
      </c>
      <c r="H22" s="41">
        <f>T10</f>
        <v>104167150.60742149</v>
      </c>
      <c r="I22" s="42">
        <f>Materiales!O1</f>
        <v>42791228.083975255</v>
      </c>
      <c r="J22" s="42">
        <f>U9</f>
        <v>37922269.02344622</v>
      </c>
      <c r="K22" s="43">
        <f>$F$22</f>
        <v>24463312.5</v>
      </c>
    </row>
    <row r="23" ht="12" customHeight="1" spans="1:11" x14ac:dyDescent="0.25">
      <c r="A23" s="86" t="s">
        <v>70</v>
      </c>
      <c r="B23" s="94">
        <v>32</v>
      </c>
      <c r="C23" s="88" t="s">
        <v>32</v>
      </c>
      <c r="H23" s="46">
        <f>H22/$B$68</f>
        <v>93844.27982650585</v>
      </c>
      <c r="I23" s="47">
        <f>I22/$B$68</f>
        <v>38550.65593150924</v>
      </c>
      <c r="J23" s="47">
        <f>J22/$B$68</f>
        <v>34164.20632742903</v>
      </c>
      <c r="K23" s="48">
        <f>K22/$B$68</f>
        <v>22039.02027027027</v>
      </c>
    </row>
    <row r="24" ht="12" customHeight="1" spans="1:11" x14ac:dyDescent="0.25">
      <c r="A24" s="86" t="s">
        <v>71</v>
      </c>
      <c r="B24" s="94">
        <v>32</v>
      </c>
      <c r="C24" s="88" t="s">
        <v>32</v>
      </c>
      <c r="E24" s="95" t="s">
        <v>72</v>
      </c>
      <c r="F24" s="95" t="s">
        <v>73</v>
      </c>
      <c r="H24" s="46">
        <f>H23/$B$16</f>
        <v>318.11620280171473</v>
      </c>
      <c r="I24" s="47">
        <f>I23/$B$16</f>
        <v>130.6801895983364</v>
      </c>
      <c r="J24" s="47">
        <f>J23/$B$16</f>
        <v>115.81086890653907</v>
      </c>
      <c r="K24" s="48">
        <f>K23/$B$16</f>
        <v>74.70854328905176</v>
      </c>
    </row>
    <row r="25" ht="12.75" customHeight="1" spans="1:6" x14ac:dyDescent="0.25">
      <c r="A25" s="86" t="s">
        <v>74</v>
      </c>
      <c r="B25" s="94"/>
      <c r="C25" s="88" t="s">
        <v>32</v>
      </c>
      <c r="E25" s="96" t="s">
        <v>75</v>
      </c>
      <c r="F25" s="97">
        <f>IF(B65="NO",21*B67*B16,0)</f>
        <v>5110875</v>
      </c>
    </row>
    <row r="26" ht="12.75" customHeight="1" spans="1:11" x14ac:dyDescent="0.25">
      <c r="A26" s="38" t="s">
        <v>76</v>
      </c>
      <c r="B26" s="87"/>
      <c r="C26" s="54" t="s">
        <v>39</v>
      </c>
      <c r="D26" s="1" t="s">
        <v>77</v>
      </c>
      <c r="E26" s="96" t="s">
        <v>78</v>
      </c>
      <c r="F26" s="97">
        <f>F25/3.5</f>
        <v>1460250</v>
      </c>
      <c r="H26" s="25" t="s">
        <v>79</v>
      </c>
      <c r="I26" s="26"/>
      <c r="J26" s="26"/>
      <c r="K26" s="27"/>
    </row>
    <row r="27" ht="12.75" customHeight="1" spans="1:11" x14ac:dyDescent="0.25">
      <c r="A27" s="98" t="s">
        <v>80</v>
      </c>
      <c r="B27" s="87"/>
      <c r="C27" s="88" t="s">
        <v>39</v>
      </c>
      <c r="D27" s="1" t="s">
        <v>77</v>
      </c>
      <c r="E27" s="96" t="s">
        <v>81</v>
      </c>
      <c r="F27" s="97">
        <f>F26/6</f>
        <v>243375</v>
      </c>
      <c r="H27" s="60" t="s">
        <v>18</v>
      </c>
      <c r="I27" s="61" t="s">
        <v>19</v>
      </c>
      <c r="J27" s="61" t="s">
        <v>20</v>
      </c>
      <c r="K27" s="62" t="s">
        <v>21</v>
      </c>
    </row>
    <row r="28" ht="12.75" customHeight="1" spans="1:11" x14ac:dyDescent="0.25">
      <c r="A28" s="3" t="s">
        <v>82</v>
      </c>
      <c r="B28" s="99">
        <v>32</v>
      </c>
      <c r="C28" s="100"/>
      <c r="D28" s="101"/>
      <c r="H28" s="41">
        <f>V10</f>
        <v>108749829.84416336</v>
      </c>
      <c r="I28" s="42">
        <f>Materiales!P1</f>
        <v>47373907.34416334</v>
      </c>
      <c r="J28" s="42">
        <f>W9</f>
        <v>37922269</v>
      </c>
      <c r="K28" s="43">
        <f>$F$22</f>
        <v>24463312.5</v>
      </c>
    </row>
    <row r="29" ht="12" customHeight="1" spans="1:11" x14ac:dyDescent="0.25">
      <c r="A29" s="98" t="s">
        <v>83</v>
      </c>
      <c r="B29" s="87"/>
      <c r="C29" s="88" t="s">
        <v>84</v>
      </c>
      <c r="D29" s="1" t="s">
        <v>77</v>
      </c>
      <c r="E29" s="102" t="s">
        <v>85</v>
      </c>
      <c r="F29" s="102" t="s">
        <v>86</v>
      </c>
      <c r="H29" s="46">
        <f>H28/$B$68</f>
        <v>97972.81967942645</v>
      </c>
      <c r="I29" s="47">
        <f>I28/$B$68</f>
        <v>42679.19580555256</v>
      </c>
      <c r="J29" s="47">
        <f>J28/$B$68</f>
        <v>34164.2063063063</v>
      </c>
      <c r="K29" s="48">
        <f>K28/$B$68</f>
        <v>22039.02027027027</v>
      </c>
    </row>
    <row r="30" ht="17.1" customHeight="1" spans="1:11" x14ac:dyDescent="0.25">
      <c r="A30" s="98" t="s">
        <v>87</v>
      </c>
      <c r="B30" s="87"/>
      <c r="C30" s="88" t="s">
        <v>84</v>
      </c>
      <c r="D30" s="1" t="s">
        <v>77</v>
      </c>
      <c r="E30" s="103" t="s">
        <v>88</v>
      </c>
      <c r="F30" s="104" t="s">
        <v>89</v>
      </c>
      <c r="H30" s="46">
        <f>H29/$B$16</f>
        <v>332.11125315059815</v>
      </c>
      <c r="I30" s="47">
        <f>I29/$B$16</f>
        <v>144.67524001882225</v>
      </c>
      <c r="J30" s="47">
        <f>J29/$B$16</f>
        <v>115.81086883493663</v>
      </c>
      <c r="K30" s="48">
        <f>K29/$B$16</f>
        <v>74.70854328905176</v>
      </c>
    </row>
    <row r="31" ht="12.75" customHeight="1" spans="1:6" x14ac:dyDescent="0.25">
      <c r="A31" s="98" t="s">
        <v>90</v>
      </c>
      <c r="B31" s="87"/>
      <c r="C31" s="88" t="s">
        <v>84</v>
      </c>
      <c r="D31" s="1" t="s">
        <v>77</v>
      </c>
      <c r="E31" s="103" t="s">
        <v>27</v>
      </c>
      <c r="F31" s="104" t="s">
        <v>91</v>
      </c>
    </row>
    <row r="32" ht="12.75" customHeight="1" spans="1:11" x14ac:dyDescent="0.25">
      <c r="A32" s="98" t="s">
        <v>92</v>
      </c>
      <c r="B32" s="87"/>
      <c r="C32" s="88" t="s">
        <v>84</v>
      </c>
      <c r="D32" s="1" t="s">
        <v>77</v>
      </c>
      <c r="E32" s="103" t="s">
        <v>93</v>
      </c>
      <c r="F32" s="104" t="s">
        <v>91</v>
      </c>
      <c r="H32" s="105" t="s">
        <v>8</v>
      </c>
      <c r="I32" s="106"/>
      <c r="J32" s="106"/>
      <c r="K32" s="107"/>
    </row>
    <row r="33" ht="12.75" customHeight="1" spans="1:11" x14ac:dyDescent="0.25">
      <c r="A33" s="108" t="s">
        <v>94</v>
      </c>
      <c r="B33" s="87"/>
      <c r="C33" s="88" t="s">
        <v>84</v>
      </c>
      <c r="D33" s="1" t="s">
        <v>77</v>
      </c>
      <c r="E33" s="103" t="s">
        <v>95</v>
      </c>
      <c r="F33" s="104" t="s">
        <v>91</v>
      </c>
      <c r="H33" s="60" t="s">
        <v>18</v>
      </c>
      <c r="I33" s="61" t="s">
        <v>19</v>
      </c>
      <c r="J33" s="61" t="s">
        <v>20</v>
      </c>
      <c r="K33" s="62" t="s">
        <v>21</v>
      </c>
    </row>
    <row r="34" ht="12.75" customHeight="1" spans="1:14" x14ac:dyDescent="0.25">
      <c r="A34" s="3" t="s">
        <v>96</v>
      </c>
      <c r="B34" s="99"/>
      <c r="C34" s="100"/>
      <c r="D34" s="101"/>
      <c r="E34" s="103" t="s">
        <v>97</v>
      </c>
      <c r="F34" s="104" t="s">
        <v>91</v>
      </c>
      <c r="H34" s="41">
        <f>X10</f>
        <v>103155940.73160955</v>
      </c>
      <c r="I34" s="42">
        <f>Materiales!Q1</f>
        <v>47834662.23160953</v>
      </c>
      <c r="J34" s="42">
        <f>Y9</f>
        <v>34580909</v>
      </c>
      <c r="K34" s="43">
        <f>$F$22</f>
        <v>24463312.5</v>
      </c>
      <c r="N34" s="109"/>
    </row>
    <row r="35" ht="12" customHeight="1" spans="1:14" x14ac:dyDescent="0.25">
      <c r="A35" s="38" t="s">
        <v>98</v>
      </c>
      <c r="B35" s="87"/>
      <c r="C35" s="88" t="s">
        <v>84</v>
      </c>
      <c r="D35" s="1" t="s">
        <v>77</v>
      </c>
      <c r="E35" s="103" t="s">
        <v>99</v>
      </c>
      <c r="F35" s="104" t="str">
        <f>IF(B57&gt;0,"SI","NO")</f>
        <v>SI</v>
      </c>
      <c r="H35" s="46">
        <f>H34/$B$68</f>
        <v>92933.27993838699</v>
      </c>
      <c r="I35" s="47">
        <f>I34/$B$68</f>
        <v>43094.29029874733</v>
      </c>
      <c r="J35" s="47">
        <f>J34/$B$68</f>
        <v>31153.972072072072</v>
      </c>
      <c r="K35" s="48">
        <f>K34/$B$68</f>
        <v>22039.02027027027</v>
      </c>
      <c r="M35" s="109"/>
      <c r="N35" s="109"/>
    </row>
    <row r="36" ht="12" customHeight="1" spans="1:11" x14ac:dyDescent="0.25">
      <c r="A36" s="38" t="s">
        <v>100</v>
      </c>
      <c r="B36" s="87"/>
      <c r="C36" s="88" t="s">
        <v>84</v>
      </c>
      <c r="D36" s="1" t="s">
        <v>77</v>
      </c>
      <c r="E36" s="103" t="s">
        <v>101</v>
      </c>
      <c r="F36" s="104" t="str">
        <f>IF(B40&gt;0,"SI","NO")</f>
        <v>SI</v>
      </c>
      <c r="H36" s="46">
        <f>H35/$B$16</f>
        <v>315.0280675877525</v>
      </c>
      <c r="I36" s="47">
        <f>I35/$B$16</f>
        <v>146.08233999575364</v>
      </c>
      <c r="J36" s="47">
        <f>J35/$B$16</f>
        <v>105.60668499007483</v>
      </c>
      <c r="K36" s="48">
        <f>K35/$B$16</f>
        <v>74.70854328905176</v>
      </c>
    </row>
    <row r="37" ht="15" customHeight="1" spans="1:14" x14ac:dyDescent="0.25">
      <c r="A37" s="38" t="s">
        <v>102</v>
      </c>
      <c r="B37" s="87"/>
      <c r="C37" s="88" t="s">
        <v>84</v>
      </c>
      <c r="D37" s="1" t="s">
        <v>77</v>
      </c>
      <c r="E37" s="103" t="s">
        <v>103</v>
      </c>
      <c r="F37" s="104" t="str">
        <f>IF(B58&gt;0,"SI","NO")</f>
        <v>SI</v>
      </c>
      <c r="N37" s="109"/>
    </row>
    <row r="38" ht="15" customHeight="1" spans="1:14" x14ac:dyDescent="0.25">
      <c r="A38" s="38" t="s">
        <v>104</v>
      </c>
      <c r="B38" s="87"/>
      <c r="C38" s="88" t="s">
        <v>84</v>
      </c>
      <c r="D38" s="1" t="s">
        <v>77</v>
      </c>
      <c r="E38" s="103" t="s">
        <v>105</v>
      </c>
      <c r="F38" s="104" t="str">
        <f>IF(B59&gt;0,"SI","NO")</f>
        <v>SI</v>
      </c>
      <c r="N38" s="109"/>
    </row>
    <row r="39" ht="15" customHeight="1" spans="1:6" x14ac:dyDescent="0.25">
      <c r="A39" s="38" t="s">
        <v>106</v>
      </c>
      <c r="B39" s="110">
        <v>1</v>
      </c>
      <c r="C39" s="88" t="s">
        <v>84</v>
      </c>
      <c r="D39" s="1" t="s">
        <v>77</v>
      </c>
      <c r="E39" s="103" t="s">
        <v>107</v>
      </c>
      <c r="F39" s="104" t="str">
        <f>IF(B45&gt;0,"SI","NO")</f>
        <v>SI</v>
      </c>
    </row>
    <row r="40" ht="15" customHeight="1" spans="1:6" x14ac:dyDescent="0.25">
      <c r="A40" s="98" t="s">
        <v>108</v>
      </c>
      <c r="B40" s="110">
        <v>1</v>
      </c>
      <c r="C40" s="88" t="s">
        <v>109</v>
      </c>
      <c r="D40" s="1" t="s">
        <v>77</v>
      </c>
      <c r="E40" s="103" t="s">
        <v>36</v>
      </c>
      <c r="F40" s="104" t="str">
        <f>IF(B46&gt;0,"SI","NO")</f>
        <v>SI</v>
      </c>
    </row>
    <row r="41" ht="15" customHeight="1" spans="1:6" x14ac:dyDescent="0.25">
      <c r="A41" s="3" t="s">
        <v>110</v>
      </c>
      <c r="B41" s="99">
        <v>32</v>
      </c>
      <c r="C41" s="100"/>
      <c r="D41" s="101"/>
      <c r="E41" s="103" t="s">
        <v>111</v>
      </c>
      <c r="F41" s="104" t="str">
        <f>IF(B47&gt;0,"SI","NO")</f>
        <v>SI</v>
      </c>
    </row>
    <row r="42" ht="15" customHeight="1" spans="1:6" x14ac:dyDescent="0.25">
      <c r="A42" s="38" t="s">
        <v>112</v>
      </c>
      <c r="B42" s="110"/>
      <c r="C42" s="111" t="s">
        <v>113</v>
      </c>
      <c r="D42" s="1" t="s">
        <v>114</v>
      </c>
      <c r="E42" s="103" t="s">
        <v>115</v>
      </c>
      <c r="F42" s="104" t="str">
        <f>F41</f>
        <v>SI</v>
      </c>
    </row>
    <row r="43" ht="15" customHeight="1" spans="1:6" x14ac:dyDescent="0.25">
      <c r="A43" s="38" t="s">
        <v>116</v>
      </c>
      <c r="B43" s="110">
        <v>32</v>
      </c>
      <c r="C43" s="111" t="s">
        <v>113</v>
      </c>
      <c r="D43" s="1" t="s">
        <v>114</v>
      </c>
      <c r="E43" s="103" t="s">
        <v>117</v>
      </c>
      <c r="F43" s="104" t="str">
        <f>IF(B48&gt;0,"SI","NO")</f>
        <v>SI</v>
      </c>
    </row>
    <row r="44" ht="15" customHeight="1" spans="1:6" x14ac:dyDescent="0.25">
      <c r="A44" s="38" t="s">
        <v>118</v>
      </c>
      <c r="B44" s="110">
        <v>32</v>
      </c>
      <c r="C44" s="111" t="s">
        <v>113</v>
      </c>
      <c r="D44" s="1" t="s">
        <v>114</v>
      </c>
      <c r="E44" s="103" t="s">
        <v>119</v>
      </c>
      <c r="F44" s="104" t="str">
        <f>IF(B39&gt;0,"SI","NO")</f>
        <v>SI</v>
      </c>
    </row>
    <row r="45" ht="15" customHeight="1" spans="1:6" x14ac:dyDescent="0.25">
      <c r="A45" s="52" t="s">
        <v>107</v>
      </c>
      <c r="B45" s="110" t="s">
        <v>89</v>
      </c>
      <c r="C45" s="111" t="s">
        <v>113</v>
      </c>
      <c r="D45" s="1" t="s">
        <v>114</v>
      </c>
      <c r="E45" s="103" t="s">
        <v>120</v>
      </c>
      <c r="F45" s="104" t="str">
        <f>IF(B56&gt;0,"SI","NO")</f>
        <v>SI</v>
      </c>
    </row>
    <row r="46" ht="12" customHeight="1" spans="1:6" x14ac:dyDescent="0.25">
      <c r="A46" s="38" t="s">
        <v>36</v>
      </c>
      <c r="B46" s="110" t="s">
        <v>89</v>
      </c>
      <c r="C46" s="112" t="s">
        <v>113</v>
      </c>
      <c r="D46" s="1" t="s">
        <v>114</v>
      </c>
      <c r="E46" s="103" t="s">
        <v>121</v>
      </c>
      <c r="F46" s="104" t="str">
        <f>IF(B54&gt;0,"SI","NO")</f>
        <v>SI</v>
      </c>
    </row>
    <row r="47" ht="12" customHeight="1" spans="1:6" x14ac:dyDescent="0.25">
      <c r="A47" s="38" t="s">
        <v>43</v>
      </c>
      <c r="B47" s="110" t="s">
        <v>89</v>
      </c>
      <c r="C47" s="112" t="s">
        <v>113</v>
      </c>
      <c r="D47" s="1" t="s">
        <v>114</v>
      </c>
      <c r="E47" s="103" t="s">
        <v>122</v>
      </c>
      <c r="F47" s="104" t="str">
        <f>IF(B61&gt;0,"SI","NO")</f>
        <v>NO</v>
      </c>
    </row>
    <row r="48" ht="17.1" customHeight="1" spans="1:6" x14ac:dyDescent="0.25">
      <c r="A48" s="38" t="s">
        <v>123</v>
      </c>
      <c r="B48" s="110"/>
      <c r="C48" s="112" t="s">
        <v>113</v>
      </c>
      <c r="D48" s="1" t="s">
        <v>114</v>
      </c>
      <c r="E48" s="103" t="s">
        <v>124</v>
      </c>
      <c r="F48" s="104" t="str">
        <f>IF(B63&gt;0,"SI","NO")</f>
        <v>SI</v>
      </c>
    </row>
    <row r="49" ht="12" customHeight="1" spans="1:6" x14ac:dyDescent="0.25">
      <c r="A49" s="38" t="s">
        <v>125</v>
      </c>
      <c r="B49" s="110">
        <v>32</v>
      </c>
      <c r="C49" s="112" t="s">
        <v>113</v>
      </c>
      <c r="D49" s="1" t="s">
        <v>114</v>
      </c>
      <c r="E49" s="103" t="s">
        <v>126</v>
      </c>
      <c r="F49" s="104" t="str">
        <f>IF(F17&gt;0,"SI","NO")</f>
        <v>SI</v>
      </c>
    </row>
    <row r="50" ht="12" customHeight="1" spans="1:6" x14ac:dyDescent="0.25">
      <c r="A50" s="38" t="s">
        <v>24</v>
      </c>
      <c r="B50" s="110" t="s">
        <v>89</v>
      </c>
      <c r="C50" s="112" t="s">
        <v>113</v>
      </c>
      <c r="D50" s="1" t="s">
        <v>114</v>
      </c>
      <c r="E50" s="103" t="s">
        <v>127</v>
      </c>
      <c r="F50" s="104" t="str">
        <f>IF(F2&gt;0,"SI","NO")</f>
        <v>NO</v>
      </c>
    </row>
    <row r="51" ht="12" customHeight="1" spans="1:6" x14ac:dyDescent="0.25">
      <c r="A51" s="113" t="s">
        <v>128</v>
      </c>
      <c r="B51" s="110" t="s">
        <v>89</v>
      </c>
      <c r="C51" s="112" t="s">
        <v>113</v>
      </c>
      <c r="D51" s="1" t="s">
        <v>114</v>
      </c>
      <c r="E51" s="103" t="s">
        <v>129</v>
      </c>
      <c r="F51" s="114" t="s">
        <v>89</v>
      </c>
    </row>
    <row r="52" ht="12" customHeight="1" spans="1:6" x14ac:dyDescent="0.25">
      <c r="A52" s="113" t="s">
        <v>130</v>
      </c>
      <c r="B52" s="110" t="s">
        <v>89</v>
      </c>
      <c r="C52" s="112" t="s">
        <v>113</v>
      </c>
      <c r="D52" s="1" t="s">
        <v>114</v>
      </c>
      <c r="E52" s="103" t="s">
        <v>131</v>
      </c>
      <c r="F52" s="114" t="str">
        <f>IF(F13&gt;0,"SI","NO")</f>
        <v>NO</v>
      </c>
    </row>
    <row r="53" ht="12" customHeight="1" spans="1:6" x14ac:dyDescent="0.25">
      <c r="A53" s="113" t="s">
        <v>132</v>
      </c>
      <c r="B53" s="110" t="s">
        <v>89</v>
      </c>
      <c r="C53" s="112" t="s">
        <v>113</v>
      </c>
      <c r="D53" s="1" t="s">
        <v>114</v>
      </c>
      <c r="E53" s="103" t="s">
        <v>133</v>
      </c>
      <c r="F53" s="104" t="str">
        <f>IF(F15&gt;0,"SI","NO")</f>
        <v>SI</v>
      </c>
    </row>
    <row r="54" ht="12" customHeight="1" spans="1:6" x14ac:dyDescent="0.25">
      <c r="A54" s="113" t="s">
        <v>134</v>
      </c>
      <c r="B54" s="110" t="s">
        <v>89</v>
      </c>
      <c r="C54" s="112" t="s">
        <v>113</v>
      </c>
      <c r="D54" s="1" t="s">
        <v>114</v>
      </c>
      <c r="E54" s="103" t="s">
        <v>135</v>
      </c>
      <c r="F54" s="104" t="str">
        <f>IF(F11&gt;0,"SI","NO")</f>
        <v>NO</v>
      </c>
    </row>
    <row r="55" ht="12" customHeight="1" spans="1:6" x14ac:dyDescent="0.25">
      <c r="A55" s="113" t="s">
        <v>136</v>
      </c>
      <c r="B55" s="110" t="s">
        <v>89</v>
      </c>
      <c r="C55" s="115" t="s">
        <v>113</v>
      </c>
      <c r="D55" s="1" t="s">
        <v>114</v>
      </c>
      <c r="E55" s="103" t="s">
        <v>137</v>
      </c>
      <c r="F55" s="104" t="str">
        <f>IF(F12&gt;0,"SI","NO")</f>
        <v>SI</v>
      </c>
    </row>
    <row r="56" ht="12" customHeight="1" spans="1:6" x14ac:dyDescent="0.25">
      <c r="A56" s="38" t="s">
        <v>138</v>
      </c>
      <c r="B56" s="110" t="s">
        <v>89</v>
      </c>
      <c r="C56" s="112" t="s">
        <v>113</v>
      </c>
      <c r="D56" s="1" t="s">
        <v>114</v>
      </c>
      <c r="E56" s="103" t="s">
        <v>139</v>
      </c>
      <c r="F56" s="104" t="str">
        <f>IF(F16&gt;0,"SI","NO")</f>
        <v>SI</v>
      </c>
    </row>
    <row r="57" ht="12" customHeight="1" spans="1:6" x14ac:dyDescent="0.25">
      <c r="A57" s="38" t="s">
        <v>140</v>
      </c>
      <c r="B57" s="110" t="s">
        <v>89</v>
      </c>
      <c r="C57" s="112" t="s">
        <v>113</v>
      </c>
      <c r="D57" s="1" t="s">
        <v>114</v>
      </c>
      <c r="E57" s="103" t="s">
        <v>141</v>
      </c>
      <c r="F57" s="104" t="str">
        <f>IF(F20&gt;0,"SI","NO")</f>
        <v>SI</v>
      </c>
    </row>
    <row r="58" ht="12" customHeight="1" spans="1:4" x14ac:dyDescent="0.25">
      <c r="A58" s="38" t="s">
        <v>142</v>
      </c>
      <c r="B58" s="110" t="s">
        <v>89</v>
      </c>
      <c r="C58" s="112" t="s">
        <v>113</v>
      </c>
      <c r="D58" s="1" t="s">
        <v>114</v>
      </c>
    </row>
    <row r="59" ht="12" customHeight="1" spans="1:4" x14ac:dyDescent="0.25">
      <c r="A59" s="38" t="s">
        <v>143</v>
      </c>
      <c r="B59" s="110"/>
      <c r="C59" s="112" t="s">
        <v>113</v>
      </c>
      <c r="D59" s="1" t="s">
        <v>114</v>
      </c>
    </row>
    <row r="60" ht="12" customHeight="1" spans="1:4" x14ac:dyDescent="0.25">
      <c r="A60" s="38" t="s">
        <v>144</v>
      </c>
      <c r="B60" s="87"/>
      <c r="C60" s="112" t="s">
        <v>113</v>
      </c>
      <c r="D60" s="1" t="s">
        <v>114</v>
      </c>
    </row>
    <row r="61" ht="12" customHeight="1" spans="1:4" x14ac:dyDescent="0.25">
      <c r="A61" s="38" t="s">
        <v>145</v>
      </c>
      <c r="B61" s="87"/>
      <c r="C61" s="112" t="s">
        <v>113</v>
      </c>
      <c r="D61" s="1" t="s">
        <v>114</v>
      </c>
    </row>
    <row r="62" ht="12" customHeight="1" spans="1:4" x14ac:dyDescent="0.25">
      <c r="A62" s="38" t="s">
        <v>146</v>
      </c>
      <c r="B62" s="110" t="s">
        <v>89</v>
      </c>
      <c r="C62" s="112" t="s">
        <v>113</v>
      </c>
      <c r="D62" s="1" t="s">
        <v>114</v>
      </c>
    </row>
    <row r="63" ht="12" customHeight="1" spans="1:4" x14ac:dyDescent="0.25">
      <c r="A63" s="38" t="s">
        <v>147</v>
      </c>
      <c r="B63" s="110" t="s">
        <v>89</v>
      </c>
      <c r="C63" s="112" t="s">
        <v>113</v>
      </c>
      <c r="D63" s="1" t="s">
        <v>114</v>
      </c>
    </row>
    <row r="64" ht="12" customHeight="1" spans="1:4" x14ac:dyDescent="0.25">
      <c r="A64" s="38" t="s">
        <v>148</v>
      </c>
      <c r="B64" s="110" t="s">
        <v>89</v>
      </c>
      <c r="C64" s="112" t="s">
        <v>113</v>
      </c>
      <c r="D64" s="1" t="s">
        <v>114</v>
      </c>
    </row>
    <row r="65" ht="12" customHeight="1" spans="1:4" x14ac:dyDescent="0.25">
      <c r="A65" s="38" t="s">
        <v>149</v>
      </c>
      <c r="B65" s="110" t="s">
        <v>89</v>
      </c>
      <c r="C65" s="112" t="s">
        <v>113</v>
      </c>
      <c r="D65" s="1" t="s">
        <v>114</v>
      </c>
    </row>
    <row r="66" ht="12" customHeight="1" spans="1:4" x14ac:dyDescent="0.25">
      <c r="A66" s="38" t="s">
        <v>150</v>
      </c>
      <c r="B66" s="116" t="s">
        <v>18</v>
      </c>
      <c r="C66" s="117">
        <f>+B67*23</f>
        <v>18975</v>
      </c>
      <c r="D66" s="101"/>
    </row>
    <row r="67" ht="12" customHeight="1" spans="1:4" x14ac:dyDescent="0.25">
      <c r="A67" s="38" t="s">
        <v>151</v>
      </c>
      <c r="B67" s="118">
        <v>825</v>
      </c>
      <c r="C67" s="112" t="s">
        <v>152</v>
      </c>
      <c r="D67" s="101"/>
    </row>
    <row r="68" ht="12.75" customHeight="1" spans="1:4" x14ac:dyDescent="0.25">
      <c r="A68" s="119" t="s">
        <v>153</v>
      </c>
      <c r="B68" s="120">
        <v>1110</v>
      </c>
      <c r="C68" s="121" t="s">
        <v>154</v>
      </c>
      <c r="D68" s="101"/>
    </row>
    <row r="69" ht="12" customHeight="1" spans="4:4" x14ac:dyDescent="0.25">
      <c r="D69" s="101"/>
    </row>
    <row r="70" ht="12" customHeight="1" x14ac:dyDescent="0.25"/>
    <row r="71" ht="12" customHeight="1" x14ac:dyDescent="0.25"/>
    <row r="72" ht="12" customHeight="1" spans="4:4" x14ac:dyDescent="0.25">
      <c r="D72" s="101"/>
    </row>
    <row r="73" ht="12" customHeight="1" spans="1:3" x14ac:dyDescent="0.25">
      <c r="A73" s="122"/>
      <c r="B73" s="1" t="s">
        <v>155</v>
      </c>
      <c r="C73" s="31"/>
    </row>
    <row r="74" ht="12" customHeight="1" spans="2:2" x14ac:dyDescent="0.25">
      <c r="B74" s="1"/>
    </row>
    <row r="75" ht="12" customHeight="1" spans="1:2" x14ac:dyDescent="0.25">
      <c r="A75" s="123"/>
      <c r="B75" s="1" t="s">
        <v>156</v>
      </c>
    </row>
    <row r="76" ht="12" customHeight="1" spans="2:2" x14ac:dyDescent="0.25">
      <c r="B76" s="1"/>
    </row>
    <row r="77" ht="12" customHeight="1" spans="1:2" x14ac:dyDescent="0.25">
      <c r="A77" s="124"/>
      <c r="B77" s="1" t="s">
        <v>157</v>
      </c>
    </row>
    <row r="78" ht="12" customHeight="1" spans="4:4" x14ac:dyDescent="0.25">
      <c r="D78" s="101"/>
    </row>
    <row r="79" ht="12" customHeight="1" spans="4:4" x14ac:dyDescent="0.25">
      <c r="D79" s="101"/>
    </row>
    <row r="80" ht="12" customHeight="1" spans="1:2" x14ac:dyDescent="0.25">
      <c r="A80" s="116" t="s">
        <v>158</v>
      </c>
      <c r="B80" s="116" t="s">
        <v>91</v>
      </c>
    </row>
    <row r="81" ht="12" customHeight="1" spans="1:2" x14ac:dyDescent="0.25">
      <c r="A81" s="116" t="s">
        <v>158</v>
      </c>
      <c r="B81" s="116" t="s">
        <v>89</v>
      </c>
    </row>
    <row r="82" ht="12" customHeight="1" spans="1:2" x14ac:dyDescent="0.25">
      <c r="A82" s="116" t="s">
        <v>159</v>
      </c>
      <c r="B82" s="116">
        <v>1</v>
      </c>
    </row>
    <row r="83" ht="12" customHeight="1" spans="1:2" x14ac:dyDescent="0.25">
      <c r="A83" s="116" t="s">
        <v>159</v>
      </c>
      <c r="B83" s="116">
        <v>2</v>
      </c>
    </row>
    <row r="84" ht="12" customHeight="1" spans="1:2" x14ac:dyDescent="0.25">
      <c r="A84" s="116" t="s">
        <v>159</v>
      </c>
      <c r="B84" s="116">
        <v>3</v>
      </c>
    </row>
    <row r="85" ht="12" customHeight="1" spans="1:2" x14ac:dyDescent="0.25">
      <c r="A85" s="116" t="s">
        <v>159</v>
      </c>
      <c r="B85" s="116">
        <v>4</v>
      </c>
    </row>
    <row r="86" ht="12" customHeight="1" spans="1:2" x14ac:dyDescent="0.25">
      <c r="A86" s="116" t="s">
        <v>159</v>
      </c>
      <c r="B86" s="116">
        <v>5</v>
      </c>
    </row>
    <row r="87" ht="12" customHeight="1" spans="1:2" x14ac:dyDescent="0.25">
      <c r="A87" s="116" t="s">
        <v>159</v>
      </c>
      <c r="B87" s="116">
        <v>6</v>
      </c>
    </row>
    <row r="88" ht="12" customHeight="1" spans="1:2" x14ac:dyDescent="0.25">
      <c r="A88" s="116" t="s">
        <v>159</v>
      </c>
      <c r="B88" s="116">
        <v>7</v>
      </c>
    </row>
    <row r="89" ht="12" customHeight="1" spans="1:2" x14ac:dyDescent="0.25">
      <c r="A89" s="116" t="s">
        <v>159</v>
      </c>
      <c r="B89" s="116">
        <v>8</v>
      </c>
    </row>
    <row r="90" ht="12" customHeight="1" spans="1:2" x14ac:dyDescent="0.25">
      <c r="A90" s="116" t="s">
        <v>159</v>
      </c>
      <c r="B90" s="116">
        <v>9</v>
      </c>
    </row>
    <row r="91" ht="12" customHeight="1" spans="1:2" x14ac:dyDescent="0.25">
      <c r="A91" s="116" t="s">
        <v>159</v>
      </c>
      <c r="B91" s="116">
        <v>10</v>
      </c>
    </row>
    <row r="92" ht="12" customHeight="1" spans="1:4" x14ac:dyDescent="0.25">
      <c r="A92" s="116" t="s">
        <v>159</v>
      </c>
      <c r="B92" s="116">
        <v>11</v>
      </c>
      <c r="D92" s="125"/>
    </row>
    <row r="93" ht="12" customHeight="1" spans="1:2" x14ac:dyDescent="0.25">
      <c r="A93" s="116" t="s">
        <v>159</v>
      </c>
      <c r="B93" s="116">
        <v>12</v>
      </c>
    </row>
    <row r="94" ht="12" customHeight="1" spans="1:2" x14ac:dyDescent="0.25">
      <c r="A94" s="116" t="s">
        <v>159</v>
      </c>
      <c r="B94" s="116">
        <v>13</v>
      </c>
    </row>
    <row r="95" ht="12" customHeight="1" spans="1:2" x14ac:dyDescent="0.25">
      <c r="A95" s="116" t="s">
        <v>159</v>
      </c>
      <c r="B95" s="116">
        <v>14</v>
      </c>
    </row>
    <row r="96" ht="12" customHeight="1" spans="1:2" x14ac:dyDescent="0.25">
      <c r="A96" s="116" t="s">
        <v>159</v>
      </c>
      <c r="B96" s="116">
        <v>15</v>
      </c>
    </row>
    <row r="97" ht="12" customHeight="1" spans="1:2" x14ac:dyDescent="0.25">
      <c r="A97" s="116" t="s">
        <v>159</v>
      </c>
      <c r="B97" s="116">
        <v>16</v>
      </c>
    </row>
    <row r="98" ht="12" customHeight="1" spans="1:2" x14ac:dyDescent="0.25">
      <c r="A98" s="116" t="s">
        <v>159</v>
      </c>
      <c r="B98" s="116">
        <v>17</v>
      </c>
    </row>
    <row r="99" ht="12" customHeight="1" spans="1:2" x14ac:dyDescent="0.25">
      <c r="A99" s="116" t="s">
        <v>159</v>
      </c>
      <c r="B99" s="116">
        <v>18</v>
      </c>
    </row>
    <row r="100" ht="12" customHeight="1" spans="1:2" x14ac:dyDescent="0.25">
      <c r="A100" s="116" t="s">
        <v>159</v>
      </c>
      <c r="B100" s="116">
        <v>19</v>
      </c>
    </row>
    <row r="101" ht="12" customHeight="1" spans="1:2" x14ac:dyDescent="0.25">
      <c r="A101" s="116" t="s">
        <v>159</v>
      </c>
      <c r="B101" s="116">
        <v>20</v>
      </c>
    </row>
    <row r="102" ht="12" customHeight="1" spans="1:2" x14ac:dyDescent="0.25">
      <c r="A102" s="116" t="s">
        <v>159</v>
      </c>
      <c r="B102" s="116">
        <v>21</v>
      </c>
    </row>
    <row r="103" ht="12" customHeight="1" spans="1:2" x14ac:dyDescent="0.25">
      <c r="A103" s="116" t="s">
        <v>159</v>
      </c>
      <c r="B103" s="116">
        <v>22</v>
      </c>
    </row>
    <row r="104" ht="12" customHeight="1" spans="1:2" x14ac:dyDescent="0.25">
      <c r="A104" s="116" t="s">
        <v>159</v>
      </c>
      <c r="B104" s="116">
        <v>23</v>
      </c>
    </row>
    <row r="105" ht="12" customHeight="1" spans="1:2" x14ac:dyDescent="0.25">
      <c r="A105" s="116" t="s">
        <v>159</v>
      </c>
      <c r="B105" s="116">
        <v>24</v>
      </c>
    </row>
    <row r="106" ht="12" customHeight="1" spans="1:2" x14ac:dyDescent="0.25">
      <c r="A106" s="116" t="s">
        <v>159</v>
      </c>
      <c r="B106" s="116">
        <v>25</v>
      </c>
    </row>
    <row r="107" ht="12" customHeight="1" spans="1:2" x14ac:dyDescent="0.25">
      <c r="A107" s="116" t="s">
        <v>159</v>
      </c>
      <c r="B107" s="116">
        <v>26</v>
      </c>
    </row>
    <row r="108" ht="12" customHeight="1" spans="1:2" x14ac:dyDescent="0.25">
      <c r="A108" s="116" t="s">
        <v>160</v>
      </c>
      <c r="B108" s="116">
        <v>27</v>
      </c>
    </row>
    <row r="109" ht="12" customHeight="1" spans="1:2" x14ac:dyDescent="0.25">
      <c r="A109" s="116" t="s">
        <v>160</v>
      </c>
      <c r="B109" s="116">
        <v>28</v>
      </c>
    </row>
    <row r="110" ht="12" customHeight="1" spans="1:2" x14ac:dyDescent="0.25">
      <c r="A110" s="116" t="s">
        <v>159</v>
      </c>
      <c r="B110" s="116">
        <v>29</v>
      </c>
    </row>
    <row r="111" ht="12" customHeight="1" spans="1:2" x14ac:dyDescent="0.25">
      <c r="A111" s="116" t="s">
        <v>159</v>
      </c>
      <c r="B111" s="116">
        <v>30</v>
      </c>
    </row>
    <row r="112" ht="12" customHeight="1" spans="1:2" x14ac:dyDescent="0.25">
      <c r="A112" s="116" t="s">
        <v>159</v>
      </c>
      <c r="B112" s="116">
        <v>31</v>
      </c>
    </row>
    <row r="113" ht="12" customHeight="1" spans="1:2" x14ac:dyDescent="0.25">
      <c r="A113" s="116" t="s">
        <v>159</v>
      </c>
      <c r="B113" s="116">
        <v>32</v>
      </c>
    </row>
    <row r="114" ht="12" customHeight="1" spans="1:2" x14ac:dyDescent="0.25">
      <c r="A114" s="116" t="s">
        <v>159</v>
      </c>
      <c r="B114" s="116">
        <v>33</v>
      </c>
    </row>
    <row r="115" ht="12" customHeight="1" spans="1:2" x14ac:dyDescent="0.25">
      <c r="A115" s="116" t="s">
        <v>159</v>
      </c>
      <c r="B115" s="116">
        <v>34</v>
      </c>
    </row>
    <row r="116" ht="12" customHeight="1" spans="1:2" x14ac:dyDescent="0.25">
      <c r="A116" s="116" t="s">
        <v>159</v>
      </c>
      <c r="B116" s="116">
        <v>35</v>
      </c>
    </row>
    <row r="117" ht="12" customHeight="1" spans="1:2" x14ac:dyDescent="0.25">
      <c r="A117" s="116" t="s">
        <v>159</v>
      </c>
      <c r="B117" s="116">
        <v>36</v>
      </c>
    </row>
    <row r="118" ht="12" customHeight="1" spans="1:2" x14ac:dyDescent="0.25">
      <c r="A118" s="116" t="s">
        <v>159</v>
      </c>
      <c r="B118" s="116">
        <v>37</v>
      </c>
    </row>
    <row r="119" ht="12" customHeight="1" spans="1:2" x14ac:dyDescent="0.25">
      <c r="A119" s="116" t="s">
        <v>159</v>
      </c>
      <c r="B119" s="116">
        <v>38</v>
      </c>
    </row>
    <row r="120" ht="12" customHeight="1" spans="1:2" x14ac:dyDescent="0.25">
      <c r="A120" s="116" t="s">
        <v>159</v>
      </c>
      <c r="B120" s="116">
        <v>39</v>
      </c>
    </row>
    <row r="121" ht="12" customHeight="1" spans="1:2" x14ac:dyDescent="0.25">
      <c r="A121" s="116" t="s">
        <v>159</v>
      </c>
      <c r="B121" s="116">
        <v>40</v>
      </c>
    </row>
    <row r="122" ht="12" customHeight="1" spans="1:2" x14ac:dyDescent="0.25">
      <c r="A122" s="116" t="s">
        <v>159</v>
      </c>
      <c r="B122" s="116">
        <v>41</v>
      </c>
    </row>
    <row r="123" ht="12" customHeight="1" spans="1:2" x14ac:dyDescent="0.25">
      <c r="A123" s="116" t="s">
        <v>159</v>
      </c>
      <c r="B123" s="116">
        <v>42</v>
      </c>
    </row>
    <row r="124" ht="12" customHeight="1" spans="1:2" x14ac:dyDescent="0.25">
      <c r="A124" s="116" t="s">
        <v>159</v>
      </c>
      <c r="B124" s="116">
        <v>43</v>
      </c>
    </row>
    <row r="125" ht="12" customHeight="1" spans="1:2" x14ac:dyDescent="0.25">
      <c r="A125" s="116" t="s">
        <v>159</v>
      </c>
      <c r="B125" s="116">
        <v>44</v>
      </c>
    </row>
    <row r="126" ht="12" customHeight="1" spans="1:2" x14ac:dyDescent="0.25">
      <c r="A126" s="116" t="s">
        <v>159</v>
      </c>
      <c r="B126" s="116">
        <v>45</v>
      </c>
    </row>
    <row r="127" ht="12" customHeight="1" spans="1:2" x14ac:dyDescent="0.25">
      <c r="A127" s="116" t="s">
        <v>159</v>
      </c>
      <c r="B127" s="116">
        <v>46</v>
      </c>
    </row>
    <row r="128" ht="12" customHeight="1" spans="1:2" x14ac:dyDescent="0.25">
      <c r="A128" s="116" t="s">
        <v>159</v>
      </c>
      <c r="B128" s="116">
        <v>47</v>
      </c>
    </row>
    <row r="129" ht="12" customHeight="1" spans="1:2" x14ac:dyDescent="0.25">
      <c r="A129" s="116" t="s">
        <v>159</v>
      </c>
      <c r="B129" s="116">
        <v>48</v>
      </c>
    </row>
    <row r="130" ht="12" customHeight="1" spans="1:2" x14ac:dyDescent="0.25">
      <c r="A130" s="116" t="s">
        <v>159</v>
      </c>
      <c r="B130" s="116">
        <v>49</v>
      </c>
    </row>
    <row r="131" ht="12" customHeight="1" spans="1:2" x14ac:dyDescent="0.25">
      <c r="A131" s="116" t="s">
        <v>159</v>
      </c>
      <c r="B131" s="116">
        <v>50</v>
      </c>
    </row>
    <row r="132" ht="12" customHeight="1" spans="1:2" x14ac:dyDescent="0.25">
      <c r="A132" s="116" t="s">
        <v>159</v>
      </c>
      <c r="B132" s="116">
        <v>51</v>
      </c>
    </row>
    <row r="133" ht="12" customHeight="1" spans="1:2" x14ac:dyDescent="0.25">
      <c r="A133" s="116" t="s">
        <v>159</v>
      </c>
      <c r="B133" s="116">
        <v>52</v>
      </c>
    </row>
    <row r="134" ht="12" customHeight="1" spans="1:2" x14ac:dyDescent="0.25">
      <c r="A134" s="116" t="s">
        <v>159</v>
      </c>
      <c r="B134" s="116">
        <v>53</v>
      </c>
    </row>
    <row r="135" ht="12" customHeight="1" spans="1:2" x14ac:dyDescent="0.25">
      <c r="A135" s="116" t="s">
        <v>159</v>
      </c>
      <c r="B135" s="116">
        <v>54</v>
      </c>
    </row>
    <row r="136" ht="12" customHeight="1" spans="1:2" x14ac:dyDescent="0.25">
      <c r="A136" s="116" t="s">
        <v>159</v>
      </c>
      <c r="B136" s="116">
        <v>55</v>
      </c>
    </row>
    <row r="137" ht="12" customHeight="1" spans="1:2" x14ac:dyDescent="0.25">
      <c r="A137" s="116" t="s">
        <v>159</v>
      </c>
      <c r="B137" s="116">
        <v>56</v>
      </c>
    </row>
    <row r="138" ht="15.75" customHeight="1" spans="1:2" x14ac:dyDescent="0.25">
      <c r="A138" s="116" t="s">
        <v>159</v>
      </c>
      <c r="B138" s="116">
        <v>57</v>
      </c>
    </row>
    <row r="139" ht="15.75" customHeight="1" spans="1:2" x14ac:dyDescent="0.25">
      <c r="A139" s="116" t="s">
        <v>159</v>
      </c>
      <c r="B139" s="116">
        <v>58</v>
      </c>
    </row>
    <row r="140" ht="16.5" customHeight="1" spans="1:2" x14ac:dyDescent="0.25">
      <c r="A140" s="116" t="s">
        <v>159</v>
      </c>
      <c r="B140" s="116">
        <v>59</v>
      </c>
    </row>
    <row r="141" ht="15.75" customHeight="1" spans="1:2" x14ac:dyDescent="0.25">
      <c r="A141" s="116" t="s">
        <v>159</v>
      </c>
      <c r="B141" s="116">
        <v>60</v>
      </c>
    </row>
    <row r="142" ht="15.75" customHeight="1" spans="1:2" x14ac:dyDescent="0.25">
      <c r="A142" s="116" t="s">
        <v>159</v>
      </c>
      <c r="B142" s="116">
        <v>61</v>
      </c>
    </row>
    <row r="143" ht="15.75" customHeight="1" spans="1:2" x14ac:dyDescent="0.25">
      <c r="A143" s="116" t="s">
        <v>159</v>
      </c>
      <c r="B143" s="116">
        <v>62</v>
      </c>
    </row>
    <row r="144" ht="15.75" customHeight="1" spans="1:2" x14ac:dyDescent="0.25">
      <c r="A144" s="116" t="s">
        <v>159</v>
      </c>
      <c r="B144" s="116">
        <v>63</v>
      </c>
    </row>
    <row r="145" ht="15.75" customHeight="1" spans="1:2" x14ac:dyDescent="0.25">
      <c r="A145" s="116" t="s">
        <v>159</v>
      </c>
      <c r="B145" s="116">
        <v>64</v>
      </c>
    </row>
    <row r="146" ht="15.75" customHeight="1" spans="1:2" x14ac:dyDescent="0.25">
      <c r="A146" s="116" t="s">
        <v>159</v>
      </c>
      <c r="B146" s="116">
        <v>65</v>
      </c>
    </row>
    <row r="147" ht="15.75" customHeight="1" spans="1:2" x14ac:dyDescent="0.25">
      <c r="A147" s="116" t="s">
        <v>159</v>
      </c>
      <c r="B147" s="116">
        <v>66</v>
      </c>
    </row>
    <row r="148" ht="15.75" customHeight="1" spans="1:2" x14ac:dyDescent="0.25">
      <c r="A148" s="116" t="s">
        <v>159</v>
      </c>
      <c r="B148" s="116">
        <v>67</v>
      </c>
    </row>
    <row r="149" ht="15.75" customHeight="1" spans="1:2" x14ac:dyDescent="0.25">
      <c r="A149" s="116" t="s">
        <v>159</v>
      </c>
      <c r="B149" s="116">
        <v>68</v>
      </c>
    </row>
    <row r="150" ht="15.75" customHeight="1" spans="1:2" x14ac:dyDescent="0.25">
      <c r="A150" s="116" t="s">
        <v>159</v>
      </c>
      <c r="B150" s="116">
        <v>69</v>
      </c>
    </row>
    <row r="151" ht="15.75" customHeight="1" spans="1:2" x14ac:dyDescent="0.25">
      <c r="A151" s="116" t="s">
        <v>159</v>
      </c>
      <c r="B151" s="116">
        <v>70</v>
      </c>
    </row>
    <row r="152" ht="15.75" customHeight="1" spans="1:2" x14ac:dyDescent="0.25">
      <c r="A152" s="116"/>
      <c r="B152" s="116"/>
    </row>
    <row r="153" ht="15.75" customHeight="1" spans="1:2" x14ac:dyDescent="0.25">
      <c r="A153" s="116"/>
      <c r="B153" s="116"/>
    </row>
    <row r="154" ht="15.75" customHeight="1" spans="1:2" x14ac:dyDescent="0.25">
      <c r="A154" s="116"/>
      <c r="B154" s="116"/>
    </row>
    <row r="155" ht="15.75" customHeight="1" spans="1:1" x14ac:dyDescent="0.25">
      <c r="A155" s="2"/>
    </row>
    <row r="156" ht="15.75" customHeight="1" spans="1:1" x14ac:dyDescent="0.25">
      <c r="A156" s="2"/>
    </row>
    <row r="157" ht="15.75" customHeight="1" spans="1:2" x14ac:dyDescent="0.25">
      <c r="A157" s="116" t="s">
        <v>161</v>
      </c>
      <c r="B157" s="116" t="s">
        <v>162</v>
      </c>
    </row>
    <row r="158" ht="15.75" customHeight="1" spans="1:2" x14ac:dyDescent="0.25">
      <c r="A158" s="116" t="s">
        <v>161</v>
      </c>
      <c r="B158" s="116" t="s">
        <v>163</v>
      </c>
    </row>
    <row r="159" ht="15.75" customHeight="1" x14ac:dyDescent="0.25"/>
    <row r="160" ht="15.75" customHeight="1" spans="1:2" x14ac:dyDescent="0.25">
      <c r="A160" s="116" t="s">
        <v>164</v>
      </c>
      <c r="B160" s="116" t="s">
        <v>165</v>
      </c>
    </row>
    <row r="161" ht="15.75" customHeight="1" spans="1:2" x14ac:dyDescent="0.25">
      <c r="A161" s="116" t="s">
        <v>164</v>
      </c>
      <c r="B161" s="116" t="s">
        <v>166</v>
      </c>
    </row>
    <row r="162" ht="15.75" customHeight="1" spans="1:1" x14ac:dyDescent="0.25">
      <c r="A162" s="2"/>
    </row>
    <row r="163" ht="15.75" customHeight="1" spans="1:1" x14ac:dyDescent="0.25">
      <c r="A163" s="2"/>
    </row>
    <row r="164" ht="15.75" customHeight="1" spans="1:1" x14ac:dyDescent="0.25">
      <c r="A164" s="2" t="s">
        <v>167</v>
      </c>
    </row>
    <row r="165" ht="15.75" customHeight="1" spans="1:1" x14ac:dyDescent="0.25">
      <c r="A165" s="126" t="s">
        <v>168</v>
      </c>
    </row>
    <row r="166" ht="15.75" customHeight="1" spans="1:1" x14ac:dyDescent="0.25">
      <c r="A166" s="126" t="s">
        <v>169</v>
      </c>
    </row>
    <row r="167" ht="15.75" customHeight="1" spans="1:1" x14ac:dyDescent="0.25">
      <c r="A167" s="126" t="s">
        <v>170</v>
      </c>
    </row>
    <row r="168" ht="15.75" customHeight="1" spans="1:1" x14ac:dyDescent="0.25">
      <c r="A168" s="126" t="s">
        <v>171</v>
      </c>
    </row>
    <row r="169" ht="15.75" customHeight="1" spans="1:1" x14ac:dyDescent="0.25">
      <c r="A169" s="126" t="s">
        <v>172</v>
      </c>
    </row>
    <row r="170" ht="15.75" customHeight="1" spans="1:1" x14ac:dyDescent="0.25">
      <c r="A170" s="126" t="s">
        <v>173</v>
      </c>
    </row>
    <row r="171" ht="15.75" customHeight="1" spans="1:1" x14ac:dyDescent="0.25">
      <c r="A171" s="126" t="s">
        <v>174</v>
      </c>
    </row>
    <row r="172" ht="15.75" customHeight="1" spans="1:1" x14ac:dyDescent="0.25">
      <c r="A172" s="126" t="s">
        <v>175</v>
      </c>
    </row>
    <row r="173" ht="15.75" customHeight="1" spans="1:1" x14ac:dyDescent="0.25">
      <c r="A173" s="126" t="s">
        <v>176</v>
      </c>
    </row>
    <row r="174" ht="15.75" customHeight="1" spans="1:1" x14ac:dyDescent="0.25">
      <c r="A174" s="126" t="s">
        <v>177</v>
      </c>
    </row>
    <row r="175" ht="15.75" customHeight="1" spans="1:1" x14ac:dyDescent="0.25">
      <c r="A175" s="126" t="s">
        <v>178</v>
      </c>
    </row>
    <row r="176" ht="15.75" customHeight="1" spans="1:1" x14ac:dyDescent="0.25">
      <c r="A176" s="126" t="s">
        <v>179</v>
      </c>
    </row>
    <row r="177" ht="15.75" customHeight="1" spans="1:1" x14ac:dyDescent="0.25">
      <c r="A177" s="126" t="s">
        <v>16</v>
      </c>
    </row>
    <row r="178" ht="15.75" customHeight="1" spans="1:1" x14ac:dyDescent="0.25">
      <c r="A178" s="126" t="s">
        <v>180</v>
      </c>
    </row>
    <row r="179" ht="15.75" customHeight="1" spans="1:1" x14ac:dyDescent="0.25">
      <c r="A179" s="126" t="s">
        <v>181</v>
      </c>
    </row>
    <row r="180" ht="15.75" customHeight="1" spans="1:1" x14ac:dyDescent="0.25">
      <c r="A180" s="126" t="s">
        <v>182</v>
      </c>
    </row>
    <row r="181" ht="15.75" customHeight="1" spans="1:1" x14ac:dyDescent="0.25">
      <c r="A181" s="126" t="s">
        <v>183</v>
      </c>
    </row>
    <row r="182" ht="16.5" customHeight="1" spans="1:1" x14ac:dyDescent="0.25">
      <c r="A182" s="126" t="s">
        <v>184</v>
      </c>
    </row>
    <row r="183" ht="16.5" customHeight="1" spans="1:3" x14ac:dyDescent="0.25">
      <c r="A183" s="126" t="s">
        <v>185</v>
      </c>
      <c r="B183" s="127"/>
      <c r="C183" s="128"/>
    </row>
    <row r="184" ht="16.5" customHeight="1" spans="1:3" x14ac:dyDescent="0.25">
      <c r="A184" s="126" t="s">
        <v>186</v>
      </c>
      <c r="B184" s="127"/>
      <c r="C184" s="128"/>
    </row>
    <row r="185" ht="16.5" customHeight="1" spans="1:2" x14ac:dyDescent="0.25">
      <c r="A185" s="126" t="s">
        <v>187</v>
      </c>
      <c r="B185" s="127"/>
    </row>
    <row r="186" ht="15.75" customHeight="1" spans="1:2" x14ac:dyDescent="0.25">
      <c r="A186" s="126" t="s">
        <v>188</v>
      </c>
      <c r="B186" s="127"/>
    </row>
    <row r="187" ht="15.75" customHeight="1" spans="1:2" x14ac:dyDescent="0.25">
      <c r="A187" s="126" t="s">
        <v>189</v>
      </c>
      <c r="B187" s="127"/>
    </row>
    <row r="188" ht="15.75" customHeight="1" spans="1:3" x14ac:dyDescent="0.25">
      <c r="A188" s="126" t="s">
        <v>190</v>
      </c>
      <c r="B188" s="127"/>
      <c r="C188" s="128"/>
    </row>
    <row r="189" ht="15.75" customHeight="1" spans="1:3" x14ac:dyDescent="0.25">
      <c r="A189" s="127"/>
      <c r="B189" s="127"/>
      <c r="C189" s="128"/>
    </row>
    <row r="190" ht="15.75" customHeight="1" spans="1:3" x14ac:dyDescent="0.25">
      <c r="A190" s="127"/>
      <c r="B190" s="127"/>
      <c r="C190" s="128"/>
    </row>
    <row r="191" ht="15.75" customHeight="1" spans="1:3" x14ac:dyDescent="0.25">
      <c r="A191" s="127"/>
      <c r="B191" s="127"/>
      <c r="C191" s="128"/>
    </row>
    <row r="192" ht="15.75" customHeight="1" spans="1:3" x14ac:dyDescent="0.25">
      <c r="A192" s="129" t="s">
        <v>191</v>
      </c>
      <c r="C192" s="130"/>
    </row>
    <row r="193" ht="15.75" customHeight="1" spans="1:3" x14ac:dyDescent="0.25">
      <c r="A193" s="129">
        <v>2.7</v>
      </c>
      <c r="C193" s="130"/>
    </row>
    <row r="194" ht="16.5" customHeight="1" spans="1:1" x14ac:dyDescent="0.25">
      <c r="A194" s="129">
        <v>2.8</v>
      </c>
    </row>
    <row r="195" ht="16.5" customHeight="1" spans="1:1" x14ac:dyDescent="0.25">
      <c r="A195" s="129">
        <v>2.9</v>
      </c>
    </row>
    <row r="196" ht="16.5" customHeight="1" spans="1:1" x14ac:dyDescent="0.25">
      <c r="A196" s="129">
        <v>3</v>
      </c>
    </row>
    <row r="197" ht="16.5" customHeight="1" spans="1:1" x14ac:dyDescent="0.25">
      <c r="A197" s="129">
        <v>3.1</v>
      </c>
    </row>
    <row r="198" ht="16.5" customHeight="1" spans="1:1" x14ac:dyDescent="0.25">
      <c r="A198" s="129">
        <v>3.2</v>
      </c>
    </row>
    <row r="199" ht="16.5" customHeight="1" spans="1:1" x14ac:dyDescent="0.25">
      <c r="A199" s="129">
        <v>3.3</v>
      </c>
    </row>
    <row r="200" ht="16.5" customHeight="1" spans="1:1" x14ac:dyDescent="0.25">
      <c r="A200" s="129">
        <v>3.4</v>
      </c>
    </row>
    <row r="201" ht="16.5" customHeight="1" spans="1:1" x14ac:dyDescent="0.25">
      <c r="A201" s="129">
        <v>3.5</v>
      </c>
    </row>
    <row r="202" ht="15.75" customHeight="1" spans="1:1" x14ac:dyDescent="0.25">
      <c r="A202" s="129">
        <v>3.6</v>
      </c>
    </row>
    <row r="203" ht="15.75" customHeight="1" spans="1:1" x14ac:dyDescent="0.25">
      <c r="A203" s="129">
        <v>3.7</v>
      </c>
    </row>
    <row r="204" ht="16.5" customHeight="1" spans="1:1" x14ac:dyDescent="0.25">
      <c r="A204" s="129">
        <v>3.8</v>
      </c>
    </row>
    <row r="205" ht="16.5" customHeight="1" spans="1:1" x14ac:dyDescent="0.25">
      <c r="A205" s="129">
        <v>3.9</v>
      </c>
    </row>
    <row r="206" ht="16.5" customHeight="1" spans="1:1" x14ac:dyDescent="0.25">
      <c r="A206" s="129">
        <v>4</v>
      </c>
    </row>
    <row r="207" ht="16.5" customHeight="1" spans="1:1" x14ac:dyDescent="0.25">
      <c r="A207" s="129">
        <v>4.1</v>
      </c>
    </row>
    <row r="208" ht="16.5" customHeight="1" spans="1:1" x14ac:dyDescent="0.25">
      <c r="A208" s="129">
        <v>4.2</v>
      </c>
    </row>
    <row r="209" ht="16.5" customHeight="1" spans="1:1" x14ac:dyDescent="0.25">
      <c r="A209" s="129">
        <v>4.3</v>
      </c>
    </row>
    <row r="210" ht="16.5" customHeight="1" spans="1:1" x14ac:dyDescent="0.25">
      <c r="A210" s="129">
        <v>4.4</v>
      </c>
    </row>
    <row r="211" ht="16.5" customHeight="1" spans="1:3" x14ac:dyDescent="0.25">
      <c r="A211" s="131">
        <v>4.5</v>
      </c>
      <c r="B211" s="132"/>
      <c r="C211" s="132"/>
    </row>
    <row r="212" ht="16.5" customHeight="1" spans="1:1" x14ac:dyDescent="0.25">
      <c r="A212" s="2"/>
    </row>
    <row r="213" ht="16.5" customHeight="1" spans="1:1" x14ac:dyDescent="0.25">
      <c r="A213" s="2"/>
    </row>
    <row r="214" ht="16.5" customHeight="1" spans="1:1" x14ac:dyDescent="0.25">
      <c r="A214" s="2"/>
    </row>
    <row r="215" ht="16.5" customHeight="1" spans="1:1" x14ac:dyDescent="0.25">
      <c r="A215" s="2"/>
    </row>
    <row r="216" ht="16.5" customHeight="1" spans="1:1" x14ac:dyDescent="0.25">
      <c r="A216" s="2"/>
    </row>
    <row r="217" ht="16.5" customHeight="1" spans="1:1" x14ac:dyDescent="0.25">
      <c r="A217" s="2"/>
    </row>
    <row r="218" ht="16.5" customHeight="1" spans="1:1" x14ac:dyDescent="0.25">
      <c r="A218" s="2"/>
    </row>
    <row r="219" ht="15.75" customHeight="1" spans="1:1" x14ac:dyDescent="0.25">
      <c r="A219" s="2"/>
    </row>
    <row r="220" ht="15.75" customHeight="1" spans="1:1" x14ac:dyDescent="0.25">
      <c r="A220" s="2"/>
    </row>
    <row r="221" ht="16.5" customHeight="1" spans="1:1" x14ac:dyDescent="0.25">
      <c r="A221" s="2"/>
    </row>
    <row r="222" ht="16.5" customHeight="1" x14ac:dyDescent="0.25"/>
    <row r="223" ht="16.5" customHeight="1" spans="1:1" x14ac:dyDescent="0.25">
      <c r="A223" s="2"/>
    </row>
    <row r="224" ht="16.5" customHeight="1" spans="1:1" x14ac:dyDescent="0.25">
      <c r="A224" s="2"/>
    </row>
    <row r="225" ht="15.75" customHeight="1" spans="1:1" x14ac:dyDescent="0.25">
      <c r="A225" s="2"/>
    </row>
    <row r="226" ht="15.75" customHeight="1" spans="1:1" x14ac:dyDescent="0.25">
      <c r="A226" s="2"/>
    </row>
    <row r="227" ht="15.75" customHeight="1" spans="1:1" x14ac:dyDescent="0.25">
      <c r="A227" s="2"/>
    </row>
    <row r="228" ht="16.5" customHeight="1" spans="1:1" x14ac:dyDescent="0.25">
      <c r="A228" s="2"/>
    </row>
    <row r="229" ht="15.75" customHeight="1" spans="1:1" x14ac:dyDescent="0.25">
      <c r="A229" s="2"/>
    </row>
    <row r="230" ht="15.75" customHeight="1" spans="1:1" x14ac:dyDescent="0.25">
      <c r="A230" s="2"/>
    </row>
    <row r="231" ht="15.75" customHeight="1" spans="1:1" x14ac:dyDescent="0.25">
      <c r="A231" s="2"/>
    </row>
    <row r="232" ht="15.75" customHeight="1" spans="1:1" x14ac:dyDescent="0.25">
      <c r="A232" s="2"/>
    </row>
    <row r="233" ht="16.5" customHeight="1" spans="1:1" x14ac:dyDescent="0.25">
      <c r="A233" s="2"/>
    </row>
    <row r="234" ht="16.5" customHeight="1" spans="1:1" x14ac:dyDescent="0.25">
      <c r="A234" s="2"/>
    </row>
    <row r="235" ht="16.5" customHeight="1" spans="1:4" x14ac:dyDescent="0.25">
      <c r="A235" s="2"/>
      <c r="D235" s="128"/>
    </row>
    <row r="236" ht="16.5" customHeight="1" spans="1:4" x14ac:dyDescent="0.25">
      <c r="A236" s="2"/>
      <c r="D236" s="133"/>
    </row>
    <row r="237" ht="16.5" customHeight="1" spans="1:4" x14ac:dyDescent="0.25">
      <c r="A237" s="2"/>
      <c r="D237" s="134"/>
    </row>
    <row r="238" ht="16.5" customHeight="1" spans="1:4" x14ac:dyDescent="0.25">
      <c r="A238" s="2"/>
      <c r="D238" s="134"/>
    </row>
    <row r="239" ht="16.5" customHeight="1" spans="1:4" x14ac:dyDescent="0.25">
      <c r="A239" s="2"/>
      <c r="D239" s="135"/>
    </row>
    <row r="240" ht="16.5" customHeight="1" spans="1:4" x14ac:dyDescent="0.25">
      <c r="A240" s="2"/>
      <c r="D240" s="128"/>
    </row>
    <row r="241" ht="16.5" customHeight="1" spans="1:4" x14ac:dyDescent="0.25">
      <c r="A241" s="2"/>
      <c r="D241" s="128"/>
    </row>
    <row r="242" ht="15.75" customHeight="1" spans="1:4" x14ac:dyDescent="0.25">
      <c r="A242" s="2"/>
      <c r="D242" s="128"/>
    </row>
    <row r="243" ht="16.5" customHeight="1" spans="1:4" x14ac:dyDescent="0.25">
      <c r="A243" s="2"/>
      <c r="D243" s="128"/>
    </row>
    <row r="244" ht="16.5" customHeight="1" spans="1:4" x14ac:dyDescent="0.25">
      <c r="A244" s="2"/>
      <c r="D244" s="130"/>
    </row>
    <row r="245" ht="16.5" customHeight="1" spans="1:4" x14ac:dyDescent="0.25">
      <c r="A245" s="2"/>
      <c r="D245" s="130"/>
    </row>
    <row r="246" ht="16.5" customHeight="1" spans="1:1" x14ac:dyDescent="0.25">
      <c r="A246" s="2"/>
    </row>
    <row r="247" ht="16.5" customHeight="1" spans="1:1" x14ac:dyDescent="0.25">
      <c r="A247" s="2"/>
    </row>
    <row r="248" ht="16.5" customHeight="1" spans="1:1" x14ac:dyDescent="0.25">
      <c r="A248" s="2"/>
    </row>
    <row r="249" ht="16.5" customHeight="1" spans="1:1" x14ac:dyDescent="0.25">
      <c r="A249" s="2"/>
    </row>
    <row r="250" ht="16.5" customHeight="1" spans="1:1" x14ac:dyDescent="0.25">
      <c r="A250" s="2"/>
    </row>
    <row r="251" ht="16.5" customHeight="1" spans="1:1" x14ac:dyDescent="0.25">
      <c r="A251" s="2"/>
    </row>
    <row r="252" ht="15.75" customHeight="1" spans="1:1" x14ac:dyDescent="0.25">
      <c r="A252" s="2"/>
    </row>
    <row r="253" ht="15.75" customHeight="1" spans="1:1" x14ac:dyDescent="0.25">
      <c r="A253" s="2"/>
    </row>
    <row r="254" ht="15.75" customHeight="1" spans="1:1" x14ac:dyDescent="0.25">
      <c r="A254" s="2"/>
    </row>
    <row r="255" ht="15.75" customHeight="1" spans="1:1" x14ac:dyDescent="0.25">
      <c r="A255" s="2"/>
    </row>
    <row r="256" ht="15.75" customHeight="1" spans="1:1" x14ac:dyDescent="0.25">
      <c r="A256" s="2"/>
    </row>
    <row r="257" ht="15.75" customHeight="1" spans="1:1" x14ac:dyDescent="0.25">
      <c r="A257" s="2"/>
    </row>
    <row r="258" ht="15.75" customHeight="1" spans="1:1" x14ac:dyDescent="0.25">
      <c r="A258" s="2"/>
    </row>
    <row r="259" ht="15.75" customHeight="1" spans="1:1" x14ac:dyDescent="0.25">
      <c r="A259" s="2"/>
    </row>
    <row r="260" ht="15.75" customHeight="1" spans="1:1" x14ac:dyDescent="0.25">
      <c r="A260" s="2"/>
    </row>
    <row r="261" ht="15.75" customHeight="1" spans="1:1" x14ac:dyDescent="0.25">
      <c r="A261" s="2"/>
    </row>
    <row r="262" ht="15.75" customHeight="1" spans="1:1" x14ac:dyDescent="0.25">
      <c r="A262" s="2"/>
    </row>
    <row r="263" ht="15.75" customHeight="1" spans="1:19" x14ac:dyDescent="0.25">
      <c r="A263" s="2"/>
      <c r="D263" s="132"/>
      <c r="Q263" s="132"/>
      <c r="R263" s="132"/>
      <c r="S263" s="132"/>
    </row>
    <row r="264" ht="15.75" customHeight="1" spans="1:16" x14ac:dyDescent="0.25">
      <c r="A264" s="2"/>
      <c r="M264" s="132"/>
      <c r="O264" s="132"/>
      <c r="P264" s="132"/>
    </row>
    <row r="265" ht="15.75" customHeight="1" spans="1:14" x14ac:dyDescent="0.25">
      <c r="A265" s="2"/>
      <c r="G265" s="132"/>
      <c r="N265" s="132"/>
    </row>
    <row r="266" ht="15.75" customHeight="1" spans="1:12" x14ac:dyDescent="0.25">
      <c r="A266" s="2"/>
      <c r="H266" s="132"/>
      <c r="I266" s="132"/>
      <c r="J266" s="132"/>
      <c r="K266" s="132"/>
      <c r="L266" s="132"/>
    </row>
    <row r="267" ht="15.75" customHeight="1" spans="1:5" x14ac:dyDescent="0.25">
      <c r="A267" s="2"/>
      <c r="E267" s="132"/>
    </row>
    <row r="268" ht="15.75" customHeight="1" spans="1:6" x14ac:dyDescent="0.25">
      <c r="A268" s="2"/>
      <c r="C268" s="136" t="s">
        <v>192</v>
      </c>
      <c r="F268" s="132"/>
    </row>
    <row r="269" ht="15.75" customHeight="1" spans="1:3" x14ac:dyDescent="0.25">
      <c r="A269" s="2"/>
      <c r="C269" s="137" t="s">
        <v>193</v>
      </c>
    </row>
    <row r="270" ht="15.75" customHeight="1" spans="1:3" x14ac:dyDescent="0.25">
      <c r="A270" s="2"/>
      <c r="C270" s="137" t="s">
        <v>194</v>
      </c>
    </row>
    <row r="271" ht="15.75" customHeight="1" spans="1:3" x14ac:dyDescent="0.25">
      <c r="A271" s="2"/>
      <c r="C271" s="137" t="s">
        <v>195</v>
      </c>
    </row>
    <row r="272" ht="15.75" customHeight="1" spans="1:3" x14ac:dyDescent="0.25">
      <c r="A272" s="2"/>
      <c r="C272" s="137" t="s">
        <v>196</v>
      </c>
    </row>
    <row r="273" ht="15.75" customHeight="1" spans="1:3" x14ac:dyDescent="0.25">
      <c r="A273" s="2"/>
      <c r="C273" s="137" t="s">
        <v>197</v>
      </c>
    </row>
    <row r="274" ht="15.75" customHeight="1" spans="1:3" x14ac:dyDescent="0.25">
      <c r="A274" s="2"/>
      <c r="C274" s="2"/>
    </row>
    <row r="275" ht="15.75" customHeight="1" spans="1:3" x14ac:dyDescent="0.25">
      <c r="A275" s="2"/>
      <c r="C275" s="2"/>
    </row>
    <row r="276" ht="15.75" customHeight="1" spans="1:3" x14ac:dyDescent="0.25">
      <c r="A276" s="2"/>
      <c r="C276" s="2"/>
    </row>
    <row r="277" ht="15.75" customHeight="1" spans="1:3" x14ac:dyDescent="0.25">
      <c r="A277" s="2"/>
      <c r="C277" s="2"/>
    </row>
    <row r="278" ht="15.75" customHeight="1" spans="1:1" x14ac:dyDescent="0.25">
      <c r="A278" s="2"/>
    </row>
    <row r="279" ht="15.75" customHeight="1" spans="1:3" x14ac:dyDescent="0.25">
      <c r="A279" s="2"/>
      <c r="B279" s="138" t="s">
        <v>198</v>
      </c>
      <c r="C279" s="139"/>
    </row>
    <row r="280" ht="15.75" customHeight="1" spans="1:3" x14ac:dyDescent="0.25">
      <c r="A280" s="2"/>
      <c r="B280" s="138" t="s">
        <v>199</v>
      </c>
      <c r="C280" s="139"/>
    </row>
    <row r="281" ht="15.75" customHeight="1" spans="1:3" x14ac:dyDescent="0.25">
      <c r="A281" s="2"/>
      <c r="B281" s="138" t="s">
        <v>200</v>
      </c>
      <c r="C281" s="139"/>
    </row>
    <row r="282" ht="15.75" customHeight="1" spans="1:3" x14ac:dyDescent="0.25">
      <c r="A282" s="2"/>
      <c r="B282" s="138" t="s">
        <v>201</v>
      </c>
      <c r="C282" s="139"/>
    </row>
    <row r="283" ht="15.75" customHeight="1" spans="1:3" x14ac:dyDescent="0.25">
      <c r="A283" s="140"/>
      <c r="B283" s="138" t="s">
        <v>202</v>
      </c>
      <c r="C283" s="139"/>
    </row>
    <row r="284" ht="15.75" customHeight="1" spans="1:1" x14ac:dyDescent="0.25">
      <c r="A284" s="2"/>
    </row>
    <row r="285" ht="15.75" customHeight="1" spans="1:3" x14ac:dyDescent="0.25">
      <c r="A285" s="2"/>
      <c r="B285" s="138" t="s">
        <v>203</v>
      </c>
      <c r="C285" s="139"/>
    </row>
    <row r="286" ht="15.75" customHeight="1" spans="1:3" x14ac:dyDescent="0.25">
      <c r="A286" s="2"/>
      <c r="B286" s="138" t="s">
        <v>204</v>
      </c>
      <c r="C286" s="139"/>
    </row>
    <row r="287" ht="15.75" customHeight="1" spans="1:3" x14ac:dyDescent="0.25">
      <c r="A287" s="2"/>
      <c r="B287" s="138" t="s">
        <v>205</v>
      </c>
      <c r="C287" s="139"/>
    </row>
    <row r="288" ht="15.75" customHeight="1" spans="1:3" x14ac:dyDescent="0.25">
      <c r="A288" s="2"/>
      <c r="B288" s="138" t="s">
        <v>206</v>
      </c>
      <c r="C288" s="139"/>
    </row>
    <row r="289" ht="15.75" customHeight="1" spans="1:3" x14ac:dyDescent="0.25">
      <c r="A289" s="2"/>
      <c r="B289" s="138" t="s">
        <v>207</v>
      </c>
      <c r="C289" s="139"/>
    </row>
    <row r="290" ht="15.75" customHeight="1" spans="1:3" x14ac:dyDescent="0.25">
      <c r="A290" s="2"/>
      <c r="B290" s="138" t="s">
        <v>208</v>
      </c>
      <c r="C290" s="139"/>
    </row>
    <row r="291" ht="15.75" customHeight="1" spans="1:3" x14ac:dyDescent="0.25">
      <c r="A291" s="2"/>
      <c r="B291" s="138" t="s">
        <v>209</v>
      </c>
      <c r="C291" s="139"/>
    </row>
    <row r="292" ht="15.75" customHeight="1" spans="1:3" x14ac:dyDescent="0.25">
      <c r="A292" s="2"/>
      <c r="B292" s="138" t="s">
        <v>210</v>
      </c>
      <c r="C292" s="139"/>
    </row>
    <row r="293" ht="15.75" customHeight="1" spans="1:3" x14ac:dyDescent="0.25">
      <c r="A293" s="2"/>
      <c r="B293" s="138" t="s">
        <v>211</v>
      </c>
      <c r="C293" s="139"/>
    </row>
    <row r="294" ht="15.75" customHeight="1" spans="1:3" x14ac:dyDescent="0.25">
      <c r="A294" s="2"/>
      <c r="B294" s="138" t="s">
        <v>212</v>
      </c>
      <c r="C294" s="139"/>
    </row>
    <row r="295" ht="15.75" customHeight="1" spans="1:3" x14ac:dyDescent="0.25">
      <c r="A295" s="2"/>
      <c r="B295" s="138" t="s">
        <v>213</v>
      </c>
      <c r="C295" s="139"/>
    </row>
    <row r="296" ht="15.75" customHeight="1" spans="1:3" x14ac:dyDescent="0.25">
      <c r="A296" s="2"/>
      <c r="B296" s="138" t="s">
        <v>214</v>
      </c>
      <c r="C296" s="139"/>
    </row>
    <row r="297" ht="15.75" customHeight="1" spans="1:3" x14ac:dyDescent="0.25">
      <c r="A297" s="2"/>
      <c r="B297" s="138" t="s">
        <v>215</v>
      </c>
      <c r="C297" s="139"/>
    </row>
    <row r="298" ht="15.75" customHeight="1" spans="1:3" x14ac:dyDescent="0.25">
      <c r="A298" s="2"/>
      <c r="B298" s="138" t="s">
        <v>216</v>
      </c>
      <c r="C298" s="139"/>
    </row>
    <row r="299" ht="15.75" customHeight="1" spans="1:3" x14ac:dyDescent="0.25">
      <c r="A299" s="2"/>
      <c r="B299" s="138" t="s">
        <v>217</v>
      </c>
      <c r="C299" s="139"/>
    </row>
    <row r="300" ht="15.75" customHeight="1" spans="1:3" x14ac:dyDescent="0.25">
      <c r="A300" s="2"/>
      <c r="B300" s="138" t="s">
        <v>218</v>
      </c>
      <c r="C300" s="139"/>
    </row>
    <row r="301" ht="15.75" customHeight="1" spans="1:3" x14ac:dyDescent="0.25">
      <c r="A301" s="2"/>
      <c r="B301" s="138" t="s">
        <v>219</v>
      </c>
      <c r="C301" s="139"/>
    </row>
    <row r="302" ht="15.75" customHeight="1" spans="1:3" x14ac:dyDescent="0.25">
      <c r="A302" s="2"/>
      <c r="B302" s="138" t="s">
        <v>220</v>
      </c>
      <c r="C302" s="139"/>
    </row>
    <row r="303" ht="15.75" customHeight="1" spans="1:3" x14ac:dyDescent="0.25">
      <c r="A303" s="2"/>
      <c r="B303" s="138" t="s">
        <v>221</v>
      </c>
      <c r="C303" s="139"/>
    </row>
    <row r="304" ht="15.75" customHeight="1" spans="1:3" x14ac:dyDescent="0.25">
      <c r="A304" s="2"/>
      <c r="B304" s="138" t="s">
        <v>222</v>
      </c>
      <c r="C304" s="139"/>
    </row>
    <row r="305" ht="15.75" customHeight="1" spans="1:3" x14ac:dyDescent="0.25">
      <c r="A305" s="2"/>
      <c r="B305" s="138" t="s">
        <v>120</v>
      </c>
      <c r="C305" s="139"/>
    </row>
    <row r="306" ht="15.75" customHeight="1" spans="1:3" x14ac:dyDescent="0.25">
      <c r="A306" s="2"/>
      <c r="B306" s="138" t="s">
        <v>223</v>
      </c>
      <c r="C306" s="139"/>
    </row>
    <row r="307" ht="15.75" customHeight="1" spans="1:3" x14ac:dyDescent="0.25">
      <c r="A307" s="2"/>
      <c r="B307" s="138" t="s">
        <v>224</v>
      </c>
      <c r="C307" s="139"/>
    </row>
    <row r="308" ht="15.75" customHeight="1" spans="1:1" x14ac:dyDescent="0.25">
      <c r="A308" s="2"/>
    </row>
    <row r="309" ht="15.75" customHeight="1" spans="1:3" x14ac:dyDescent="0.25">
      <c r="A309" s="2"/>
      <c r="B309" s="138" t="s">
        <v>225</v>
      </c>
      <c r="C309" s="139"/>
    </row>
    <row r="310" ht="15.75" customHeight="1" spans="1:1" x14ac:dyDescent="0.25">
      <c r="A310" s="2"/>
    </row>
    <row r="311" ht="15.75" customHeight="1" spans="1:1" x14ac:dyDescent="0.25">
      <c r="A311" s="2"/>
    </row>
    <row r="312" ht="15.75" customHeight="1" spans="1:1" x14ac:dyDescent="0.25">
      <c r="A312" s="2"/>
    </row>
    <row r="313" ht="15.75" customHeight="1" spans="1:1" x14ac:dyDescent="0.25">
      <c r="A313" s="2"/>
    </row>
    <row r="314" ht="15.75" customHeight="1" spans="1:1" x14ac:dyDescent="0.25">
      <c r="A314" s="2"/>
    </row>
    <row r="315" ht="15.75" customHeight="1" spans="1:1" x14ac:dyDescent="0.25">
      <c r="A315" s="2"/>
    </row>
    <row r="316" ht="15.75" customHeight="1" spans="1:1" x14ac:dyDescent="0.25">
      <c r="A316" s="2"/>
    </row>
    <row r="317" ht="15.75" customHeight="1" spans="1:1" x14ac:dyDescent="0.25">
      <c r="A317" s="2"/>
    </row>
    <row r="318" ht="15.75" customHeight="1" spans="1:4" x14ac:dyDescent="0.25">
      <c r="A318" s="2"/>
      <c r="D318" s="2"/>
    </row>
    <row r="319" ht="15.75" customHeight="1" spans="1:1" x14ac:dyDescent="0.25">
      <c r="A319" s="2"/>
    </row>
    <row r="320" ht="15.75" customHeight="1" spans="1:4" x14ac:dyDescent="0.25">
      <c r="A320" s="2"/>
      <c r="D320" s="141"/>
    </row>
    <row r="321" ht="15.75" customHeight="1" spans="1:4" x14ac:dyDescent="0.25">
      <c r="A321" s="2"/>
      <c r="D321" s="142"/>
    </row>
    <row r="322" ht="15.75" customHeight="1" spans="1:4" x14ac:dyDescent="0.25">
      <c r="A322" s="2"/>
      <c r="D322" s="142"/>
    </row>
    <row r="323" ht="15.75" customHeight="1" spans="1:4" x14ac:dyDescent="0.25">
      <c r="A323" s="2"/>
      <c r="D323" s="142"/>
    </row>
    <row r="324" ht="15.75" customHeight="1" spans="1:4" x14ac:dyDescent="0.25">
      <c r="A324" s="2"/>
      <c r="D324" s="142"/>
    </row>
    <row r="325" ht="15.75" customHeight="1" spans="1:4" x14ac:dyDescent="0.25">
      <c r="A325" s="2"/>
      <c r="D325" s="143"/>
    </row>
    <row r="326" ht="15.75" customHeight="1" spans="1:4" x14ac:dyDescent="0.25">
      <c r="A326" s="2"/>
      <c r="D326" s="2"/>
    </row>
    <row r="327" ht="15.75" customHeight="1" spans="1:4" x14ac:dyDescent="0.25">
      <c r="A327" s="2"/>
      <c r="D327" s="2"/>
    </row>
    <row r="328" ht="15.75" customHeight="1" spans="1:4" x14ac:dyDescent="0.25">
      <c r="A328" s="2"/>
      <c r="D328" s="2"/>
    </row>
    <row r="329" ht="15.75" customHeight="1" spans="1:4" x14ac:dyDescent="0.25">
      <c r="A329" s="2"/>
      <c r="D329" s="2"/>
    </row>
    <row r="330" ht="15.75" customHeight="1" spans="1:1" x14ac:dyDescent="0.25">
      <c r="A330" s="2"/>
    </row>
    <row r="331" ht="15.75" customHeight="1" spans="1:4" x14ac:dyDescent="0.25">
      <c r="A331" s="2"/>
      <c r="D331" s="144"/>
    </row>
    <row r="332" ht="15.75" customHeight="1" spans="1:4" x14ac:dyDescent="0.25">
      <c r="A332" s="2"/>
      <c r="D332" s="145"/>
    </row>
    <row r="333" ht="15.75" customHeight="1" spans="1:4" x14ac:dyDescent="0.25">
      <c r="A333" s="2"/>
      <c r="D333" s="146"/>
    </row>
    <row r="334" ht="15.75" customHeight="1" spans="1:4" x14ac:dyDescent="0.25">
      <c r="A334" s="2"/>
      <c r="D334" s="146"/>
    </row>
    <row r="335" ht="15.75" customHeight="1" spans="1:4" x14ac:dyDescent="0.25">
      <c r="A335" s="2"/>
      <c r="D335" s="147"/>
    </row>
    <row r="336" ht="15.75" customHeight="1" spans="1:4" x14ac:dyDescent="0.25">
      <c r="A336" s="2"/>
      <c r="D336" s="148"/>
    </row>
    <row r="337" ht="15.75" customHeight="1" spans="1:4" x14ac:dyDescent="0.25">
      <c r="A337" s="2"/>
      <c r="D337" s="149"/>
    </row>
    <row r="338" ht="15" customHeight="1" hidden="1" spans="1:4" x14ac:dyDescent="0.25">
      <c r="A338" s="2"/>
      <c r="D338" s="149"/>
    </row>
    <row r="339" ht="15.75" customHeight="1" spans="1:4" x14ac:dyDescent="0.25">
      <c r="A339" s="2"/>
      <c r="D339" s="149"/>
    </row>
    <row r="340" ht="15" customHeight="1" spans="1:4" x14ac:dyDescent="0.25">
      <c r="A340" s="2"/>
      <c r="D340" s="149"/>
    </row>
    <row r="341" ht="15.75" customHeight="1" spans="1:4" x14ac:dyDescent="0.25">
      <c r="A341" s="2"/>
      <c r="D341" s="149"/>
    </row>
    <row r="342" ht="15.75" customHeight="1" spans="1:4" x14ac:dyDescent="0.25">
      <c r="A342" s="2"/>
      <c r="D342" s="149"/>
    </row>
    <row r="343" ht="15.75" customHeight="1" spans="1:4" x14ac:dyDescent="0.25">
      <c r="A343" s="2"/>
      <c r="D343" s="149"/>
    </row>
    <row r="344" ht="15" customHeight="1" spans="1:4" x14ac:dyDescent="0.25">
      <c r="A344" s="2"/>
      <c r="D344" s="149"/>
    </row>
    <row r="345" ht="15.75" customHeight="1" spans="1:4" x14ac:dyDescent="0.25">
      <c r="A345" s="2"/>
      <c r="D345" s="149"/>
    </row>
    <row r="346" ht="15.75" customHeight="1" spans="1:4" x14ac:dyDescent="0.25">
      <c r="A346" s="2"/>
      <c r="D346" s="149"/>
    </row>
    <row r="347" ht="15.75" customHeight="1" spans="1:4" x14ac:dyDescent="0.25">
      <c r="A347" s="2"/>
      <c r="D347" s="149"/>
    </row>
    <row r="348" ht="15" customHeight="1" spans="1:4" x14ac:dyDescent="0.25">
      <c r="A348" s="2"/>
      <c r="D348" s="149"/>
    </row>
    <row r="349" ht="15.75" customHeight="1" spans="1:4" x14ac:dyDescent="0.25">
      <c r="A349" s="2"/>
      <c r="D349" s="149"/>
    </row>
    <row r="350" ht="15.75" customHeight="1" spans="1:4" x14ac:dyDescent="0.25">
      <c r="A350" s="2"/>
      <c r="D350" s="149"/>
    </row>
    <row r="351" ht="15.75" customHeight="1" spans="1:4" x14ac:dyDescent="0.25">
      <c r="A351" s="2"/>
      <c r="D351" s="149"/>
    </row>
    <row r="352" ht="15.75" customHeight="1" spans="1:4" x14ac:dyDescent="0.25">
      <c r="A352" s="2"/>
      <c r="D352" s="149"/>
    </row>
    <row r="353" ht="15" customHeight="1" spans="1:4" x14ac:dyDescent="0.25">
      <c r="A353" s="2"/>
      <c r="D353" s="149"/>
    </row>
    <row r="354" ht="15.75" customHeight="1" spans="1:4" x14ac:dyDescent="0.25">
      <c r="A354" s="2"/>
      <c r="D354" s="149"/>
    </row>
    <row r="355" ht="15.75" customHeight="1" spans="1:4" x14ac:dyDescent="0.25">
      <c r="A355" s="2"/>
      <c r="D355" s="149"/>
    </row>
    <row r="356" ht="15.75" customHeight="1" spans="1:4" x14ac:dyDescent="0.25">
      <c r="A356" s="2"/>
      <c r="D356" s="149"/>
    </row>
    <row r="357" ht="15.75" customHeight="1" spans="1:4" x14ac:dyDescent="0.25">
      <c r="A357" s="2"/>
      <c r="D357" s="149"/>
    </row>
    <row r="358" ht="15.75" customHeight="1" spans="1:4" x14ac:dyDescent="0.25">
      <c r="A358" s="2"/>
      <c r="D358" s="149"/>
    </row>
    <row r="359" ht="15" customHeight="1" spans="1:4" x14ac:dyDescent="0.25">
      <c r="A359" s="2"/>
      <c r="D359" s="150"/>
    </row>
    <row r="360" ht="15.75" customHeight="1" spans="1:4" x14ac:dyDescent="0.25">
      <c r="A360" s="2"/>
      <c r="D360" s="125"/>
    </row>
    <row r="361" ht="15.75" customHeight="1" spans="1:19" x14ac:dyDescent="0.25">
      <c r="A361" s="2"/>
      <c r="D361" s="125"/>
      <c r="Q361" s="151"/>
      <c r="R361" s="151"/>
      <c r="S361" s="151"/>
    </row>
    <row r="362" ht="15" customHeight="1" spans="1:16" x14ac:dyDescent="0.25">
      <c r="A362" s="2"/>
      <c r="D362" s="125"/>
      <c r="M362" s="151"/>
      <c r="O362" s="151"/>
      <c r="P362" s="151"/>
    </row>
    <row r="363" ht="15.75" customHeight="1" spans="1:14" x14ac:dyDescent="0.25">
      <c r="A363" s="2"/>
      <c r="G363" s="151"/>
      <c r="N363" s="151"/>
    </row>
    <row r="364" ht="15.75" customHeight="1" spans="1:12" x14ac:dyDescent="0.25">
      <c r="A364" s="2"/>
      <c r="H364" s="151"/>
      <c r="I364" s="151"/>
      <c r="J364" s="151"/>
      <c r="K364" s="151"/>
      <c r="L364" s="151"/>
    </row>
    <row r="365" ht="15.75" customHeight="1" spans="1:5" x14ac:dyDescent="0.25">
      <c r="A365" s="2"/>
      <c r="E365" s="151"/>
    </row>
    <row r="366" ht="15" customHeight="1" spans="1:6" x14ac:dyDescent="0.25">
      <c r="A366" s="2"/>
      <c r="F366" s="151"/>
    </row>
    <row r="367" ht="15.75" customHeight="1" spans="1:1" x14ac:dyDescent="0.25">
      <c r="A367" s="2"/>
    </row>
    <row r="368" ht="15.75" customHeight="1" spans="1:1" x14ac:dyDescent="0.25">
      <c r="A368" s="2"/>
    </row>
    <row r="369" ht="15.75" customHeight="1" spans="1:1" x14ac:dyDescent="0.25">
      <c r="A369" s="2"/>
    </row>
    <row r="370" ht="15.75" customHeight="1" spans="1:1" x14ac:dyDescent="0.25">
      <c r="A370" s="2"/>
    </row>
    <row r="371" ht="15.75" customHeight="1" spans="1:1" x14ac:dyDescent="0.25">
      <c r="A371" s="2"/>
    </row>
    <row r="372" ht="15.75" customHeight="1" spans="1:1" x14ac:dyDescent="0.25">
      <c r="A372" s="2"/>
    </row>
    <row r="373" ht="15.75" customHeight="1" spans="1:1" x14ac:dyDescent="0.25">
      <c r="A373" s="2"/>
    </row>
    <row r="374" ht="15.75" customHeight="1" spans="1:1" x14ac:dyDescent="0.25">
      <c r="A374" s="2"/>
    </row>
    <row r="375" ht="15.75" customHeight="1" spans="1:1" x14ac:dyDescent="0.25">
      <c r="A375" s="2"/>
    </row>
    <row r="376" ht="15.75" customHeight="1" spans="1:1" x14ac:dyDescent="0.25">
      <c r="A376" s="2"/>
    </row>
    <row r="377" ht="15.75" customHeight="1" spans="1:1" x14ac:dyDescent="0.25">
      <c r="A377" s="2"/>
    </row>
    <row r="378" ht="15.75" customHeight="1" spans="1:1" x14ac:dyDescent="0.25">
      <c r="A378" s="2"/>
    </row>
    <row r="379" ht="15.75" customHeight="1" spans="1:1" x14ac:dyDescent="0.25">
      <c r="A379" s="2"/>
    </row>
    <row r="380" ht="15.75" customHeight="1" spans="1:1" x14ac:dyDescent="0.25">
      <c r="A380" s="2"/>
    </row>
    <row r="381" ht="15.75" customHeight="1" spans="1:1" x14ac:dyDescent="0.25">
      <c r="A381" s="2"/>
    </row>
    <row r="382" ht="15.75" customHeight="1" spans="1:1" x14ac:dyDescent="0.25">
      <c r="A382" s="2"/>
    </row>
    <row r="383" ht="15.75" customHeight="1" spans="1:1" x14ac:dyDescent="0.25">
      <c r="A383" s="2"/>
    </row>
    <row r="384" ht="15.75" customHeight="1" spans="1:1" x14ac:dyDescent="0.25">
      <c r="A384" s="2"/>
    </row>
    <row r="385" ht="15.75" customHeight="1" spans="1:1" x14ac:dyDescent="0.25">
      <c r="A385" s="2"/>
    </row>
    <row r="386" ht="15.75" customHeight="1" spans="1:1" x14ac:dyDescent="0.25">
      <c r="A386" s="2"/>
    </row>
    <row r="387" ht="15.75" customHeight="1" spans="1:1" x14ac:dyDescent="0.25">
      <c r="A387" s="2"/>
    </row>
    <row r="388" ht="15.75" customHeight="1" spans="1:1" x14ac:dyDescent="0.25">
      <c r="A388" s="2"/>
    </row>
    <row r="389" ht="15.75" customHeight="1" spans="1:1" x14ac:dyDescent="0.25">
      <c r="A389" s="2"/>
    </row>
    <row r="390" ht="15.75" customHeight="1" spans="1:1" x14ac:dyDescent="0.25">
      <c r="A390" s="2"/>
    </row>
    <row r="391" ht="15.75" customHeight="1" spans="1:1" x14ac:dyDescent="0.25">
      <c r="A391" s="2"/>
    </row>
    <row r="392" ht="15.75" customHeight="1" spans="1:1" x14ac:dyDescent="0.25">
      <c r="A392" s="2"/>
    </row>
    <row r="393" ht="15.75" customHeight="1" spans="1:1" x14ac:dyDescent="0.25">
      <c r="A393" s="2"/>
    </row>
    <row r="394" ht="15.75" customHeight="1" spans="1:1" x14ac:dyDescent="0.25">
      <c r="A394" s="2"/>
    </row>
    <row r="395" ht="15.75" customHeight="1" spans="1:1" x14ac:dyDescent="0.25">
      <c r="A395" s="2"/>
    </row>
    <row r="396" ht="15.75" customHeight="1" spans="1:1" x14ac:dyDescent="0.25">
      <c r="A396" s="2"/>
    </row>
    <row r="397" ht="15.75" customHeight="1" spans="1:1" x14ac:dyDescent="0.25">
      <c r="A397" s="2"/>
    </row>
    <row r="398" ht="15.75" customHeight="1" spans="1:1" x14ac:dyDescent="0.25">
      <c r="A398" s="2"/>
    </row>
    <row r="399" ht="15.75" customHeight="1" spans="1:1" x14ac:dyDescent="0.25">
      <c r="A399" s="2"/>
    </row>
    <row r="400" ht="15.75" customHeight="1" spans="1:1" x14ac:dyDescent="0.25">
      <c r="A400" s="2"/>
    </row>
    <row r="401" ht="15.75" customHeight="1" spans="1:1" x14ac:dyDescent="0.25">
      <c r="A401" s="2"/>
    </row>
    <row r="402" ht="15.75" customHeight="1" spans="1:1" x14ac:dyDescent="0.25">
      <c r="A402" s="2"/>
    </row>
    <row r="403" ht="15.75" customHeight="1" spans="1:1" x14ac:dyDescent="0.25">
      <c r="A403" s="2"/>
    </row>
    <row r="404" ht="15.75" customHeight="1" spans="1:1" x14ac:dyDescent="0.25">
      <c r="A404" s="2"/>
    </row>
    <row r="405" ht="15.75" customHeight="1" spans="1:1" x14ac:dyDescent="0.25">
      <c r="A405" s="2"/>
    </row>
    <row r="406" ht="15.75" customHeight="1" spans="1:1" x14ac:dyDescent="0.25">
      <c r="A406" s="2"/>
    </row>
    <row r="407" ht="15.75" customHeight="1" spans="1:1" x14ac:dyDescent="0.25">
      <c r="A407" s="2"/>
    </row>
    <row r="408" ht="15.75" customHeight="1" spans="1:1" x14ac:dyDescent="0.25">
      <c r="A408" s="2"/>
    </row>
    <row r="409" ht="15.75" customHeight="1" spans="1:1" x14ac:dyDescent="0.25">
      <c r="A409" s="2"/>
    </row>
    <row r="410" ht="15.75" customHeight="1" spans="1:1" x14ac:dyDescent="0.25">
      <c r="A410" s="2"/>
    </row>
    <row r="411" ht="15.75" customHeight="1" spans="1:1" x14ac:dyDescent="0.25">
      <c r="A411" s="2"/>
    </row>
    <row r="412" ht="15.75" customHeight="1" spans="1:1" x14ac:dyDescent="0.25">
      <c r="A412" s="2"/>
    </row>
    <row r="413" ht="15.75" customHeight="1" spans="1:1" x14ac:dyDescent="0.25">
      <c r="A413" s="2"/>
    </row>
    <row r="414" ht="15.75" customHeight="1" spans="1:1" x14ac:dyDescent="0.25">
      <c r="A414" s="2"/>
    </row>
    <row r="415" ht="15.75" customHeight="1" spans="1:1" x14ac:dyDescent="0.25">
      <c r="A415" s="2"/>
    </row>
    <row r="416" ht="15.75" customHeight="1" spans="1:1" x14ac:dyDescent="0.25">
      <c r="A416" s="2"/>
    </row>
    <row r="417" ht="15.75" customHeight="1" spans="1:1" x14ac:dyDescent="0.25">
      <c r="A417" s="2"/>
    </row>
    <row r="418" ht="15.75" customHeight="1" spans="1:1" x14ac:dyDescent="0.25">
      <c r="A418" s="2"/>
    </row>
    <row r="419" ht="15.75" customHeight="1" spans="1:1" x14ac:dyDescent="0.25">
      <c r="A419" s="2"/>
    </row>
    <row r="420" ht="15.75" customHeight="1" spans="1:1" x14ac:dyDescent="0.25">
      <c r="A420" s="2"/>
    </row>
    <row r="421" ht="15.75" customHeight="1" spans="1:1" x14ac:dyDescent="0.25">
      <c r="A421" s="2"/>
    </row>
    <row r="422" ht="15.75" customHeight="1" spans="1:1" x14ac:dyDescent="0.25">
      <c r="A422" s="2"/>
    </row>
    <row r="423" ht="15.75" customHeight="1" spans="1:1" x14ac:dyDescent="0.25">
      <c r="A423" s="2"/>
    </row>
    <row r="424" ht="15.75" customHeight="1" spans="1:1" x14ac:dyDescent="0.25">
      <c r="A424" s="2"/>
    </row>
    <row r="425" ht="15.75" customHeight="1" spans="1:1" x14ac:dyDescent="0.25">
      <c r="A425" s="2"/>
    </row>
    <row r="426" ht="15.75" customHeight="1" spans="1:1" x14ac:dyDescent="0.25">
      <c r="A426" s="2"/>
    </row>
    <row r="427" ht="15.75" customHeight="1" spans="1:1" x14ac:dyDescent="0.25">
      <c r="A427" s="2"/>
    </row>
    <row r="428" ht="15.75" customHeight="1" spans="1:1" x14ac:dyDescent="0.25">
      <c r="A428" s="2"/>
    </row>
    <row r="429" ht="15.75" customHeight="1" spans="1:1" x14ac:dyDescent="0.25">
      <c r="A429" s="2"/>
    </row>
    <row r="430" ht="15.75" customHeight="1" spans="1:1" x14ac:dyDescent="0.25">
      <c r="A430" s="2"/>
    </row>
    <row r="431" ht="15.75" customHeight="1" spans="1:1" x14ac:dyDescent="0.25">
      <c r="A431" s="2"/>
    </row>
    <row r="432" ht="15.75" customHeight="1" spans="1:1" x14ac:dyDescent="0.25">
      <c r="A432" s="2"/>
    </row>
    <row r="433" ht="15.75" customHeight="1" spans="1:1" x14ac:dyDescent="0.25">
      <c r="A433" s="2"/>
    </row>
    <row r="434" ht="15.75" customHeight="1" spans="1:1" x14ac:dyDescent="0.25">
      <c r="A434" s="2"/>
    </row>
    <row r="435" ht="15.75" customHeight="1" spans="1:1" x14ac:dyDescent="0.25">
      <c r="A435" s="2"/>
    </row>
    <row r="436" ht="15.75" customHeight="1" spans="1:1" x14ac:dyDescent="0.25">
      <c r="A436" s="2"/>
    </row>
    <row r="437" ht="15.75" customHeight="1" spans="1:1" x14ac:dyDescent="0.25">
      <c r="A437" s="2"/>
    </row>
    <row r="438" ht="15.75" customHeight="1" spans="1:1" x14ac:dyDescent="0.25">
      <c r="A438" s="2"/>
    </row>
    <row r="439" ht="15.75" customHeight="1" spans="1:1" x14ac:dyDescent="0.25">
      <c r="A439" s="2"/>
    </row>
    <row r="440" ht="15.75" customHeight="1" spans="1:1" x14ac:dyDescent="0.25">
      <c r="A440" s="2"/>
    </row>
    <row r="441" ht="15.75" customHeight="1" spans="1:1" x14ac:dyDescent="0.25">
      <c r="A441" s="2"/>
    </row>
    <row r="442" ht="15.75" customHeight="1" spans="1:1" x14ac:dyDescent="0.25">
      <c r="A442" s="2"/>
    </row>
    <row r="443" ht="15.75" customHeight="1" spans="1:1" x14ac:dyDescent="0.25">
      <c r="A443" s="2"/>
    </row>
    <row r="444" ht="15.75" customHeight="1" spans="1:1" x14ac:dyDescent="0.25">
      <c r="A444" s="2"/>
    </row>
    <row r="445" ht="15.75" customHeight="1" spans="1:1" x14ac:dyDescent="0.25">
      <c r="A445" s="2"/>
    </row>
    <row r="446" ht="15.75" customHeight="1" spans="1:1" x14ac:dyDescent="0.25">
      <c r="A446" s="2"/>
    </row>
    <row r="447" ht="15.75" customHeight="1" spans="1:1" x14ac:dyDescent="0.25">
      <c r="A447" s="2"/>
    </row>
    <row r="448" ht="15.75" customHeight="1" spans="1:1" x14ac:dyDescent="0.25">
      <c r="A448" s="2"/>
    </row>
    <row r="449" ht="15.75" customHeight="1" spans="1:1" x14ac:dyDescent="0.25">
      <c r="A449" s="2"/>
    </row>
    <row r="450" ht="15.75" customHeight="1" spans="1:1" x14ac:dyDescent="0.25">
      <c r="A450" s="2"/>
    </row>
    <row r="451" ht="15.75" customHeight="1" spans="1:1" x14ac:dyDescent="0.25">
      <c r="A451" s="2"/>
    </row>
    <row r="452" ht="15.75" customHeight="1" spans="1:1" x14ac:dyDescent="0.25">
      <c r="A452" s="2"/>
    </row>
    <row r="453" ht="15.75" customHeight="1" spans="1:1" x14ac:dyDescent="0.25">
      <c r="A453" s="2"/>
    </row>
    <row r="454" ht="15.75" customHeight="1" spans="1:1" x14ac:dyDescent="0.25">
      <c r="A454" s="2"/>
    </row>
    <row r="455" ht="15.75" customHeight="1" spans="1:1" x14ac:dyDescent="0.25">
      <c r="A455" s="2"/>
    </row>
    <row r="456" ht="15.75" customHeight="1" spans="1:1" x14ac:dyDescent="0.25">
      <c r="A456" s="2"/>
    </row>
    <row r="457" ht="15.75" customHeight="1" spans="1:1" x14ac:dyDescent="0.25">
      <c r="A457" s="2"/>
    </row>
    <row r="458" ht="15.75" customHeight="1" spans="1:1" x14ac:dyDescent="0.25">
      <c r="A458" s="2"/>
    </row>
    <row r="459" ht="15.75" customHeight="1" spans="1:1" x14ac:dyDescent="0.25">
      <c r="A459" s="2"/>
    </row>
    <row r="460" ht="15.75" customHeight="1" spans="1:1" x14ac:dyDescent="0.25">
      <c r="A460" s="2"/>
    </row>
    <row r="461" ht="15.75" customHeight="1" spans="1:1" x14ac:dyDescent="0.25">
      <c r="A461" s="2"/>
    </row>
    <row r="462" ht="15.75" customHeight="1" spans="1:1" x14ac:dyDescent="0.25">
      <c r="A462" s="2"/>
    </row>
    <row r="463" ht="15.75" customHeight="1" spans="1:1" x14ac:dyDescent="0.25">
      <c r="A463" s="2"/>
    </row>
    <row r="464" ht="15.75" customHeight="1" spans="1:1" x14ac:dyDescent="0.25">
      <c r="A464" s="2"/>
    </row>
    <row r="465" ht="15.75" customHeight="1" spans="1:1" x14ac:dyDescent="0.25">
      <c r="A465" s="2"/>
    </row>
    <row r="466" ht="15.75" customHeight="1" spans="1:1" x14ac:dyDescent="0.25">
      <c r="A466" s="2"/>
    </row>
    <row r="467" ht="15.75" customHeight="1" spans="1:1" x14ac:dyDescent="0.25">
      <c r="A467" s="2"/>
    </row>
    <row r="468" ht="15.75" customHeight="1" spans="1:1" x14ac:dyDescent="0.25">
      <c r="A468" s="2"/>
    </row>
    <row r="469" ht="15.75" customHeight="1" spans="1:1" x14ac:dyDescent="0.25">
      <c r="A469" s="2"/>
    </row>
    <row r="470" ht="15.75" customHeight="1" spans="1:1" x14ac:dyDescent="0.25">
      <c r="A470" s="2"/>
    </row>
    <row r="471" ht="15.75" customHeight="1" spans="1:1" x14ac:dyDescent="0.25">
      <c r="A471" s="2"/>
    </row>
    <row r="472" ht="15.75" customHeight="1" spans="1:1" x14ac:dyDescent="0.25">
      <c r="A472" s="2"/>
    </row>
    <row r="473" ht="15.75" customHeight="1" spans="1:1" x14ac:dyDescent="0.25">
      <c r="A473" s="2"/>
    </row>
    <row r="474" ht="15.75" customHeight="1" spans="1:1" x14ac:dyDescent="0.25">
      <c r="A474" s="2"/>
    </row>
    <row r="475" ht="15.75" customHeight="1" spans="1:1" x14ac:dyDescent="0.25">
      <c r="A475" s="2"/>
    </row>
    <row r="476" ht="15.75" customHeight="1" spans="1:1" x14ac:dyDescent="0.25">
      <c r="A476" s="2"/>
    </row>
    <row r="477" ht="15.75" customHeight="1" spans="1:1" x14ac:dyDescent="0.25">
      <c r="A477" s="2"/>
    </row>
    <row r="478" ht="15.75" customHeight="1" spans="1:1" x14ac:dyDescent="0.25">
      <c r="A478" s="2"/>
    </row>
    <row r="479" ht="15.75" customHeight="1" spans="1:1" x14ac:dyDescent="0.25">
      <c r="A479" s="2"/>
    </row>
    <row r="480" ht="15.75" customHeight="1" spans="1:1" x14ac:dyDescent="0.25">
      <c r="A480" s="2"/>
    </row>
    <row r="481" ht="15.75" customHeight="1" spans="1:1" x14ac:dyDescent="0.25">
      <c r="A481" s="2"/>
    </row>
    <row r="482" ht="15.75" customHeight="1" spans="1:1" x14ac:dyDescent="0.25">
      <c r="A482" s="2"/>
    </row>
    <row r="483" ht="15.75" customHeight="1" spans="1:1" x14ac:dyDescent="0.25">
      <c r="A483" s="2"/>
    </row>
    <row r="484" ht="15.75" customHeight="1" spans="1:1" x14ac:dyDescent="0.25">
      <c r="A484" s="2"/>
    </row>
    <row r="485" ht="15.75" customHeight="1" spans="1:1" x14ac:dyDescent="0.25">
      <c r="A485" s="2"/>
    </row>
    <row r="486" ht="15.75" customHeight="1" spans="1:1" x14ac:dyDescent="0.25">
      <c r="A486" s="2"/>
    </row>
    <row r="487" ht="15.75" customHeight="1" spans="1:1" x14ac:dyDescent="0.25">
      <c r="A487" s="2"/>
    </row>
    <row r="488" ht="15.75" customHeight="1" spans="1:1" x14ac:dyDescent="0.25">
      <c r="A488" s="2"/>
    </row>
    <row r="489" ht="15.75" customHeight="1" spans="1:1" x14ac:dyDescent="0.25">
      <c r="A489" s="2"/>
    </row>
    <row r="490" ht="15.75" customHeight="1" spans="1:1" x14ac:dyDescent="0.25">
      <c r="A490" s="2"/>
    </row>
    <row r="491" ht="15.75" customHeight="1" spans="1:1" x14ac:dyDescent="0.25">
      <c r="A491" s="2"/>
    </row>
    <row r="492" ht="15.75" customHeight="1" spans="1:1" x14ac:dyDescent="0.25">
      <c r="A492" s="2"/>
    </row>
    <row r="493" ht="15.75" customHeight="1" spans="1:1" x14ac:dyDescent="0.25">
      <c r="A493" s="2"/>
    </row>
    <row r="494" ht="15.75" customHeight="1" spans="1:1" x14ac:dyDescent="0.25">
      <c r="A494" s="2"/>
    </row>
    <row r="495" ht="15.75" customHeight="1" spans="1:1" x14ac:dyDescent="0.25">
      <c r="A495" s="2"/>
    </row>
    <row r="496" ht="15.75" customHeight="1" spans="1:1" x14ac:dyDescent="0.25">
      <c r="A496" s="2"/>
    </row>
    <row r="497" ht="15.75" customHeight="1" spans="1:1" x14ac:dyDescent="0.25">
      <c r="A497" s="2"/>
    </row>
    <row r="498" ht="15.75" customHeight="1" spans="1:1" x14ac:dyDescent="0.25">
      <c r="A498" s="2"/>
    </row>
    <row r="499" ht="15.75" customHeight="1" spans="1:1" x14ac:dyDescent="0.25">
      <c r="A499" s="2"/>
    </row>
    <row r="500" ht="15.75" customHeight="1" spans="1:1" x14ac:dyDescent="0.25">
      <c r="A500" s="2"/>
    </row>
    <row r="501" ht="15.75" customHeight="1" spans="1:1" x14ac:dyDescent="0.25">
      <c r="A501" s="2"/>
    </row>
    <row r="502" ht="15.75" customHeight="1" spans="1:1" x14ac:dyDescent="0.25">
      <c r="A502" s="2"/>
    </row>
    <row r="503" ht="15.75" customHeight="1" spans="1:1" x14ac:dyDescent="0.25">
      <c r="A503" s="2"/>
    </row>
    <row r="504" ht="15.75" customHeight="1" spans="1:1" x14ac:dyDescent="0.25">
      <c r="A504" s="2"/>
    </row>
    <row r="505" ht="15.75" customHeight="1" spans="1:1" x14ac:dyDescent="0.25">
      <c r="A505" s="2"/>
    </row>
    <row r="506" ht="15.75" customHeight="1" spans="1:1" x14ac:dyDescent="0.25">
      <c r="A506" s="2"/>
    </row>
    <row r="507" ht="15.75" customHeight="1" spans="1:1" x14ac:dyDescent="0.25">
      <c r="A507" s="2"/>
    </row>
    <row r="508" ht="15.75" customHeight="1" spans="1:1" x14ac:dyDescent="0.25">
      <c r="A508" s="2"/>
    </row>
    <row r="509" ht="15.75" customHeight="1" spans="1:1" x14ac:dyDescent="0.25">
      <c r="A509" s="2"/>
    </row>
    <row r="510" ht="15.75" customHeight="1" spans="1:1" x14ac:dyDescent="0.25">
      <c r="A510" s="2"/>
    </row>
    <row r="511" ht="15.75" customHeight="1" spans="1:1" x14ac:dyDescent="0.25">
      <c r="A511" s="2"/>
    </row>
    <row r="512" ht="15.75" customHeight="1" spans="1:1" x14ac:dyDescent="0.25">
      <c r="A512" s="2"/>
    </row>
    <row r="513" ht="15.75" customHeight="1" spans="1:1" x14ac:dyDescent="0.25">
      <c r="A513" s="2"/>
    </row>
    <row r="514" ht="15.75" customHeight="1" spans="1:1" x14ac:dyDescent="0.25">
      <c r="A514" s="2"/>
    </row>
    <row r="515" ht="15.75" customHeight="1" spans="1:1" x14ac:dyDescent="0.25">
      <c r="A515" s="2"/>
    </row>
    <row r="516" ht="15.75" customHeight="1" spans="1:1" x14ac:dyDescent="0.25">
      <c r="A516" s="2"/>
    </row>
    <row r="517" ht="15.75" customHeight="1" spans="1:1" x14ac:dyDescent="0.25">
      <c r="A517" s="2"/>
    </row>
    <row r="518" ht="15.75" customHeight="1" spans="1:1" x14ac:dyDescent="0.25">
      <c r="A518" s="2"/>
    </row>
    <row r="519" ht="15.75" customHeight="1" spans="1:1" x14ac:dyDescent="0.25">
      <c r="A519" s="2"/>
    </row>
    <row r="520" ht="15.75" customHeight="1" spans="1:1" x14ac:dyDescent="0.25">
      <c r="A520" s="2"/>
    </row>
    <row r="521" ht="15.75" customHeight="1" spans="1:1" x14ac:dyDescent="0.25">
      <c r="A521" s="2"/>
    </row>
    <row r="522" ht="15.75" customHeight="1" spans="1:1" x14ac:dyDescent="0.25">
      <c r="A522" s="2"/>
    </row>
    <row r="523" ht="15.75" customHeight="1" spans="1:1" x14ac:dyDescent="0.25">
      <c r="A523" s="2"/>
    </row>
    <row r="524" ht="15.75" customHeight="1" spans="1:1" x14ac:dyDescent="0.25">
      <c r="A524" s="2"/>
    </row>
    <row r="525" ht="15.75" customHeight="1" spans="1:1" x14ac:dyDescent="0.25">
      <c r="A525" s="2"/>
    </row>
    <row r="526" ht="15.75" customHeight="1" spans="1:1" x14ac:dyDescent="0.25">
      <c r="A526" s="2"/>
    </row>
    <row r="527" ht="15.75" customHeight="1" spans="1:1" x14ac:dyDescent="0.25">
      <c r="A527" s="2"/>
    </row>
    <row r="528" ht="15.75" customHeight="1" spans="1:1" x14ac:dyDescent="0.25">
      <c r="A528" s="2"/>
    </row>
    <row r="529" ht="15.75" customHeight="1" spans="1:1" x14ac:dyDescent="0.25">
      <c r="A529" s="2"/>
    </row>
    <row r="530" ht="15.75" customHeight="1" spans="1:1" x14ac:dyDescent="0.25">
      <c r="A530" s="2"/>
    </row>
    <row r="531" ht="15.75" customHeight="1" spans="1:1" x14ac:dyDescent="0.25">
      <c r="A531" s="2"/>
    </row>
    <row r="532" ht="15.75" customHeight="1" spans="1:1" x14ac:dyDescent="0.25">
      <c r="A532" s="2"/>
    </row>
    <row r="533" ht="15.75" customHeight="1" spans="1:1" x14ac:dyDescent="0.25">
      <c r="A533" s="2"/>
    </row>
    <row r="534" ht="15.75" customHeight="1" spans="1:1" x14ac:dyDescent="0.25">
      <c r="A534" s="2"/>
    </row>
    <row r="535" ht="15.75" customHeight="1" spans="1:1" x14ac:dyDescent="0.25">
      <c r="A535" s="2"/>
    </row>
    <row r="536" ht="15.75" customHeight="1" spans="1:1" x14ac:dyDescent="0.25">
      <c r="A536" s="2"/>
    </row>
    <row r="537" ht="15.75" customHeight="1" spans="1:1" x14ac:dyDescent="0.25">
      <c r="A537" s="2"/>
    </row>
    <row r="538" ht="15.75" customHeight="1" spans="1:1" x14ac:dyDescent="0.25">
      <c r="A538" s="2"/>
    </row>
    <row r="539" ht="15.75" customHeight="1" spans="1:1" x14ac:dyDescent="0.25">
      <c r="A539" s="2"/>
    </row>
    <row r="540" ht="15.75" customHeight="1" spans="1:1" x14ac:dyDescent="0.25">
      <c r="A540" s="2"/>
    </row>
    <row r="541" ht="15.75" customHeight="1" spans="1:1" x14ac:dyDescent="0.25">
      <c r="A541" s="2"/>
    </row>
    <row r="542" ht="15.75" customHeight="1" spans="1:1" x14ac:dyDescent="0.25">
      <c r="A542" s="2"/>
    </row>
    <row r="543" ht="15.75" customHeight="1" spans="1:1" x14ac:dyDescent="0.25">
      <c r="A543" s="2"/>
    </row>
    <row r="544" ht="15.75" customHeight="1" spans="1:1" x14ac:dyDescent="0.25">
      <c r="A544" s="2"/>
    </row>
    <row r="545" ht="15.75" customHeight="1" spans="1:1" x14ac:dyDescent="0.25">
      <c r="A545" s="2"/>
    </row>
    <row r="546" ht="15.75" customHeight="1" spans="1:1" x14ac:dyDescent="0.25">
      <c r="A546" s="2"/>
    </row>
    <row r="547" ht="15.75" customHeight="1" spans="1:1" x14ac:dyDescent="0.25">
      <c r="A547" s="2"/>
    </row>
    <row r="548" ht="15.75" customHeight="1" spans="1:1" x14ac:dyDescent="0.25">
      <c r="A548" s="2"/>
    </row>
    <row r="549" ht="15.75" customHeight="1" spans="1:1" x14ac:dyDescent="0.25">
      <c r="A549" s="2"/>
    </row>
    <row r="550" ht="15.75" customHeight="1" spans="1:1" x14ac:dyDescent="0.25">
      <c r="A550" s="2"/>
    </row>
    <row r="551" ht="15.75" customHeight="1" spans="1:1" x14ac:dyDescent="0.25">
      <c r="A551" s="2"/>
    </row>
    <row r="552" ht="15.75" customHeight="1" spans="1:1" x14ac:dyDescent="0.25">
      <c r="A552" s="2"/>
    </row>
    <row r="553" ht="15.75" customHeight="1" spans="1:1" x14ac:dyDescent="0.25">
      <c r="A553" s="2"/>
    </row>
    <row r="554" ht="15.75" customHeight="1" spans="1:1" x14ac:dyDescent="0.25">
      <c r="A554" s="2"/>
    </row>
    <row r="555" ht="15.75" customHeight="1" spans="1:1" x14ac:dyDescent="0.25">
      <c r="A555" s="2"/>
    </row>
    <row r="556" ht="15.75" customHeight="1" spans="1:1" x14ac:dyDescent="0.25">
      <c r="A556" s="2"/>
    </row>
    <row r="557" ht="15.75" customHeight="1" spans="1:1" x14ac:dyDescent="0.25">
      <c r="A557" s="2"/>
    </row>
    <row r="558" ht="15.75" customHeight="1" spans="1:1" x14ac:dyDescent="0.25">
      <c r="A558" s="2"/>
    </row>
    <row r="559" ht="15.75" customHeight="1" spans="1:1" x14ac:dyDescent="0.25">
      <c r="A559" s="2"/>
    </row>
    <row r="560" ht="15.75" customHeight="1" spans="1:1" x14ac:dyDescent="0.25">
      <c r="A560" s="2"/>
    </row>
    <row r="561" ht="15.75" customHeight="1" spans="1:1" x14ac:dyDescent="0.25">
      <c r="A561" s="2"/>
    </row>
    <row r="562" ht="15.75" customHeight="1" spans="1:1" x14ac:dyDescent="0.25">
      <c r="A562" s="2"/>
    </row>
    <row r="563" ht="15.75" customHeight="1" spans="1:1" x14ac:dyDescent="0.25">
      <c r="A563" s="2"/>
    </row>
    <row r="564" ht="15.75" customHeight="1" spans="1:1" x14ac:dyDescent="0.25">
      <c r="A564" s="2"/>
    </row>
    <row r="565" ht="15.75" customHeight="1" spans="1:1" x14ac:dyDescent="0.25">
      <c r="A565" s="2"/>
    </row>
    <row r="566" ht="15.75" customHeight="1" spans="1:1" x14ac:dyDescent="0.25">
      <c r="A566" s="2"/>
    </row>
    <row r="567" ht="15.75" customHeight="1" spans="1:1" x14ac:dyDescent="0.25">
      <c r="A567" s="2"/>
    </row>
    <row r="568" ht="15.75" customHeight="1" spans="1:1" x14ac:dyDescent="0.25">
      <c r="A568" s="2"/>
    </row>
    <row r="569" ht="15.75" customHeight="1" spans="1:1" x14ac:dyDescent="0.25">
      <c r="A569" s="2"/>
    </row>
    <row r="570" ht="15.75" customHeight="1" spans="1:1" x14ac:dyDescent="0.25">
      <c r="A570" s="2"/>
    </row>
    <row r="571" ht="15.75" customHeight="1" spans="1:1" x14ac:dyDescent="0.25">
      <c r="A571" s="2"/>
    </row>
    <row r="572" ht="15.75" customHeight="1" spans="1:1" x14ac:dyDescent="0.25">
      <c r="A572" s="2"/>
    </row>
    <row r="573" ht="15.75" customHeight="1" spans="1:1" x14ac:dyDescent="0.25">
      <c r="A573" s="2"/>
    </row>
    <row r="574" ht="15.75" customHeight="1" spans="1:1" x14ac:dyDescent="0.25">
      <c r="A574" s="2"/>
    </row>
    <row r="575" ht="15.75" customHeight="1" spans="1:1" x14ac:dyDescent="0.25">
      <c r="A575" s="2"/>
    </row>
    <row r="576" ht="15.75" customHeight="1" spans="1:1" x14ac:dyDescent="0.25">
      <c r="A576" s="2"/>
    </row>
    <row r="577" ht="15.75" customHeight="1" spans="1:1" x14ac:dyDescent="0.25">
      <c r="A577" s="2"/>
    </row>
    <row r="578" ht="15.75" customHeight="1" spans="1:1" x14ac:dyDescent="0.25">
      <c r="A578" s="2"/>
    </row>
    <row r="579" ht="15.75" customHeight="1" spans="1:1" x14ac:dyDescent="0.25">
      <c r="A579" s="2"/>
    </row>
    <row r="580" ht="15.75" customHeight="1" spans="1:1" x14ac:dyDescent="0.25">
      <c r="A580" s="2"/>
    </row>
    <row r="581" ht="15.75" customHeight="1" spans="1:1" x14ac:dyDescent="0.25">
      <c r="A581" s="2"/>
    </row>
    <row r="582" ht="15.75" customHeight="1" spans="1:1" x14ac:dyDescent="0.25">
      <c r="A582" s="2"/>
    </row>
    <row r="583" ht="15.75" customHeight="1" spans="1:1" x14ac:dyDescent="0.25">
      <c r="A583" s="2"/>
    </row>
    <row r="584" ht="15.75" customHeight="1" spans="1:1" x14ac:dyDescent="0.25">
      <c r="A584" s="2"/>
    </row>
    <row r="585" ht="15.75" customHeight="1" spans="1:1" x14ac:dyDescent="0.25">
      <c r="A585" s="2"/>
    </row>
    <row r="586" ht="15.75" customHeight="1" spans="1:1" x14ac:dyDescent="0.25">
      <c r="A586" s="2"/>
    </row>
    <row r="587" ht="15.75" customHeight="1" spans="1:1" x14ac:dyDescent="0.25">
      <c r="A587" s="2"/>
    </row>
    <row r="588" ht="15.75" customHeight="1" spans="1:1" x14ac:dyDescent="0.25">
      <c r="A588" s="2"/>
    </row>
    <row r="589" ht="15.75" customHeight="1" spans="1:1" x14ac:dyDescent="0.25">
      <c r="A589" s="2"/>
    </row>
    <row r="590" ht="15.75" customHeight="1" spans="1:1" x14ac:dyDescent="0.25">
      <c r="A590" s="2"/>
    </row>
    <row r="591" ht="15.75" customHeight="1" spans="1:1" x14ac:dyDescent="0.25">
      <c r="A591" s="2"/>
    </row>
    <row r="592" ht="15.75" customHeight="1" spans="1:1" x14ac:dyDescent="0.25">
      <c r="A592" s="2"/>
    </row>
    <row r="593" ht="15.75" customHeight="1" spans="1:1" x14ac:dyDescent="0.25">
      <c r="A593" s="2"/>
    </row>
    <row r="594" ht="15.75" customHeight="1" spans="1:1" x14ac:dyDescent="0.25">
      <c r="A594" s="2"/>
    </row>
    <row r="595" ht="15.75" customHeight="1" spans="1:1" x14ac:dyDescent="0.25">
      <c r="A595" s="2"/>
    </row>
    <row r="596" ht="15.75" customHeight="1" spans="1:1" x14ac:dyDescent="0.25">
      <c r="A596" s="2"/>
    </row>
    <row r="597" ht="15.75" customHeight="1" spans="1:1" x14ac:dyDescent="0.25">
      <c r="A597" s="2"/>
    </row>
    <row r="598" ht="15.75" customHeight="1" spans="1:1" x14ac:dyDescent="0.25">
      <c r="A598" s="2"/>
    </row>
    <row r="599" ht="15.75" customHeight="1" spans="1:1" x14ac:dyDescent="0.25">
      <c r="A599" s="2"/>
    </row>
    <row r="600" ht="15.75" customHeight="1" spans="1:1" x14ac:dyDescent="0.25">
      <c r="A600" s="2"/>
    </row>
    <row r="601" ht="15.75" customHeight="1" spans="1:1" x14ac:dyDescent="0.25">
      <c r="A601" s="2"/>
    </row>
    <row r="602" ht="15.75" customHeight="1" spans="1:1" x14ac:dyDescent="0.25">
      <c r="A602" s="2"/>
    </row>
    <row r="603" ht="15.75" customHeight="1" spans="1:1" x14ac:dyDescent="0.25">
      <c r="A603" s="2"/>
    </row>
    <row r="604" ht="15.75" customHeight="1" spans="1:1" x14ac:dyDescent="0.25">
      <c r="A604" s="2"/>
    </row>
    <row r="605" ht="15.75" customHeight="1" spans="1:1" x14ac:dyDescent="0.25">
      <c r="A605" s="2"/>
    </row>
    <row r="606" ht="15.75" customHeight="1" spans="1:1" x14ac:dyDescent="0.25">
      <c r="A606" s="2"/>
    </row>
    <row r="607" ht="15.75" customHeight="1" spans="1:1" x14ac:dyDescent="0.25">
      <c r="A607" s="2"/>
    </row>
    <row r="608" ht="15.75" customHeight="1" spans="1:1" x14ac:dyDescent="0.25">
      <c r="A608" s="2"/>
    </row>
    <row r="609" ht="15.75" customHeight="1" spans="1:1" x14ac:dyDescent="0.25">
      <c r="A609" s="2"/>
    </row>
    <row r="610" ht="15.75" customHeight="1" spans="1:1" x14ac:dyDescent="0.25">
      <c r="A610" s="2"/>
    </row>
    <row r="611" ht="15.75" customHeight="1" spans="1:1" x14ac:dyDescent="0.25">
      <c r="A611" s="2"/>
    </row>
    <row r="612" ht="15.75" customHeight="1" spans="1:1" x14ac:dyDescent="0.25">
      <c r="A612" s="2"/>
    </row>
    <row r="613" ht="15.75" customHeight="1" spans="1:1" x14ac:dyDescent="0.25">
      <c r="A613" s="2"/>
    </row>
    <row r="614" ht="15.75" customHeight="1" spans="1:1" x14ac:dyDescent="0.25">
      <c r="A614" s="2"/>
    </row>
    <row r="615" ht="15.75" customHeight="1" spans="1:1" x14ac:dyDescent="0.25">
      <c r="A615" s="2"/>
    </row>
    <row r="616" ht="15.75" customHeight="1" spans="1:1" x14ac:dyDescent="0.25">
      <c r="A616" s="2"/>
    </row>
    <row r="617" ht="15.75" customHeight="1" spans="1:1" x14ac:dyDescent="0.25">
      <c r="A617" s="2"/>
    </row>
    <row r="618" ht="15.75" customHeight="1" spans="1:1" x14ac:dyDescent="0.25">
      <c r="A618" s="2"/>
    </row>
    <row r="619" ht="15.75" customHeight="1" spans="1:1" x14ac:dyDescent="0.25">
      <c r="A619" s="2"/>
    </row>
    <row r="620" ht="15.75" customHeight="1" spans="1:1" x14ac:dyDescent="0.25">
      <c r="A620" s="2"/>
    </row>
    <row r="621" ht="15.75" customHeight="1" spans="1:1" x14ac:dyDescent="0.25">
      <c r="A621" s="2"/>
    </row>
    <row r="622" ht="15.75" customHeight="1" spans="1:1" x14ac:dyDescent="0.25">
      <c r="A622" s="2"/>
    </row>
    <row r="623" ht="15.75" customHeight="1" spans="1:1" x14ac:dyDescent="0.25">
      <c r="A623" s="2"/>
    </row>
    <row r="624" ht="15.75" customHeight="1" spans="1:1" x14ac:dyDescent="0.25">
      <c r="A624" s="2"/>
    </row>
    <row r="625" ht="15.75" customHeight="1" spans="1:1" x14ac:dyDescent="0.25">
      <c r="A625" s="2"/>
    </row>
    <row r="626" ht="15.75" customHeight="1" spans="1:1" x14ac:dyDescent="0.25">
      <c r="A626" s="2"/>
    </row>
    <row r="627" ht="15.75" customHeight="1" spans="1:1" x14ac:dyDescent="0.25">
      <c r="A627" s="2"/>
    </row>
    <row r="628" ht="15.75" customHeight="1" spans="1:1" x14ac:dyDescent="0.25">
      <c r="A628" s="2"/>
    </row>
    <row r="629" ht="15.75" customHeight="1" spans="1:1" x14ac:dyDescent="0.25">
      <c r="A629" s="2"/>
    </row>
    <row r="630" ht="15.75" customHeight="1" spans="1:1" x14ac:dyDescent="0.25">
      <c r="A630" s="2"/>
    </row>
    <row r="631" ht="15.75" customHeight="1" spans="1:1" x14ac:dyDescent="0.25">
      <c r="A631" s="2"/>
    </row>
    <row r="632" ht="15.75" customHeight="1" spans="1:1" x14ac:dyDescent="0.25">
      <c r="A632" s="2"/>
    </row>
    <row r="633" ht="15.75" customHeight="1" spans="1:1" x14ac:dyDescent="0.25">
      <c r="A633" s="2"/>
    </row>
    <row r="634" ht="15.75" customHeight="1" spans="1:1" x14ac:dyDescent="0.25">
      <c r="A634" s="2"/>
    </row>
    <row r="635" ht="15.75" customHeight="1" spans="1:1" x14ac:dyDescent="0.25">
      <c r="A635" s="2"/>
    </row>
    <row r="636" ht="15.75" customHeight="1" spans="1:1" x14ac:dyDescent="0.25">
      <c r="A636" s="2"/>
    </row>
    <row r="637" ht="15.75" customHeight="1" spans="1:1" x14ac:dyDescent="0.25">
      <c r="A637" s="2"/>
    </row>
    <row r="638" ht="15.75" customHeight="1" spans="1:1" x14ac:dyDescent="0.25">
      <c r="A638" s="2"/>
    </row>
    <row r="639" ht="15.75" customHeight="1" spans="1:1" x14ac:dyDescent="0.25">
      <c r="A639" s="2"/>
    </row>
    <row r="640" ht="15.75" customHeight="1" spans="1:1" x14ac:dyDescent="0.25">
      <c r="A640" s="2"/>
    </row>
    <row r="641" ht="15.75" customHeight="1" spans="1:1" x14ac:dyDescent="0.25">
      <c r="A641" s="2"/>
    </row>
    <row r="642" ht="15.75" customHeight="1" spans="1:1" x14ac:dyDescent="0.25">
      <c r="A642" s="2"/>
    </row>
    <row r="643" ht="15.75" customHeight="1" spans="1:1" x14ac:dyDescent="0.25">
      <c r="A643" s="2"/>
    </row>
    <row r="644" ht="15.75" customHeight="1" spans="1:1" x14ac:dyDescent="0.25">
      <c r="A644" s="2"/>
    </row>
    <row r="645" ht="15.75" customHeight="1" spans="1:1" x14ac:dyDescent="0.25">
      <c r="A645" s="2"/>
    </row>
    <row r="646" ht="15.75" customHeight="1" spans="1:1" x14ac:dyDescent="0.25">
      <c r="A646" s="2"/>
    </row>
    <row r="647" ht="15.75" customHeight="1" spans="1:1" x14ac:dyDescent="0.25">
      <c r="A647" s="2"/>
    </row>
    <row r="648" ht="15.75" customHeight="1" spans="1:1" x14ac:dyDescent="0.25">
      <c r="A648" s="2"/>
    </row>
    <row r="649" ht="15.75" customHeight="1" spans="1:1" x14ac:dyDescent="0.25">
      <c r="A649" s="2"/>
    </row>
    <row r="650" ht="15.75" customHeight="1" spans="1:1" x14ac:dyDescent="0.25">
      <c r="A650" s="2"/>
    </row>
    <row r="651" ht="15.75" customHeight="1" spans="1:1" x14ac:dyDescent="0.25">
      <c r="A651" s="2"/>
    </row>
    <row r="652" ht="15.75" customHeight="1" spans="1:1" x14ac:dyDescent="0.25">
      <c r="A652" s="2"/>
    </row>
    <row r="653" ht="15.75" customHeight="1" spans="1:1" x14ac:dyDescent="0.25">
      <c r="A653" s="2"/>
    </row>
    <row r="654" ht="15.75" customHeight="1" spans="1:1" x14ac:dyDescent="0.25">
      <c r="A654" s="2"/>
    </row>
    <row r="655" ht="15.75" customHeight="1" spans="1:1" x14ac:dyDescent="0.25">
      <c r="A655" s="2"/>
    </row>
    <row r="656" ht="15.75" customHeight="1" spans="1:1" x14ac:dyDescent="0.25">
      <c r="A656" s="2"/>
    </row>
    <row r="657" ht="15.75" customHeight="1" spans="1:1" x14ac:dyDescent="0.25">
      <c r="A657" s="2"/>
    </row>
    <row r="658" ht="15.75" customHeight="1" spans="1:1" x14ac:dyDescent="0.25">
      <c r="A658" s="2"/>
    </row>
    <row r="659" ht="15.75" customHeight="1" spans="1:1" x14ac:dyDescent="0.25">
      <c r="A659" s="2"/>
    </row>
    <row r="660" ht="15.75" customHeight="1" spans="1:1" x14ac:dyDescent="0.25">
      <c r="A660" s="2"/>
    </row>
    <row r="661" ht="15.75" customHeight="1" spans="1:1" x14ac:dyDescent="0.25">
      <c r="A661" s="2"/>
    </row>
    <row r="662" ht="15.75" customHeight="1" spans="1:1" x14ac:dyDescent="0.25">
      <c r="A662" s="2"/>
    </row>
    <row r="663" ht="15.75" customHeight="1" spans="1:1" x14ac:dyDescent="0.25">
      <c r="A663" s="2"/>
    </row>
    <row r="664" ht="15.75" customHeight="1" spans="1:1" x14ac:dyDescent="0.25">
      <c r="A664" s="2"/>
    </row>
    <row r="665" ht="15.75" customHeight="1" spans="1:1" x14ac:dyDescent="0.25">
      <c r="A665" s="2"/>
    </row>
    <row r="666" ht="15.75" customHeight="1" spans="1:1" x14ac:dyDescent="0.25">
      <c r="A666" s="2"/>
    </row>
    <row r="667" ht="15.75" customHeight="1" spans="1:1" x14ac:dyDescent="0.25">
      <c r="A667" s="2"/>
    </row>
    <row r="668" ht="15.75" customHeight="1" spans="1:1" x14ac:dyDescent="0.25">
      <c r="A668" s="2"/>
    </row>
    <row r="669" ht="15.75" customHeight="1" spans="1:1" x14ac:dyDescent="0.25">
      <c r="A669" s="2"/>
    </row>
    <row r="670" ht="15.75" customHeight="1" spans="1:1" x14ac:dyDescent="0.25">
      <c r="A670" s="2"/>
    </row>
    <row r="671" ht="15.75" customHeight="1" spans="1:1" x14ac:dyDescent="0.25">
      <c r="A671" s="2"/>
    </row>
    <row r="672" ht="15.75" customHeight="1" spans="1:1" x14ac:dyDescent="0.25">
      <c r="A672" s="2"/>
    </row>
    <row r="673" ht="15.75" customHeight="1" spans="1:1" x14ac:dyDescent="0.25">
      <c r="A673" s="2"/>
    </row>
    <row r="674" ht="15.75" customHeight="1" spans="1:1" x14ac:dyDescent="0.25">
      <c r="A674" s="2"/>
    </row>
    <row r="675" ht="15.75" customHeight="1" spans="1:1" x14ac:dyDescent="0.25">
      <c r="A675" s="2"/>
    </row>
    <row r="676" ht="15.75" customHeight="1" spans="1:1" x14ac:dyDescent="0.25">
      <c r="A676" s="2"/>
    </row>
    <row r="677" ht="15.75" customHeight="1" spans="1:1" x14ac:dyDescent="0.25">
      <c r="A677" s="2"/>
    </row>
    <row r="678" ht="15.75" customHeight="1" spans="1:1" x14ac:dyDescent="0.25">
      <c r="A678" s="2"/>
    </row>
    <row r="679" ht="15.75" customHeight="1" spans="1:1" x14ac:dyDescent="0.25">
      <c r="A679" s="2"/>
    </row>
    <row r="680" ht="15.75" customHeight="1" spans="1:1" x14ac:dyDescent="0.25">
      <c r="A680" s="2"/>
    </row>
    <row r="681" ht="15.75" customHeight="1" spans="1:1" x14ac:dyDescent="0.25">
      <c r="A681" s="2"/>
    </row>
    <row r="682" ht="15.75" customHeight="1" spans="1:1" x14ac:dyDescent="0.25">
      <c r="A682" s="2"/>
    </row>
    <row r="683" ht="15.75" customHeight="1" spans="1:1" x14ac:dyDescent="0.25">
      <c r="A683" s="2"/>
    </row>
    <row r="684" ht="15.75" customHeight="1" spans="1:1" x14ac:dyDescent="0.25">
      <c r="A684" s="2"/>
    </row>
    <row r="685" ht="15.75" customHeight="1" spans="1:1" x14ac:dyDescent="0.25">
      <c r="A685" s="2"/>
    </row>
    <row r="686" ht="15.75" customHeight="1" spans="1:1" x14ac:dyDescent="0.25">
      <c r="A686" s="2"/>
    </row>
    <row r="687" ht="15.75" customHeight="1" spans="1:1" x14ac:dyDescent="0.25">
      <c r="A687" s="2"/>
    </row>
    <row r="688" ht="15.75" customHeight="1" spans="1:1" x14ac:dyDescent="0.25">
      <c r="A688" s="2"/>
    </row>
    <row r="689" ht="15.75" customHeight="1" spans="1:1" x14ac:dyDescent="0.25">
      <c r="A689" s="2"/>
    </row>
    <row r="690" ht="15.75" customHeight="1" spans="1:1" x14ac:dyDescent="0.25">
      <c r="A690" s="2"/>
    </row>
    <row r="691" ht="15.75" customHeight="1" spans="1:1" x14ac:dyDescent="0.25">
      <c r="A691" s="2"/>
    </row>
    <row r="692" ht="15.75" customHeight="1" spans="1:1" x14ac:dyDescent="0.25">
      <c r="A692" s="2"/>
    </row>
    <row r="693" ht="15.75" customHeight="1" spans="1:1" x14ac:dyDescent="0.25">
      <c r="A693" s="2"/>
    </row>
    <row r="694" ht="15.75" customHeight="1" spans="1:1" x14ac:dyDescent="0.25">
      <c r="A694" s="2"/>
    </row>
    <row r="695" ht="15.75" customHeight="1" spans="1:1" x14ac:dyDescent="0.25">
      <c r="A695" s="2"/>
    </row>
    <row r="696" ht="15.75" customHeight="1" spans="1:1" x14ac:dyDescent="0.25">
      <c r="A696" s="2"/>
    </row>
    <row r="697" ht="15.75" customHeight="1" spans="1:1" x14ac:dyDescent="0.25">
      <c r="A697" s="2"/>
    </row>
    <row r="698" ht="15.75" customHeight="1" spans="1:1" x14ac:dyDescent="0.25">
      <c r="A698" s="2"/>
    </row>
    <row r="699" ht="15.75" customHeight="1" spans="1:1" x14ac:dyDescent="0.25">
      <c r="A699" s="2"/>
    </row>
    <row r="700" ht="15.75" customHeight="1" spans="1:1" x14ac:dyDescent="0.25">
      <c r="A700" s="2"/>
    </row>
    <row r="701" ht="15.75" customHeight="1" spans="1:1" x14ac:dyDescent="0.25">
      <c r="A701" s="2"/>
    </row>
    <row r="702" ht="15.75" customHeight="1" spans="1:1" x14ac:dyDescent="0.25">
      <c r="A702" s="2"/>
    </row>
    <row r="703" ht="15.75" customHeight="1" spans="1:1" x14ac:dyDescent="0.25">
      <c r="A703" s="2"/>
    </row>
    <row r="704" ht="15.75" customHeight="1" spans="1:1" x14ac:dyDescent="0.25">
      <c r="A704" s="2"/>
    </row>
    <row r="705" ht="15.75" customHeight="1" spans="1:1" x14ac:dyDescent="0.25">
      <c r="A705" s="2"/>
    </row>
    <row r="706" ht="15.75" customHeight="1" spans="1:1" x14ac:dyDescent="0.25">
      <c r="A706" s="2"/>
    </row>
    <row r="707" ht="15.75" customHeight="1" spans="1:1" x14ac:dyDescent="0.25">
      <c r="A707" s="2"/>
    </row>
    <row r="708" ht="15.75" customHeight="1" spans="1:1" x14ac:dyDescent="0.25">
      <c r="A708" s="2"/>
    </row>
    <row r="709" ht="15.75" customHeight="1" spans="1:1" x14ac:dyDescent="0.25">
      <c r="A709" s="2"/>
    </row>
    <row r="710" ht="15.75" customHeight="1" spans="1:1" x14ac:dyDescent="0.25">
      <c r="A710" s="2"/>
    </row>
    <row r="711" ht="15.75" customHeight="1" spans="1:1" x14ac:dyDescent="0.25">
      <c r="A711" s="2"/>
    </row>
    <row r="712" ht="15.75" customHeight="1" spans="1:1" x14ac:dyDescent="0.25">
      <c r="A712" s="2"/>
    </row>
    <row r="713" ht="15.75" customHeight="1" spans="1:1" x14ac:dyDescent="0.25">
      <c r="A713" s="2"/>
    </row>
    <row r="714" ht="15.75" customHeight="1" spans="1:1" x14ac:dyDescent="0.25">
      <c r="A714" s="2"/>
    </row>
    <row r="715" ht="15.75" customHeight="1" spans="1:1" x14ac:dyDescent="0.25">
      <c r="A715" s="2"/>
    </row>
    <row r="716" ht="15.75" customHeight="1" spans="1:1" x14ac:dyDescent="0.25">
      <c r="A716" s="2"/>
    </row>
    <row r="717" ht="15.75" customHeight="1" spans="1:1" x14ac:dyDescent="0.25">
      <c r="A717" s="2"/>
    </row>
    <row r="718" ht="15.75" customHeight="1" spans="1:1" x14ac:dyDescent="0.25">
      <c r="A718" s="2"/>
    </row>
    <row r="719" ht="15.75" customHeight="1" spans="1:1" x14ac:dyDescent="0.25">
      <c r="A719" s="2"/>
    </row>
    <row r="720" ht="15.75" customHeight="1" spans="1:1" x14ac:dyDescent="0.25">
      <c r="A720" s="2"/>
    </row>
    <row r="721" ht="15.75" customHeight="1" spans="1:1" x14ac:dyDescent="0.25">
      <c r="A721" s="2"/>
    </row>
    <row r="722" ht="15.75" customHeight="1" spans="1:1" x14ac:dyDescent="0.25">
      <c r="A722" s="2"/>
    </row>
    <row r="723" ht="15.75" customHeight="1" spans="1:1" x14ac:dyDescent="0.25">
      <c r="A723" s="2"/>
    </row>
    <row r="724" ht="15.75" customHeight="1" spans="1:1" x14ac:dyDescent="0.25">
      <c r="A724" s="2"/>
    </row>
    <row r="725" ht="15.75" customHeight="1" spans="1:1" x14ac:dyDescent="0.25">
      <c r="A725" s="2"/>
    </row>
    <row r="726" ht="15.75" customHeight="1" spans="1:1" x14ac:dyDescent="0.25">
      <c r="A726" s="2"/>
    </row>
    <row r="727" ht="15.75" customHeight="1" spans="1:1" x14ac:dyDescent="0.25">
      <c r="A727" s="2"/>
    </row>
    <row r="728" ht="15.75" customHeight="1" spans="1:1" x14ac:dyDescent="0.25">
      <c r="A728" s="2"/>
    </row>
    <row r="729" ht="15.75" customHeight="1" spans="1:1" x14ac:dyDescent="0.25">
      <c r="A729" s="2"/>
    </row>
    <row r="730" ht="15.75" customHeight="1" spans="1:1" x14ac:dyDescent="0.25">
      <c r="A730" s="2"/>
    </row>
    <row r="731" ht="15.75" customHeight="1" spans="1:1" x14ac:dyDescent="0.25">
      <c r="A731" s="2"/>
    </row>
    <row r="732" ht="15.75" customHeight="1" spans="1:1" x14ac:dyDescent="0.25">
      <c r="A732" s="2"/>
    </row>
    <row r="733" ht="15.75" customHeight="1" spans="1:1" x14ac:dyDescent="0.25">
      <c r="A733" s="2"/>
    </row>
    <row r="734" ht="15.75" customHeight="1" spans="1:1" x14ac:dyDescent="0.25">
      <c r="A734" s="2"/>
    </row>
    <row r="735" ht="15.75" customHeight="1" spans="1:1" x14ac:dyDescent="0.25">
      <c r="A735" s="2"/>
    </row>
    <row r="736" ht="15.75" customHeight="1" spans="1:1" x14ac:dyDescent="0.25">
      <c r="A736" s="2"/>
    </row>
    <row r="737" ht="15.75" customHeight="1" spans="1:1" x14ac:dyDescent="0.25">
      <c r="A737" s="2"/>
    </row>
    <row r="738" ht="15.75" customHeight="1" spans="1:1" x14ac:dyDescent="0.25">
      <c r="A738" s="2"/>
    </row>
    <row r="739" ht="15.75" customHeight="1" spans="1:1" x14ac:dyDescent="0.25">
      <c r="A739" s="2"/>
    </row>
    <row r="740" ht="15.75" customHeight="1" spans="1:1" x14ac:dyDescent="0.25">
      <c r="A740" s="2"/>
    </row>
    <row r="741" ht="15.75" customHeight="1" spans="1:1" x14ac:dyDescent="0.25">
      <c r="A741" s="2"/>
    </row>
    <row r="742" ht="15.75" customHeight="1" spans="1:1" x14ac:dyDescent="0.25">
      <c r="A742" s="2"/>
    </row>
    <row r="743" ht="15.75" customHeight="1" spans="1:1" x14ac:dyDescent="0.25">
      <c r="A743" s="2"/>
    </row>
    <row r="744" ht="15.75" customHeight="1" spans="1:1" x14ac:dyDescent="0.25">
      <c r="A744" s="2"/>
    </row>
    <row r="745" ht="15.75" customHeight="1" spans="1:1" x14ac:dyDescent="0.25">
      <c r="A745" s="2"/>
    </row>
    <row r="746" ht="15.75" customHeight="1" spans="1:1" x14ac:dyDescent="0.25">
      <c r="A746" s="2"/>
    </row>
    <row r="747" ht="15.75" customHeight="1" spans="1:1" x14ac:dyDescent="0.25">
      <c r="A747" s="2"/>
    </row>
    <row r="748" ht="15.75" customHeight="1" spans="1:1" x14ac:dyDescent="0.25">
      <c r="A748" s="2"/>
    </row>
    <row r="749" ht="15.75" customHeight="1" spans="1:1" x14ac:dyDescent="0.25">
      <c r="A749" s="2"/>
    </row>
    <row r="750" ht="15.75" customHeight="1" spans="1:1" x14ac:dyDescent="0.25">
      <c r="A750" s="2"/>
    </row>
    <row r="751" ht="15.75" customHeight="1" spans="1:1" x14ac:dyDescent="0.25">
      <c r="A751" s="2"/>
    </row>
    <row r="752" ht="15.75" customHeight="1" spans="1:1" x14ac:dyDescent="0.25">
      <c r="A752" s="2"/>
    </row>
    <row r="753" ht="15.75" customHeight="1" spans="1:1" x14ac:dyDescent="0.25">
      <c r="A753" s="2"/>
    </row>
    <row r="754" ht="15.75" customHeight="1" spans="1:1" x14ac:dyDescent="0.25">
      <c r="A754" s="2"/>
    </row>
    <row r="755" ht="15.75" customHeight="1" spans="1:1" x14ac:dyDescent="0.25">
      <c r="A755" s="2"/>
    </row>
    <row r="756" ht="15.75" customHeight="1" spans="1:1" x14ac:dyDescent="0.25">
      <c r="A756" s="2"/>
    </row>
    <row r="757" ht="15.75" customHeight="1" spans="1:1" x14ac:dyDescent="0.25">
      <c r="A757" s="2"/>
    </row>
    <row r="758" ht="15.75" customHeight="1" spans="1:1" x14ac:dyDescent="0.25">
      <c r="A758" s="2"/>
    </row>
    <row r="759" ht="15.75" customHeight="1" spans="1:1" x14ac:dyDescent="0.25">
      <c r="A759" s="2"/>
    </row>
    <row r="760" ht="15.75" customHeight="1" spans="1:1" x14ac:dyDescent="0.25">
      <c r="A760" s="2"/>
    </row>
    <row r="761" ht="15.75" customHeight="1" spans="1:1" x14ac:dyDescent="0.25">
      <c r="A761" s="2"/>
    </row>
    <row r="762" ht="15.75" customHeight="1" spans="1:1" x14ac:dyDescent="0.25">
      <c r="A762" s="2"/>
    </row>
    <row r="763" ht="15.75" customHeight="1" spans="1:1" x14ac:dyDescent="0.25">
      <c r="A763" s="2"/>
    </row>
    <row r="764" ht="15.75" customHeight="1" spans="1:1" x14ac:dyDescent="0.25">
      <c r="A764" s="2"/>
    </row>
    <row r="765" ht="15.75" customHeight="1" spans="1:1" x14ac:dyDescent="0.25">
      <c r="A765" s="2"/>
    </row>
    <row r="766" ht="15.75" customHeight="1" spans="1:1" x14ac:dyDescent="0.25">
      <c r="A766" s="2"/>
    </row>
    <row r="767" ht="15.75" customHeight="1" spans="1:1" x14ac:dyDescent="0.25">
      <c r="A767" s="2"/>
    </row>
    <row r="768" ht="15.75" customHeight="1" spans="1:1" x14ac:dyDescent="0.25">
      <c r="A768" s="2"/>
    </row>
    <row r="769" ht="15.75" customHeight="1" spans="1:1" x14ac:dyDescent="0.25">
      <c r="A769" s="2"/>
    </row>
    <row r="770" ht="15.75" customHeight="1" spans="1:1" x14ac:dyDescent="0.25">
      <c r="A770" s="2"/>
    </row>
    <row r="771" ht="15.75" customHeight="1" spans="1:1" x14ac:dyDescent="0.25">
      <c r="A771" s="2"/>
    </row>
    <row r="772" ht="15.75" customHeight="1" spans="1:1" x14ac:dyDescent="0.25">
      <c r="A772" s="2"/>
    </row>
    <row r="773" ht="15.75" customHeight="1" spans="1:1" x14ac:dyDescent="0.25">
      <c r="A773" s="2"/>
    </row>
    <row r="774" ht="15.75" customHeight="1" spans="1:1" x14ac:dyDescent="0.25">
      <c r="A774" s="2"/>
    </row>
    <row r="775" ht="15.75" customHeight="1" spans="1:1" x14ac:dyDescent="0.25">
      <c r="A775" s="2"/>
    </row>
    <row r="776" ht="15.75" customHeight="1" spans="1:1" x14ac:dyDescent="0.25">
      <c r="A776" s="2"/>
    </row>
    <row r="777" ht="15.75" customHeight="1" spans="1:1" x14ac:dyDescent="0.25">
      <c r="A777" s="2"/>
    </row>
    <row r="778" ht="15.75" customHeight="1" spans="1:1" x14ac:dyDescent="0.25">
      <c r="A778" s="2"/>
    </row>
    <row r="779" ht="15.75" customHeight="1" spans="1:1" x14ac:dyDescent="0.25">
      <c r="A779" s="2"/>
    </row>
    <row r="780" ht="15.75" customHeight="1" spans="1:1" x14ac:dyDescent="0.25">
      <c r="A780" s="2"/>
    </row>
    <row r="781" ht="15.75" customHeight="1" spans="1:1" x14ac:dyDescent="0.25">
      <c r="A781" s="2"/>
    </row>
    <row r="782" ht="15.75" customHeight="1" spans="1:1" x14ac:dyDescent="0.25">
      <c r="A782" s="2"/>
    </row>
    <row r="783" ht="15.75" customHeight="1" spans="1:1" x14ac:dyDescent="0.25">
      <c r="A783" s="2"/>
    </row>
    <row r="784" ht="15.75" customHeight="1" spans="1:1" x14ac:dyDescent="0.25">
      <c r="A784" s="2"/>
    </row>
    <row r="785" ht="15.75" customHeight="1" spans="1:1" x14ac:dyDescent="0.25">
      <c r="A785" s="2"/>
    </row>
    <row r="786" ht="15.75" customHeight="1" spans="1:1" x14ac:dyDescent="0.25">
      <c r="A786" s="2"/>
    </row>
    <row r="787" ht="15.75" customHeight="1" spans="1:1" x14ac:dyDescent="0.25">
      <c r="A787" s="2"/>
    </row>
    <row r="788" ht="15.75" customHeight="1" spans="1:1" x14ac:dyDescent="0.25">
      <c r="A788" s="2"/>
    </row>
    <row r="789" ht="15.75" customHeight="1" spans="1:1" x14ac:dyDescent="0.25">
      <c r="A789" s="2"/>
    </row>
    <row r="790" ht="15.75" customHeight="1" spans="1:1" x14ac:dyDescent="0.25">
      <c r="A790" s="2"/>
    </row>
    <row r="791" ht="15.75" customHeight="1" spans="1:1" x14ac:dyDescent="0.25">
      <c r="A791" s="2"/>
    </row>
    <row r="792" ht="15.75" customHeight="1" spans="1:1" x14ac:dyDescent="0.25">
      <c r="A792" s="2"/>
    </row>
    <row r="793" ht="15.75" customHeight="1" spans="1:1" x14ac:dyDescent="0.25">
      <c r="A793" s="2"/>
    </row>
    <row r="794" ht="15.75" customHeight="1" spans="1:1" x14ac:dyDescent="0.25">
      <c r="A794" s="2"/>
    </row>
    <row r="795" ht="15.75" customHeight="1" spans="1:1" x14ac:dyDescent="0.25">
      <c r="A795" s="2"/>
    </row>
    <row r="796" ht="15.75" customHeight="1" spans="1:1" x14ac:dyDescent="0.25">
      <c r="A796" s="2"/>
    </row>
    <row r="797" ht="15.75" customHeight="1" spans="1:1" x14ac:dyDescent="0.25">
      <c r="A797" s="2"/>
    </row>
    <row r="798" ht="15.75" customHeight="1" spans="1:1" x14ac:dyDescent="0.25">
      <c r="A798" s="2"/>
    </row>
    <row r="799" ht="15.75" customHeight="1" spans="1:1" x14ac:dyDescent="0.25">
      <c r="A799" s="2"/>
    </row>
    <row r="800" ht="15.75" customHeight="1" spans="1:1" x14ac:dyDescent="0.25">
      <c r="A800" s="2"/>
    </row>
    <row r="801" ht="15.75" customHeight="1" spans="1:1" x14ac:dyDescent="0.25">
      <c r="A801" s="2"/>
    </row>
    <row r="802" ht="15.75" customHeight="1" spans="1:1" x14ac:dyDescent="0.25">
      <c r="A802" s="2"/>
    </row>
    <row r="803" ht="15.75" customHeight="1" spans="1:1" x14ac:dyDescent="0.25">
      <c r="A803" s="2"/>
    </row>
    <row r="804" ht="15.75" customHeight="1" spans="1:1" x14ac:dyDescent="0.25">
      <c r="A804" s="2"/>
    </row>
    <row r="805" ht="15.75" customHeight="1" spans="1:1" x14ac:dyDescent="0.25">
      <c r="A805" s="2"/>
    </row>
    <row r="806" ht="15.75" customHeight="1" spans="1:1" x14ac:dyDescent="0.25">
      <c r="A806" s="2"/>
    </row>
    <row r="807" ht="15.75" customHeight="1" spans="1:1" x14ac:dyDescent="0.25">
      <c r="A807" s="2"/>
    </row>
    <row r="808" ht="15.75" customHeight="1" spans="1:1" x14ac:dyDescent="0.25">
      <c r="A808" s="2"/>
    </row>
    <row r="809" ht="15.75" customHeight="1" spans="1:1" x14ac:dyDescent="0.25">
      <c r="A809" s="2"/>
    </row>
    <row r="810" ht="15.75" customHeight="1" spans="1:1" x14ac:dyDescent="0.25">
      <c r="A810" s="2"/>
    </row>
    <row r="811" ht="15.75" customHeight="1" spans="1:1" x14ac:dyDescent="0.25">
      <c r="A811" s="2"/>
    </row>
    <row r="812" ht="15.75" customHeight="1" spans="1:1" x14ac:dyDescent="0.25">
      <c r="A812" s="2"/>
    </row>
    <row r="813" ht="15.75" customHeight="1" spans="1:1" x14ac:dyDescent="0.25">
      <c r="A813" s="2"/>
    </row>
    <row r="814" ht="15.75" customHeight="1" spans="1:1" x14ac:dyDescent="0.25">
      <c r="A814" s="2"/>
    </row>
    <row r="815" ht="15.75" customHeight="1" spans="1:1" x14ac:dyDescent="0.25">
      <c r="A815" s="2"/>
    </row>
    <row r="816" ht="15.75" customHeight="1" spans="1:1" x14ac:dyDescent="0.25">
      <c r="A816" s="2"/>
    </row>
    <row r="817" ht="15.75" customHeight="1" spans="1:1" x14ac:dyDescent="0.25">
      <c r="A817" s="2"/>
    </row>
    <row r="818" ht="15.75" customHeight="1" spans="1:1" x14ac:dyDescent="0.25">
      <c r="A818" s="2"/>
    </row>
    <row r="819" ht="15.75" customHeight="1" spans="1:1" x14ac:dyDescent="0.25">
      <c r="A819" s="2"/>
    </row>
    <row r="820" ht="15.75" customHeight="1" spans="1:1" x14ac:dyDescent="0.25">
      <c r="A820" s="2"/>
    </row>
    <row r="821" ht="15.75" customHeight="1" spans="1:1" x14ac:dyDescent="0.25">
      <c r="A821" s="2"/>
    </row>
    <row r="822" ht="15.75" customHeight="1" spans="1:1" x14ac:dyDescent="0.25">
      <c r="A822" s="2"/>
    </row>
    <row r="823" ht="15.75" customHeight="1" spans="1:1" x14ac:dyDescent="0.25">
      <c r="A823" s="2"/>
    </row>
    <row r="824" ht="15.75" customHeight="1" spans="1:1" x14ac:dyDescent="0.25">
      <c r="A824" s="2"/>
    </row>
    <row r="825" ht="15.75" customHeight="1" spans="1:1" x14ac:dyDescent="0.25">
      <c r="A825" s="2"/>
    </row>
    <row r="826" ht="15.75" customHeight="1" spans="1:1" x14ac:dyDescent="0.25">
      <c r="A826" s="2"/>
    </row>
    <row r="827" ht="15.75" customHeight="1" spans="1:1" x14ac:dyDescent="0.25">
      <c r="A827" s="2"/>
    </row>
    <row r="828" ht="15.75" customHeight="1" spans="1:1" x14ac:dyDescent="0.25">
      <c r="A828" s="2"/>
    </row>
    <row r="829" ht="15.75" customHeight="1" spans="1:1" x14ac:dyDescent="0.25">
      <c r="A829" s="2"/>
    </row>
    <row r="830" ht="15.75" customHeight="1" spans="1:1" x14ac:dyDescent="0.25">
      <c r="A830" s="2"/>
    </row>
    <row r="831" ht="15.75" customHeight="1" spans="1:1" x14ac:dyDescent="0.25">
      <c r="A831" s="2"/>
    </row>
    <row r="832" ht="15.75" customHeight="1" spans="1:1" x14ac:dyDescent="0.25">
      <c r="A832" s="2"/>
    </row>
    <row r="833" ht="15.75" customHeight="1" spans="1:1" x14ac:dyDescent="0.25">
      <c r="A833" s="2"/>
    </row>
    <row r="834" ht="15.75" customHeight="1" spans="1:1" x14ac:dyDescent="0.25">
      <c r="A834" s="2"/>
    </row>
    <row r="835" ht="15.75" customHeight="1" spans="1:1" x14ac:dyDescent="0.25">
      <c r="A835" s="2"/>
    </row>
    <row r="836" ht="15.75" customHeight="1" spans="1:1" x14ac:dyDescent="0.25">
      <c r="A836" s="2"/>
    </row>
    <row r="837" ht="15.75" customHeight="1" spans="1:1" x14ac:dyDescent="0.25">
      <c r="A837" s="2"/>
    </row>
    <row r="838" ht="15.75" customHeight="1" spans="1:1" x14ac:dyDescent="0.25">
      <c r="A838" s="2"/>
    </row>
    <row r="839" ht="15.75" customHeight="1" spans="1:1" x14ac:dyDescent="0.25">
      <c r="A839" s="2"/>
    </row>
    <row r="840" ht="15.75" customHeight="1" spans="1:1" x14ac:dyDescent="0.25">
      <c r="A840" s="2"/>
    </row>
    <row r="841" ht="15.75" customHeight="1" spans="1:1" x14ac:dyDescent="0.25">
      <c r="A841" s="2"/>
    </row>
    <row r="842" ht="15.75" customHeight="1" spans="1:1" x14ac:dyDescent="0.25">
      <c r="A842" s="2"/>
    </row>
    <row r="843" ht="15.75" customHeight="1" spans="1:1" x14ac:dyDescent="0.25">
      <c r="A843" s="2"/>
    </row>
    <row r="844" ht="15.75" customHeight="1" spans="1:1" x14ac:dyDescent="0.25">
      <c r="A844" s="2"/>
    </row>
    <row r="845" ht="15.75" customHeight="1" spans="1:1" x14ac:dyDescent="0.25">
      <c r="A845" s="2"/>
    </row>
    <row r="846" ht="15.75" customHeight="1" spans="1:1" x14ac:dyDescent="0.25">
      <c r="A846" s="2"/>
    </row>
    <row r="847" ht="15.75" customHeight="1" spans="1:1" x14ac:dyDescent="0.25">
      <c r="A847" s="2"/>
    </row>
    <row r="848" ht="15.75" customHeight="1" spans="1:1" x14ac:dyDescent="0.25">
      <c r="A848" s="2"/>
    </row>
    <row r="849" ht="15.75" customHeight="1" spans="1:1" x14ac:dyDescent="0.25">
      <c r="A849" s="2"/>
    </row>
    <row r="850" ht="15.75" customHeight="1" spans="1:1" x14ac:dyDescent="0.25">
      <c r="A850" s="2"/>
    </row>
    <row r="851" ht="15.75" customHeight="1" spans="1:1" x14ac:dyDescent="0.25">
      <c r="A851" s="2"/>
    </row>
    <row r="852" ht="15.75" customHeight="1" spans="1:1" x14ac:dyDescent="0.25">
      <c r="A852" s="2"/>
    </row>
    <row r="853" ht="15.75" customHeight="1" spans="1:1" x14ac:dyDescent="0.25">
      <c r="A853" s="2"/>
    </row>
    <row r="854" ht="15.75" customHeight="1" spans="1:1" x14ac:dyDescent="0.25">
      <c r="A854" s="2"/>
    </row>
    <row r="855" ht="15.75" customHeight="1" spans="1:1" x14ac:dyDescent="0.25">
      <c r="A855" s="2"/>
    </row>
    <row r="856" ht="15.75" customHeight="1" spans="1:1" x14ac:dyDescent="0.25">
      <c r="A856" s="2"/>
    </row>
    <row r="857" ht="15.75" customHeight="1" spans="1:1" x14ac:dyDescent="0.25">
      <c r="A857" s="2"/>
    </row>
    <row r="858" ht="15.75" customHeight="1" spans="1:1" x14ac:dyDescent="0.25">
      <c r="A858" s="2"/>
    </row>
    <row r="859" ht="15.75" customHeight="1" spans="1:1" x14ac:dyDescent="0.25">
      <c r="A859" s="2"/>
    </row>
    <row r="860" ht="15.75" customHeight="1" spans="1:1" x14ac:dyDescent="0.25">
      <c r="A860" s="2"/>
    </row>
    <row r="861" ht="15.75" customHeight="1" spans="1:1" x14ac:dyDescent="0.25">
      <c r="A861" s="2"/>
    </row>
    <row r="862" ht="15.75" customHeight="1" spans="1:1" x14ac:dyDescent="0.25">
      <c r="A862" s="2"/>
    </row>
    <row r="863" ht="15.75" customHeight="1" spans="1:1" x14ac:dyDescent="0.25">
      <c r="A863" s="2"/>
    </row>
    <row r="864" ht="15.75" customHeight="1" spans="1:1" x14ac:dyDescent="0.25">
      <c r="A864" s="2"/>
    </row>
    <row r="865" ht="15.75" customHeight="1" spans="1:1" x14ac:dyDescent="0.25">
      <c r="A865" s="2"/>
    </row>
    <row r="866" ht="15.75" customHeight="1" spans="1:1" x14ac:dyDescent="0.25">
      <c r="A866" s="2"/>
    </row>
    <row r="867" ht="15.75" customHeight="1" spans="1:1" x14ac:dyDescent="0.25">
      <c r="A867" s="2"/>
    </row>
    <row r="868" ht="15.75" customHeight="1" spans="1:1" x14ac:dyDescent="0.25">
      <c r="A868" s="2"/>
    </row>
    <row r="869" ht="15.75" customHeight="1" spans="1:1" x14ac:dyDescent="0.25">
      <c r="A869" s="2"/>
    </row>
    <row r="870" ht="15.75" customHeight="1" spans="1:1" x14ac:dyDescent="0.25">
      <c r="A870" s="2"/>
    </row>
    <row r="871" ht="15.75" customHeight="1" spans="1:1" x14ac:dyDescent="0.25">
      <c r="A871" s="2"/>
    </row>
    <row r="872" ht="15.75" customHeight="1" spans="1:1" x14ac:dyDescent="0.25">
      <c r="A872" s="2"/>
    </row>
    <row r="873" ht="15.75" customHeight="1" spans="1:1" x14ac:dyDescent="0.25">
      <c r="A873" s="2"/>
    </row>
    <row r="874" ht="15.75" customHeight="1" spans="1:1" x14ac:dyDescent="0.25">
      <c r="A874" s="2"/>
    </row>
    <row r="875" ht="15.75" customHeight="1" spans="1:1" x14ac:dyDescent="0.25">
      <c r="A875" s="2"/>
    </row>
    <row r="876" ht="15.75" customHeight="1" spans="1:1" x14ac:dyDescent="0.25">
      <c r="A876" s="2"/>
    </row>
    <row r="877" ht="15.75" customHeight="1" spans="1:1" x14ac:dyDescent="0.25">
      <c r="A877" s="2"/>
    </row>
    <row r="878" ht="15.75" customHeight="1" spans="1:1" x14ac:dyDescent="0.25">
      <c r="A878" s="2"/>
    </row>
    <row r="879" ht="15.75" customHeight="1" spans="1:1" x14ac:dyDescent="0.25">
      <c r="A879" s="2"/>
    </row>
    <row r="880" ht="15.75" customHeight="1" spans="1:1" x14ac:dyDescent="0.25">
      <c r="A880" s="2"/>
    </row>
    <row r="881" ht="15.75" customHeight="1" spans="1:1" x14ac:dyDescent="0.25">
      <c r="A881" s="2"/>
    </row>
    <row r="882" ht="15.75" customHeight="1" spans="1:1" x14ac:dyDescent="0.25">
      <c r="A882" s="2"/>
    </row>
    <row r="883" ht="15.75" customHeight="1" spans="1:1" x14ac:dyDescent="0.25">
      <c r="A883" s="2"/>
    </row>
    <row r="884" ht="15.75" customHeight="1" spans="1:1" x14ac:dyDescent="0.25">
      <c r="A884" s="2"/>
    </row>
    <row r="885" ht="15.75" customHeight="1" spans="1:1" x14ac:dyDescent="0.25">
      <c r="A885" s="2"/>
    </row>
    <row r="886" ht="15.75" customHeight="1" spans="1:1" x14ac:dyDescent="0.25">
      <c r="A886" s="2"/>
    </row>
    <row r="887" ht="15.75" customHeight="1" spans="1:1" x14ac:dyDescent="0.25">
      <c r="A887" s="2"/>
    </row>
    <row r="888" ht="15.75" customHeight="1" spans="1:1" x14ac:dyDescent="0.25">
      <c r="A888" s="2"/>
    </row>
    <row r="889" ht="15.75" customHeight="1" spans="1:1" x14ac:dyDescent="0.25">
      <c r="A889" s="2"/>
    </row>
    <row r="890" ht="15.75" customHeight="1" spans="1:1" x14ac:dyDescent="0.25">
      <c r="A890" s="2"/>
    </row>
    <row r="891" ht="15.75" customHeight="1" spans="1:1" x14ac:dyDescent="0.25">
      <c r="A891" s="2"/>
    </row>
    <row r="892" ht="15.75" customHeight="1" spans="1:1" x14ac:dyDescent="0.25">
      <c r="A892" s="2"/>
    </row>
    <row r="893" ht="15.75" customHeight="1" spans="1:1" x14ac:dyDescent="0.25">
      <c r="A893" s="2"/>
    </row>
    <row r="894" ht="15.75" customHeight="1" spans="1:1" x14ac:dyDescent="0.25">
      <c r="A894" s="2"/>
    </row>
    <row r="895" ht="15.75" customHeight="1" spans="1:1" x14ac:dyDescent="0.25">
      <c r="A895" s="2"/>
    </row>
    <row r="896" ht="15.75" customHeight="1" spans="1:1" x14ac:dyDescent="0.25">
      <c r="A896" s="2"/>
    </row>
    <row r="897" ht="15.75" customHeight="1" spans="1:1" x14ac:dyDescent="0.25">
      <c r="A897" s="2"/>
    </row>
    <row r="898" ht="15.75" customHeight="1" spans="1:1" x14ac:dyDescent="0.25">
      <c r="A898" s="2"/>
    </row>
    <row r="899" ht="15.75" customHeight="1" spans="1:1" x14ac:dyDescent="0.25">
      <c r="A899" s="2"/>
    </row>
    <row r="900" ht="15.75" customHeight="1" spans="1:1" x14ac:dyDescent="0.25">
      <c r="A900" s="2"/>
    </row>
    <row r="901" ht="15.75" customHeight="1" spans="1:1" x14ac:dyDescent="0.25">
      <c r="A901" s="2"/>
    </row>
    <row r="902" ht="15.75" customHeight="1" spans="1:1" x14ac:dyDescent="0.25">
      <c r="A902" s="2"/>
    </row>
    <row r="903" ht="15.75" customHeight="1" spans="1:1" x14ac:dyDescent="0.25">
      <c r="A903" s="2"/>
    </row>
    <row r="904" ht="15.75" customHeight="1" spans="1:1" x14ac:dyDescent="0.25">
      <c r="A904" s="2"/>
    </row>
    <row r="905" ht="15.75" customHeight="1" spans="1:1" x14ac:dyDescent="0.25">
      <c r="A905" s="2"/>
    </row>
    <row r="906" ht="15.75" customHeight="1" spans="1:1" x14ac:dyDescent="0.25">
      <c r="A906" s="2"/>
    </row>
    <row r="907" ht="15.75" customHeight="1" spans="1:1" x14ac:dyDescent="0.25">
      <c r="A907" s="2"/>
    </row>
    <row r="908" ht="15.75" customHeight="1" spans="1:1" x14ac:dyDescent="0.25">
      <c r="A908" s="2"/>
    </row>
    <row r="909" ht="15.75" customHeight="1" spans="1:1" x14ac:dyDescent="0.25">
      <c r="A909" s="2"/>
    </row>
    <row r="910" ht="15.75" customHeight="1" spans="1:1" x14ac:dyDescent="0.25">
      <c r="A910" s="2"/>
    </row>
    <row r="911" ht="15.75" customHeight="1" spans="1:1" x14ac:dyDescent="0.25">
      <c r="A911" s="2"/>
    </row>
    <row r="912" ht="15.75" customHeight="1" spans="1:1" x14ac:dyDescent="0.25">
      <c r="A912" s="2"/>
    </row>
    <row r="913" ht="15.75" customHeight="1" spans="1:1" x14ac:dyDescent="0.25">
      <c r="A913" s="2"/>
    </row>
    <row r="914" ht="15.75" customHeight="1" spans="1:1" x14ac:dyDescent="0.25">
      <c r="A914" s="2"/>
    </row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42">
    <mergeCell ref="A1:C1"/>
    <mergeCell ref="B2:C2"/>
    <mergeCell ref="H2:K2"/>
    <mergeCell ref="B3:C3"/>
    <mergeCell ref="B4:C4"/>
    <mergeCell ref="A6:C6"/>
    <mergeCell ref="H8:K8"/>
    <mergeCell ref="N12:O12"/>
    <mergeCell ref="P12:Q12"/>
    <mergeCell ref="H14:K14"/>
    <mergeCell ref="H20:K20"/>
    <mergeCell ref="H26:K26"/>
    <mergeCell ref="H32:K32"/>
    <mergeCell ref="B279:C279"/>
    <mergeCell ref="B280:C280"/>
    <mergeCell ref="B281:C281"/>
    <mergeCell ref="B282:C282"/>
    <mergeCell ref="B283:C283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9:C309"/>
  </mergeCells>
  <conditionalFormatting sqref="F30:F57">
    <cfRule type="cellIs" dxfId="0" priority="1" operator="equal">
      <formula>"NO"</formula>
    </cfRule>
  </conditionalFormatting>
  <dataValidations count="7">
    <dataValidation type="list" allowBlank="1" showInputMessage="1" showErrorMessage="1" sqref="B23:B24">
      <formula1>$A$190:$A$208</formula1>
    </dataValidation>
    <dataValidation type="list" allowBlank="1" showErrorMessage="1" sqref="B29:B32">
      <formula1>$B$80:$B$148</formula1>
    </dataValidation>
    <dataValidation type="list" allowBlank="1" showInputMessage="1" showErrorMessage="1" sqref="B3:C3">
      <formula1>$A$165:$A$188</formula1>
    </dataValidation>
    <dataValidation type="list" allowBlank="1" showErrorMessage="1" sqref="B34:B39">
      <formula1>$B$82:$B$151</formula1>
    </dataValidation>
    <dataValidation type="list" allowBlank="1" showErrorMessage="1" sqref="B40">
      <formula1>$B$80:$B$88</formula1>
    </dataValidation>
    <dataValidation type="list" allowBlank="1" showErrorMessage="1" sqref="B41">
      <formula1>$B$82:$B$151</formula1>
    </dataValidation>
    <dataValidation type="list" allowBlank="1" showErrorMessage="1" sqref="B42:B65">
      <formula1>$B$80:$B$81</formula1>
    </dataValidation>
  </dataValidations>
  <hyperlinks>
    <hyperlink ref="A165" r:id="rId1"/>
    <hyperlink ref="A166" r:id="rId2"/>
    <hyperlink ref="A167" r:id="rId3"/>
    <hyperlink ref="A168" r:id="rId4"/>
    <hyperlink ref="A169" r:id="rId5"/>
    <hyperlink ref="A170" r:id="rId6"/>
    <hyperlink ref="A171" r:id="rId7"/>
    <hyperlink ref="A172" r:id="rId8"/>
    <hyperlink ref="A173" r:id="rId9"/>
    <hyperlink ref="A174" r:id="rId10"/>
    <hyperlink ref="A175" r:id="rId11"/>
    <hyperlink ref="A176" r:id="rId12"/>
    <hyperlink ref="A177" r:id="rId13"/>
    <hyperlink ref="A178" r:id="rId14"/>
    <hyperlink ref="A179" r:id="rId15"/>
    <hyperlink ref="A180" r:id="rId16"/>
    <hyperlink ref="A181" r:id="rId17"/>
    <hyperlink ref="A182" r:id="rId18"/>
    <hyperlink ref="A183" r:id="rId19"/>
    <hyperlink ref="A184" r:id="rId20"/>
    <hyperlink ref="A185" r:id="rId21"/>
    <hyperlink ref="A186" r:id="rId22"/>
    <hyperlink ref="A187" r:id="rId23"/>
    <hyperlink ref="A188" r:id="rId24"/>
  </hyperlinks>
  <pageMargins left="0.25" right="0.25" top="0.75" bottom="0.75" header="0" footer="0"/>
  <pageSetup paperSize="9" orientation="portrait" horizontalDpi="4294967295" verticalDpi="4294967295" scale="80" fitToWidth="1" fitToHeight="1" firstPageNumber="1" useFirstPageNumber="1" copies="1"/>
  <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"/>
  <sheetViews>
    <sheetView workbookViewId="0" zoomScale="110" zoomScaleNormal="100">
      <selection activeCell="D22" sqref="D22"/>
    </sheetView>
  </sheetViews>
  <sheetFormatPr defaultRowHeight="14.25" outlineLevelRow="0" outlineLevelCol="0" x14ac:dyDescent="0" defaultColWidth="10.875" customHeight="1"/>
  <cols>
    <col min="1" max="1" width="21" style="503" customWidth="1"/>
    <col min="2" max="2" width="16.125" style="503" customWidth="1"/>
    <col min="3" max="3" width="43.5" style="503" customWidth="1"/>
    <col min="4" max="4" width="16.875" style="504" customWidth="1"/>
    <col min="5" max="16384" width="10.875" style="503" customWidth="1"/>
  </cols>
  <sheetData>
    <row r="1" spans="1:4" x14ac:dyDescent="0.25">
      <c r="A1" s="505" t="s">
        <v>763</v>
      </c>
      <c r="B1" s="505" t="s">
        <v>1040</v>
      </c>
      <c r="C1" s="505" t="s">
        <v>1041</v>
      </c>
      <c r="D1" s="506" t="s">
        <v>1042</v>
      </c>
    </row>
    <row r="2" spans="1:4" x14ac:dyDescent="0.25">
      <c r="A2" s="210" t="s">
        <v>19</v>
      </c>
      <c r="B2" s="210" t="s">
        <v>509</v>
      </c>
      <c r="C2" s="225" t="s">
        <v>508</v>
      </c>
      <c r="D2" s="507">
        <v>9400</v>
      </c>
    </row>
    <row r="3" ht="15.75" customHeight="1" spans="1:4" x14ac:dyDescent="0.25">
      <c r="A3" s="210" t="s">
        <v>19</v>
      </c>
      <c r="B3" s="210" t="s">
        <v>355</v>
      </c>
      <c r="C3" s="225" t="s">
        <v>354</v>
      </c>
      <c r="D3" s="508">
        <v>33021.64</v>
      </c>
    </row>
    <row r="4" ht="15.75" customHeight="1" spans="1:4" x14ac:dyDescent="0.25">
      <c r="A4" s="210" t="s">
        <v>19</v>
      </c>
      <c r="B4" s="210" t="s">
        <v>430</v>
      </c>
      <c r="C4" s="225" t="s">
        <v>1043</v>
      </c>
      <c r="D4" s="508">
        <v>120889</v>
      </c>
    </row>
    <row r="5" spans="1:4" x14ac:dyDescent="0.25">
      <c r="A5" s="210" t="s">
        <v>19</v>
      </c>
      <c r="B5" s="210" t="s">
        <v>282</v>
      </c>
      <c r="C5" s="225" t="s">
        <v>1044</v>
      </c>
      <c r="D5" s="509">
        <v>2769</v>
      </c>
    </row>
    <row r="6" spans="1:4" x14ac:dyDescent="0.25">
      <c r="A6" s="210" t="s">
        <v>19</v>
      </c>
      <c r="B6" s="210" t="s">
        <v>280</v>
      </c>
      <c r="C6" s="225" t="s">
        <v>1045</v>
      </c>
      <c r="D6" s="509">
        <v>2909</v>
      </c>
    </row>
    <row r="7" spans="1:4" x14ac:dyDescent="0.25">
      <c r="A7" s="210" t="s">
        <v>19</v>
      </c>
      <c r="B7" s="510" t="s">
        <v>1046</v>
      </c>
      <c r="C7" s="510" t="s">
        <v>250</v>
      </c>
      <c r="D7" s="509">
        <v>2918</v>
      </c>
    </row>
    <row r="8" spans="1:4" x14ac:dyDescent="0.25">
      <c r="A8" s="210" t="s">
        <v>19</v>
      </c>
      <c r="B8" s="510" t="s">
        <v>260</v>
      </c>
      <c r="C8" s="510" t="s">
        <v>259</v>
      </c>
      <c r="D8" s="509">
        <v>2061</v>
      </c>
    </row>
    <row r="9" spans="1:4" x14ac:dyDescent="0.25">
      <c r="A9" s="210" t="s">
        <v>19</v>
      </c>
      <c r="B9" s="210" t="s">
        <v>258</v>
      </c>
      <c r="C9" s="225" t="s">
        <v>1047</v>
      </c>
      <c r="D9" s="509">
        <v>1757.4</v>
      </c>
    </row>
    <row r="10" ht="15.75" customHeight="1" spans="1:4" x14ac:dyDescent="0.25">
      <c r="A10" s="210" t="s">
        <v>19</v>
      </c>
      <c r="B10" s="210" t="s">
        <v>410</v>
      </c>
      <c r="C10" s="225" t="s">
        <v>1048</v>
      </c>
      <c r="D10" s="508">
        <v>38862.45</v>
      </c>
    </row>
    <row r="11" spans="1:4" x14ac:dyDescent="0.25">
      <c r="A11" s="210" t="s">
        <v>19</v>
      </c>
      <c r="B11" s="210" t="s">
        <v>326</v>
      </c>
      <c r="C11" s="225" t="s">
        <v>325</v>
      </c>
      <c r="D11" s="509">
        <v>26457</v>
      </c>
    </row>
    <row r="12" ht="15.75" customHeight="1" spans="1:4" x14ac:dyDescent="0.25">
      <c r="A12" s="210" t="s">
        <v>19</v>
      </c>
      <c r="B12" s="210" t="s">
        <v>425</v>
      </c>
      <c r="C12" s="225" t="s">
        <v>1049</v>
      </c>
      <c r="D12" s="508">
        <v>194485</v>
      </c>
    </row>
    <row r="13" spans="1:4" x14ac:dyDescent="0.25">
      <c r="A13" s="210" t="s">
        <v>19</v>
      </c>
      <c r="B13" s="210" t="s">
        <v>342</v>
      </c>
      <c r="C13" s="510" t="s">
        <v>413</v>
      </c>
      <c r="D13" s="509">
        <v>111154</v>
      </c>
    </row>
    <row r="14" ht="15.75" customHeight="1" spans="1:4" x14ac:dyDescent="0.25">
      <c r="A14" s="210" t="s">
        <v>19</v>
      </c>
      <c r="B14" s="210" t="s">
        <v>420</v>
      </c>
      <c r="C14" s="225" t="s">
        <v>419</v>
      </c>
      <c r="D14" s="508">
        <v>5632.02</v>
      </c>
    </row>
    <row r="15" spans="1:4" x14ac:dyDescent="0.25">
      <c r="A15" s="210" t="s">
        <v>19</v>
      </c>
      <c r="B15" s="510" t="s">
        <v>462</v>
      </c>
      <c r="C15" s="510" t="s">
        <v>1050</v>
      </c>
      <c r="D15" s="509">
        <v>3631</v>
      </c>
    </row>
    <row r="16" spans="1:4" x14ac:dyDescent="0.25">
      <c r="A16" s="210" t="s">
        <v>19</v>
      </c>
      <c r="B16" s="210" t="s">
        <v>423</v>
      </c>
      <c r="C16" s="225" t="s">
        <v>1051</v>
      </c>
      <c r="D16" s="509">
        <v>5329</v>
      </c>
    </row>
    <row r="17" spans="1:4" x14ac:dyDescent="0.25">
      <c r="A17" s="210" t="s">
        <v>19</v>
      </c>
      <c r="B17" s="210" t="s">
        <v>346</v>
      </c>
      <c r="C17" s="225" t="s">
        <v>1052</v>
      </c>
      <c r="D17" s="509">
        <v>5400</v>
      </c>
    </row>
    <row r="18" spans="1:4" x14ac:dyDescent="0.25">
      <c r="A18" s="210" t="s">
        <v>19</v>
      </c>
      <c r="B18" s="210" t="s">
        <v>496</v>
      </c>
      <c r="C18" s="225" t="s">
        <v>1053</v>
      </c>
      <c r="D18" s="509">
        <v>9675</v>
      </c>
    </row>
    <row r="19" spans="1:4" x14ac:dyDescent="0.25">
      <c r="A19" s="210" t="s">
        <v>19</v>
      </c>
      <c r="B19" s="210" t="s">
        <v>447</v>
      </c>
      <c r="C19" s="225" t="s">
        <v>446</v>
      </c>
      <c r="D19" s="509">
        <v>10840</v>
      </c>
    </row>
    <row r="20" spans="1:4" x14ac:dyDescent="0.25">
      <c r="A20" s="210" t="s">
        <v>19</v>
      </c>
      <c r="B20" s="210" t="s">
        <v>254</v>
      </c>
      <c r="C20" s="225" t="s">
        <v>1054</v>
      </c>
      <c r="D20" s="509">
        <v>2925</v>
      </c>
    </row>
    <row r="21" ht="15.75" customHeight="1" spans="1:4" x14ac:dyDescent="0.25">
      <c r="A21" s="210" t="s">
        <v>19</v>
      </c>
      <c r="B21" s="210" t="s">
        <v>480</v>
      </c>
      <c r="C21" s="225" t="s">
        <v>1055</v>
      </c>
      <c r="D21" s="508">
        <v>2319.8275862068967</v>
      </c>
    </row>
    <row r="22" spans="1:4" x14ac:dyDescent="0.25">
      <c r="A22" s="210" t="s">
        <v>19</v>
      </c>
      <c r="B22" s="210" t="s">
        <v>487</v>
      </c>
      <c r="C22" s="225" t="s">
        <v>1056</v>
      </c>
      <c r="D22" s="507"/>
    </row>
    <row r="23" ht="15.75" customHeight="1" spans="1:4" x14ac:dyDescent="0.25">
      <c r="A23" s="210" t="s">
        <v>19</v>
      </c>
      <c r="B23" s="210" t="s">
        <v>1057</v>
      </c>
      <c r="C23" s="225" t="s">
        <v>1058</v>
      </c>
      <c r="D23" s="508">
        <v>16933.355791364887</v>
      </c>
    </row>
    <row r="24" spans="1:4" x14ac:dyDescent="0.25">
      <c r="A24" s="210" t="s">
        <v>19</v>
      </c>
      <c r="B24" s="210" t="s">
        <v>273</v>
      </c>
      <c r="C24" s="225" t="s">
        <v>1059</v>
      </c>
      <c r="D24" s="509">
        <v>4320</v>
      </c>
    </row>
    <row r="25" spans="1:4" x14ac:dyDescent="0.25">
      <c r="A25" s="210" t="s">
        <v>19</v>
      </c>
      <c r="B25" s="210" t="s">
        <v>284</v>
      </c>
      <c r="C25" s="225" t="s">
        <v>1060</v>
      </c>
      <c r="D25" s="509">
        <v>7386</v>
      </c>
    </row>
    <row r="26" spans="1:4" x14ac:dyDescent="0.25">
      <c r="A26" s="210" t="s">
        <v>19</v>
      </c>
      <c r="B26" s="210" t="s">
        <v>270</v>
      </c>
      <c r="C26" s="225" t="s">
        <v>1061</v>
      </c>
      <c r="D26" s="509">
        <v>11542.09</v>
      </c>
    </row>
    <row r="27" spans="1:4" x14ac:dyDescent="0.25">
      <c r="A27" s="210" t="s">
        <v>19</v>
      </c>
      <c r="B27" s="210" t="s">
        <v>328</v>
      </c>
      <c r="C27" s="225" t="s">
        <v>327</v>
      </c>
      <c r="D27" s="509">
        <v>1778</v>
      </c>
    </row>
    <row r="28" spans="1:4" x14ac:dyDescent="0.25">
      <c r="A28" s="210" t="s">
        <v>19</v>
      </c>
      <c r="B28" s="210" t="s">
        <v>331</v>
      </c>
      <c r="C28" s="225" t="s">
        <v>330</v>
      </c>
      <c r="D28" s="509">
        <v>4801</v>
      </c>
    </row>
    <row r="29" ht="15.75" customHeight="1" spans="1:4" x14ac:dyDescent="0.25">
      <c r="A29" s="210" t="s">
        <v>19</v>
      </c>
      <c r="B29" s="210" t="s">
        <v>502</v>
      </c>
      <c r="C29" s="225" t="s">
        <v>1062</v>
      </c>
      <c r="D29" s="508">
        <v>33502.24</v>
      </c>
    </row>
    <row r="30" spans="1:4" x14ac:dyDescent="0.25">
      <c r="A30" s="210" t="s">
        <v>19</v>
      </c>
      <c r="B30" s="210" t="s">
        <v>405</v>
      </c>
      <c r="C30" s="225" t="s">
        <v>1063</v>
      </c>
      <c r="D30" s="507">
        <v>155527.35</v>
      </c>
    </row>
    <row r="31" spans="1:4" x14ac:dyDescent="0.25">
      <c r="A31" s="210" t="s">
        <v>19</v>
      </c>
      <c r="B31" s="210" t="s">
        <v>321</v>
      </c>
      <c r="C31" s="225" t="s">
        <v>1064</v>
      </c>
      <c r="D31" s="509">
        <v>10452</v>
      </c>
    </row>
    <row r="32" spans="1:4" x14ac:dyDescent="0.25">
      <c r="A32" s="210" t="s">
        <v>19</v>
      </c>
      <c r="B32" s="210" t="s">
        <v>296</v>
      </c>
      <c r="C32" s="225" t="s">
        <v>1065</v>
      </c>
      <c r="D32" s="509">
        <v>114047</v>
      </c>
    </row>
    <row r="33" spans="1:4" x14ac:dyDescent="0.25">
      <c r="A33" s="210" t="s">
        <v>19</v>
      </c>
      <c r="B33" s="510" t="s">
        <v>338</v>
      </c>
      <c r="C33" s="510" t="s">
        <v>337</v>
      </c>
      <c r="D33" s="509">
        <v>64993</v>
      </c>
    </row>
    <row r="34" spans="1:4" x14ac:dyDescent="0.25">
      <c r="A34" s="210" t="s">
        <v>19</v>
      </c>
      <c r="B34" s="210" t="s">
        <v>245</v>
      </c>
      <c r="C34" s="225" t="s">
        <v>1066</v>
      </c>
      <c r="D34" s="509">
        <v>92629</v>
      </c>
    </row>
    <row r="35" spans="1:4" x14ac:dyDescent="0.25">
      <c r="A35" s="210" t="s">
        <v>19</v>
      </c>
      <c r="B35" s="210" t="s">
        <v>302</v>
      </c>
      <c r="C35" s="225" t="s">
        <v>1067</v>
      </c>
      <c r="D35" s="509">
        <v>31282</v>
      </c>
    </row>
    <row r="36" ht="15.75" customHeight="1" spans="1:4" x14ac:dyDescent="0.25">
      <c r="A36" s="210" t="s">
        <v>19</v>
      </c>
      <c r="B36" s="210" t="s">
        <v>407</v>
      </c>
      <c r="C36" s="225" t="s">
        <v>1068</v>
      </c>
      <c r="D36" s="508">
        <v>11870</v>
      </c>
    </row>
    <row r="37" spans="1:4" x14ac:dyDescent="0.25">
      <c r="A37" s="210" t="s">
        <v>19</v>
      </c>
      <c r="B37" s="210" t="s">
        <v>438</v>
      </c>
      <c r="C37" s="225" t="s">
        <v>1069</v>
      </c>
      <c r="D37" s="507"/>
    </row>
    <row r="38" spans="1:4" x14ac:dyDescent="0.25">
      <c r="A38" s="210" t="s">
        <v>19</v>
      </c>
      <c r="B38" s="510" t="s">
        <v>444</v>
      </c>
      <c r="C38" s="510" t="s">
        <v>443</v>
      </c>
      <c r="D38" s="509">
        <v>4086</v>
      </c>
    </row>
    <row r="39" spans="1:4" x14ac:dyDescent="0.25">
      <c r="A39" s="210" t="s">
        <v>19</v>
      </c>
      <c r="B39" s="210" t="s">
        <v>432</v>
      </c>
      <c r="C39" s="225" t="s">
        <v>1070</v>
      </c>
      <c r="D39" s="509">
        <v>1821</v>
      </c>
    </row>
    <row r="40" spans="1:4" x14ac:dyDescent="0.25">
      <c r="A40" s="210" t="s">
        <v>19</v>
      </c>
      <c r="B40" s="210" t="s">
        <v>308</v>
      </c>
      <c r="C40" s="225" t="s">
        <v>307</v>
      </c>
      <c r="D40" s="509">
        <v>10840</v>
      </c>
    </row>
    <row r="41" ht="15.75" customHeight="1" spans="1:4" x14ac:dyDescent="0.25">
      <c r="A41" s="210" t="s">
        <v>19</v>
      </c>
      <c r="B41" s="210" t="s">
        <v>401</v>
      </c>
      <c r="C41" s="225" t="s">
        <v>1071</v>
      </c>
      <c r="D41" s="508">
        <v>4259.3618445407155</v>
      </c>
    </row>
    <row r="42" ht="15.75" customHeight="1" spans="1:4" x14ac:dyDescent="0.25">
      <c r="A42" s="210" t="s">
        <v>19</v>
      </c>
      <c r="B42" s="210" t="s">
        <v>399</v>
      </c>
      <c r="C42" s="225" t="s">
        <v>1072</v>
      </c>
      <c r="D42" s="508">
        <v>4941.346076499014</v>
      </c>
    </row>
    <row r="43" ht="15.75" customHeight="1" spans="1:4" x14ac:dyDescent="0.25">
      <c r="A43" s="210" t="s">
        <v>19</v>
      </c>
      <c r="B43" s="210" t="s">
        <v>403</v>
      </c>
      <c r="C43" s="225" t="s">
        <v>1073</v>
      </c>
      <c r="D43" s="508">
        <v>17767.296541236028</v>
      </c>
    </row>
    <row r="44" ht="15.75" customHeight="1" spans="1:4" x14ac:dyDescent="0.25">
      <c r="A44" s="210" t="s">
        <v>19</v>
      </c>
      <c r="B44" s="210" t="s">
        <v>397</v>
      </c>
      <c r="C44" s="225" t="s">
        <v>1074</v>
      </c>
      <c r="D44" s="508">
        <v>4044</v>
      </c>
    </row>
    <row r="45" spans="1:4" x14ac:dyDescent="0.25">
      <c r="A45" s="210" t="s">
        <v>19</v>
      </c>
      <c r="B45" s="210" t="s">
        <v>267</v>
      </c>
      <c r="C45" s="225" t="s">
        <v>1075</v>
      </c>
      <c r="D45" s="509">
        <v>88034</v>
      </c>
    </row>
    <row r="46" spans="1:4" x14ac:dyDescent="0.25">
      <c r="A46" s="210" t="s">
        <v>19</v>
      </c>
      <c r="B46" s="510" t="s">
        <v>1076</v>
      </c>
      <c r="C46" s="510" t="s">
        <v>1077</v>
      </c>
      <c r="D46" s="509">
        <v>19363</v>
      </c>
    </row>
    <row r="47" spans="1:4" x14ac:dyDescent="0.25">
      <c r="A47" s="210" t="s">
        <v>19</v>
      </c>
      <c r="B47" s="510" t="s">
        <v>471</v>
      </c>
      <c r="C47" s="510" t="s">
        <v>470</v>
      </c>
      <c r="D47" s="509">
        <v>49896</v>
      </c>
    </row>
    <row r="48" ht="15.75" customHeight="1" spans="1:4" x14ac:dyDescent="0.25">
      <c r="A48" s="210" t="s">
        <v>19</v>
      </c>
      <c r="B48" s="210" t="s">
        <v>436</v>
      </c>
      <c r="C48" s="225" t="s">
        <v>435</v>
      </c>
      <c r="D48" s="508">
        <v>73600</v>
      </c>
    </row>
    <row r="49" spans="1:4" x14ac:dyDescent="0.25">
      <c r="A49" s="210" t="s">
        <v>19</v>
      </c>
      <c r="B49" s="510" t="s">
        <v>441</v>
      </c>
      <c r="C49" s="510" t="s">
        <v>440</v>
      </c>
      <c r="D49" s="509">
        <v>42610</v>
      </c>
    </row>
    <row r="50" spans="1:4" x14ac:dyDescent="0.25">
      <c r="A50" s="210" t="s">
        <v>19</v>
      </c>
      <c r="B50" s="210" t="s">
        <v>1078</v>
      </c>
      <c r="C50" s="225" t="s">
        <v>1079</v>
      </c>
      <c r="D50" s="509">
        <v>4235</v>
      </c>
    </row>
    <row r="51" spans="1:4" x14ac:dyDescent="0.25">
      <c r="A51" s="210" t="s">
        <v>19</v>
      </c>
      <c r="B51" s="210" t="s">
        <v>465</v>
      </c>
      <c r="C51" s="225" t="s">
        <v>464</v>
      </c>
      <c r="D51" s="507">
        <v>4235</v>
      </c>
    </row>
    <row r="52" spans="1:4" x14ac:dyDescent="0.25">
      <c r="A52" s="210" t="s">
        <v>19</v>
      </c>
      <c r="B52" s="210" t="s">
        <v>494</v>
      </c>
      <c r="C52" s="225" t="s">
        <v>1080</v>
      </c>
      <c r="D52" s="507">
        <v>5604.795468197937</v>
      </c>
    </row>
    <row r="53" ht="15.75" customHeight="1" spans="1:4" x14ac:dyDescent="0.25">
      <c r="A53" s="210" t="s">
        <v>19</v>
      </c>
      <c r="B53" s="210" t="s">
        <v>394</v>
      </c>
      <c r="C53" s="225" t="s">
        <v>1081</v>
      </c>
      <c r="D53" s="508">
        <v>143122.54623276967</v>
      </c>
    </row>
    <row r="54" ht="15.75" customHeight="1" spans="1:4" x14ac:dyDescent="0.25">
      <c r="A54" s="210" t="s">
        <v>19</v>
      </c>
      <c r="B54" s="210" t="s">
        <v>391</v>
      </c>
      <c r="C54" s="225" t="s">
        <v>1082</v>
      </c>
      <c r="D54" s="508">
        <v>110962.79999999999</v>
      </c>
    </row>
    <row r="55" spans="1:4" x14ac:dyDescent="0.25">
      <c r="A55" s="210" t="s">
        <v>19</v>
      </c>
      <c r="B55" s="210" t="s">
        <v>363</v>
      </c>
      <c r="C55" s="511" t="s">
        <v>364</v>
      </c>
      <c r="D55" s="509">
        <v>79000</v>
      </c>
    </row>
    <row r="56" spans="1:4" x14ac:dyDescent="0.25">
      <c r="A56" s="210" t="s">
        <v>19</v>
      </c>
      <c r="B56" s="210" t="s">
        <v>1083</v>
      </c>
      <c r="C56" s="225" t="s">
        <v>1084</v>
      </c>
      <c r="D56" s="509">
        <v>7218</v>
      </c>
    </row>
    <row r="57" spans="1:4" x14ac:dyDescent="0.25">
      <c r="A57" s="210" t="s">
        <v>19</v>
      </c>
      <c r="B57" s="210" t="s">
        <v>312</v>
      </c>
      <c r="C57" s="225" t="s">
        <v>1085</v>
      </c>
      <c r="D57" s="507">
        <v>124981</v>
      </c>
    </row>
    <row r="58" spans="1:4" x14ac:dyDescent="0.25">
      <c r="A58" s="210" t="s">
        <v>19</v>
      </c>
      <c r="B58" s="210" t="s">
        <v>299</v>
      </c>
      <c r="C58" s="225" t="s">
        <v>1086</v>
      </c>
      <c r="D58" s="507">
        <v>133016</v>
      </c>
    </row>
    <row r="59" spans="1:4" x14ac:dyDescent="0.25">
      <c r="A59" s="210" t="s">
        <v>19</v>
      </c>
      <c r="B59" s="210" t="s">
        <v>458</v>
      </c>
      <c r="C59" s="510" t="s">
        <v>1087</v>
      </c>
      <c r="D59" s="509">
        <v>2400</v>
      </c>
    </row>
    <row r="60" ht="15.75" customHeight="1" spans="1:4" x14ac:dyDescent="0.25">
      <c r="A60" s="210" t="s">
        <v>19</v>
      </c>
      <c r="B60" s="210" t="s">
        <v>264</v>
      </c>
      <c r="C60" s="225" t="s">
        <v>1088</v>
      </c>
      <c r="D60" s="508">
        <v>157085</v>
      </c>
    </row>
    <row r="61" spans="1:4" x14ac:dyDescent="0.25">
      <c r="A61" s="210" t="s">
        <v>19</v>
      </c>
      <c r="B61" s="210" t="s">
        <v>305</v>
      </c>
      <c r="C61" s="225" t="s">
        <v>1089</v>
      </c>
      <c r="D61" s="507">
        <v>46854</v>
      </c>
    </row>
    <row r="62" ht="15.75" customHeight="1" spans="1:4" x14ac:dyDescent="0.25">
      <c r="A62" s="210" t="s">
        <v>19</v>
      </c>
      <c r="B62" s="210" t="s">
        <v>453</v>
      </c>
      <c r="C62" s="225" t="s">
        <v>1090</v>
      </c>
      <c r="D62" s="508">
        <v>42465</v>
      </c>
    </row>
    <row r="63" spans="1:4" x14ac:dyDescent="0.25">
      <c r="A63" s="210" t="s">
        <v>19</v>
      </c>
      <c r="B63" s="210" t="s">
        <v>1091</v>
      </c>
      <c r="C63" s="225" t="s">
        <v>1092</v>
      </c>
      <c r="D63" s="509">
        <v>12127</v>
      </c>
    </row>
    <row r="64" spans="1:4" x14ac:dyDescent="0.25">
      <c r="A64" s="210" t="s">
        <v>19</v>
      </c>
      <c r="B64" s="510" t="s">
        <v>456</v>
      </c>
      <c r="C64" s="510" t="s">
        <v>455</v>
      </c>
      <c r="D64" s="509">
        <v>13135</v>
      </c>
    </row>
    <row r="65" spans="1:4" x14ac:dyDescent="0.25">
      <c r="A65" s="210" t="s">
        <v>19</v>
      </c>
      <c r="B65" s="210" t="s">
        <v>293</v>
      </c>
      <c r="C65" s="225" t="s">
        <v>1093</v>
      </c>
      <c r="D65" s="509">
        <v>6142</v>
      </c>
    </row>
    <row r="66" spans="1:4" x14ac:dyDescent="0.25">
      <c r="A66" s="210" t="s">
        <v>19</v>
      </c>
      <c r="B66" s="210" t="s">
        <v>242</v>
      </c>
      <c r="C66" s="225" t="s">
        <v>1094</v>
      </c>
      <c r="D66" s="509">
        <v>1551</v>
      </c>
    </row>
    <row r="67" spans="1:4" x14ac:dyDescent="0.25">
      <c r="A67" s="210" t="s">
        <v>19</v>
      </c>
      <c r="B67" s="210" t="s">
        <v>344</v>
      </c>
      <c r="C67" s="225" t="s">
        <v>343</v>
      </c>
      <c r="D67" s="509">
        <v>92920</v>
      </c>
    </row>
    <row r="68" spans="1:4" x14ac:dyDescent="0.25">
      <c r="A68" s="210" t="s">
        <v>19</v>
      </c>
      <c r="B68" s="510" t="s">
        <v>248</v>
      </c>
      <c r="C68" s="510" t="s">
        <v>247</v>
      </c>
      <c r="D68" s="509">
        <v>2918</v>
      </c>
    </row>
    <row r="69" spans="1:4" x14ac:dyDescent="0.25">
      <c r="A69" s="210" t="s">
        <v>19</v>
      </c>
      <c r="B69" s="210" t="s">
        <v>318</v>
      </c>
      <c r="C69" s="225" t="s">
        <v>414</v>
      </c>
      <c r="D69" s="509">
        <v>15165</v>
      </c>
    </row>
    <row r="70" spans="1:4" x14ac:dyDescent="0.25">
      <c r="A70" s="210" t="s">
        <v>19</v>
      </c>
      <c r="B70" s="510" t="s">
        <v>460</v>
      </c>
      <c r="C70" s="225" t="s">
        <v>1095</v>
      </c>
      <c r="D70" s="509">
        <v>3712</v>
      </c>
    </row>
    <row r="71" spans="1:4" x14ac:dyDescent="0.25">
      <c r="A71" s="210" t="s">
        <v>19</v>
      </c>
      <c r="B71" s="210" t="s">
        <v>492</v>
      </c>
      <c r="C71" s="225" t="s">
        <v>1096</v>
      </c>
      <c r="D71" s="507">
        <v>5105.952342938271</v>
      </c>
    </row>
    <row r="72" spans="1:4" x14ac:dyDescent="0.25">
      <c r="A72" s="210" t="s">
        <v>19</v>
      </c>
      <c r="B72" s="210" t="s">
        <v>475</v>
      </c>
      <c r="C72" s="225" t="s">
        <v>1097</v>
      </c>
      <c r="D72" s="509">
        <v>27.75</v>
      </c>
    </row>
    <row r="73" spans="1:4" x14ac:dyDescent="0.25">
      <c r="A73" s="210" t="s">
        <v>19</v>
      </c>
      <c r="B73" s="210" t="s">
        <v>323</v>
      </c>
      <c r="C73" s="225" t="s">
        <v>1098</v>
      </c>
      <c r="D73" s="509">
        <v>2907</v>
      </c>
    </row>
    <row r="74" spans="1:4" x14ac:dyDescent="0.25">
      <c r="A74" s="210" t="s">
        <v>19</v>
      </c>
      <c r="B74" s="510" t="s">
        <v>349</v>
      </c>
      <c r="C74" s="510" t="s">
        <v>1099</v>
      </c>
      <c r="D74" s="509">
        <v>3568</v>
      </c>
    </row>
    <row r="75" spans="1:4" x14ac:dyDescent="0.25">
      <c r="A75" s="210" t="s">
        <v>19</v>
      </c>
      <c r="B75" s="210" t="s">
        <v>477</v>
      </c>
      <c r="C75" s="225" t="s">
        <v>1100</v>
      </c>
      <c r="D75" s="509">
        <v>38</v>
      </c>
    </row>
    <row r="76" spans="1:4" x14ac:dyDescent="0.25">
      <c r="A76" s="210" t="s">
        <v>19</v>
      </c>
      <c r="B76" s="210" t="s">
        <v>467</v>
      </c>
      <c r="C76" s="225" t="s">
        <v>1101</v>
      </c>
      <c r="D76" s="509">
        <v>17.1</v>
      </c>
    </row>
    <row r="77" spans="1:4" x14ac:dyDescent="0.25">
      <c r="A77" s="210" t="s">
        <v>19</v>
      </c>
      <c r="B77" s="210" t="s">
        <v>469</v>
      </c>
      <c r="C77" s="225" t="s">
        <v>1102</v>
      </c>
      <c r="D77" s="509">
        <v>13.56</v>
      </c>
    </row>
    <row r="78" spans="1:4" x14ac:dyDescent="0.25">
      <c r="A78" s="210" t="s">
        <v>19</v>
      </c>
      <c r="B78" s="210" t="s">
        <v>289</v>
      </c>
      <c r="C78" s="225" t="s">
        <v>1103</v>
      </c>
      <c r="D78" s="507">
        <v>90090</v>
      </c>
    </row>
    <row r="79" spans="1:4" x14ac:dyDescent="0.25">
      <c r="A79" s="210" t="s">
        <v>19</v>
      </c>
      <c r="B79" s="210" t="s">
        <v>314</v>
      </c>
      <c r="C79" s="225" t="s">
        <v>313</v>
      </c>
      <c r="D79" s="507">
        <v>39400.9275</v>
      </c>
    </row>
    <row r="80" spans="1:4" x14ac:dyDescent="0.25">
      <c r="A80" s="210" t="s">
        <v>19</v>
      </c>
      <c r="B80" s="210" t="s">
        <v>316</v>
      </c>
      <c r="C80" s="225" t="s">
        <v>1104</v>
      </c>
      <c r="D80" s="507">
        <v>938.355</v>
      </c>
    </row>
    <row r="81" spans="1:4" x14ac:dyDescent="0.25">
      <c r="A81" s="210" t="s">
        <v>19</v>
      </c>
      <c r="B81" s="210" t="s">
        <v>484</v>
      </c>
      <c r="C81" s="225" t="s">
        <v>483</v>
      </c>
      <c r="D81" s="509">
        <v>4319.38</v>
      </c>
    </row>
    <row r="82" spans="1:4" x14ac:dyDescent="0.25">
      <c r="A82" s="210" t="s">
        <v>19</v>
      </c>
      <c r="B82" s="210" t="s">
        <v>482</v>
      </c>
      <c r="C82" s="225" t="s">
        <v>481</v>
      </c>
      <c r="D82" s="509">
        <v>11700</v>
      </c>
    </row>
    <row r="83" spans="1:4" x14ac:dyDescent="0.25">
      <c r="A83" s="210" t="s">
        <v>19</v>
      </c>
      <c r="B83" s="210" t="s">
        <v>286</v>
      </c>
      <c r="C83" s="225" t="s">
        <v>1105</v>
      </c>
      <c r="D83" s="507">
        <v>289800</v>
      </c>
    </row>
    <row r="84" spans="1:4" x14ac:dyDescent="0.25">
      <c r="A84" s="210" t="s">
        <v>19</v>
      </c>
      <c r="B84" s="210" t="s">
        <v>416</v>
      </c>
      <c r="C84" s="225" t="s">
        <v>1106</v>
      </c>
      <c r="D84" s="509">
        <v>250</v>
      </c>
    </row>
    <row r="85" ht="15.75" customHeight="1" spans="1:4" x14ac:dyDescent="0.25">
      <c r="A85" s="210" t="s">
        <v>19</v>
      </c>
      <c r="B85" s="210" t="s">
        <v>514</v>
      </c>
      <c r="C85" s="225" t="s">
        <v>1107</v>
      </c>
      <c r="D85" s="508">
        <v>47424</v>
      </c>
    </row>
    <row r="86" ht="15.75" customHeight="1" spans="1:4" x14ac:dyDescent="0.25">
      <c r="A86" s="210" t="s">
        <v>19</v>
      </c>
      <c r="B86" s="210" t="s">
        <v>511</v>
      </c>
      <c r="C86" s="225" t="s">
        <v>1108</v>
      </c>
      <c r="D86" s="508">
        <v>15000</v>
      </c>
    </row>
    <row r="87" spans="1:4" x14ac:dyDescent="0.25">
      <c r="A87" s="210" t="s">
        <v>1109</v>
      </c>
      <c r="B87" s="177">
        <v>43035</v>
      </c>
      <c r="C87" s="210" t="s">
        <v>1110</v>
      </c>
      <c r="D87" s="509">
        <v>6042.65</v>
      </c>
    </row>
    <row r="88" spans="1:4" x14ac:dyDescent="0.25">
      <c r="A88" s="210" t="s">
        <v>1109</v>
      </c>
      <c r="B88" s="177">
        <v>19028</v>
      </c>
      <c r="C88" s="210" t="s">
        <v>1111</v>
      </c>
      <c r="D88" s="509">
        <v>205.33</v>
      </c>
    </row>
    <row r="89" spans="1:4" x14ac:dyDescent="0.25">
      <c r="A89" s="210" t="s">
        <v>1109</v>
      </c>
      <c r="B89" s="177">
        <v>18740</v>
      </c>
      <c r="C89" s="210" t="s">
        <v>1112</v>
      </c>
      <c r="D89" s="509">
        <v>2362.8</v>
      </c>
    </row>
    <row r="90" spans="1:4" x14ac:dyDescent="0.25">
      <c r="A90" s="210" t="s">
        <v>1109</v>
      </c>
      <c r="B90" s="177">
        <v>17803</v>
      </c>
      <c r="C90" s="210" t="s">
        <v>1113</v>
      </c>
      <c r="D90" s="509">
        <v>38784.25</v>
      </c>
    </row>
    <row r="91" spans="1:4" x14ac:dyDescent="0.25">
      <c r="A91" s="210" t="s">
        <v>1109</v>
      </c>
      <c r="B91" s="177">
        <v>17793</v>
      </c>
      <c r="C91" s="210" t="s">
        <v>1114</v>
      </c>
      <c r="D91" s="509">
        <v>42725.8</v>
      </c>
    </row>
    <row r="92" spans="1:4" x14ac:dyDescent="0.25">
      <c r="A92" s="210" t="s">
        <v>1109</v>
      </c>
      <c r="B92" s="177">
        <v>18319</v>
      </c>
      <c r="C92" s="210" t="s">
        <v>1115</v>
      </c>
      <c r="D92" s="509">
        <v>48290.33</v>
      </c>
    </row>
    <row r="93" spans="1:4" x14ac:dyDescent="0.25">
      <c r="A93" s="210" t="s">
        <v>1109</v>
      </c>
      <c r="B93" s="177">
        <v>23343</v>
      </c>
      <c r="C93" s="210" t="s">
        <v>1116</v>
      </c>
      <c r="D93" s="509">
        <v>247.57</v>
      </c>
    </row>
    <row r="94" spans="1:4" x14ac:dyDescent="0.25">
      <c r="A94" s="210" t="s">
        <v>1109</v>
      </c>
      <c r="B94" s="177">
        <v>22548</v>
      </c>
      <c r="C94" s="210" t="s">
        <v>1117</v>
      </c>
      <c r="D94" s="509">
        <v>1259.58</v>
      </c>
    </row>
    <row r="95" spans="1:4" x14ac:dyDescent="0.25">
      <c r="A95" s="210" t="s">
        <v>1109</v>
      </c>
      <c r="B95" s="177">
        <v>28623</v>
      </c>
      <c r="C95" s="210" t="s">
        <v>1118</v>
      </c>
      <c r="D95" s="509">
        <v>381728.3</v>
      </c>
    </row>
    <row r="96" spans="1:4" x14ac:dyDescent="0.25">
      <c r="A96" s="210" t="s">
        <v>1109</v>
      </c>
      <c r="B96" s="177">
        <v>28280</v>
      </c>
      <c r="C96" s="210" t="s">
        <v>1119</v>
      </c>
      <c r="D96" s="509">
        <v>3167.35</v>
      </c>
    </row>
    <row r="97" spans="1:4" x14ac:dyDescent="0.25">
      <c r="A97" s="210" t="s">
        <v>1109</v>
      </c>
      <c r="B97" s="177">
        <v>26675</v>
      </c>
      <c r="C97" s="210" t="s">
        <v>1120</v>
      </c>
      <c r="D97" s="509">
        <v>2229.56</v>
      </c>
    </row>
    <row r="98" spans="1:4" x14ac:dyDescent="0.25">
      <c r="A98" s="210" t="s">
        <v>1109</v>
      </c>
      <c r="B98" s="177">
        <v>798</v>
      </c>
      <c r="C98" s="210" t="s">
        <v>1121</v>
      </c>
      <c r="D98" s="509">
        <v>1897.27</v>
      </c>
    </row>
    <row r="99" spans="1:4" x14ac:dyDescent="0.25">
      <c r="A99" s="210" t="s">
        <v>1109</v>
      </c>
      <c r="B99" s="177">
        <v>4080</v>
      </c>
      <c r="C99" s="210" t="s">
        <v>1122</v>
      </c>
      <c r="D99" s="509">
        <v>817.14</v>
      </c>
    </row>
    <row r="100" spans="1:4" x14ac:dyDescent="0.25">
      <c r="A100" s="210" t="s">
        <v>1109</v>
      </c>
      <c r="B100" s="177">
        <v>4482</v>
      </c>
      <c r="C100" s="210" t="s">
        <v>1123</v>
      </c>
      <c r="D100" s="509">
        <v>640.6</v>
      </c>
    </row>
    <row r="101" spans="1:4" x14ac:dyDescent="0.25">
      <c r="A101" s="210" t="s">
        <v>1109</v>
      </c>
      <c r="B101" s="177">
        <v>33737</v>
      </c>
      <c r="C101" s="210" t="s">
        <v>1124</v>
      </c>
      <c r="D101" s="509">
        <v>1070.06</v>
      </c>
    </row>
    <row r="102" spans="1:4" x14ac:dyDescent="0.25">
      <c r="A102" s="210" t="s">
        <v>1109</v>
      </c>
      <c r="B102" s="177">
        <v>32378</v>
      </c>
      <c r="C102" s="210" t="s">
        <v>946</v>
      </c>
      <c r="D102" s="509">
        <v>219.7</v>
      </c>
    </row>
    <row r="103" spans="1:4" x14ac:dyDescent="0.25">
      <c r="A103" s="210" t="s">
        <v>1109</v>
      </c>
      <c r="B103" s="177">
        <v>32375</v>
      </c>
      <c r="C103" s="210" t="s">
        <v>947</v>
      </c>
      <c r="D103" s="509">
        <v>219.7</v>
      </c>
    </row>
    <row r="104" spans="1:4" x14ac:dyDescent="0.25">
      <c r="A104" s="210" t="s">
        <v>1109</v>
      </c>
      <c r="B104" s="177">
        <v>32384</v>
      </c>
      <c r="C104" s="210" t="s">
        <v>944</v>
      </c>
      <c r="D104" s="509">
        <v>353.6</v>
      </c>
    </row>
    <row r="105" spans="1:4" x14ac:dyDescent="0.25">
      <c r="A105" s="210" t="s">
        <v>1109</v>
      </c>
      <c r="B105" s="177">
        <v>32381</v>
      </c>
      <c r="C105" s="210" t="s">
        <v>945</v>
      </c>
      <c r="D105" s="509">
        <v>353.6</v>
      </c>
    </row>
    <row r="106" spans="1:4" x14ac:dyDescent="0.25">
      <c r="A106" s="210" t="s">
        <v>1109</v>
      </c>
      <c r="B106" s="177">
        <v>32555</v>
      </c>
      <c r="C106" s="210" t="s">
        <v>1125</v>
      </c>
      <c r="D106" s="509">
        <v>839.36</v>
      </c>
    </row>
    <row r="107" spans="1:4" x14ac:dyDescent="0.25">
      <c r="A107" s="210" t="s">
        <v>1109</v>
      </c>
      <c r="B107" s="177">
        <v>32550</v>
      </c>
      <c r="C107" s="210" t="s">
        <v>950</v>
      </c>
      <c r="D107" s="509">
        <v>839.36</v>
      </c>
    </row>
    <row r="108" spans="1:4" x14ac:dyDescent="0.25">
      <c r="A108" s="210" t="s">
        <v>1109</v>
      </c>
      <c r="B108" s="177">
        <v>32553</v>
      </c>
      <c r="C108" s="210" t="s">
        <v>948</v>
      </c>
      <c r="D108" s="509">
        <v>839.36</v>
      </c>
    </row>
    <row r="109" spans="1:4" x14ac:dyDescent="0.25">
      <c r="A109" s="210" t="s">
        <v>1109</v>
      </c>
      <c r="B109" s="177">
        <v>22380</v>
      </c>
      <c r="C109" s="210" t="s">
        <v>1126</v>
      </c>
      <c r="D109" s="509">
        <v>1231.74</v>
      </c>
    </row>
    <row r="110" spans="1:4" x14ac:dyDescent="0.25">
      <c r="A110" s="210" t="s">
        <v>1109</v>
      </c>
      <c r="B110" s="177">
        <v>22379</v>
      </c>
      <c r="C110" s="210" t="s">
        <v>1127</v>
      </c>
      <c r="D110" s="509">
        <v>1822.43</v>
      </c>
    </row>
    <row r="111" spans="1:4" x14ac:dyDescent="0.25">
      <c r="A111" s="210" t="s">
        <v>1109</v>
      </c>
      <c r="B111" s="177">
        <v>28148</v>
      </c>
      <c r="C111" s="210" t="s">
        <v>1128</v>
      </c>
      <c r="D111" s="509">
        <v>6199.78</v>
      </c>
    </row>
    <row r="112" spans="1:4" x14ac:dyDescent="0.25">
      <c r="A112" s="210" t="s">
        <v>1109</v>
      </c>
      <c r="B112" s="177">
        <v>18379</v>
      </c>
      <c r="C112" s="210" t="s">
        <v>1129</v>
      </c>
      <c r="D112" s="509">
        <v>1223.78</v>
      </c>
    </row>
    <row r="113" spans="1:4" x14ac:dyDescent="0.25">
      <c r="A113" s="210" t="s">
        <v>1109</v>
      </c>
      <c r="B113" s="177">
        <v>32388</v>
      </c>
      <c r="C113" s="210" t="s">
        <v>1130</v>
      </c>
      <c r="D113" s="509">
        <v>552.17</v>
      </c>
    </row>
    <row r="114" spans="1:4" x14ac:dyDescent="0.25">
      <c r="A114" s="210" t="s">
        <v>1109</v>
      </c>
      <c r="B114" s="177">
        <v>32389</v>
      </c>
      <c r="C114" s="210" t="s">
        <v>1131</v>
      </c>
      <c r="D114" s="509">
        <v>552.31</v>
      </c>
    </row>
    <row r="115" spans="1:4" x14ac:dyDescent="0.25">
      <c r="A115" s="210" t="s">
        <v>1109</v>
      </c>
      <c r="B115" s="177">
        <v>32387</v>
      </c>
      <c r="C115" s="210" t="s">
        <v>1132</v>
      </c>
      <c r="D115" s="509">
        <v>552.31</v>
      </c>
    </row>
    <row r="116" spans="1:4" x14ac:dyDescent="0.25">
      <c r="A116" s="210" t="s">
        <v>1109</v>
      </c>
      <c r="B116" s="177">
        <v>32390</v>
      </c>
      <c r="C116" s="210" t="s">
        <v>1133</v>
      </c>
      <c r="D116" s="509">
        <v>552.17</v>
      </c>
    </row>
    <row r="117" spans="1:4" x14ac:dyDescent="0.25">
      <c r="A117" s="210" t="s">
        <v>1109</v>
      </c>
      <c r="B117" s="177">
        <v>22457</v>
      </c>
      <c r="C117" s="210" t="s">
        <v>1134</v>
      </c>
      <c r="D117" s="509">
        <v>283.37</v>
      </c>
    </row>
    <row r="118" spans="1:4" x14ac:dyDescent="0.25">
      <c r="A118" s="210" t="s">
        <v>1109</v>
      </c>
      <c r="B118" s="177">
        <v>23614</v>
      </c>
      <c r="C118" s="210" t="s">
        <v>1135</v>
      </c>
      <c r="D118" s="509">
        <v>1445.82</v>
      </c>
    </row>
    <row r="119" spans="1:4" x14ac:dyDescent="0.25">
      <c r="A119" s="210" t="s">
        <v>1109</v>
      </c>
      <c r="B119" s="177">
        <v>22453</v>
      </c>
      <c r="C119" s="210" t="s">
        <v>1136</v>
      </c>
      <c r="D119" s="509">
        <v>579.34</v>
      </c>
    </row>
    <row r="120" spans="1:4" x14ac:dyDescent="0.25">
      <c r="A120" s="210" t="s">
        <v>1109</v>
      </c>
      <c r="B120" s="177">
        <v>19029</v>
      </c>
      <c r="C120" s="210" t="s">
        <v>1137</v>
      </c>
      <c r="D120" s="509">
        <v>132.78</v>
      </c>
    </row>
    <row r="121" spans="1:4" x14ac:dyDescent="0.25">
      <c r="A121" s="210" t="s">
        <v>1109</v>
      </c>
      <c r="B121" s="177">
        <v>22585</v>
      </c>
      <c r="C121" s="210" t="s">
        <v>1138</v>
      </c>
      <c r="D121" s="509">
        <v>1523.7</v>
      </c>
    </row>
    <row r="122" spans="1:4" x14ac:dyDescent="0.25">
      <c r="A122" s="210" t="s">
        <v>1109</v>
      </c>
      <c r="B122" s="177">
        <v>22455</v>
      </c>
      <c r="C122" s="210" t="s">
        <v>1139</v>
      </c>
      <c r="D122" s="509">
        <v>311.4</v>
      </c>
    </row>
    <row r="123" spans="1:4" x14ac:dyDescent="0.25">
      <c r="A123" s="210" t="s">
        <v>1109</v>
      </c>
      <c r="B123" s="177">
        <v>22456</v>
      </c>
      <c r="C123" s="210" t="s">
        <v>1140</v>
      </c>
      <c r="D123" s="509">
        <v>436.62</v>
      </c>
    </row>
    <row r="124" spans="1:4" x14ac:dyDescent="0.25">
      <c r="A124" s="210" t="s">
        <v>1109</v>
      </c>
      <c r="B124" s="177">
        <v>21490</v>
      </c>
      <c r="C124" s="210" t="s">
        <v>1141</v>
      </c>
      <c r="D124" s="509">
        <v>2496.63</v>
      </c>
    </row>
    <row r="125" spans="1:4" x14ac:dyDescent="0.25">
      <c r="A125" s="210" t="s">
        <v>1109</v>
      </c>
      <c r="B125" s="177">
        <v>31246</v>
      </c>
      <c r="C125" s="210" t="s">
        <v>1142</v>
      </c>
      <c r="D125" s="509">
        <v>2950.71</v>
      </c>
    </row>
    <row r="126" spans="1:4" x14ac:dyDescent="0.25">
      <c r="A126" s="210" t="s">
        <v>1109</v>
      </c>
      <c r="B126" s="177">
        <v>23375</v>
      </c>
      <c r="C126" s="210" t="s">
        <v>1143</v>
      </c>
      <c r="D126" s="509">
        <v>2299.38</v>
      </c>
    </row>
    <row r="127" spans="1:4" x14ac:dyDescent="0.25">
      <c r="A127" s="210" t="s">
        <v>1109</v>
      </c>
      <c r="B127" s="177">
        <v>18449</v>
      </c>
      <c r="C127" s="210" t="s">
        <v>1144</v>
      </c>
      <c r="D127" s="509">
        <v>12514.22</v>
      </c>
    </row>
    <row r="128" spans="1:4" x14ac:dyDescent="0.25">
      <c r="A128" s="210" t="s">
        <v>1109</v>
      </c>
      <c r="B128" s="177">
        <v>24524</v>
      </c>
      <c r="C128" s="210" t="s">
        <v>1145</v>
      </c>
      <c r="D128" s="509">
        <v>362.4</v>
      </c>
    </row>
    <row r="129" spans="1:4" x14ac:dyDescent="0.25">
      <c r="A129" s="210" t="s">
        <v>1109</v>
      </c>
      <c r="B129" s="177">
        <v>4076</v>
      </c>
      <c r="C129" s="210" t="s">
        <v>1146</v>
      </c>
      <c r="D129" s="509">
        <v>4762.21</v>
      </c>
    </row>
    <row r="130" spans="1:4" x14ac:dyDescent="0.25">
      <c r="A130" s="210" t="s">
        <v>1109</v>
      </c>
      <c r="B130" s="177">
        <v>4022</v>
      </c>
      <c r="C130" s="210" t="s">
        <v>1147</v>
      </c>
      <c r="D130" s="509">
        <v>7677.83</v>
      </c>
    </row>
    <row r="131" spans="1:4" x14ac:dyDescent="0.25">
      <c r="A131" s="210" t="s">
        <v>1109</v>
      </c>
      <c r="B131" s="177">
        <v>2103</v>
      </c>
      <c r="C131" s="210" t="s">
        <v>1148</v>
      </c>
      <c r="D131" s="509">
        <v>5333.98</v>
      </c>
    </row>
    <row r="132" spans="1:4" x14ac:dyDescent="0.25">
      <c r="A132" s="210" t="s">
        <v>1109</v>
      </c>
      <c r="B132" s="177">
        <v>3997</v>
      </c>
      <c r="C132" s="210" t="s">
        <v>1149</v>
      </c>
      <c r="D132" s="509">
        <v>2732.87</v>
      </c>
    </row>
    <row r="133" spans="1:4" x14ac:dyDescent="0.25">
      <c r="A133" s="210" t="s">
        <v>1109</v>
      </c>
      <c r="B133" s="177">
        <v>4005</v>
      </c>
      <c r="C133" s="210" t="s">
        <v>1150</v>
      </c>
      <c r="D133" s="509">
        <v>3436.01</v>
      </c>
    </row>
    <row r="134" spans="1:4" x14ac:dyDescent="0.25">
      <c r="A134" s="210" t="s">
        <v>1109</v>
      </c>
      <c r="B134" s="177">
        <v>4013</v>
      </c>
      <c r="C134" s="210" t="s">
        <v>1151</v>
      </c>
      <c r="D134" s="509">
        <v>4257.34</v>
      </c>
    </row>
    <row r="135" spans="1:4" x14ac:dyDescent="0.25">
      <c r="A135" s="210" t="s">
        <v>1109</v>
      </c>
      <c r="B135" s="177">
        <v>4241</v>
      </c>
      <c r="C135" s="210" t="s">
        <v>1152</v>
      </c>
      <c r="D135" s="509">
        <v>2662.86</v>
      </c>
    </row>
    <row r="136" spans="1:4" x14ac:dyDescent="0.25">
      <c r="A136" s="210" t="s">
        <v>1109</v>
      </c>
      <c r="B136" s="177">
        <v>4242</v>
      </c>
      <c r="C136" s="210" t="s">
        <v>1153</v>
      </c>
      <c r="D136" s="509">
        <v>3132.17</v>
      </c>
    </row>
    <row r="137" spans="1:4" x14ac:dyDescent="0.25">
      <c r="A137" s="210" t="s">
        <v>1109</v>
      </c>
      <c r="B137" s="177">
        <v>46107</v>
      </c>
      <c r="C137" s="210" t="s">
        <v>1154</v>
      </c>
      <c r="D137" s="509">
        <v>15502.79</v>
      </c>
    </row>
    <row r="138" spans="1:4" x14ac:dyDescent="0.25">
      <c r="A138" s="210" t="s">
        <v>1109</v>
      </c>
      <c r="B138" s="177">
        <v>46091</v>
      </c>
      <c r="C138" s="210" t="s">
        <v>1155</v>
      </c>
      <c r="D138" s="509">
        <v>7188.02</v>
      </c>
    </row>
    <row r="139" spans="1:4" x14ac:dyDescent="0.25">
      <c r="A139" s="210" t="s">
        <v>1109</v>
      </c>
      <c r="B139" s="177">
        <v>46036</v>
      </c>
      <c r="C139" s="210" t="s">
        <v>1156</v>
      </c>
      <c r="D139" s="509">
        <v>17780.19</v>
      </c>
    </row>
    <row r="140" spans="1:4" x14ac:dyDescent="0.25">
      <c r="A140" s="210" t="s">
        <v>1109</v>
      </c>
      <c r="B140" s="177">
        <v>4240</v>
      </c>
      <c r="C140" s="210" t="s">
        <v>1157</v>
      </c>
      <c r="D140" s="509">
        <v>1877.26</v>
      </c>
    </row>
    <row r="141" spans="1:4" x14ac:dyDescent="0.25">
      <c r="A141" s="210" t="s">
        <v>1109</v>
      </c>
      <c r="B141" s="177">
        <v>8348</v>
      </c>
      <c r="C141" s="210" t="s">
        <v>1158</v>
      </c>
      <c r="D141" s="509">
        <v>1276.73</v>
      </c>
    </row>
    <row r="142" spans="1:4" x14ac:dyDescent="0.25">
      <c r="A142" s="210" t="s">
        <v>1109</v>
      </c>
      <c r="B142" s="177">
        <v>36722</v>
      </c>
      <c r="C142" s="210" t="s">
        <v>1159</v>
      </c>
      <c r="D142" s="509">
        <v>3863.97</v>
      </c>
    </row>
    <row r="143" spans="1:4" x14ac:dyDescent="0.25">
      <c r="A143" s="210" t="s">
        <v>1109</v>
      </c>
      <c r="B143" s="177">
        <v>32588</v>
      </c>
      <c r="C143" s="210" t="s">
        <v>1160</v>
      </c>
      <c r="D143" s="509">
        <v>3536.03</v>
      </c>
    </row>
    <row r="144" spans="1:4" x14ac:dyDescent="0.25">
      <c r="A144" s="210" t="s">
        <v>1109</v>
      </c>
      <c r="B144" s="177">
        <v>22545</v>
      </c>
      <c r="C144" s="210" t="s">
        <v>1161</v>
      </c>
      <c r="D144" s="509">
        <v>1930.18</v>
      </c>
    </row>
    <row r="145" spans="1:4" x14ac:dyDescent="0.25">
      <c r="A145" s="210" t="s">
        <v>1109</v>
      </c>
      <c r="B145" s="177">
        <v>4037</v>
      </c>
      <c r="C145" s="210" t="s">
        <v>1162</v>
      </c>
      <c r="D145" s="509">
        <v>1378.86</v>
      </c>
    </row>
    <row r="146" spans="1:4" x14ac:dyDescent="0.25">
      <c r="A146" s="210" t="s">
        <v>1109</v>
      </c>
      <c r="B146" s="177">
        <v>4033</v>
      </c>
      <c r="C146" s="210" t="s">
        <v>1163</v>
      </c>
      <c r="D146" s="509">
        <v>1107.52</v>
      </c>
    </row>
    <row r="147" spans="1:4" x14ac:dyDescent="0.25">
      <c r="A147" s="210" t="s">
        <v>1109</v>
      </c>
      <c r="B147" s="177">
        <v>26662</v>
      </c>
      <c r="C147" s="210" t="s">
        <v>1164</v>
      </c>
      <c r="D147" s="509">
        <v>135.42</v>
      </c>
    </row>
    <row r="148" spans="1:4" x14ac:dyDescent="0.25">
      <c r="A148" s="210" t="s">
        <v>1109</v>
      </c>
      <c r="B148" s="177">
        <v>18389</v>
      </c>
      <c r="C148" s="210" t="s">
        <v>1165</v>
      </c>
      <c r="D148" s="509">
        <v>221.7</v>
      </c>
    </row>
    <row r="149" spans="1:4" x14ac:dyDescent="0.25">
      <c r="A149" s="210" t="s">
        <v>1109</v>
      </c>
      <c r="B149" s="177">
        <v>1103</v>
      </c>
      <c r="C149" s="210" t="s">
        <v>1166</v>
      </c>
      <c r="D149" s="509">
        <v>737.61</v>
      </c>
    </row>
    <row r="150" spans="1:4" x14ac:dyDescent="0.25">
      <c r="A150" s="210" t="s">
        <v>1109</v>
      </c>
      <c r="B150" s="177">
        <v>6523</v>
      </c>
      <c r="C150" s="210" t="s">
        <v>1167</v>
      </c>
      <c r="D150" s="509">
        <v>1415.33</v>
      </c>
    </row>
    <row r="151" spans="1:4" x14ac:dyDescent="0.25">
      <c r="A151" s="210" t="s">
        <v>1109</v>
      </c>
      <c r="B151" s="177">
        <v>1893</v>
      </c>
      <c r="C151" s="210" t="s">
        <v>1168</v>
      </c>
      <c r="D151" s="509">
        <v>12878.3</v>
      </c>
    </row>
    <row r="152" spans="1:4" x14ac:dyDescent="0.25">
      <c r="A152" s="210" t="s">
        <v>1109</v>
      </c>
      <c r="B152" s="177">
        <v>4048</v>
      </c>
      <c r="C152" s="210" t="s">
        <v>1169</v>
      </c>
      <c r="D152" s="509">
        <v>1414.29</v>
      </c>
    </row>
    <row r="153" spans="1:4" x14ac:dyDescent="0.25">
      <c r="A153" s="210" t="s">
        <v>1109</v>
      </c>
      <c r="B153" s="177">
        <v>1888</v>
      </c>
      <c r="C153" s="210" t="s">
        <v>1170</v>
      </c>
      <c r="D153" s="509">
        <v>732.63</v>
      </c>
    </row>
    <row r="154" spans="1:4" x14ac:dyDescent="0.25">
      <c r="A154" s="210" t="s">
        <v>1109</v>
      </c>
      <c r="B154" s="177">
        <v>1910</v>
      </c>
      <c r="C154" s="210" t="s">
        <v>1171</v>
      </c>
      <c r="D154" s="509">
        <v>979.15</v>
      </c>
    </row>
    <row r="155" spans="1:4" x14ac:dyDescent="0.25">
      <c r="A155" s="210" t="s">
        <v>1109</v>
      </c>
      <c r="B155" s="177">
        <v>4030</v>
      </c>
      <c r="C155" s="210" t="s">
        <v>1172</v>
      </c>
      <c r="D155" s="509">
        <v>323.49</v>
      </c>
    </row>
    <row r="156" spans="1:4" x14ac:dyDescent="0.25">
      <c r="A156" s="210" t="s">
        <v>1109</v>
      </c>
      <c r="B156" s="177">
        <v>4034</v>
      </c>
      <c r="C156" s="210" t="s">
        <v>1173</v>
      </c>
      <c r="D156" s="509">
        <v>308.94</v>
      </c>
    </row>
    <row r="157" spans="1:4" x14ac:dyDescent="0.25">
      <c r="A157" s="210" t="s">
        <v>1109</v>
      </c>
      <c r="B157" s="177">
        <v>4035</v>
      </c>
      <c r="C157" s="210" t="s">
        <v>1174</v>
      </c>
      <c r="D157" s="509">
        <v>428.22</v>
      </c>
    </row>
    <row r="158" spans="1:4" x14ac:dyDescent="0.25">
      <c r="A158" s="210" t="s">
        <v>1109</v>
      </c>
      <c r="B158" s="177">
        <v>4032</v>
      </c>
      <c r="C158" s="210" t="s">
        <v>1175</v>
      </c>
      <c r="D158" s="509">
        <v>550.88</v>
      </c>
    </row>
    <row r="159" spans="1:4" x14ac:dyDescent="0.25">
      <c r="A159" s="210" t="s">
        <v>1109</v>
      </c>
      <c r="B159" s="177">
        <v>1956</v>
      </c>
      <c r="C159" s="210" t="s">
        <v>1176</v>
      </c>
      <c r="D159" s="509">
        <v>674</v>
      </c>
    </row>
    <row r="160" spans="1:4" x14ac:dyDescent="0.25">
      <c r="A160" s="210" t="s">
        <v>1109</v>
      </c>
      <c r="B160" s="177">
        <v>1957</v>
      </c>
      <c r="C160" s="210" t="s">
        <v>1177</v>
      </c>
      <c r="D160" s="509">
        <v>1112.72</v>
      </c>
    </row>
    <row r="161" spans="1:4" x14ac:dyDescent="0.25">
      <c r="A161" s="210" t="s">
        <v>1109</v>
      </c>
      <c r="B161" s="177">
        <v>1958</v>
      </c>
      <c r="C161" s="210" t="s">
        <v>1178</v>
      </c>
      <c r="D161" s="509">
        <v>1085.32</v>
      </c>
    </row>
    <row r="162" spans="1:4" x14ac:dyDescent="0.25">
      <c r="A162" s="210" t="s">
        <v>1109</v>
      </c>
      <c r="B162" s="177">
        <v>1961</v>
      </c>
      <c r="C162" s="210" t="s">
        <v>1179</v>
      </c>
      <c r="D162" s="509">
        <v>1960.08</v>
      </c>
    </row>
    <row r="163" spans="1:4" x14ac:dyDescent="0.25">
      <c r="A163" s="210" t="s">
        <v>1109</v>
      </c>
      <c r="B163" s="177">
        <v>1886</v>
      </c>
      <c r="C163" s="210" t="s">
        <v>1180</v>
      </c>
      <c r="D163" s="509">
        <v>236.99</v>
      </c>
    </row>
    <row r="164" spans="1:4" x14ac:dyDescent="0.25">
      <c r="A164" s="210" t="s">
        <v>1109</v>
      </c>
      <c r="B164" s="177">
        <v>2228</v>
      </c>
      <c r="C164" s="210" t="s">
        <v>1181</v>
      </c>
      <c r="D164" s="509">
        <v>1081.65</v>
      </c>
    </row>
    <row r="165" spans="1:4" x14ac:dyDescent="0.25">
      <c r="A165" s="210" t="s">
        <v>1109</v>
      </c>
      <c r="B165" s="177">
        <v>18723</v>
      </c>
      <c r="C165" s="210" t="s">
        <v>1182</v>
      </c>
      <c r="D165" s="509">
        <v>404.56</v>
      </c>
    </row>
    <row r="166" spans="1:4" x14ac:dyDescent="0.25">
      <c r="A166" s="210" t="s">
        <v>1109</v>
      </c>
      <c r="B166" s="177">
        <v>18720</v>
      </c>
      <c r="C166" s="210" t="s">
        <v>1183</v>
      </c>
      <c r="D166" s="509">
        <v>80.88</v>
      </c>
    </row>
    <row r="167" spans="1:4" x14ac:dyDescent="0.25">
      <c r="A167" s="210" t="s">
        <v>1109</v>
      </c>
      <c r="B167" s="177">
        <v>15530</v>
      </c>
      <c r="C167" s="210" t="s">
        <v>1184</v>
      </c>
      <c r="D167" s="509">
        <v>15623.94</v>
      </c>
    </row>
    <row r="168" spans="1:4" x14ac:dyDescent="0.25">
      <c r="A168" s="210" t="s">
        <v>1109</v>
      </c>
      <c r="B168" s="177">
        <v>18722</v>
      </c>
      <c r="C168" s="210" t="s">
        <v>1185</v>
      </c>
      <c r="D168" s="509">
        <v>172.5</v>
      </c>
    </row>
    <row r="169" spans="1:4" x14ac:dyDescent="0.25">
      <c r="A169" s="210" t="s">
        <v>1109</v>
      </c>
      <c r="B169" s="177">
        <v>2229</v>
      </c>
      <c r="C169" s="210" t="s">
        <v>1186</v>
      </c>
      <c r="D169" s="509">
        <v>1219.87</v>
      </c>
    </row>
    <row r="170" spans="1:4" x14ac:dyDescent="0.25">
      <c r="A170" s="210" t="s">
        <v>1109</v>
      </c>
      <c r="B170" s="177">
        <v>27255</v>
      </c>
      <c r="C170" s="210" t="s">
        <v>1187</v>
      </c>
      <c r="D170" s="509">
        <v>2755.38</v>
      </c>
    </row>
    <row r="171" spans="1:4" x14ac:dyDescent="0.25">
      <c r="A171" s="210" t="s">
        <v>1109</v>
      </c>
      <c r="B171" s="177">
        <v>24654</v>
      </c>
      <c r="C171" s="210" t="s">
        <v>1188</v>
      </c>
      <c r="D171" s="509">
        <v>36491.17</v>
      </c>
    </row>
    <row r="172" spans="1:4" x14ac:dyDescent="0.25">
      <c r="A172" s="210" t="s">
        <v>1109</v>
      </c>
      <c r="B172" s="177">
        <v>11749</v>
      </c>
      <c r="C172" s="210" t="s">
        <v>1189</v>
      </c>
      <c r="D172" s="509">
        <v>1041.5</v>
      </c>
    </row>
    <row r="173" spans="1:4" x14ac:dyDescent="0.25">
      <c r="A173" s="210" t="s">
        <v>1109</v>
      </c>
      <c r="B173" s="177">
        <v>11748</v>
      </c>
      <c r="C173" s="210" t="s">
        <v>1190</v>
      </c>
      <c r="D173" s="509">
        <v>670.99</v>
      </c>
    </row>
    <row r="174" spans="1:4" x14ac:dyDescent="0.25">
      <c r="A174" s="210" t="s">
        <v>1109</v>
      </c>
      <c r="B174" s="177">
        <v>4091</v>
      </c>
      <c r="C174" s="210" t="s">
        <v>1191</v>
      </c>
      <c r="D174" s="509">
        <v>1048.7</v>
      </c>
    </row>
    <row r="175" spans="1:4" x14ac:dyDescent="0.25">
      <c r="A175" s="210" t="s">
        <v>1109</v>
      </c>
      <c r="B175" s="177">
        <v>1947</v>
      </c>
      <c r="C175" s="210" t="s">
        <v>1192</v>
      </c>
      <c r="D175" s="509">
        <v>181.45</v>
      </c>
    </row>
    <row r="176" spans="1:4" x14ac:dyDescent="0.25">
      <c r="A176" s="210" t="s">
        <v>1109</v>
      </c>
      <c r="B176" s="177">
        <v>1948</v>
      </c>
      <c r="C176" s="210" t="s">
        <v>1193</v>
      </c>
      <c r="D176" s="509">
        <v>252.28</v>
      </c>
    </row>
    <row r="177" spans="1:4" x14ac:dyDescent="0.25">
      <c r="A177" s="210" t="s">
        <v>1109</v>
      </c>
      <c r="B177" s="177">
        <v>2008</v>
      </c>
      <c r="C177" s="210" t="s">
        <v>1194</v>
      </c>
      <c r="D177" s="509">
        <v>1777.39</v>
      </c>
    </row>
    <row r="178" spans="1:4" x14ac:dyDescent="0.25">
      <c r="A178" s="210" t="s">
        <v>1109</v>
      </c>
      <c r="B178" s="177">
        <v>4088</v>
      </c>
      <c r="C178" s="210" t="s">
        <v>1195</v>
      </c>
      <c r="D178" s="509">
        <v>363.2</v>
      </c>
    </row>
    <row r="179" spans="1:4" x14ac:dyDescent="0.25">
      <c r="A179" s="210" t="s">
        <v>1109</v>
      </c>
      <c r="B179" s="177">
        <v>4090</v>
      </c>
      <c r="C179" s="210" t="s">
        <v>1196</v>
      </c>
      <c r="D179" s="509">
        <v>529.86</v>
      </c>
    </row>
    <row r="180" spans="1:4" x14ac:dyDescent="0.25">
      <c r="A180" s="210" t="s">
        <v>1109</v>
      </c>
      <c r="B180" s="177">
        <v>1968</v>
      </c>
      <c r="C180" s="210" t="s">
        <v>1197</v>
      </c>
      <c r="D180" s="509">
        <v>920.23</v>
      </c>
    </row>
    <row r="181" spans="1:4" x14ac:dyDescent="0.25">
      <c r="A181" s="210" t="s">
        <v>1109</v>
      </c>
      <c r="B181" s="177">
        <v>2005</v>
      </c>
      <c r="C181" s="210" t="s">
        <v>1198</v>
      </c>
      <c r="D181" s="509">
        <v>649.2</v>
      </c>
    </row>
    <row r="182" spans="1:4" x14ac:dyDescent="0.25">
      <c r="A182" s="210" t="s">
        <v>1109</v>
      </c>
      <c r="B182" s="177">
        <v>4248</v>
      </c>
      <c r="C182" s="210" t="s">
        <v>1199</v>
      </c>
      <c r="D182" s="509">
        <v>1877.21</v>
      </c>
    </row>
    <row r="183" spans="1:4" x14ac:dyDescent="0.25">
      <c r="A183" s="210" t="s">
        <v>1109</v>
      </c>
      <c r="B183" s="177">
        <v>4692</v>
      </c>
      <c r="C183" s="210" t="s">
        <v>1200</v>
      </c>
      <c r="D183" s="509">
        <v>2346.51</v>
      </c>
    </row>
    <row r="184" spans="1:4" x14ac:dyDescent="0.25">
      <c r="A184" s="210" t="s">
        <v>1109</v>
      </c>
      <c r="B184" s="177">
        <v>4247</v>
      </c>
      <c r="C184" s="210" t="s">
        <v>1201</v>
      </c>
      <c r="D184" s="509">
        <v>989.6</v>
      </c>
    </row>
    <row r="185" spans="1:4" x14ac:dyDescent="0.25">
      <c r="A185" s="210" t="s">
        <v>1109</v>
      </c>
      <c r="B185" s="177">
        <v>2018</v>
      </c>
      <c r="C185" s="210" t="s">
        <v>1202</v>
      </c>
      <c r="D185" s="509">
        <v>1000.71</v>
      </c>
    </row>
    <row r="186" spans="1:4" x14ac:dyDescent="0.25">
      <c r="A186" s="210" t="s">
        <v>1109</v>
      </c>
      <c r="B186" s="177">
        <v>4559</v>
      </c>
      <c r="C186" s="210" t="s">
        <v>1203</v>
      </c>
      <c r="D186" s="509">
        <v>17013.81</v>
      </c>
    </row>
    <row r="187" spans="1:4" x14ac:dyDescent="0.25">
      <c r="A187" s="210" t="s">
        <v>1109</v>
      </c>
      <c r="B187" s="177">
        <v>31631</v>
      </c>
      <c r="C187" s="210" t="s">
        <v>1204</v>
      </c>
      <c r="D187" s="509">
        <v>417.37</v>
      </c>
    </row>
    <row r="188" spans="1:4" x14ac:dyDescent="0.25">
      <c r="A188" s="210" t="s">
        <v>1109</v>
      </c>
      <c r="B188" s="177">
        <v>17029</v>
      </c>
      <c r="C188" s="210" t="s">
        <v>1205</v>
      </c>
      <c r="D188" s="509">
        <v>2661.49</v>
      </c>
    </row>
    <row r="189" spans="1:4" x14ac:dyDescent="0.25">
      <c r="A189" s="210" t="s">
        <v>1109</v>
      </c>
      <c r="B189" s="177">
        <v>11761</v>
      </c>
      <c r="C189" s="210" t="s">
        <v>1206</v>
      </c>
      <c r="D189" s="509">
        <v>2014.99</v>
      </c>
    </row>
    <row r="190" spans="1:4" x14ac:dyDescent="0.25">
      <c r="A190" s="210" t="s">
        <v>1109</v>
      </c>
      <c r="B190" s="177">
        <v>11758</v>
      </c>
      <c r="C190" s="210" t="s">
        <v>1207</v>
      </c>
      <c r="D190" s="509">
        <v>694.63</v>
      </c>
    </row>
    <row r="191" spans="1:4" x14ac:dyDescent="0.25">
      <c r="A191" s="210" t="s">
        <v>1109</v>
      </c>
      <c r="B191" s="177">
        <v>8544</v>
      </c>
      <c r="C191" s="210" t="s">
        <v>1208</v>
      </c>
      <c r="D191" s="509">
        <v>622.73</v>
      </c>
    </row>
    <row r="192" spans="1:4" x14ac:dyDescent="0.25">
      <c r="A192" s="210" t="s">
        <v>1109</v>
      </c>
      <c r="B192" s="177">
        <v>17645</v>
      </c>
      <c r="C192" s="210" t="s">
        <v>1209</v>
      </c>
      <c r="D192" s="509">
        <v>103802.53</v>
      </c>
    </row>
    <row r="193" spans="1:4" x14ac:dyDescent="0.25">
      <c r="A193" s="210" t="s">
        <v>1109</v>
      </c>
      <c r="B193" s="177">
        <v>22685</v>
      </c>
      <c r="C193" s="210" t="s">
        <v>1210</v>
      </c>
      <c r="D193" s="509">
        <v>4607.35</v>
      </c>
    </row>
    <row r="194" spans="1:4" x14ac:dyDescent="0.25">
      <c r="A194" s="210" t="s">
        <v>1109</v>
      </c>
      <c r="B194" s="177">
        <v>3682</v>
      </c>
      <c r="C194" s="210" t="s">
        <v>1211</v>
      </c>
      <c r="D194" s="509">
        <v>2315.34</v>
      </c>
    </row>
    <row r="195" spans="1:4" x14ac:dyDescent="0.25">
      <c r="A195" s="210" t="s">
        <v>1109</v>
      </c>
      <c r="B195" s="177">
        <v>801</v>
      </c>
      <c r="C195" s="210" t="s">
        <v>1212</v>
      </c>
      <c r="D195" s="509">
        <v>6245.82</v>
      </c>
    </row>
    <row r="196" spans="1:4" x14ac:dyDescent="0.25">
      <c r="A196" s="210" t="s">
        <v>1109</v>
      </c>
      <c r="B196" s="177">
        <v>1627</v>
      </c>
      <c r="C196" s="210" t="s">
        <v>1213</v>
      </c>
      <c r="D196" s="509">
        <v>5265.13</v>
      </c>
    </row>
    <row r="197" spans="1:4" x14ac:dyDescent="0.25">
      <c r="A197" s="210" t="s">
        <v>1109</v>
      </c>
      <c r="B197" s="177">
        <v>31912</v>
      </c>
      <c r="C197" s="210" t="s">
        <v>1214</v>
      </c>
      <c r="D197" s="509">
        <v>4755.74</v>
      </c>
    </row>
    <row r="198" spans="1:4" x14ac:dyDescent="0.25">
      <c r="A198" s="210" t="s">
        <v>1109</v>
      </c>
      <c r="B198" s="177">
        <v>14696</v>
      </c>
      <c r="C198" s="210" t="s">
        <v>1215</v>
      </c>
      <c r="D198" s="509">
        <v>16905.44</v>
      </c>
    </row>
    <row r="199" spans="1:4" x14ac:dyDescent="0.25">
      <c r="A199" s="210" t="s">
        <v>1109</v>
      </c>
      <c r="B199" s="177">
        <v>22619</v>
      </c>
      <c r="C199" s="210" t="s">
        <v>1216</v>
      </c>
      <c r="D199" s="509">
        <v>32394.51</v>
      </c>
    </row>
    <row r="200" spans="1:4" x14ac:dyDescent="0.25">
      <c r="A200" s="210" t="s">
        <v>1109</v>
      </c>
      <c r="B200" s="177">
        <v>31606</v>
      </c>
      <c r="C200" s="210" t="s">
        <v>1217</v>
      </c>
      <c r="D200" s="509">
        <v>1950.05</v>
      </c>
    </row>
    <row r="201" spans="1:4" x14ac:dyDescent="0.25">
      <c r="A201" s="210" t="s">
        <v>1109</v>
      </c>
      <c r="B201" s="177">
        <v>12032</v>
      </c>
      <c r="C201" s="210" t="s">
        <v>1218</v>
      </c>
      <c r="D201" s="509">
        <v>1036.41</v>
      </c>
    </row>
    <row r="202" spans="1:4" x14ac:dyDescent="0.25">
      <c r="A202" s="210" t="s">
        <v>1109</v>
      </c>
      <c r="B202" s="177">
        <v>4251</v>
      </c>
      <c r="C202" s="210" t="s">
        <v>1219</v>
      </c>
      <c r="D202" s="509">
        <v>59.06</v>
      </c>
    </row>
    <row r="203" spans="1:4" x14ac:dyDescent="0.25">
      <c r="A203" s="210" t="s">
        <v>1109</v>
      </c>
      <c r="B203" s="177">
        <v>32182</v>
      </c>
      <c r="C203" s="210" t="s">
        <v>1220</v>
      </c>
      <c r="D203" s="509">
        <v>16112.97</v>
      </c>
    </row>
    <row r="204" spans="1:4" x14ac:dyDescent="0.25">
      <c r="A204" s="210" t="s">
        <v>1109</v>
      </c>
      <c r="B204" s="177">
        <v>32197</v>
      </c>
      <c r="C204" s="210" t="s">
        <v>1221</v>
      </c>
      <c r="D204" s="509">
        <v>20223.49</v>
      </c>
    </row>
    <row r="205" spans="1:4" x14ac:dyDescent="0.25">
      <c r="A205" s="210" t="s">
        <v>1109</v>
      </c>
      <c r="B205" s="177">
        <v>32289</v>
      </c>
      <c r="C205" s="210" t="s">
        <v>1222</v>
      </c>
      <c r="D205" s="509">
        <v>26968.2</v>
      </c>
    </row>
    <row r="206" spans="1:4" x14ac:dyDescent="0.25">
      <c r="A206" s="210" t="s">
        <v>1109</v>
      </c>
      <c r="B206" s="177">
        <v>31884</v>
      </c>
      <c r="C206" s="210" t="s">
        <v>1223</v>
      </c>
      <c r="D206" s="509">
        <v>26968.2</v>
      </c>
    </row>
    <row r="207" spans="1:4" x14ac:dyDescent="0.25">
      <c r="A207" s="210" t="s">
        <v>1109</v>
      </c>
      <c r="B207" s="177">
        <v>23380</v>
      </c>
      <c r="C207" s="210" t="s">
        <v>1224</v>
      </c>
      <c r="D207" s="509">
        <v>461.76</v>
      </c>
    </row>
    <row r="208" spans="1:4" x14ac:dyDescent="0.25">
      <c r="A208" s="210" t="s">
        <v>1109</v>
      </c>
      <c r="B208" s="177">
        <v>23386</v>
      </c>
      <c r="C208" s="210" t="s">
        <v>1225</v>
      </c>
      <c r="D208" s="509">
        <v>668.37</v>
      </c>
    </row>
    <row r="209" spans="1:4" x14ac:dyDescent="0.25">
      <c r="A209" s="210" t="s">
        <v>1109</v>
      </c>
      <c r="B209" s="177">
        <v>23189</v>
      </c>
      <c r="C209" s="210" t="s">
        <v>1226</v>
      </c>
      <c r="D209" s="509">
        <v>24350.39</v>
      </c>
    </row>
    <row r="210" spans="1:4" x14ac:dyDescent="0.25">
      <c r="A210" s="210" t="s">
        <v>1109</v>
      </c>
      <c r="B210" s="177">
        <v>24533</v>
      </c>
      <c r="C210" s="210" t="s">
        <v>1227</v>
      </c>
      <c r="D210" s="509">
        <v>37375.24</v>
      </c>
    </row>
    <row r="211" spans="1:4" x14ac:dyDescent="0.25">
      <c r="A211" s="210" t="s">
        <v>1109</v>
      </c>
      <c r="B211" s="177">
        <v>21454</v>
      </c>
      <c r="C211" s="210" t="s">
        <v>1228</v>
      </c>
      <c r="D211" s="509">
        <v>18089.12</v>
      </c>
    </row>
    <row r="212" spans="1:4" x14ac:dyDescent="0.25">
      <c r="A212" s="210" t="s">
        <v>1109</v>
      </c>
      <c r="B212" s="177">
        <v>14841</v>
      </c>
      <c r="C212" s="210" t="s">
        <v>1229</v>
      </c>
      <c r="D212" s="509">
        <v>24878.37</v>
      </c>
    </row>
    <row r="213" spans="1:4" x14ac:dyDescent="0.25">
      <c r="A213" s="210" t="s">
        <v>1109</v>
      </c>
      <c r="B213" s="177">
        <v>3332</v>
      </c>
      <c r="C213" s="210" t="s">
        <v>1230</v>
      </c>
      <c r="D213" s="509">
        <v>2904.3</v>
      </c>
    </row>
    <row r="214" spans="1:4" x14ac:dyDescent="0.25">
      <c r="A214" s="210" t="s">
        <v>1109</v>
      </c>
      <c r="B214" s="177">
        <v>4896</v>
      </c>
      <c r="C214" s="210" t="s">
        <v>1231</v>
      </c>
      <c r="D214" s="509">
        <v>5929.98</v>
      </c>
    </row>
    <row r="215" spans="1:4" x14ac:dyDescent="0.25">
      <c r="A215" s="210" t="s">
        <v>1109</v>
      </c>
      <c r="B215" s="177">
        <v>27969</v>
      </c>
      <c r="C215" s="210" t="s">
        <v>1232</v>
      </c>
      <c r="D215" s="509">
        <v>4471.12</v>
      </c>
    </row>
    <row r="216" spans="1:4" x14ac:dyDescent="0.25">
      <c r="A216" s="210" t="s">
        <v>1109</v>
      </c>
      <c r="B216" s="177">
        <v>4175</v>
      </c>
      <c r="C216" s="210" t="s">
        <v>1233</v>
      </c>
      <c r="D216" s="509">
        <v>7943.96</v>
      </c>
    </row>
    <row r="217" spans="1:4" x14ac:dyDescent="0.25">
      <c r="A217" s="210" t="s">
        <v>1109</v>
      </c>
      <c r="B217" s="177">
        <v>25473</v>
      </c>
      <c r="C217" s="210" t="s">
        <v>1234</v>
      </c>
      <c r="D217" s="509">
        <v>7859.29</v>
      </c>
    </row>
    <row r="218" spans="1:4" x14ac:dyDescent="0.25">
      <c r="A218" s="210" t="s">
        <v>1109</v>
      </c>
      <c r="B218" s="177">
        <v>2066</v>
      </c>
      <c r="C218" s="210" t="s">
        <v>1235</v>
      </c>
      <c r="D218" s="509">
        <v>5172.4</v>
      </c>
    </row>
    <row r="219" spans="1:4" x14ac:dyDescent="0.25">
      <c r="A219" s="210" t="s">
        <v>1109</v>
      </c>
      <c r="B219" s="177">
        <v>512</v>
      </c>
      <c r="C219" s="210" t="s">
        <v>1236</v>
      </c>
      <c r="D219" s="509">
        <v>6544.19</v>
      </c>
    </row>
    <row r="220" spans="1:4" x14ac:dyDescent="0.25">
      <c r="A220" s="210" t="s">
        <v>1109</v>
      </c>
      <c r="B220" s="177">
        <v>28626</v>
      </c>
      <c r="C220" s="210" t="s">
        <v>1237</v>
      </c>
      <c r="D220" s="509">
        <v>2988.86</v>
      </c>
    </row>
    <row r="221" spans="1:4" x14ac:dyDescent="0.25">
      <c r="A221" s="210" t="s">
        <v>1109</v>
      </c>
      <c r="B221" s="177">
        <v>28628</v>
      </c>
      <c r="C221" s="210" t="s">
        <v>1238</v>
      </c>
      <c r="D221" s="509">
        <v>2988.86</v>
      </c>
    </row>
    <row r="222" spans="1:4" x14ac:dyDescent="0.25">
      <c r="A222" s="210" t="s">
        <v>1109</v>
      </c>
      <c r="B222" s="177">
        <v>43674</v>
      </c>
      <c r="C222" s="210" t="s">
        <v>1239</v>
      </c>
      <c r="D222" s="509">
        <v>3161.67</v>
      </c>
    </row>
    <row r="223" spans="1:4" x14ac:dyDescent="0.25">
      <c r="A223" s="210" t="s">
        <v>1109</v>
      </c>
      <c r="B223" s="177">
        <v>19026</v>
      </c>
      <c r="C223" s="210" t="s">
        <v>1240</v>
      </c>
      <c r="D223" s="509">
        <v>343.04</v>
      </c>
    </row>
    <row r="224" spans="1:4" x14ac:dyDescent="0.25">
      <c r="A224" s="210" t="s">
        <v>1109</v>
      </c>
      <c r="B224" s="177">
        <v>36220</v>
      </c>
      <c r="C224" s="210" t="s">
        <v>1241</v>
      </c>
      <c r="D224" s="509">
        <v>83041.91</v>
      </c>
    </row>
    <row r="225" spans="1:4" x14ac:dyDescent="0.25">
      <c r="A225" s="210" t="s">
        <v>1109</v>
      </c>
      <c r="B225" s="177">
        <v>21479</v>
      </c>
      <c r="C225" s="210" t="s">
        <v>1242</v>
      </c>
      <c r="D225" s="509">
        <v>2521.46</v>
      </c>
    </row>
    <row r="226" spans="1:4" x14ac:dyDescent="0.25">
      <c r="A226" s="210" t="s">
        <v>1109</v>
      </c>
      <c r="B226" s="177">
        <v>2102</v>
      </c>
      <c r="C226" s="210" t="s">
        <v>1243</v>
      </c>
      <c r="D226" s="509">
        <v>3431.1</v>
      </c>
    </row>
    <row r="227" spans="1:4" x14ac:dyDescent="0.25">
      <c r="A227" s="210" t="s">
        <v>1109</v>
      </c>
      <c r="B227" s="177">
        <v>4105</v>
      </c>
      <c r="C227" s="210" t="s">
        <v>1244</v>
      </c>
      <c r="D227" s="509">
        <v>2580.64</v>
      </c>
    </row>
    <row r="228" spans="1:4" x14ac:dyDescent="0.25">
      <c r="A228" s="210" t="s">
        <v>1109</v>
      </c>
      <c r="B228" s="177">
        <v>39002</v>
      </c>
      <c r="C228" s="210" t="s">
        <v>1245</v>
      </c>
      <c r="D228" s="509">
        <v>6621.33</v>
      </c>
    </row>
    <row r="229" spans="1:4" x14ac:dyDescent="0.25">
      <c r="A229" s="210" t="s">
        <v>1109</v>
      </c>
      <c r="B229" s="177">
        <v>32112</v>
      </c>
      <c r="C229" s="210" t="s">
        <v>1246</v>
      </c>
      <c r="D229" s="509">
        <v>12647.53</v>
      </c>
    </row>
    <row r="230" spans="1:4" x14ac:dyDescent="0.25">
      <c r="A230" s="210" t="s">
        <v>1109</v>
      </c>
      <c r="B230" s="512" t="s">
        <v>371</v>
      </c>
      <c r="C230" s="512" t="s">
        <v>371</v>
      </c>
      <c r="D230" s="509">
        <v>19000</v>
      </c>
    </row>
    <row r="231" spans="1:4" x14ac:dyDescent="0.25">
      <c r="A231" s="210" t="s">
        <v>1109</v>
      </c>
      <c r="B231" s="513" t="s">
        <v>372</v>
      </c>
      <c r="C231" s="513" t="s">
        <v>372</v>
      </c>
      <c r="D231" s="509">
        <v>37000</v>
      </c>
    </row>
    <row r="232" spans="1:4" x14ac:dyDescent="0.25">
      <c r="A232" s="210" t="s">
        <v>1109</v>
      </c>
      <c r="B232" s="513" t="s">
        <v>373</v>
      </c>
      <c r="C232" s="513" t="s">
        <v>373</v>
      </c>
      <c r="D232" s="509">
        <v>2700</v>
      </c>
    </row>
    <row r="233" spans="1:4" x14ac:dyDescent="0.25">
      <c r="A233" s="210" t="s">
        <v>1109</v>
      </c>
      <c r="B233" s="513" t="s">
        <v>374</v>
      </c>
      <c r="C233" s="513" t="s">
        <v>374</v>
      </c>
      <c r="D233" s="509">
        <v>24000</v>
      </c>
    </row>
    <row r="234" spans="1:4" x14ac:dyDescent="0.25">
      <c r="A234" s="210" t="s">
        <v>1109</v>
      </c>
      <c r="B234" s="513" t="s">
        <v>375</v>
      </c>
      <c r="C234" s="513" t="s">
        <v>375</v>
      </c>
      <c r="D234" s="509">
        <v>20000</v>
      </c>
    </row>
    <row r="235" spans="1:4" x14ac:dyDescent="0.25">
      <c r="A235" s="210" t="s">
        <v>1109</v>
      </c>
      <c r="B235" s="513" t="s">
        <v>376</v>
      </c>
      <c r="C235" s="513" t="s">
        <v>376</v>
      </c>
      <c r="D235" s="509">
        <v>1900</v>
      </c>
    </row>
    <row r="236" spans="1:4" x14ac:dyDescent="0.25">
      <c r="A236" s="210" t="s">
        <v>1109</v>
      </c>
      <c r="B236" s="513" t="s">
        <v>377</v>
      </c>
      <c r="C236" s="513" t="s">
        <v>377</v>
      </c>
      <c r="D236" s="509">
        <v>21000</v>
      </c>
    </row>
    <row r="237" spans="1:4" x14ac:dyDescent="0.25">
      <c r="A237" s="210" t="s">
        <v>1109</v>
      </c>
      <c r="B237" s="513" t="s">
        <v>368</v>
      </c>
      <c r="C237" s="513" t="s">
        <v>368</v>
      </c>
      <c r="D237" s="509">
        <v>3200</v>
      </c>
    </row>
    <row r="238" spans="1:4" x14ac:dyDescent="0.25">
      <c r="A238" s="210" t="s">
        <v>1109</v>
      </c>
      <c r="B238" s="513" t="s">
        <v>378</v>
      </c>
      <c r="C238" s="513" t="s">
        <v>378</v>
      </c>
      <c r="D238" s="509">
        <v>19000</v>
      </c>
    </row>
    <row r="239" spans="1:4" x14ac:dyDescent="0.25">
      <c r="A239" s="210" t="s">
        <v>1109</v>
      </c>
      <c r="B239" s="513" t="s">
        <v>367</v>
      </c>
      <c r="C239" s="513" t="s">
        <v>367</v>
      </c>
      <c r="D239" s="509">
        <v>19000</v>
      </c>
    </row>
    <row r="240" spans="1:4" x14ac:dyDescent="0.25">
      <c r="A240" s="210" t="s">
        <v>1109</v>
      </c>
      <c r="B240" s="513" t="s">
        <v>366</v>
      </c>
      <c r="C240" s="513" t="s">
        <v>366</v>
      </c>
      <c r="D240" s="509">
        <v>24500</v>
      </c>
    </row>
    <row r="241" spans="1:4" x14ac:dyDescent="0.25">
      <c r="A241" s="210" t="s">
        <v>1109</v>
      </c>
      <c r="B241" s="513" t="s">
        <v>379</v>
      </c>
      <c r="C241" s="513" t="s">
        <v>379</v>
      </c>
      <c r="D241" s="509">
        <v>9800</v>
      </c>
    </row>
    <row r="242" spans="1:4" x14ac:dyDescent="0.25">
      <c r="A242" s="210" t="s">
        <v>1109</v>
      </c>
      <c r="B242" s="513" t="s">
        <v>380</v>
      </c>
      <c r="C242" s="513" t="s">
        <v>380</v>
      </c>
      <c r="D242" s="509">
        <v>20</v>
      </c>
    </row>
    <row r="243" spans="1:4" x14ac:dyDescent="0.25">
      <c r="A243" s="210" t="s">
        <v>1109</v>
      </c>
      <c r="B243" s="513" t="s">
        <v>381</v>
      </c>
      <c r="C243" s="513" t="s">
        <v>381</v>
      </c>
      <c r="D243" s="509">
        <v>20</v>
      </c>
    </row>
    <row r="244" spans="1:4" x14ac:dyDescent="0.25">
      <c r="A244" s="210" t="s">
        <v>1109</v>
      </c>
      <c r="B244" s="513" t="s">
        <v>382</v>
      </c>
      <c r="C244" s="513" t="s">
        <v>382</v>
      </c>
      <c r="D244" s="509">
        <v>20</v>
      </c>
    </row>
    <row r="245" spans="1:4" x14ac:dyDescent="0.25">
      <c r="A245" s="210" t="s">
        <v>1109</v>
      </c>
      <c r="B245" s="513" t="s">
        <v>383</v>
      </c>
      <c r="C245" s="513" t="s">
        <v>383</v>
      </c>
      <c r="D245" s="509">
        <v>11</v>
      </c>
    </row>
    <row r="246" spans="1:4" x14ac:dyDescent="0.25">
      <c r="A246" s="210" t="s">
        <v>1109</v>
      </c>
      <c r="B246" s="513" t="s">
        <v>384</v>
      </c>
      <c r="C246" s="513" t="s">
        <v>384</v>
      </c>
      <c r="D246" s="509">
        <v>12000</v>
      </c>
    </row>
    <row r="247" spans="1:4" x14ac:dyDescent="0.25">
      <c r="A247" s="210" t="s">
        <v>1109</v>
      </c>
      <c r="B247" s="513" t="s">
        <v>369</v>
      </c>
      <c r="C247" s="513" t="s">
        <v>369</v>
      </c>
      <c r="D247" s="509">
        <v>21</v>
      </c>
    </row>
    <row r="248" spans="1:4" x14ac:dyDescent="0.25">
      <c r="A248" s="210" t="s">
        <v>1109</v>
      </c>
      <c r="B248" s="513" t="s">
        <v>386</v>
      </c>
      <c r="C248" s="513" t="s">
        <v>386</v>
      </c>
      <c r="D248" s="509">
        <v>96000</v>
      </c>
    </row>
    <row r="249" spans="1:4" x14ac:dyDescent="0.25">
      <c r="A249" s="210" t="s">
        <v>1109</v>
      </c>
      <c r="B249" s="513" t="s">
        <v>387</v>
      </c>
      <c r="C249" s="513" t="s">
        <v>387</v>
      </c>
      <c r="D249" s="509">
        <v>20</v>
      </c>
    </row>
    <row r="250" spans="1:4" x14ac:dyDescent="0.25">
      <c r="A250" s="210" t="s">
        <v>1109</v>
      </c>
      <c r="B250" s="513" t="s">
        <v>388</v>
      </c>
      <c r="C250" s="513" t="s">
        <v>388</v>
      </c>
      <c r="D250" s="509">
        <v>20</v>
      </c>
    </row>
    <row r="251" spans="1:4" x14ac:dyDescent="0.25">
      <c r="A251" s="210" t="s">
        <v>1109</v>
      </c>
      <c r="B251" s="513" t="s">
        <v>360</v>
      </c>
      <c r="C251" s="513" t="s">
        <v>360</v>
      </c>
      <c r="D251" s="509">
        <v>30</v>
      </c>
    </row>
    <row r="252" spans="1:4" x14ac:dyDescent="0.25">
      <c r="A252" s="210" t="s">
        <v>1109</v>
      </c>
      <c r="B252" s="513" t="s">
        <v>365</v>
      </c>
      <c r="C252" s="513" t="s">
        <v>365</v>
      </c>
      <c r="D252" s="509">
        <v>40</v>
      </c>
    </row>
    <row r="253" spans="1:4" x14ac:dyDescent="0.25">
      <c r="A253" s="210" t="s">
        <v>1109</v>
      </c>
      <c r="B253" s="210"/>
      <c r="C253" s="210"/>
      <c r="D253" s="509"/>
    </row>
    <row r="254" spans="1:4" x14ac:dyDescent="0.25">
      <c r="A254" s="210" t="s">
        <v>1109</v>
      </c>
      <c r="B254" s="210"/>
      <c r="C254" s="210"/>
      <c r="D254" s="509"/>
    </row>
    <row r="255" spans="1:4" x14ac:dyDescent="0.25">
      <c r="A255" s="210" t="s">
        <v>1109</v>
      </c>
      <c r="B255" s="210"/>
      <c r="C255" s="210"/>
      <c r="D255" s="509"/>
    </row>
    <row r="256" spans="1:4" x14ac:dyDescent="0.25">
      <c r="A256" s="210" t="s">
        <v>1109</v>
      </c>
      <c r="B256" s="210"/>
      <c r="C256" s="210"/>
      <c r="D256" s="509"/>
    </row>
    <row r="257" spans="1:4" x14ac:dyDescent="0.25">
      <c r="A257" s="210" t="s">
        <v>1109</v>
      </c>
      <c r="B257" s="210"/>
      <c r="C257" s="210"/>
      <c r="D257" s="509"/>
    </row>
    <row r="258" spans="1:4" x14ac:dyDescent="0.25">
      <c r="A258" s="210" t="s">
        <v>1109</v>
      </c>
      <c r="B258" s="210"/>
      <c r="C258" s="210"/>
      <c r="D258" s="509"/>
    </row>
    <row r="259" spans="1:4" x14ac:dyDescent="0.25">
      <c r="A259" s="210" t="s">
        <v>1109</v>
      </c>
      <c r="B259" s="210"/>
      <c r="C259" s="210"/>
      <c r="D259" s="509"/>
    </row>
    <row r="260" spans="1:4" x14ac:dyDescent="0.25">
      <c r="A260" s="210" t="s">
        <v>1109</v>
      </c>
      <c r="B260" s="210"/>
      <c r="C260" s="210"/>
      <c r="D260" s="509"/>
    </row>
    <row r="261" spans="1:4" x14ac:dyDescent="0.25">
      <c r="A261" s="210" t="s">
        <v>1109</v>
      </c>
      <c r="B261" s="210"/>
      <c r="C261" s="210"/>
      <c r="D261" s="509"/>
    </row>
    <row r="262" spans="1:4" x14ac:dyDescent="0.25">
      <c r="A262" s="210" t="s">
        <v>1109</v>
      </c>
      <c r="B262" s="210"/>
      <c r="C262" s="210"/>
      <c r="D262" s="509"/>
    </row>
    <row r="263" spans="1:4" x14ac:dyDescent="0.25">
      <c r="A263" s="210" t="s">
        <v>1109</v>
      </c>
      <c r="B263" s="210"/>
      <c r="C263" s="210"/>
      <c r="D263" s="509"/>
    </row>
    <row r="264" spans="1:4" x14ac:dyDescent="0.25">
      <c r="A264" s="210" t="s">
        <v>1109</v>
      </c>
      <c r="B264" s="210"/>
      <c r="C264" s="210"/>
      <c r="D264" s="509"/>
    </row>
    <row r="265" spans="1:4" x14ac:dyDescent="0.25">
      <c r="A265" s="210" t="s">
        <v>1109</v>
      </c>
      <c r="B265" s="210"/>
      <c r="C265" s="210"/>
      <c r="D265" s="509"/>
    </row>
    <row r="266" spans="1:4" x14ac:dyDescent="0.25">
      <c r="A266" s="210" t="s">
        <v>1109</v>
      </c>
      <c r="B266" s="210"/>
      <c r="C266" s="210"/>
      <c r="D266" s="509"/>
    </row>
    <row r="267" spans="1:4" x14ac:dyDescent="0.25">
      <c r="A267" s="210" t="s">
        <v>1109</v>
      </c>
      <c r="B267" s="210"/>
      <c r="C267" s="210"/>
      <c r="D267" s="509"/>
    </row>
    <row r="268" spans="1:4" x14ac:dyDescent="0.25">
      <c r="A268" s="210" t="s">
        <v>1109</v>
      </c>
      <c r="B268" s="210"/>
      <c r="C268" s="210"/>
      <c r="D268" s="509"/>
    </row>
    <row r="269" spans="1:4" x14ac:dyDescent="0.25">
      <c r="A269" s="210" t="s">
        <v>1109</v>
      </c>
      <c r="B269" s="210"/>
      <c r="C269" s="210"/>
      <c r="D269" s="509"/>
    </row>
    <row r="270" spans="1:4" x14ac:dyDescent="0.25">
      <c r="A270" s="210" t="s">
        <v>1109</v>
      </c>
      <c r="B270" s="210"/>
      <c r="C270" s="210"/>
      <c r="D270" s="509"/>
    </row>
    <row r="271" spans="1:4" x14ac:dyDescent="0.25">
      <c r="A271" s="210" t="s">
        <v>1109</v>
      </c>
      <c r="B271" s="210"/>
      <c r="C271" s="210"/>
      <c r="D271" s="509"/>
    </row>
    <row r="272" spans="1:4" x14ac:dyDescent="0.25">
      <c r="A272" s="210" t="s">
        <v>1109</v>
      </c>
      <c r="B272" s="210"/>
      <c r="C272" s="210"/>
      <c r="D272" s="509"/>
    </row>
    <row r="273" spans="1:4" x14ac:dyDescent="0.25">
      <c r="A273" s="210" t="s">
        <v>1109</v>
      </c>
      <c r="B273" s="210"/>
      <c r="C273" s="210"/>
      <c r="D273" s="509"/>
    </row>
    <row r="274" spans="1:4" x14ac:dyDescent="0.25">
      <c r="A274" s="210" t="s">
        <v>1109</v>
      </c>
      <c r="B274" s="210"/>
      <c r="C274" s="210"/>
      <c r="D274" s="509"/>
    </row>
    <row r="275" spans="1:4" x14ac:dyDescent="0.25">
      <c r="A275" s="210" t="s">
        <v>1109</v>
      </c>
      <c r="B275" s="210"/>
      <c r="C275" s="210"/>
      <c r="D275" s="509"/>
    </row>
    <row r="276" spans="1:4" x14ac:dyDescent="0.25">
      <c r="A276" s="210" t="s">
        <v>1109</v>
      </c>
      <c r="B276" s="210"/>
      <c r="C276" s="210"/>
      <c r="D276" s="509"/>
    </row>
    <row r="277" spans="1:4" x14ac:dyDescent="0.25">
      <c r="A277" s="210" t="s">
        <v>1109</v>
      </c>
      <c r="B277" s="210"/>
      <c r="C277" s="210"/>
      <c r="D277" s="509"/>
    </row>
    <row r="278" spans="1:4" x14ac:dyDescent="0.25">
      <c r="A278" s="210" t="s">
        <v>1109</v>
      </c>
      <c r="B278" s="210"/>
      <c r="C278" s="210"/>
      <c r="D278" s="509"/>
    </row>
    <row r="279" spans="1:4" x14ac:dyDescent="0.25">
      <c r="A279" s="210" t="s">
        <v>1109</v>
      </c>
      <c r="B279" s="210"/>
      <c r="C279" s="210"/>
      <c r="D279" s="509"/>
    </row>
    <row r="280" spans="1:4" x14ac:dyDescent="0.25">
      <c r="A280" s="210" t="s">
        <v>1109</v>
      </c>
      <c r="B280" s="210"/>
      <c r="C280" s="210"/>
      <c r="D280" s="509"/>
    </row>
    <row r="281" spans="1:4" x14ac:dyDescent="0.25">
      <c r="A281" s="210" t="s">
        <v>1109</v>
      </c>
      <c r="B281" s="210"/>
      <c r="C281" s="210"/>
      <c r="D281" s="509"/>
    </row>
    <row r="282" spans="1:4" x14ac:dyDescent="0.25">
      <c r="A282" s="210" t="s">
        <v>1109</v>
      </c>
      <c r="B282" s="210"/>
      <c r="C282" s="210"/>
      <c r="D282" s="509"/>
    </row>
    <row r="283" spans="1:4" x14ac:dyDescent="0.25">
      <c r="A283" s="210" t="s">
        <v>1109</v>
      </c>
      <c r="B283" s="210"/>
      <c r="C283" s="210"/>
      <c r="D283" s="509"/>
    </row>
    <row r="284" spans="1:4" x14ac:dyDescent="0.25">
      <c r="A284" s="210" t="s">
        <v>1109</v>
      </c>
      <c r="B284" s="210"/>
      <c r="C284" s="210"/>
      <c r="D284" s="509"/>
    </row>
    <row r="285" spans="1:4" x14ac:dyDescent="0.25">
      <c r="A285" s="210" t="s">
        <v>1109</v>
      </c>
      <c r="B285" s="210"/>
      <c r="C285" s="210"/>
      <c r="D285" s="509"/>
    </row>
    <row r="286" spans="1:4" x14ac:dyDescent="0.25">
      <c r="A286" s="210" t="s">
        <v>1109</v>
      </c>
      <c r="B286" s="210"/>
      <c r="C286" s="210"/>
      <c r="D286" s="509"/>
    </row>
    <row r="287" spans="1:4" x14ac:dyDescent="0.25">
      <c r="A287" s="210" t="s">
        <v>1109</v>
      </c>
      <c r="B287" s="210"/>
      <c r="C287" s="210"/>
      <c r="D287" s="509"/>
    </row>
    <row r="288" spans="1:4" x14ac:dyDescent="0.25">
      <c r="A288" s="210" t="s">
        <v>1109</v>
      </c>
      <c r="B288" s="210"/>
      <c r="C288" s="210"/>
      <c r="D288" s="509"/>
    </row>
    <row r="289" spans="1:4" x14ac:dyDescent="0.25">
      <c r="A289" s="210" t="s">
        <v>1109</v>
      </c>
      <c r="B289" s="210"/>
      <c r="C289" s="210"/>
      <c r="D289" s="509"/>
    </row>
    <row r="290" spans="1:4" x14ac:dyDescent="0.25">
      <c r="A290" s="210" t="s">
        <v>1109</v>
      </c>
      <c r="B290" s="210"/>
      <c r="C290" s="210"/>
      <c r="D290" s="509"/>
    </row>
    <row r="291" spans="1:4" x14ac:dyDescent="0.25">
      <c r="A291" s="210" t="s">
        <v>1109</v>
      </c>
      <c r="B291" s="210"/>
      <c r="C291" s="210"/>
      <c r="D291" s="509"/>
    </row>
    <row r="292" spans="1:4" x14ac:dyDescent="0.25">
      <c r="A292" s="210" t="s">
        <v>1109</v>
      </c>
      <c r="B292" s="210"/>
      <c r="C292" s="210"/>
      <c r="D292" s="509"/>
    </row>
    <row r="293" spans="1:4" x14ac:dyDescent="0.25">
      <c r="A293" s="210" t="s">
        <v>1109</v>
      </c>
      <c r="B293" s="210"/>
      <c r="C293" s="210"/>
      <c r="D293" s="509"/>
    </row>
    <row r="294" spans="1:4" x14ac:dyDescent="0.25">
      <c r="A294" s="210" t="s">
        <v>1109</v>
      </c>
      <c r="B294" s="210"/>
      <c r="C294" s="210"/>
      <c r="D294" s="509"/>
    </row>
    <row r="295" spans="1:4" x14ac:dyDescent="0.25">
      <c r="A295" s="210" t="s">
        <v>1109</v>
      </c>
      <c r="B295" s="210"/>
      <c r="C295" s="210"/>
      <c r="D295" s="509"/>
    </row>
    <row r="296" spans="1:4" x14ac:dyDescent="0.25">
      <c r="A296" s="210" t="s">
        <v>1109</v>
      </c>
      <c r="B296" s="210"/>
      <c r="C296" s="210"/>
      <c r="D296" s="509"/>
    </row>
    <row r="297" spans="1:4" x14ac:dyDescent="0.25">
      <c r="A297" s="210" t="s">
        <v>1109</v>
      </c>
      <c r="B297" s="210"/>
      <c r="C297" s="210"/>
      <c r="D297" s="509"/>
    </row>
    <row r="298" spans="1:4" x14ac:dyDescent="0.25">
      <c r="A298" s="210" t="s">
        <v>1109</v>
      </c>
      <c r="B298" s="210"/>
      <c r="C298" s="210"/>
      <c r="D298" s="509"/>
    </row>
    <row r="299" spans="1:4" x14ac:dyDescent="0.25">
      <c r="A299" s="210" t="s">
        <v>1109</v>
      </c>
      <c r="B299" s="210"/>
      <c r="C299" s="210"/>
      <c r="D299" s="509"/>
    </row>
    <row r="300" spans="1:4" x14ac:dyDescent="0.25">
      <c r="A300" s="210" t="s">
        <v>1109</v>
      </c>
      <c r="B300" s="210"/>
      <c r="C300" s="210"/>
      <c r="D300" s="509"/>
    </row>
    <row r="301" spans="1:4" x14ac:dyDescent="0.25">
      <c r="A301" s="210" t="s">
        <v>1109</v>
      </c>
      <c r="B301" s="210"/>
      <c r="C301" s="210"/>
      <c r="D301" s="509"/>
    </row>
    <row r="302" spans="1:4" x14ac:dyDescent="0.25">
      <c r="A302" s="210" t="s">
        <v>1109</v>
      </c>
      <c r="B302" s="210"/>
      <c r="C302" s="210"/>
      <c r="D302" s="509"/>
    </row>
    <row r="303" spans="1:4" x14ac:dyDescent="0.25">
      <c r="A303" s="210" t="s">
        <v>1109</v>
      </c>
      <c r="B303" s="210"/>
      <c r="C303" s="210"/>
      <c r="D303" s="509"/>
    </row>
    <row r="304" spans="1:4" x14ac:dyDescent="0.25">
      <c r="A304" s="210" t="s">
        <v>1109</v>
      </c>
      <c r="B304" s="210"/>
      <c r="C304" s="210"/>
      <c r="D304" s="509"/>
    </row>
    <row r="305" spans="1:4" x14ac:dyDescent="0.25">
      <c r="A305" s="210" t="s">
        <v>1109</v>
      </c>
      <c r="B305" s="210"/>
      <c r="C305" s="210"/>
      <c r="D305" s="509"/>
    </row>
    <row r="306" spans="1:4" x14ac:dyDescent="0.25">
      <c r="A306" s="210" t="s">
        <v>1109</v>
      </c>
      <c r="B306" s="210"/>
      <c r="C306" s="210"/>
      <c r="D306" s="509"/>
    </row>
    <row r="307" spans="1:4" x14ac:dyDescent="0.25">
      <c r="A307" s="210" t="s">
        <v>1109</v>
      </c>
      <c r="B307" s="210"/>
      <c r="C307" s="210"/>
      <c r="D307" s="509"/>
    </row>
    <row r="308" spans="1:4" x14ac:dyDescent="0.25">
      <c r="A308" s="210" t="s">
        <v>1109</v>
      </c>
      <c r="B308" s="210"/>
      <c r="C308" s="210"/>
      <c r="D308" s="509"/>
    </row>
    <row r="309" spans="1:4" x14ac:dyDescent="0.25">
      <c r="A309" s="210" t="s">
        <v>1109</v>
      </c>
      <c r="B309" s="210"/>
      <c r="C309" s="210"/>
      <c r="D309" s="509"/>
    </row>
    <row r="310" spans="1:4" x14ac:dyDescent="0.25">
      <c r="A310" s="210" t="s">
        <v>1109</v>
      </c>
      <c r="B310" s="210"/>
      <c r="C310" s="210"/>
      <c r="D310" s="509"/>
    </row>
    <row r="311" spans="1:4" x14ac:dyDescent="0.25">
      <c r="A311" s="210" t="s">
        <v>1109</v>
      </c>
      <c r="B311" s="210"/>
      <c r="C311" s="210"/>
      <c r="D311" s="509"/>
    </row>
    <row r="312" spans="1:4" x14ac:dyDescent="0.25">
      <c r="A312" s="210" t="s">
        <v>1109</v>
      </c>
      <c r="B312" s="210"/>
      <c r="C312" s="210"/>
      <c r="D312" s="509"/>
    </row>
    <row r="313" spans="1:4" x14ac:dyDescent="0.25">
      <c r="A313" s="210" t="s">
        <v>1109</v>
      </c>
      <c r="B313" s="210"/>
      <c r="C313" s="210"/>
      <c r="D313" s="509"/>
    </row>
    <row r="314" spans="1:4" x14ac:dyDescent="0.25">
      <c r="A314" s="210" t="s">
        <v>1109</v>
      </c>
      <c r="B314" s="210"/>
      <c r="C314" s="210"/>
      <c r="D314" s="509"/>
    </row>
    <row r="315" spans="1:4" x14ac:dyDescent="0.25">
      <c r="A315" s="210" t="s">
        <v>1109</v>
      </c>
      <c r="B315" s="210"/>
      <c r="C315" s="210"/>
      <c r="D315" s="509"/>
    </row>
    <row r="316" spans="1:4" x14ac:dyDescent="0.25">
      <c r="A316" s="210" t="s">
        <v>1109</v>
      </c>
      <c r="B316" s="210"/>
      <c r="C316" s="210"/>
      <c r="D316" s="509"/>
    </row>
    <row r="317" spans="1:4" x14ac:dyDescent="0.25">
      <c r="A317" s="210" t="s">
        <v>1109</v>
      </c>
      <c r="B317" s="210"/>
      <c r="C317" s="210"/>
      <c r="D317" s="509"/>
    </row>
    <row r="318" spans="1:4" x14ac:dyDescent="0.25">
      <c r="A318" s="210" t="s">
        <v>1109</v>
      </c>
      <c r="B318" s="210"/>
      <c r="C318" s="210"/>
      <c r="D318" s="509"/>
    </row>
    <row r="319" spans="1:4" x14ac:dyDescent="0.25">
      <c r="A319" s="210" t="s">
        <v>1109</v>
      </c>
      <c r="B319" s="210"/>
      <c r="C319" s="210"/>
      <c r="D319" s="509"/>
    </row>
    <row r="320" spans="1:4" x14ac:dyDescent="0.25">
      <c r="A320" s="210" t="s">
        <v>1109</v>
      </c>
      <c r="B320" s="210"/>
      <c r="C320" s="210"/>
      <c r="D320" s="509"/>
    </row>
    <row r="321" spans="1:4" x14ac:dyDescent="0.25">
      <c r="A321" s="210" t="s">
        <v>1109</v>
      </c>
      <c r="B321" s="210"/>
      <c r="C321" s="210"/>
      <c r="D321" s="509"/>
    </row>
    <row r="322" spans="1:4" x14ac:dyDescent="0.25">
      <c r="A322" s="210" t="s">
        <v>1109</v>
      </c>
      <c r="B322" s="210"/>
      <c r="C322" s="210"/>
      <c r="D322" s="509"/>
    </row>
    <row r="323" spans="1:4" x14ac:dyDescent="0.25">
      <c r="A323" s="210" t="s">
        <v>1109</v>
      </c>
      <c r="B323" s="210"/>
      <c r="C323" s="210"/>
      <c r="D323" s="509"/>
    </row>
    <row r="324" spans="1:4" x14ac:dyDescent="0.25">
      <c r="A324" s="210" t="s">
        <v>1109</v>
      </c>
      <c r="B324" s="210"/>
      <c r="C324" s="210"/>
      <c r="D324" s="509"/>
    </row>
    <row r="325" spans="1:4" x14ac:dyDescent="0.25">
      <c r="A325" s="210" t="s">
        <v>1109</v>
      </c>
      <c r="B325" s="210"/>
      <c r="C325" s="210"/>
      <c r="D325" s="509"/>
    </row>
    <row r="326" spans="1:4" x14ac:dyDescent="0.25">
      <c r="A326" s="210" t="s">
        <v>1109</v>
      </c>
      <c r="B326" s="210"/>
      <c r="C326" s="210"/>
      <c r="D326" s="509"/>
    </row>
    <row r="327" spans="1:4" x14ac:dyDescent="0.25">
      <c r="A327" s="210" t="s">
        <v>1109</v>
      </c>
      <c r="B327" s="210"/>
      <c r="C327" s="210"/>
      <c r="D327" s="509"/>
    </row>
    <row r="328" spans="1:4" x14ac:dyDescent="0.25">
      <c r="A328" s="210" t="s">
        <v>1109</v>
      </c>
      <c r="B328" s="210"/>
      <c r="C328" s="210"/>
      <c r="D328" s="509"/>
    </row>
    <row r="329" spans="1:4" x14ac:dyDescent="0.25">
      <c r="A329" s="210" t="s">
        <v>1109</v>
      </c>
      <c r="B329" s="210"/>
      <c r="C329" s="210"/>
      <c r="D329" s="509"/>
    </row>
    <row r="330" spans="1:4" x14ac:dyDescent="0.25">
      <c r="A330" s="210" t="s">
        <v>1109</v>
      </c>
      <c r="B330" s="210"/>
      <c r="C330" s="210"/>
      <c r="D330" s="509"/>
    </row>
    <row r="331" spans="2:4" x14ac:dyDescent="0.25">
      <c r="B331" s="210"/>
      <c r="C331" s="210"/>
      <c r="D331" s="509"/>
    </row>
    <row r="332" spans="2:4" x14ac:dyDescent="0.25">
      <c r="B332" s="210"/>
      <c r="C332" s="210"/>
      <c r="D332" s="509"/>
    </row>
    <row r="333" spans="2:4" x14ac:dyDescent="0.25">
      <c r="B333" s="210"/>
      <c r="C333" s="210"/>
      <c r="D333" s="509"/>
    </row>
    <row r="334" spans="2:4" x14ac:dyDescent="0.25">
      <c r="B334" s="210"/>
      <c r="C334" s="210"/>
      <c r="D334" s="509"/>
    </row>
  </sheetData>
  <sheetProtection sheet="1" algorithmName="SHA-512" hashValue="ZNXMJUnuj6ysptTrkIpL/7wgMRihQISHTZZDGSHvHHD2nUnDu/JRRFMbAvgQi66lLM1Kx6xcthiHo1izwNIeng==" saltValue="xttFaSl4I7D845sccCjIoQ==" spinCount="100000" objects="1" scenarios="1"/>
  <autoFilter ref="B1:D83"/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1"/>
  <sheetViews>
    <sheetView workbookViewId="0" showGridLines="0" zoomScale="92" zoomScaleNormal="113">
      <selection activeCell="C57" sqref="C57"/>
    </sheetView>
  </sheetViews>
  <sheetFormatPr defaultRowHeight="11.25" outlineLevelRow="0" outlineLevelCol="0" x14ac:dyDescent="0" defaultColWidth="10.875" customHeight="1"/>
  <cols>
    <col min="1" max="1" width="7.625" style="432" customWidth="1"/>
    <col min="2" max="2" width="10.875" style="433" customWidth="1"/>
    <col min="3" max="3" width="67.5" style="434" customWidth="1"/>
    <col min="4" max="4" width="6.375" style="435" customWidth="1"/>
    <col min="5" max="5" width="6" style="435" customWidth="1"/>
    <col min="6" max="6" width="9" style="435" customWidth="1"/>
    <col min="7" max="7" width="8.625" style="435" customWidth="1"/>
    <col min="8" max="8" width="5.625" style="435" customWidth="1"/>
    <col min="9" max="9" width="6.875" style="435" customWidth="1"/>
    <col min="10" max="10" width="9.375" style="435" customWidth="1"/>
    <col min="11" max="11" width="8.875" style="435" customWidth="1"/>
    <col min="12" max="12" width="7" style="435" customWidth="1"/>
    <col min="13" max="13" width="10.875" style="435" customWidth="1"/>
    <col min="14" max="14" width="10.875" style="434" customWidth="1"/>
    <col min="15" max="15" width="6.875" style="434" customWidth="1"/>
    <col min="16" max="16" width="8.625" style="435" customWidth="1"/>
    <col min="17" max="17" width="10.875" style="435" customWidth="1"/>
    <col min="18" max="19" width="10.875" style="433" customWidth="1"/>
    <col min="20" max="20" width="53.5" style="435" customWidth="1"/>
    <col min="21" max="21" width="11.125" style="435" customWidth="1"/>
    <col min="22" max="22" width="5.125" style="435" customWidth="1"/>
    <col min="23" max="23" width="12.875" style="435" customWidth="1"/>
    <col min="24" max="24" width="6.875" style="435" customWidth="1"/>
    <col min="25" max="25" width="5.5" style="435" customWidth="1"/>
    <col min="26" max="26" width="6.875" style="435" customWidth="1"/>
    <col min="27" max="27" width="9.875" style="435" customWidth="1"/>
    <col min="28" max="28" width="9.5" style="435" customWidth="1"/>
    <col min="29" max="29" width="12.125" style="435" customWidth="1"/>
    <col min="30" max="30" width="6.125" style="435" customWidth="1"/>
    <col min="31" max="31" width="7.5" style="435" customWidth="1"/>
    <col min="32" max="32" width="5.875" style="434" customWidth="1"/>
    <col min="33" max="33" width="4.875" style="434" customWidth="1"/>
    <col min="34" max="34" width="4.5" style="434" customWidth="1"/>
    <col min="35" max="35" width="6.5" style="434" customWidth="1"/>
    <col min="36" max="36" width="12.125" style="434" customWidth="1"/>
    <col min="37" max="37" width="7.875" style="434" customWidth="1"/>
    <col min="38" max="16384" width="10.875" style="434" customWidth="1"/>
  </cols>
  <sheetData>
    <row r="1" ht="22.5" customHeight="1" spans="1:7" x14ac:dyDescent="0.25">
      <c r="A1" s="435"/>
      <c r="C1" s="436" t="s">
        <v>747</v>
      </c>
      <c r="D1" s="437">
        <f>'Informacion de Cotización'!B35</f>
        <v>0</v>
      </c>
      <c r="E1" s="438" t="s">
        <v>748</v>
      </c>
      <c r="F1" s="439">
        <v>2000000</v>
      </c>
      <c r="G1" s="440">
        <f>+F1*D1</f>
        <v>0</v>
      </c>
    </row>
    <row r="2" ht="22.5" customHeight="1" spans="1:14" x14ac:dyDescent="0.25">
      <c r="A2" s="435"/>
      <c r="C2" s="436" t="s">
        <v>749</v>
      </c>
      <c r="D2" s="437">
        <f>'Informacion de Cotización'!B36</f>
        <v>0</v>
      </c>
      <c r="E2" s="438" t="s">
        <v>748</v>
      </c>
      <c r="F2" s="439">
        <v>600000</v>
      </c>
      <c r="G2" s="440">
        <f t="shared" ref="G2:G9" si="0">+F2*D2</f>
        <v>0</v>
      </c>
      <c r="I2" s="434"/>
      <c r="J2" s="434"/>
      <c r="M2" s="210" t="s">
        <v>750</v>
      </c>
      <c r="N2" s="210" t="s">
        <v>751</v>
      </c>
    </row>
    <row r="3" ht="22.5" customHeight="1" spans="1:14" x14ac:dyDescent="0.25">
      <c r="A3" s="435"/>
      <c r="C3" s="436" t="s">
        <v>752</v>
      </c>
      <c r="D3" s="437">
        <f>'Informacion de Cotización'!B37</f>
        <v>0</v>
      </c>
      <c r="E3" s="438" t="s">
        <v>748</v>
      </c>
      <c r="F3" s="439">
        <v>600000</v>
      </c>
      <c r="G3" s="440">
        <f t="shared" si="0"/>
        <v>0</v>
      </c>
      <c r="I3" s="434"/>
      <c r="J3" s="434"/>
      <c r="M3" s="177">
        <v>0</v>
      </c>
      <c r="N3" s="441"/>
    </row>
    <row r="4" ht="22.5" customHeight="1" spans="1:14" x14ac:dyDescent="0.25">
      <c r="A4" s="435"/>
      <c r="C4" s="436" t="s">
        <v>753</v>
      </c>
      <c r="D4" s="437">
        <f>'Informacion de Cotización'!B38</f>
        <v>0</v>
      </c>
      <c r="E4" s="438" t="s">
        <v>748</v>
      </c>
      <c r="F4" s="439">
        <v>700000</v>
      </c>
      <c r="G4" s="440">
        <f t="shared" si="0"/>
        <v>0</v>
      </c>
      <c r="I4" s="434"/>
      <c r="J4" s="434"/>
      <c r="M4" s="177" t="s">
        <v>107</v>
      </c>
      <c r="N4" s="441" t="e">
        <v>#VALUE!</v>
      </c>
    </row>
    <row r="5" ht="22.5" customHeight="1" spans="1:14" x14ac:dyDescent="0.25">
      <c r="A5" s="435"/>
      <c r="C5" s="436" t="s">
        <v>106</v>
      </c>
      <c r="D5" s="437">
        <f>'Informacion de Cotización'!B39</f>
        <v>1</v>
      </c>
      <c r="E5" s="442" t="s">
        <v>748</v>
      </c>
      <c r="F5" s="439"/>
      <c r="G5" s="440">
        <f t="shared" si="0"/>
        <v>0</v>
      </c>
      <c r="I5" s="434"/>
      <c r="J5" s="434"/>
      <c r="M5" s="177" t="s">
        <v>754</v>
      </c>
      <c r="N5" s="441">
        <v>22.75</v>
      </c>
    </row>
    <row r="6" ht="22.5" customHeight="1" spans="1:17" x14ac:dyDescent="0.25">
      <c r="A6" s="435"/>
      <c r="C6" s="443" t="s">
        <v>755</v>
      </c>
      <c r="D6" s="437">
        <f>IF('Informacion de Cotización'!B42="SI",1,0)</f>
        <v>1</v>
      </c>
      <c r="E6" s="442" t="s">
        <v>748</v>
      </c>
      <c r="F6" s="439">
        <v>300000</v>
      </c>
      <c r="G6" s="440">
        <f t="shared" si="0"/>
        <v>300000</v>
      </c>
      <c r="I6" s="434"/>
      <c r="J6" s="434"/>
      <c r="M6" s="177" t="s">
        <v>756</v>
      </c>
      <c r="N6" s="441">
        <v>13</v>
      </c>
      <c r="P6" s="434"/>
      <c r="Q6" s="434"/>
    </row>
    <row r="7" ht="22.5" customHeight="1" spans="1:17" x14ac:dyDescent="0.25">
      <c r="A7" s="435"/>
      <c r="C7" s="443" t="s">
        <v>757</v>
      </c>
      <c r="D7" s="437">
        <f>IF('Informacion de Cotización'!B43="SI",1,0)</f>
        <v>1</v>
      </c>
      <c r="E7" s="442" t="s">
        <v>748</v>
      </c>
      <c r="F7" s="439">
        <v>1200000</v>
      </c>
      <c r="G7" s="440">
        <f t="shared" si="0"/>
        <v>1200000</v>
      </c>
      <c r="I7" s="434"/>
      <c r="J7" s="434"/>
      <c r="M7" s="177" t="s">
        <v>36</v>
      </c>
      <c r="N7" s="441" t="e">
        <v>#VALUE!</v>
      </c>
      <c r="P7" s="434"/>
      <c r="Q7" s="434"/>
    </row>
    <row r="8" ht="22.5" customHeight="1" spans="1:17" x14ac:dyDescent="0.25">
      <c r="A8" s="435"/>
      <c r="C8" s="443" t="s">
        <v>758</v>
      </c>
      <c r="D8" s="437" t="str">
        <f>IF('Informacion de Cotización'!B44="Si","1",0)</f>
        <v>1</v>
      </c>
      <c r="E8" s="442" t="s">
        <v>748</v>
      </c>
      <c r="F8" s="439">
        <v>800000</v>
      </c>
      <c r="G8" s="440">
        <f t="shared" si="0"/>
        <v>800000</v>
      </c>
      <c r="I8" s="434"/>
      <c r="J8" s="434"/>
      <c r="M8" s="177" t="s">
        <v>40</v>
      </c>
      <c r="N8" s="441">
        <v>3703</v>
      </c>
      <c r="P8" s="434"/>
      <c r="Q8" s="434"/>
    </row>
    <row r="9" ht="22.5" customHeight="1" spans="1:31" x14ac:dyDescent="0.25">
      <c r="A9" s="444"/>
      <c r="C9" s="443" t="s">
        <v>43</v>
      </c>
      <c r="D9" s="437">
        <f>IF('Informacion de Cotización'!B47="Si",1,0)</f>
        <v>1</v>
      </c>
      <c r="E9" s="442" t="s">
        <v>748</v>
      </c>
      <c r="F9" s="445">
        <v>1000000</v>
      </c>
      <c r="G9" s="440">
        <f t="shared" si="0"/>
        <v>1000000</v>
      </c>
      <c r="I9" s="434"/>
      <c r="J9" s="434"/>
      <c r="K9" s="446"/>
      <c r="L9" s="446"/>
      <c r="M9" s="177" t="s">
        <v>43</v>
      </c>
      <c r="N9" s="441">
        <v>104</v>
      </c>
      <c r="P9" s="434"/>
      <c r="Q9" s="434"/>
      <c r="T9" s="434"/>
      <c r="AD9" s="434"/>
      <c r="AE9" s="434"/>
    </row>
    <row r="10" spans="1:31" x14ac:dyDescent="0.25">
      <c r="A10" s="444"/>
      <c r="C10" s="447"/>
      <c r="D10" s="447"/>
      <c r="E10" s="447"/>
      <c r="F10" s="446"/>
      <c r="G10" s="448">
        <f>SUM(G1:G9)</f>
        <v>3300000</v>
      </c>
      <c r="I10" s="434"/>
      <c r="J10" s="434"/>
      <c r="K10" s="446"/>
      <c r="L10" s="446"/>
      <c r="M10" s="177" t="s">
        <v>759</v>
      </c>
      <c r="N10" s="441"/>
      <c r="P10" s="434"/>
      <c r="Q10" s="434"/>
      <c r="T10" s="434"/>
      <c r="AD10" s="434"/>
      <c r="AE10" s="434"/>
    </row>
    <row r="11" spans="1:31" x14ac:dyDescent="0.25">
      <c r="A11" s="444"/>
      <c r="C11" s="447"/>
      <c r="D11" s="447"/>
      <c r="E11" s="447"/>
      <c r="F11" s="446"/>
      <c r="I11" s="434"/>
      <c r="J11" s="434"/>
      <c r="K11" s="446"/>
      <c r="L11" s="446"/>
      <c r="M11" s="177" t="s">
        <v>33</v>
      </c>
      <c r="N11" s="441">
        <v>2</v>
      </c>
      <c r="P11" s="434"/>
      <c r="Q11" s="434"/>
      <c r="T11" s="434"/>
      <c r="AD11" s="434"/>
      <c r="AE11" s="434"/>
    </row>
    <row r="12" spans="1:31" x14ac:dyDescent="0.25">
      <c r="A12" s="444"/>
      <c r="C12" s="447"/>
      <c r="D12" s="447"/>
      <c r="E12" s="447"/>
      <c r="F12" s="446"/>
      <c r="I12" s="434"/>
      <c r="J12" s="434"/>
      <c r="K12" s="446"/>
      <c r="L12" s="446"/>
      <c r="M12" s="177" t="s">
        <v>760</v>
      </c>
      <c r="N12" s="210" t="e">
        <v>#VALUE!</v>
      </c>
      <c r="P12" s="434"/>
      <c r="Q12" s="434"/>
      <c r="T12" s="434"/>
      <c r="AD12" s="434"/>
      <c r="AE12" s="434"/>
    </row>
    <row r="13" spans="1:31" x14ac:dyDescent="0.25">
      <c r="A13" s="444"/>
      <c r="C13" s="447"/>
      <c r="D13" s="447"/>
      <c r="E13" s="447"/>
      <c r="F13" s="446"/>
      <c r="G13" s="153"/>
      <c r="H13" s="153"/>
      <c r="I13" s="153"/>
      <c r="J13" s="446"/>
      <c r="K13" s="446"/>
      <c r="L13" s="446"/>
      <c r="M13" s="446"/>
      <c r="P13" s="434"/>
      <c r="Q13" s="434"/>
      <c r="T13" s="434"/>
      <c r="AD13" s="434"/>
      <c r="AE13" s="434"/>
    </row>
    <row r="14" spans="1:31" x14ac:dyDescent="0.25">
      <c r="A14" s="444"/>
      <c r="C14" s="447"/>
      <c r="D14" s="447"/>
      <c r="E14" s="447"/>
      <c r="F14" s="446"/>
      <c r="G14" s="446"/>
      <c r="H14" s="446"/>
      <c r="I14" s="446"/>
      <c r="J14" s="446"/>
      <c r="K14" s="446"/>
      <c r="L14" s="446"/>
      <c r="M14" s="446"/>
      <c r="P14" s="434"/>
      <c r="Q14" s="434"/>
      <c r="T14" s="434"/>
      <c r="AD14" s="434"/>
      <c r="AE14" s="434"/>
    </row>
    <row r="15" ht="12" customHeight="1" spans="1:31" x14ac:dyDescent="0.25">
      <c r="A15" s="444"/>
      <c r="C15" s="446"/>
      <c r="D15" s="446"/>
      <c r="E15" s="446"/>
      <c r="F15" s="446"/>
      <c r="G15" s="446"/>
      <c r="H15" s="446"/>
      <c r="I15" s="446"/>
      <c r="J15" s="446"/>
      <c r="K15" s="446"/>
      <c r="L15" s="446"/>
      <c r="M15" s="446"/>
      <c r="P15" s="434"/>
      <c r="Q15" s="434"/>
      <c r="T15" s="434"/>
      <c r="AD15" s="434"/>
      <c r="AE15" s="434"/>
    </row>
    <row r="16" ht="23.25" customHeight="1" spans="1:37" x14ac:dyDescent="0.25">
      <c r="A16" s="449" t="s">
        <v>761</v>
      </c>
      <c r="B16" s="450" t="s">
        <v>762</v>
      </c>
      <c r="C16" s="451" t="s">
        <v>763</v>
      </c>
      <c r="D16" s="451" t="s">
        <v>764</v>
      </c>
      <c r="E16" s="451" t="s">
        <v>765</v>
      </c>
      <c r="F16" s="451" t="s">
        <v>766</v>
      </c>
      <c r="G16" s="451" t="s">
        <v>767</v>
      </c>
      <c r="H16" s="451" t="s">
        <v>768</v>
      </c>
      <c r="I16" s="451" t="s">
        <v>758</v>
      </c>
      <c r="J16" s="451" t="s">
        <v>769</v>
      </c>
      <c r="K16" s="451" t="s">
        <v>770</v>
      </c>
      <c r="L16" s="451" t="s">
        <v>771</v>
      </c>
      <c r="M16" s="452"/>
      <c r="N16" s="453"/>
      <c r="O16" s="453"/>
      <c r="P16" s="454"/>
      <c r="Q16" s="434"/>
      <c r="R16" s="455" t="s">
        <v>772</v>
      </c>
      <c r="S16" s="455" t="s">
        <v>773</v>
      </c>
      <c r="T16" s="455" t="s">
        <v>763</v>
      </c>
      <c r="U16" s="455" t="s">
        <v>764</v>
      </c>
      <c r="V16" s="455" t="s">
        <v>765</v>
      </c>
      <c r="W16" s="455" t="s">
        <v>766</v>
      </c>
      <c r="X16" s="455" t="s">
        <v>767</v>
      </c>
      <c r="Y16" s="455" t="s">
        <v>768</v>
      </c>
      <c r="Z16" s="455" t="s">
        <v>758</v>
      </c>
      <c r="AA16" s="455" t="s">
        <v>769</v>
      </c>
      <c r="AB16" s="455" t="s">
        <v>770</v>
      </c>
      <c r="AC16" s="455" t="s">
        <v>771</v>
      </c>
      <c r="AD16" s="455" t="s">
        <v>774</v>
      </c>
      <c r="AE16" s="455" t="s">
        <v>774</v>
      </c>
      <c r="AF16" s="455" t="s">
        <v>774</v>
      </c>
      <c r="AG16" s="455" t="s">
        <v>774</v>
      </c>
      <c r="AH16" s="455" t="s">
        <v>774</v>
      </c>
      <c r="AI16" s="455" t="s">
        <v>775</v>
      </c>
      <c r="AJ16" s="455" t="s">
        <v>532</v>
      </c>
      <c r="AK16" s="455" t="s">
        <v>2</v>
      </c>
    </row>
    <row r="17" spans="1:37" x14ac:dyDescent="0.25">
      <c r="A17" s="456">
        <v>1806</v>
      </c>
      <c r="B17" s="457" t="s">
        <v>107</v>
      </c>
      <c r="C17" s="458" t="s">
        <v>776</v>
      </c>
      <c r="D17" s="459">
        <v>1</v>
      </c>
      <c r="E17" s="459">
        <v>2</v>
      </c>
      <c r="F17" s="459"/>
      <c r="G17" s="459">
        <v>1</v>
      </c>
      <c r="H17" s="459">
        <v>1</v>
      </c>
      <c r="I17" s="459"/>
      <c r="J17" s="459"/>
      <c r="K17" s="459"/>
      <c r="L17" s="459"/>
      <c r="P17" s="460"/>
      <c r="R17" s="461">
        <f t="shared" ref="R17:R64" si="1">+A17</f>
        <v>1806</v>
      </c>
      <c r="S17" s="461" t="str">
        <f>B17</f>
        <v>Agua</v>
      </c>
      <c r="T17" s="462" t="str">
        <f>C17</f>
        <v>Buje de 110 a 63</v>
      </c>
      <c r="U17" s="440">
        <f>+D17*SERVICIOS!$D$3</f>
        <v>0</v>
      </c>
      <c r="V17" s="440">
        <f>+E17*SERVICIOS!$D$4</f>
        <v>0</v>
      </c>
      <c r="W17" s="440">
        <f>+F17*SERVICIOS!$D$4</f>
        <v>0</v>
      </c>
      <c r="X17" s="440">
        <f>+SERVICIOS!$D$1*SERVICIOS!G17</f>
        <v>0</v>
      </c>
      <c r="Y17" s="440">
        <f>+H17*SERVICIOS!$D$2</f>
        <v>0</v>
      </c>
      <c r="Z17" s="440">
        <f>+I17*SERVICIOS!$D$8</f>
        <v>0</v>
      </c>
      <c r="AA17" s="440">
        <f t="shared" ref="AA17:AA64" si="2">+J17*$D$7</f>
        <v>0</v>
      </c>
      <c r="AB17" s="440">
        <f t="shared" ref="AB17:AB64" si="3">+K17</f>
        <v>0</v>
      </c>
      <c r="AC17" s="440">
        <f>+L17*SERVICIOS!$D$6</f>
        <v>0</v>
      </c>
      <c r="AD17" s="455"/>
      <c r="AE17" s="455"/>
      <c r="AF17" s="455"/>
      <c r="AG17" s="455"/>
      <c r="AH17" s="455"/>
      <c r="AI17" s="440">
        <f t="shared" ref="AI17:AI64" si="4">SUM(U17:AH17)</f>
        <v>0</v>
      </c>
      <c r="AJ17" s="463" t="e">
        <f>+VLOOKUP(R17,'Base Material'!B:D,3,FALSE)</f>
        <v>#N/A</v>
      </c>
      <c r="AK17" s="464" t="e">
        <f>+AJ17*AI17</f>
        <v>#N/A</v>
      </c>
    </row>
    <row r="18" spans="1:37" x14ac:dyDescent="0.25">
      <c r="A18" s="456">
        <v>14694</v>
      </c>
      <c r="B18" s="457" t="s">
        <v>107</v>
      </c>
      <c r="C18" s="458" t="s">
        <v>777</v>
      </c>
      <c r="D18" s="459"/>
      <c r="E18" s="459"/>
      <c r="F18" s="459"/>
      <c r="G18" s="459"/>
      <c r="H18" s="459"/>
      <c r="I18" s="459"/>
      <c r="J18" s="459"/>
      <c r="K18" s="459">
        <v>2</v>
      </c>
      <c r="L18" s="459"/>
      <c r="P18" s="460"/>
      <c r="R18" s="461">
        <f t="shared" si="1"/>
        <v>14694</v>
      </c>
      <c r="S18" s="461" t="str">
        <f t="shared" ref="S18:S81" si="5">B18</f>
        <v>Agua</v>
      </c>
      <c r="T18" s="462" t="str">
        <f t="shared" ref="T18:T81" si="6">C18</f>
        <v>Cámara de inpeccion de 60x60</v>
      </c>
      <c r="U18" s="440">
        <f>+D18*SERVICIOS!$D$3</f>
        <v>0</v>
      </c>
      <c r="V18" s="440">
        <f>+E18*SERVICIOS!$D$4</f>
        <v>0</v>
      </c>
      <c r="W18" s="440">
        <f>+F18*SERVICIOS!$D$4</f>
        <v>0</v>
      </c>
      <c r="X18" s="440">
        <f>+SERVICIOS!$D$1*SERVICIOS!G18</f>
        <v>0</v>
      </c>
      <c r="Y18" s="440">
        <f>+H18*SERVICIOS!$D$2</f>
        <v>0</v>
      </c>
      <c r="Z18" s="440">
        <f>+I18*SERVICIOS!$D$8</f>
        <v>0</v>
      </c>
      <c r="AA18" s="440">
        <f t="shared" si="2"/>
        <v>0</v>
      </c>
      <c r="AB18" s="440">
        <f t="shared" si="3"/>
        <v>2</v>
      </c>
      <c r="AC18" s="440">
        <f>+L18*SERVICIOS!$D$6</f>
        <v>0</v>
      </c>
      <c r="AD18" s="455"/>
      <c r="AE18" s="455"/>
      <c r="AF18" s="455"/>
      <c r="AG18" s="455"/>
      <c r="AH18" s="455"/>
      <c r="AI18" s="440">
        <f t="shared" si="4"/>
        <v>2</v>
      </c>
      <c r="AJ18" s="463" t="e">
        <f>+VLOOKUP(R18,'Base Material'!B:D,3,FALSE)</f>
        <v>#N/A</v>
      </c>
      <c r="AK18" s="464" t="e">
        <f t="shared" ref="AK18:AK81" si="7">+AJ18*AI18</f>
        <v>#N/A</v>
      </c>
    </row>
    <row r="19" spans="1:37" x14ac:dyDescent="0.25">
      <c r="A19" s="456">
        <v>1840</v>
      </c>
      <c r="B19" s="457" t="s">
        <v>107</v>
      </c>
      <c r="C19" s="458" t="s">
        <v>778</v>
      </c>
      <c r="D19" s="459"/>
      <c r="E19" s="459"/>
      <c r="F19" s="459">
        <v>1</v>
      </c>
      <c r="G19" s="459"/>
      <c r="H19" s="459"/>
      <c r="I19" s="459">
        <v>5</v>
      </c>
      <c r="J19" s="459"/>
      <c r="K19" s="459"/>
      <c r="L19" s="459"/>
      <c r="P19" s="460"/>
      <c r="R19" s="461">
        <f t="shared" si="1"/>
        <v>1840</v>
      </c>
      <c r="S19" s="461" t="str">
        <f t="shared" si="5"/>
        <v>Agua</v>
      </c>
      <c r="T19" s="462" t="str">
        <f t="shared" si="6"/>
        <v>Caño cámara de 110</v>
      </c>
      <c r="U19" s="440">
        <f>+D19*SERVICIOS!$D$3</f>
        <v>0</v>
      </c>
      <c r="V19" s="440">
        <f>+E19*SERVICIOS!$D$4</f>
        <v>0</v>
      </c>
      <c r="W19" s="440">
        <f>+F19*SERVICIOS!$D$4</f>
        <v>0</v>
      </c>
      <c r="X19" s="440">
        <f>+SERVICIOS!$D$1*SERVICIOS!G19</f>
        <v>0</v>
      </c>
      <c r="Y19" s="440">
        <f>+H19*SERVICIOS!$D$2</f>
        <v>0</v>
      </c>
      <c r="Z19" s="440">
        <f>+I19*SERVICIOS!$D$8</f>
        <v>5</v>
      </c>
      <c r="AA19" s="440">
        <f t="shared" si="2"/>
        <v>0</v>
      </c>
      <c r="AB19" s="440">
        <f t="shared" si="3"/>
        <v>0</v>
      </c>
      <c r="AC19" s="440">
        <f>+L19*SERVICIOS!$D$6</f>
        <v>0</v>
      </c>
      <c r="AD19" s="455"/>
      <c r="AE19" s="455"/>
      <c r="AF19" s="455"/>
      <c r="AG19" s="455"/>
      <c r="AH19" s="455"/>
      <c r="AI19" s="440">
        <f t="shared" si="4"/>
        <v>5</v>
      </c>
      <c r="AJ19" s="463" t="e">
        <f>+VLOOKUP(R19,'Base Material'!B:D,3,FALSE)</f>
        <v>#N/A</v>
      </c>
      <c r="AK19" s="464" t="e">
        <f t="shared" si="7"/>
        <v>#N/A</v>
      </c>
    </row>
    <row r="20" spans="1:37" x14ac:dyDescent="0.25">
      <c r="A20" s="456">
        <v>1840</v>
      </c>
      <c r="B20" s="457" t="s">
        <v>107</v>
      </c>
      <c r="C20" s="458" t="s">
        <v>779</v>
      </c>
      <c r="D20" s="459">
        <v>1</v>
      </c>
      <c r="E20" s="459">
        <v>1</v>
      </c>
      <c r="F20" s="459">
        <v>0</v>
      </c>
      <c r="G20" s="459">
        <v>3</v>
      </c>
      <c r="H20" s="459">
        <v>1</v>
      </c>
      <c r="I20" s="459">
        <v>8</v>
      </c>
      <c r="J20" s="459">
        <v>3</v>
      </c>
      <c r="K20" s="459">
        <v>7</v>
      </c>
      <c r="L20" s="459">
        <v>1</v>
      </c>
      <c r="P20" s="460"/>
      <c r="R20" s="461">
        <f t="shared" si="1"/>
        <v>1840</v>
      </c>
      <c r="S20" s="461" t="str">
        <f t="shared" si="5"/>
        <v>Agua</v>
      </c>
      <c r="T20" s="462" t="str">
        <f t="shared" si="6"/>
        <v>Caño de 110</v>
      </c>
      <c r="U20" s="440">
        <f>+D20*SERVICIOS!$D$3</f>
        <v>0</v>
      </c>
      <c r="V20" s="440">
        <f>+E20*SERVICIOS!$D$4</f>
        <v>0</v>
      </c>
      <c r="W20" s="440">
        <f>+F20*SERVICIOS!$D$4</f>
        <v>0</v>
      </c>
      <c r="X20" s="440">
        <f>+SERVICIOS!$D$1*SERVICIOS!G20</f>
        <v>0</v>
      </c>
      <c r="Y20" s="440">
        <f>+H20*SERVICIOS!$D$2</f>
        <v>0</v>
      </c>
      <c r="Z20" s="440">
        <f>+I20*SERVICIOS!$D$8</f>
        <v>8</v>
      </c>
      <c r="AA20" s="440">
        <f t="shared" si="2"/>
        <v>3</v>
      </c>
      <c r="AB20" s="440">
        <f t="shared" si="3"/>
        <v>7</v>
      </c>
      <c r="AC20" s="440">
        <f>+L20*SERVICIOS!$D$6</f>
        <v>1</v>
      </c>
      <c r="AD20" s="455"/>
      <c r="AE20" s="455"/>
      <c r="AF20" s="455"/>
      <c r="AG20" s="455"/>
      <c r="AH20" s="455"/>
      <c r="AI20" s="440">
        <f t="shared" si="4"/>
        <v>19</v>
      </c>
      <c r="AJ20" s="463" t="e">
        <f>+VLOOKUP(R20,'Base Material'!B:D,3,FALSE)</f>
        <v>#N/A</v>
      </c>
      <c r="AK20" s="464" t="e">
        <f t="shared" si="7"/>
        <v>#N/A</v>
      </c>
    </row>
    <row r="21" spans="1:37" x14ac:dyDescent="0.25">
      <c r="A21" s="456">
        <v>1774</v>
      </c>
      <c r="B21" s="457" t="s">
        <v>107</v>
      </c>
      <c r="C21" s="458" t="s">
        <v>780</v>
      </c>
      <c r="D21" s="459"/>
      <c r="E21" s="459"/>
      <c r="F21" s="459"/>
      <c r="G21" s="459">
        <v>1</v>
      </c>
      <c r="H21" s="459"/>
      <c r="I21" s="459"/>
      <c r="J21" s="459"/>
      <c r="K21" s="459"/>
      <c r="L21" s="459"/>
      <c r="P21" s="460"/>
      <c r="R21" s="461">
        <f t="shared" si="1"/>
        <v>1774</v>
      </c>
      <c r="S21" s="461" t="str">
        <f t="shared" si="5"/>
        <v>Agua</v>
      </c>
      <c r="T21" s="462" t="str">
        <f t="shared" si="6"/>
        <v>Caño  40</v>
      </c>
      <c r="U21" s="440">
        <f>+D21*SERVICIOS!$D$3</f>
        <v>0</v>
      </c>
      <c r="V21" s="440">
        <f>+E21*SERVICIOS!$D$4</f>
        <v>0</v>
      </c>
      <c r="W21" s="440">
        <f>+F21*SERVICIOS!$D$4</f>
        <v>0</v>
      </c>
      <c r="X21" s="440">
        <f>+SERVICIOS!$D$1*SERVICIOS!G21</f>
        <v>0</v>
      </c>
      <c r="Y21" s="440">
        <f>+H21*SERVICIOS!$D$2</f>
        <v>0</v>
      </c>
      <c r="Z21" s="440">
        <f>+I21*SERVICIOS!$D$8</f>
        <v>0</v>
      </c>
      <c r="AA21" s="440">
        <f t="shared" si="2"/>
        <v>0</v>
      </c>
      <c r="AB21" s="440">
        <f t="shared" si="3"/>
        <v>0</v>
      </c>
      <c r="AC21" s="440">
        <f>+L21*SERVICIOS!$D$6</f>
        <v>0</v>
      </c>
      <c r="AD21" s="455"/>
      <c r="AE21" s="455"/>
      <c r="AF21" s="455"/>
      <c r="AG21" s="455"/>
      <c r="AH21" s="455"/>
      <c r="AI21" s="440">
        <f t="shared" si="4"/>
        <v>0</v>
      </c>
      <c r="AJ21" s="463" t="e">
        <f>+VLOOKUP(R21,'Base Material'!B:D,3,FALSE)</f>
        <v>#N/A</v>
      </c>
      <c r="AK21" s="464" t="e">
        <f t="shared" si="7"/>
        <v>#N/A</v>
      </c>
    </row>
    <row r="22" spans="1:37" x14ac:dyDescent="0.25">
      <c r="A22" s="456">
        <v>1775</v>
      </c>
      <c r="B22" s="457" t="s">
        <v>107</v>
      </c>
      <c r="C22" s="458" t="s">
        <v>781</v>
      </c>
      <c r="D22" s="459"/>
      <c r="E22" s="459"/>
      <c r="F22" s="459"/>
      <c r="G22" s="459">
        <v>1</v>
      </c>
      <c r="H22" s="459"/>
      <c r="I22" s="459"/>
      <c r="J22" s="459"/>
      <c r="K22" s="459"/>
      <c r="L22" s="459"/>
      <c r="P22" s="460"/>
      <c r="R22" s="461">
        <f t="shared" si="1"/>
        <v>1775</v>
      </c>
      <c r="S22" s="461" t="str">
        <f t="shared" si="5"/>
        <v>Agua</v>
      </c>
      <c r="T22" s="462" t="str">
        <f t="shared" si="6"/>
        <v>Caño de 50</v>
      </c>
      <c r="U22" s="440">
        <f>+D22*SERVICIOS!$D$3</f>
        <v>0</v>
      </c>
      <c r="V22" s="440">
        <f>+E22*SERVICIOS!$D$4</f>
        <v>0</v>
      </c>
      <c r="W22" s="440">
        <f>+F22*SERVICIOS!$D$4</f>
        <v>0</v>
      </c>
      <c r="X22" s="440">
        <f>+SERVICIOS!$D$1*SERVICIOS!G22</f>
        <v>0</v>
      </c>
      <c r="Y22" s="440">
        <f>+H22*SERVICIOS!$D$2</f>
        <v>0</v>
      </c>
      <c r="Z22" s="440">
        <f>+I22*SERVICIOS!$D$8</f>
        <v>0</v>
      </c>
      <c r="AA22" s="440">
        <f t="shared" si="2"/>
        <v>0</v>
      </c>
      <c r="AB22" s="440">
        <f t="shared" si="3"/>
        <v>0</v>
      </c>
      <c r="AC22" s="440">
        <f>+L22*SERVICIOS!$D$6</f>
        <v>0</v>
      </c>
      <c r="AD22" s="455"/>
      <c r="AE22" s="455"/>
      <c r="AF22" s="455"/>
      <c r="AG22" s="455"/>
      <c r="AH22" s="455"/>
      <c r="AI22" s="440">
        <f t="shared" si="4"/>
        <v>0</v>
      </c>
      <c r="AJ22" s="463" t="e">
        <f>+VLOOKUP(R22,'Base Material'!B:D,3,FALSE)</f>
        <v>#N/A</v>
      </c>
      <c r="AK22" s="464" t="e">
        <f t="shared" si="7"/>
        <v>#N/A</v>
      </c>
    </row>
    <row r="23" spans="1:37" x14ac:dyDescent="0.25">
      <c r="A23" s="456">
        <v>1776</v>
      </c>
      <c r="B23" s="457" t="s">
        <v>107</v>
      </c>
      <c r="C23" s="458" t="s">
        <v>782</v>
      </c>
      <c r="D23" s="459"/>
      <c r="E23" s="459"/>
      <c r="F23" s="459"/>
      <c r="G23" s="459">
        <v>1</v>
      </c>
      <c r="H23" s="459"/>
      <c r="I23" s="459"/>
      <c r="J23" s="459"/>
      <c r="K23" s="459"/>
      <c r="L23" s="459"/>
      <c r="P23" s="460"/>
      <c r="R23" s="461">
        <f t="shared" si="1"/>
        <v>1776</v>
      </c>
      <c r="S23" s="461" t="str">
        <f t="shared" si="5"/>
        <v>Agua</v>
      </c>
      <c r="T23" s="462" t="str">
        <f t="shared" si="6"/>
        <v>Caño 63</v>
      </c>
      <c r="U23" s="440">
        <f>+D23*SERVICIOS!$D$3</f>
        <v>0</v>
      </c>
      <c r="V23" s="440">
        <f>+E23*SERVICIOS!$D$4</f>
        <v>0</v>
      </c>
      <c r="W23" s="440">
        <f>+F23*SERVICIOS!$D$4</f>
        <v>0</v>
      </c>
      <c r="X23" s="440">
        <f>+SERVICIOS!$D$1*SERVICIOS!G23</f>
        <v>0</v>
      </c>
      <c r="Y23" s="440">
        <f>+H23*SERVICIOS!$D$2</f>
        <v>0</v>
      </c>
      <c r="Z23" s="440">
        <f>+I23*SERVICIOS!$D$8</f>
        <v>0</v>
      </c>
      <c r="AA23" s="440">
        <f t="shared" si="2"/>
        <v>0</v>
      </c>
      <c r="AB23" s="440">
        <f t="shared" si="3"/>
        <v>0</v>
      </c>
      <c r="AC23" s="440">
        <f>+L23*SERVICIOS!$D$6</f>
        <v>0</v>
      </c>
      <c r="AD23" s="455"/>
      <c r="AE23" s="455"/>
      <c r="AF23" s="455"/>
      <c r="AG23" s="455"/>
      <c r="AH23" s="455"/>
      <c r="AI23" s="440">
        <f t="shared" si="4"/>
        <v>0</v>
      </c>
      <c r="AJ23" s="463" t="e">
        <f>+VLOOKUP(R23,'Base Material'!B:D,3,FALSE)</f>
        <v>#N/A</v>
      </c>
      <c r="AK23" s="464" t="e">
        <f t="shared" si="7"/>
        <v>#N/A</v>
      </c>
    </row>
    <row r="24" spans="1:37" x14ac:dyDescent="0.25">
      <c r="A24" s="456">
        <v>8348</v>
      </c>
      <c r="B24" s="457" t="s">
        <v>107</v>
      </c>
      <c r="C24" s="458" t="s">
        <v>783</v>
      </c>
      <c r="D24" s="459">
        <v>1</v>
      </c>
      <c r="E24" s="459">
        <v>1</v>
      </c>
      <c r="F24" s="459"/>
      <c r="G24" s="459"/>
      <c r="H24" s="459"/>
      <c r="I24" s="459"/>
      <c r="J24" s="459"/>
      <c r="K24" s="459"/>
      <c r="L24" s="459"/>
      <c r="P24" s="460"/>
      <c r="R24" s="461">
        <f t="shared" si="1"/>
        <v>8348</v>
      </c>
      <c r="S24" s="461" t="str">
        <f t="shared" si="5"/>
        <v>Agua</v>
      </c>
      <c r="T24" s="462" t="str">
        <f t="shared" si="6"/>
        <v>Cemento blanco ( por kg)</v>
      </c>
      <c r="U24" s="440">
        <f>+D24*SERVICIOS!$D$3</f>
        <v>0</v>
      </c>
      <c r="V24" s="440">
        <f>+E24*SERVICIOS!$D$4</f>
        <v>0</v>
      </c>
      <c r="W24" s="440">
        <f>+F24*SERVICIOS!$D$4</f>
        <v>0</v>
      </c>
      <c r="X24" s="440">
        <f>+SERVICIOS!$D$1*SERVICIOS!G24</f>
        <v>0</v>
      </c>
      <c r="Y24" s="440">
        <f>+H24*SERVICIOS!$D$2</f>
        <v>0</v>
      </c>
      <c r="Z24" s="440">
        <f>+I24*SERVICIOS!$D$8</f>
        <v>0</v>
      </c>
      <c r="AA24" s="440">
        <f t="shared" si="2"/>
        <v>0</v>
      </c>
      <c r="AB24" s="440">
        <f t="shared" si="3"/>
        <v>0</v>
      </c>
      <c r="AC24" s="440">
        <f>+L24*SERVICIOS!$D$6</f>
        <v>0</v>
      </c>
      <c r="AD24" s="455"/>
      <c r="AE24" s="455"/>
      <c r="AF24" s="455"/>
      <c r="AG24" s="455"/>
      <c r="AH24" s="455"/>
      <c r="AI24" s="440">
        <f t="shared" si="4"/>
        <v>0</v>
      </c>
      <c r="AJ24" s="463">
        <f>+VLOOKUP(R24,'Base Material'!B:D,3,FALSE)</f>
        <v>1276.73</v>
      </c>
      <c r="AK24" s="464">
        <f t="shared" si="7"/>
        <v>0</v>
      </c>
    </row>
    <row r="25" spans="1:37" x14ac:dyDescent="0.25">
      <c r="A25" s="456">
        <v>4712</v>
      </c>
      <c r="B25" s="457" t="s">
        <v>107</v>
      </c>
      <c r="C25" s="458" t="s">
        <v>784</v>
      </c>
      <c r="D25" s="459"/>
      <c r="E25" s="459"/>
      <c r="F25" s="459"/>
      <c r="G25" s="459"/>
      <c r="H25" s="459"/>
      <c r="I25" s="459"/>
      <c r="J25" s="459"/>
      <c r="K25" s="459">
        <v>8</v>
      </c>
      <c r="L25" s="459"/>
      <c r="P25" s="460"/>
      <c r="R25" s="461">
        <f t="shared" si="1"/>
        <v>4712</v>
      </c>
      <c r="S25" s="461" t="str">
        <f t="shared" si="5"/>
        <v>Agua</v>
      </c>
      <c r="T25" s="462" t="str">
        <f t="shared" si="6"/>
        <v>Cilastic transparente</v>
      </c>
      <c r="U25" s="440">
        <f>+D25*SERVICIOS!$D$3</f>
        <v>0</v>
      </c>
      <c r="V25" s="440">
        <f>+E25*SERVICIOS!$D$4</f>
        <v>0</v>
      </c>
      <c r="W25" s="440">
        <f>+F25*SERVICIOS!$D$4</f>
        <v>0</v>
      </c>
      <c r="X25" s="440">
        <f>+SERVICIOS!$D$1*SERVICIOS!G25</f>
        <v>0</v>
      </c>
      <c r="Y25" s="440">
        <f>+H25*SERVICIOS!$D$2</f>
        <v>0</v>
      </c>
      <c r="Z25" s="440">
        <f>+I25*SERVICIOS!$D$8</f>
        <v>0</v>
      </c>
      <c r="AA25" s="440">
        <f t="shared" si="2"/>
        <v>0</v>
      </c>
      <c r="AB25" s="440">
        <f t="shared" si="3"/>
        <v>8</v>
      </c>
      <c r="AC25" s="440">
        <f>+L25*SERVICIOS!$D$6</f>
        <v>0</v>
      </c>
      <c r="AD25" s="455"/>
      <c r="AE25" s="455"/>
      <c r="AF25" s="455"/>
      <c r="AG25" s="455"/>
      <c r="AH25" s="455"/>
      <c r="AI25" s="440">
        <f t="shared" si="4"/>
        <v>8</v>
      </c>
      <c r="AJ25" s="463" t="e">
        <f>+VLOOKUP(R25,'Base Material'!B:D,3,FALSE)</f>
        <v>#N/A</v>
      </c>
      <c r="AK25" s="464" t="e">
        <f t="shared" si="7"/>
        <v>#N/A</v>
      </c>
    </row>
    <row r="26" spans="1:37" x14ac:dyDescent="0.25">
      <c r="A26" s="456">
        <v>1793</v>
      </c>
      <c r="B26" s="457" t="s">
        <v>107</v>
      </c>
      <c r="C26" s="458" t="s">
        <v>785</v>
      </c>
      <c r="D26" s="459"/>
      <c r="E26" s="459"/>
      <c r="F26" s="459">
        <v>1</v>
      </c>
      <c r="G26" s="459">
        <v>1</v>
      </c>
      <c r="H26" s="459"/>
      <c r="I26" s="459">
        <v>5</v>
      </c>
      <c r="J26" s="459"/>
      <c r="K26" s="459"/>
      <c r="L26" s="459"/>
      <c r="P26" s="460"/>
      <c r="R26" s="461">
        <f t="shared" si="1"/>
        <v>1793</v>
      </c>
      <c r="S26" s="461" t="str">
        <f t="shared" si="5"/>
        <v>Agua</v>
      </c>
      <c r="T26" s="462" t="str">
        <f t="shared" si="6"/>
        <v>Codo 110x110 hermba hermaba</v>
      </c>
      <c r="U26" s="440">
        <f>+D26*SERVICIOS!$D$3</f>
        <v>0</v>
      </c>
      <c r="V26" s="440">
        <f>+E26*SERVICIOS!$D$4</f>
        <v>0</v>
      </c>
      <c r="W26" s="440">
        <f>+F26*SERVICIOS!$D$4</f>
        <v>0</v>
      </c>
      <c r="X26" s="440">
        <f>+SERVICIOS!$D$1*SERVICIOS!G26</f>
        <v>0</v>
      </c>
      <c r="Y26" s="440">
        <f>+H26*SERVICIOS!$D$2</f>
        <v>0</v>
      </c>
      <c r="Z26" s="440">
        <f>+I26*SERVICIOS!$D$8</f>
        <v>5</v>
      </c>
      <c r="AA26" s="440">
        <f t="shared" si="2"/>
        <v>0</v>
      </c>
      <c r="AB26" s="440">
        <f t="shared" si="3"/>
        <v>0</v>
      </c>
      <c r="AC26" s="440">
        <f>+L26*SERVICIOS!$D$6</f>
        <v>0</v>
      </c>
      <c r="AD26" s="455"/>
      <c r="AE26" s="455"/>
      <c r="AF26" s="455"/>
      <c r="AG26" s="455"/>
      <c r="AH26" s="455"/>
      <c r="AI26" s="440">
        <f t="shared" si="4"/>
        <v>5</v>
      </c>
      <c r="AJ26" s="463" t="e">
        <f>+VLOOKUP(R26,'Base Material'!B:D,3,FALSE)</f>
        <v>#N/A</v>
      </c>
      <c r="AK26" s="464" t="e">
        <f t="shared" si="7"/>
        <v>#N/A</v>
      </c>
    </row>
    <row r="27" spans="1:37" x14ac:dyDescent="0.25">
      <c r="A27" s="456">
        <v>1789</v>
      </c>
      <c r="B27" s="457" t="s">
        <v>107</v>
      </c>
      <c r="C27" s="458" t="s">
        <v>786</v>
      </c>
      <c r="D27" s="459"/>
      <c r="E27" s="459"/>
      <c r="F27" s="459">
        <v>1</v>
      </c>
      <c r="G27" s="459"/>
      <c r="H27" s="459"/>
      <c r="I27" s="459"/>
      <c r="J27" s="459"/>
      <c r="K27" s="459"/>
      <c r="L27" s="459"/>
      <c r="P27" s="460"/>
      <c r="R27" s="461">
        <f t="shared" si="1"/>
        <v>1789</v>
      </c>
      <c r="S27" s="461" t="str">
        <f t="shared" si="5"/>
        <v>Agua</v>
      </c>
      <c r="T27" s="462" t="str">
        <f t="shared" si="6"/>
        <v>Codo 110x45</v>
      </c>
      <c r="U27" s="440">
        <f>+D27*SERVICIOS!$D$3</f>
        <v>0</v>
      </c>
      <c r="V27" s="440">
        <f>+E27*SERVICIOS!$D$4</f>
        <v>0</v>
      </c>
      <c r="W27" s="440">
        <f>+F27*SERVICIOS!$D$4</f>
        <v>0</v>
      </c>
      <c r="X27" s="440">
        <f>+SERVICIOS!$D$1*SERVICIOS!G27</f>
        <v>0</v>
      </c>
      <c r="Y27" s="440">
        <f>+H27*SERVICIOS!$D$2</f>
        <v>0</v>
      </c>
      <c r="Z27" s="440">
        <f>+I27*SERVICIOS!$D$8</f>
        <v>0</v>
      </c>
      <c r="AA27" s="440">
        <f t="shared" si="2"/>
        <v>0</v>
      </c>
      <c r="AB27" s="440">
        <f t="shared" si="3"/>
        <v>0</v>
      </c>
      <c r="AC27" s="440">
        <f>+L27*SERVICIOS!$D$6</f>
        <v>0</v>
      </c>
      <c r="AD27" s="455"/>
      <c r="AE27" s="455"/>
      <c r="AF27" s="455"/>
      <c r="AG27" s="455"/>
      <c r="AH27" s="455"/>
      <c r="AI27" s="440">
        <f t="shared" si="4"/>
        <v>0</v>
      </c>
      <c r="AJ27" s="463" t="e">
        <f>+VLOOKUP(R27,'Base Material'!B:D,3,FALSE)</f>
        <v>#N/A</v>
      </c>
      <c r="AK27" s="464" t="e">
        <f t="shared" si="7"/>
        <v>#N/A</v>
      </c>
    </row>
    <row r="28" spans="1:37" x14ac:dyDescent="0.25">
      <c r="A28" s="456">
        <v>1785</v>
      </c>
      <c r="B28" s="457" t="s">
        <v>107</v>
      </c>
      <c r="C28" s="458" t="s">
        <v>787</v>
      </c>
      <c r="D28" s="459"/>
      <c r="E28" s="459"/>
      <c r="F28" s="459"/>
      <c r="G28" s="459"/>
      <c r="H28" s="459"/>
      <c r="I28" s="459"/>
      <c r="J28" s="459"/>
      <c r="K28" s="459"/>
      <c r="L28" s="459">
        <v>4</v>
      </c>
      <c r="P28" s="460"/>
      <c r="R28" s="461">
        <f t="shared" si="1"/>
        <v>1785</v>
      </c>
      <c r="S28" s="461" t="str">
        <f t="shared" si="5"/>
        <v>Agua</v>
      </c>
      <c r="T28" s="462" t="str">
        <f t="shared" si="6"/>
        <v>Codo de 110  </v>
      </c>
      <c r="U28" s="440">
        <f>+D28*SERVICIOS!$D$3</f>
        <v>0</v>
      </c>
      <c r="V28" s="440">
        <f>+E28*SERVICIOS!$D$4</f>
        <v>0</v>
      </c>
      <c r="W28" s="440">
        <f>+F28*SERVICIOS!$D$4</f>
        <v>0</v>
      </c>
      <c r="X28" s="440">
        <f>+SERVICIOS!$D$1*SERVICIOS!G28</f>
        <v>0</v>
      </c>
      <c r="Y28" s="440">
        <f>+H28*SERVICIOS!$D$2</f>
        <v>0</v>
      </c>
      <c r="Z28" s="440">
        <f>+I28*SERVICIOS!$D$8</f>
        <v>0</v>
      </c>
      <c r="AA28" s="440">
        <f t="shared" si="2"/>
        <v>0</v>
      </c>
      <c r="AB28" s="440">
        <f t="shared" si="3"/>
        <v>0</v>
      </c>
      <c r="AC28" s="440">
        <f>+L28*SERVICIOS!$D$6</f>
        <v>4</v>
      </c>
      <c r="AD28" s="455"/>
      <c r="AE28" s="455"/>
      <c r="AF28" s="455"/>
      <c r="AG28" s="455"/>
      <c r="AH28" s="455"/>
      <c r="AI28" s="440">
        <f t="shared" si="4"/>
        <v>4</v>
      </c>
      <c r="AJ28" s="463" t="e">
        <f>+VLOOKUP(R28,'Base Material'!B:D,3,FALSE)</f>
        <v>#N/A</v>
      </c>
      <c r="AK28" s="464" t="e">
        <f t="shared" si="7"/>
        <v>#N/A</v>
      </c>
    </row>
    <row r="29" spans="1:37" x14ac:dyDescent="0.25">
      <c r="A29" s="456">
        <v>1794</v>
      </c>
      <c r="B29" s="457" t="s">
        <v>107</v>
      </c>
      <c r="C29" s="458" t="s">
        <v>788</v>
      </c>
      <c r="D29" s="459">
        <v>1</v>
      </c>
      <c r="E29" s="459">
        <v>1</v>
      </c>
      <c r="F29" s="459"/>
      <c r="G29" s="459"/>
      <c r="H29" s="459"/>
      <c r="I29" s="459"/>
      <c r="J29" s="459"/>
      <c r="K29" s="459"/>
      <c r="L29" s="459"/>
      <c r="P29" s="460"/>
      <c r="R29" s="461">
        <f t="shared" si="1"/>
        <v>1794</v>
      </c>
      <c r="S29" s="461" t="str">
        <f t="shared" si="5"/>
        <v>Agua</v>
      </c>
      <c r="T29" s="462" t="str">
        <f t="shared" si="6"/>
        <v>Codo de 110 con base</v>
      </c>
      <c r="U29" s="440">
        <f>+D29*SERVICIOS!$D$3</f>
        <v>0</v>
      </c>
      <c r="V29" s="440">
        <f>+E29*SERVICIOS!$D$4</f>
        <v>0</v>
      </c>
      <c r="W29" s="440">
        <f>+F29*SERVICIOS!$D$4</f>
        <v>0</v>
      </c>
      <c r="X29" s="440">
        <f>+SERVICIOS!$D$1*SERVICIOS!G29</f>
        <v>0</v>
      </c>
      <c r="Y29" s="440">
        <f>+H29*SERVICIOS!$D$2</f>
        <v>0</v>
      </c>
      <c r="Z29" s="440">
        <f>+I29*SERVICIOS!$D$8</f>
        <v>0</v>
      </c>
      <c r="AA29" s="440">
        <f t="shared" si="2"/>
        <v>0</v>
      </c>
      <c r="AB29" s="440">
        <f t="shared" si="3"/>
        <v>0</v>
      </c>
      <c r="AC29" s="440">
        <f>+L29*SERVICIOS!$D$6</f>
        <v>0</v>
      </c>
      <c r="AD29" s="455"/>
      <c r="AE29" s="455"/>
      <c r="AF29" s="455"/>
      <c r="AG29" s="455"/>
      <c r="AH29" s="455"/>
      <c r="AI29" s="440">
        <f t="shared" si="4"/>
        <v>0</v>
      </c>
      <c r="AJ29" s="463" t="e">
        <f>+VLOOKUP(R29,'Base Material'!B:D,3,FALSE)</f>
        <v>#N/A</v>
      </c>
      <c r="AK29" s="464" t="e">
        <f t="shared" si="7"/>
        <v>#N/A</v>
      </c>
    </row>
    <row r="30" spans="1:37" x14ac:dyDescent="0.25">
      <c r="A30" s="456">
        <v>1781</v>
      </c>
      <c r="B30" s="457" t="s">
        <v>107</v>
      </c>
      <c r="C30" s="458" t="s">
        <v>789</v>
      </c>
      <c r="D30" s="459">
        <v>2</v>
      </c>
      <c r="E30" s="459">
        <v>2</v>
      </c>
      <c r="F30" s="459"/>
      <c r="G30" s="459"/>
      <c r="H30" s="459">
        <v>2</v>
      </c>
      <c r="I30" s="459">
        <v>10</v>
      </c>
      <c r="J30" s="459"/>
      <c r="K30" s="459"/>
      <c r="L30" s="459">
        <v>4</v>
      </c>
      <c r="P30" s="460"/>
      <c r="R30" s="461">
        <f t="shared" si="1"/>
        <v>1781</v>
      </c>
      <c r="S30" s="461" t="str">
        <f t="shared" si="5"/>
        <v>Agua</v>
      </c>
      <c r="T30" s="462" t="str">
        <f t="shared" si="6"/>
        <v>Codo de 110 de 45 º</v>
      </c>
      <c r="U30" s="440">
        <f>+D30*SERVICIOS!$D$3</f>
        <v>0</v>
      </c>
      <c r="V30" s="440">
        <f>+E30*SERVICIOS!$D$4</f>
        <v>0</v>
      </c>
      <c r="W30" s="440">
        <f>+F30*SERVICIOS!$D$4</f>
        <v>0</v>
      </c>
      <c r="X30" s="440">
        <f>+SERVICIOS!$D$1*SERVICIOS!G30</f>
        <v>0</v>
      </c>
      <c r="Y30" s="440">
        <f>+H30*SERVICIOS!$D$2</f>
        <v>0</v>
      </c>
      <c r="Z30" s="440">
        <f>+I30*SERVICIOS!$D$8</f>
        <v>10</v>
      </c>
      <c r="AA30" s="440">
        <f t="shared" si="2"/>
        <v>0</v>
      </c>
      <c r="AB30" s="440">
        <f t="shared" si="3"/>
        <v>0</v>
      </c>
      <c r="AC30" s="440">
        <f>+L30*SERVICIOS!$D$6</f>
        <v>4</v>
      </c>
      <c r="AD30" s="455"/>
      <c r="AE30" s="455"/>
      <c r="AF30" s="455"/>
      <c r="AG30" s="455"/>
      <c r="AH30" s="455"/>
      <c r="AI30" s="440">
        <f t="shared" si="4"/>
        <v>14</v>
      </c>
      <c r="AJ30" s="463" t="e">
        <f>+VLOOKUP(R30,'Base Material'!B:D,3,FALSE)</f>
        <v>#N/A</v>
      </c>
      <c r="AK30" s="464" t="e">
        <f t="shared" si="7"/>
        <v>#N/A</v>
      </c>
    </row>
    <row r="31" spans="1:37" x14ac:dyDescent="0.25">
      <c r="A31" s="456">
        <v>1789</v>
      </c>
      <c r="B31" s="457" t="s">
        <v>107</v>
      </c>
      <c r="C31" s="458" t="s">
        <v>780</v>
      </c>
      <c r="D31" s="459">
        <v>2</v>
      </c>
      <c r="E31" s="459">
        <v>4</v>
      </c>
      <c r="F31" s="459"/>
      <c r="G31" s="459">
        <v>2</v>
      </c>
      <c r="H31" s="459"/>
      <c r="I31" s="459"/>
      <c r="J31" s="459"/>
      <c r="K31" s="459"/>
      <c r="L31" s="459"/>
      <c r="P31" s="460"/>
      <c r="R31" s="461">
        <f t="shared" si="1"/>
        <v>1789</v>
      </c>
      <c r="S31" s="461" t="str">
        <f t="shared" si="5"/>
        <v>Agua</v>
      </c>
      <c r="T31" s="462" t="str">
        <f t="shared" si="6"/>
        <v>Caño  40</v>
      </c>
      <c r="U31" s="440">
        <f>+D31*SERVICIOS!$D$3</f>
        <v>0</v>
      </c>
      <c r="V31" s="440">
        <f>+E31*SERVICIOS!$D$4</f>
        <v>0</v>
      </c>
      <c r="W31" s="440">
        <f>+F31*SERVICIOS!$D$4</f>
        <v>0</v>
      </c>
      <c r="X31" s="440">
        <f>+SERVICIOS!$D$1*SERVICIOS!G31</f>
        <v>0</v>
      </c>
      <c r="Y31" s="440">
        <f>+H31*SERVICIOS!$D$2</f>
        <v>0</v>
      </c>
      <c r="Z31" s="440">
        <f>+I31*SERVICIOS!$D$8</f>
        <v>0</v>
      </c>
      <c r="AA31" s="440">
        <f t="shared" si="2"/>
        <v>0</v>
      </c>
      <c r="AB31" s="440">
        <f t="shared" si="3"/>
        <v>0</v>
      </c>
      <c r="AC31" s="440">
        <f>+L31*SERVICIOS!$D$6</f>
        <v>0</v>
      </c>
      <c r="AD31" s="455"/>
      <c r="AE31" s="455"/>
      <c r="AF31" s="455"/>
      <c r="AG31" s="455"/>
      <c r="AH31" s="455"/>
      <c r="AI31" s="440">
        <f t="shared" si="4"/>
        <v>0</v>
      </c>
      <c r="AJ31" s="463" t="e">
        <f>+VLOOKUP(R31,'Base Material'!B:D,3,FALSE)</f>
        <v>#N/A</v>
      </c>
      <c r="AK31" s="464" t="e">
        <f t="shared" si="7"/>
        <v>#N/A</v>
      </c>
    </row>
    <row r="32" spans="1:37" x14ac:dyDescent="0.25">
      <c r="A32" s="456">
        <v>1778</v>
      </c>
      <c r="B32" s="457" t="s">
        <v>107</v>
      </c>
      <c r="C32" s="458" t="s">
        <v>790</v>
      </c>
      <c r="D32" s="459"/>
      <c r="E32" s="459">
        <v>8</v>
      </c>
      <c r="F32" s="459"/>
      <c r="G32" s="459">
        <v>2</v>
      </c>
      <c r="H32" s="459"/>
      <c r="I32" s="459"/>
      <c r="J32" s="459"/>
      <c r="K32" s="459"/>
      <c r="L32" s="459"/>
      <c r="P32" s="460"/>
      <c r="R32" s="461">
        <f t="shared" si="1"/>
        <v>1778</v>
      </c>
      <c r="S32" s="461" t="str">
        <f t="shared" si="5"/>
        <v>Agua</v>
      </c>
      <c r="T32" s="462" t="str">
        <f t="shared" si="6"/>
        <v>Codo de 40 a 45  </v>
      </c>
      <c r="U32" s="440">
        <f>+D32*SERVICIOS!$D$3</f>
        <v>0</v>
      </c>
      <c r="V32" s="440">
        <f>+E32*SERVICIOS!$D$4</f>
        <v>0</v>
      </c>
      <c r="W32" s="440">
        <f>+F32*SERVICIOS!$D$4</f>
        <v>0</v>
      </c>
      <c r="X32" s="440">
        <f>+SERVICIOS!$D$1*SERVICIOS!G32</f>
        <v>0</v>
      </c>
      <c r="Y32" s="440">
        <f>+H32*SERVICIOS!$D$2</f>
        <v>0</v>
      </c>
      <c r="Z32" s="440">
        <f>+I32*SERVICIOS!$D$8</f>
        <v>0</v>
      </c>
      <c r="AA32" s="440">
        <f t="shared" si="2"/>
        <v>0</v>
      </c>
      <c r="AB32" s="440">
        <f t="shared" si="3"/>
        <v>0</v>
      </c>
      <c r="AC32" s="440">
        <f>+L32*SERVICIOS!$D$6</f>
        <v>0</v>
      </c>
      <c r="AD32" s="455"/>
      <c r="AE32" s="455"/>
      <c r="AF32" s="455"/>
      <c r="AG32" s="455"/>
      <c r="AH32" s="455"/>
      <c r="AI32" s="440">
        <f t="shared" si="4"/>
        <v>0</v>
      </c>
      <c r="AJ32" s="463" t="e">
        <f>+VLOOKUP(R32,'Base Material'!B:D,3,FALSE)</f>
        <v>#N/A</v>
      </c>
      <c r="AK32" s="464" t="e">
        <f t="shared" si="7"/>
        <v>#N/A</v>
      </c>
    </row>
    <row r="33" spans="1:37" x14ac:dyDescent="0.25">
      <c r="A33" s="456">
        <v>1786</v>
      </c>
      <c r="B33" s="457" t="s">
        <v>107</v>
      </c>
      <c r="C33" s="458" t="s">
        <v>791</v>
      </c>
      <c r="D33" s="459">
        <v>2</v>
      </c>
      <c r="E33" s="459">
        <v>2</v>
      </c>
      <c r="F33" s="459"/>
      <c r="G33" s="459"/>
      <c r="H33" s="459">
        <v>8</v>
      </c>
      <c r="I33" s="459"/>
      <c r="J33" s="459"/>
      <c r="K33" s="459"/>
      <c r="L33" s="459"/>
      <c r="P33" s="460"/>
      <c r="R33" s="461">
        <f t="shared" si="1"/>
        <v>1786</v>
      </c>
      <c r="S33" s="461" t="str">
        <f t="shared" si="5"/>
        <v>Agua</v>
      </c>
      <c r="T33" s="462" t="str">
        <f t="shared" si="6"/>
        <v>Codo de 40 a 45 hermbra hembra</v>
      </c>
      <c r="U33" s="440">
        <f>+D33*SERVICIOS!$D$3</f>
        <v>0</v>
      </c>
      <c r="V33" s="440">
        <f>+E33*SERVICIOS!$D$4</f>
        <v>0</v>
      </c>
      <c r="W33" s="440">
        <f>+F33*SERVICIOS!$D$4</f>
        <v>0</v>
      </c>
      <c r="X33" s="440">
        <f>+SERVICIOS!$D$1*SERVICIOS!G33</f>
        <v>0</v>
      </c>
      <c r="Y33" s="440">
        <f>+H33*SERVICIOS!$D$2</f>
        <v>0</v>
      </c>
      <c r="Z33" s="440">
        <f>+I33*SERVICIOS!$D$8</f>
        <v>0</v>
      </c>
      <c r="AA33" s="440">
        <f t="shared" si="2"/>
        <v>0</v>
      </c>
      <c r="AB33" s="440">
        <f t="shared" si="3"/>
        <v>0</v>
      </c>
      <c r="AC33" s="440">
        <f>+L33*SERVICIOS!$D$6</f>
        <v>0</v>
      </c>
      <c r="AD33" s="455"/>
      <c r="AE33" s="455"/>
      <c r="AF33" s="455"/>
      <c r="AG33" s="455"/>
      <c r="AH33" s="455"/>
      <c r="AI33" s="440">
        <f t="shared" si="4"/>
        <v>0</v>
      </c>
      <c r="AJ33" s="463" t="e">
        <f>+VLOOKUP(R33,'Base Material'!B:D,3,FALSE)</f>
        <v>#N/A</v>
      </c>
      <c r="AK33" s="464" t="e">
        <f t="shared" si="7"/>
        <v>#N/A</v>
      </c>
    </row>
    <row r="34" spans="1:37" x14ac:dyDescent="0.25">
      <c r="A34" s="456">
        <v>1782</v>
      </c>
      <c r="B34" s="457" t="s">
        <v>107</v>
      </c>
      <c r="C34" s="458" t="s">
        <v>792</v>
      </c>
      <c r="D34" s="459">
        <v>2</v>
      </c>
      <c r="E34" s="459">
        <v>6</v>
      </c>
      <c r="F34" s="459"/>
      <c r="G34" s="459"/>
      <c r="H34" s="459">
        <v>4</v>
      </c>
      <c r="I34" s="459"/>
      <c r="J34" s="459"/>
      <c r="K34" s="459"/>
      <c r="L34" s="459"/>
      <c r="P34" s="460"/>
      <c r="R34" s="461">
        <f t="shared" si="1"/>
        <v>1782</v>
      </c>
      <c r="S34" s="461" t="str">
        <f t="shared" si="5"/>
        <v>Agua</v>
      </c>
      <c r="T34" s="462" t="str">
        <f t="shared" si="6"/>
        <v>Codo de 40 hembra hembra</v>
      </c>
      <c r="U34" s="440">
        <f>+D34*SERVICIOS!$D$3</f>
        <v>0</v>
      </c>
      <c r="V34" s="440">
        <f>+E34*SERVICIOS!$D$4</f>
        <v>0</v>
      </c>
      <c r="W34" s="440">
        <f>+F34*SERVICIOS!$D$4</f>
        <v>0</v>
      </c>
      <c r="X34" s="440">
        <f>+SERVICIOS!$D$1*SERVICIOS!G34</f>
        <v>0</v>
      </c>
      <c r="Y34" s="440">
        <f>+H34*SERVICIOS!$D$2</f>
        <v>0</v>
      </c>
      <c r="Z34" s="440">
        <f>+I34*SERVICIOS!$D$8</f>
        <v>0</v>
      </c>
      <c r="AA34" s="440">
        <f t="shared" si="2"/>
        <v>0</v>
      </c>
      <c r="AB34" s="440">
        <f t="shared" si="3"/>
        <v>0</v>
      </c>
      <c r="AC34" s="440">
        <f>+L34*SERVICIOS!$D$6</f>
        <v>0</v>
      </c>
      <c r="AD34" s="455"/>
      <c r="AE34" s="455"/>
      <c r="AF34" s="455"/>
      <c r="AG34" s="455"/>
      <c r="AH34" s="455"/>
      <c r="AI34" s="440">
        <f t="shared" si="4"/>
        <v>0</v>
      </c>
      <c r="AJ34" s="463" t="e">
        <f>+VLOOKUP(R34,'Base Material'!B:D,3,FALSE)</f>
        <v>#N/A</v>
      </c>
      <c r="AK34" s="464" t="e">
        <f t="shared" si="7"/>
        <v>#N/A</v>
      </c>
    </row>
    <row r="35" spans="1:37" x14ac:dyDescent="0.25">
      <c r="A35" s="456">
        <v>1790</v>
      </c>
      <c r="B35" s="457" t="s">
        <v>107</v>
      </c>
      <c r="C35" s="458" t="s">
        <v>793</v>
      </c>
      <c r="D35" s="459"/>
      <c r="E35" s="459"/>
      <c r="F35" s="459"/>
      <c r="G35" s="459">
        <v>2</v>
      </c>
      <c r="H35" s="459"/>
      <c r="I35" s="459"/>
      <c r="J35" s="459"/>
      <c r="K35" s="459"/>
      <c r="L35" s="459"/>
      <c r="P35" s="460"/>
      <c r="R35" s="461">
        <f t="shared" si="1"/>
        <v>1790</v>
      </c>
      <c r="S35" s="461" t="str">
        <f t="shared" si="5"/>
        <v>Agua</v>
      </c>
      <c r="T35" s="462" t="str">
        <f t="shared" si="6"/>
        <v>Codo de 50 hembra hembra</v>
      </c>
      <c r="U35" s="440">
        <f>+D35*SERVICIOS!$D$3</f>
        <v>0</v>
      </c>
      <c r="V35" s="440">
        <f>+E35*SERVICIOS!$D$4</f>
        <v>0</v>
      </c>
      <c r="W35" s="440">
        <f>+F35*SERVICIOS!$D$4</f>
        <v>0</v>
      </c>
      <c r="X35" s="440">
        <f>+SERVICIOS!$D$1*SERVICIOS!G35</f>
        <v>0</v>
      </c>
      <c r="Y35" s="440">
        <f>+H35*SERVICIOS!$D$2</f>
        <v>0</v>
      </c>
      <c r="Z35" s="440">
        <f>+I35*SERVICIOS!$D$8</f>
        <v>0</v>
      </c>
      <c r="AA35" s="440">
        <f t="shared" si="2"/>
        <v>0</v>
      </c>
      <c r="AB35" s="440">
        <f t="shared" si="3"/>
        <v>0</v>
      </c>
      <c r="AC35" s="440">
        <f>+L35*SERVICIOS!$D$6</f>
        <v>0</v>
      </c>
      <c r="AD35" s="455"/>
      <c r="AE35" s="455"/>
      <c r="AF35" s="455"/>
      <c r="AG35" s="455"/>
      <c r="AH35" s="455"/>
      <c r="AI35" s="440">
        <f t="shared" si="4"/>
        <v>0</v>
      </c>
      <c r="AJ35" s="463" t="e">
        <f>+VLOOKUP(R35,'Base Material'!B:D,3,FALSE)</f>
        <v>#N/A</v>
      </c>
      <c r="AK35" s="464" t="e">
        <f t="shared" si="7"/>
        <v>#N/A</v>
      </c>
    </row>
    <row r="36" spans="1:37" x14ac:dyDescent="0.25">
      <c r="A36" s="456">
        <v>1780</v>
      </c>
      <c r="B36" s="457" t="s">
        <v>107</v>
      </c>
      <c r="C36" s="458" t="s">
        <v>794</v>
      </c>
      <c r="D36" s="459"/>
      <c r="E36" s="459">
        <v>2</v>
      </c>
      <c r="F36" s="459"/>
      <c r="G36" s="459">
        <v>2</v>
      </c>
      <c r="H36" s="459"/>
      <c r="I36" s="459"/>
      <c r="J36" s="459"/>
      <c r="K36" s="459"/>
      <c r="L36" s="459"/>
      <c r="P36" s="460"/>
      <c r="R36" s="461">
        <f t="shared" si="1"/>
        <v>1780</v>
      </c>
      <c r="S36" s="461" t="str">
        <f t="shared" si="5"/>
        <v>Agua</v>
      </c>
      <c r="T36" s="462" t="str">
        <f t="shared" si="6"/>
        <v>Codo de 63 a 45</v>
      </c>
      <c r="U36" s="440">
        <f>+D36*SERVICIOS!$D$3</f>
        <v>0</v>
      </c>
      <c r="V36" s="440">
        <f>+E36*SERVICIOS!$D$4</f>
        <v>0</v>
      </c>
      <c r="W36" s="440">
        <f>+F36*SERVICIOS!$D$4</f>
        <v>0</v>
      </c>
      <c r="X36" s="440">
        <f>+SERVICIOS!$D$1*SERVICIOS!G36</f>
        <v>0</v>
      </c>
      <c r="Y36" s="440">
        <f>+H36*SERVICIOS!$D$2</f>
        <v>0</v>
      </c>
      <c r="Z36" s="440">
        <f>+I36*SERVICIOS!$D$8</f>
        <v>0</v>
      </c>
      <c r="AA36" s="440">
        <f t="shared" si="2"/>
        <v>0</v>
      </c>
      <c r="AB36" s="440">
        <f t="shared" si="3"/>
        <v>0</v>
      </c>
      <c r="AC36" s="440">
        <f>+L36*SERVICIOS!$D$6</f>
        <v>0</v>
      </c>
      <c r="AD36" s="455"/>
      <c r="AE36" s="455"/>
      <c r="AF36" s="455"/>
      <c r="AG36" s="455"/>
      <c r="AH36" s="455"/>
      <c r="AI36" s="440">
        <f t="shared" si="4"/>
        <v>0</v>
      </c>
      <c r="AJ36" s="463" t="e">
        <f>+VLOOKUP(R36,'Base Material'!B:D,3,FALSE)</f>
        <v>#N/A</v>
      </c>
      <c r="AK36" s="464" t="e">
        <f t="shared" si="7"/>
        <v>#N/A</v>
      </c>
    </row>
    <row r="37" spans="1:37" x14ac:dyDescent="0.25">
      <c r="A37" s="456">
        <v>1873</v>
      </c>
      <c r="B37" s="457" t="s">
        <v>107</v>
      </c>
      <c r="C37" s="458" t="s">
        <v>795</v>
      </c>
      <c r="D37" s="459">
        <v>1</v>
      </c>
      <c r="E37" s="459">
        <v>2</v>
      </c>
      <c r="F37" s="459"/>
      <c r="G37" s="459"/>
      <c r="H37" s="459"/>
      <c r="I37" s="459"/>
      <c r="J37" s="459"/>
      <c r="K37" s="459"/>
      <c r="L37" s="459"/>
      <c r="P37" s="460"/>
      <c r="R37" s="461">
        <f t="shared" si="1"/>
        <v>1873</v>
      </c>
      <c r="S37" s="461" t="str">
        <f t="shared" si="5"/>
        <v>Agua</v>
      </c>
      <c r="T37" s="462" t="str">
        <f t="shared" si="6"/>
        <v>Cupla de 40</v>
      </c>
      <c r="U37" s="440">
        <f>+D37*SERVICIOS!$D$3</f>
        <v>0</v>
      </c>
      <c r="V37" s="440">
        <f>+E37*SERVICIOS!$D$4</f>
        <v>0</v>
      </c>
      <c r="W37" s="440">
        <f>+F37*SERVICIOS!$D$4</f>
        <v>0</v>
      </c>
      <c r="X37" s="440">
        <f>+SERVICIOS!$D$1*SERVICIOS!G37</f>
        <v>0</v>
      </c>
      <c r="Y37" s="440">
        <f>+H37*SERVICIOS!$D$2</f>
        <v>0</v>
      </c>
      <c r="Z37" s="440">
        <f>+I37*SERVICIOS!$D$8</f>
        <v>0</v>
      </c>
      <c r="AA37" s="440">
        <f t="shared" si="2"/>
        <v>0</v>
      </c>
      <c r="AB37" s="440">
        <f t="shared" si="3"/>
        <v>0</v>
      </c>
      <c r="AC37" s="440">
        <f>+L37*SERVICIOS!$D$6</f>
        <v>0</v>
      </c>
      <c r="AD37" s="455"/>
      <c r="AE37" s="455"/>
      <c r="AF37" s="455"/>
      <c r="AG37" s="455"/>
      <c r="AH37" s="455"/>
      <c r="AI37" s="440">
        <f t="shared" si="4"/>
        <v>0</v>
      </c>
      <c r="AJ37" s="463" t="e">
        <f>+VLOOKUP(R37,'Base Material'!B:D,3,FALSE)</f>
        <v>#N/A</v>
      </c>
      <c r="AK37" s="464" t="e">
        <f t="shared" si="7"/>
        <v>#N/A</v>
      </c>
    </row>
    <row r="38" spans="1:37" x14ac:dyDescent="0.25">
      <c r="A38" s="456">
        <v>1874</v>
      </c>
      <c r="B38" s="457" t="s">
        <v>107</v>
      </c>
      <c r="C38" s="458" t="s">
        <v>782</v>
      </c>
      <c r="D38" s="459">
        <v>1</v>
      </c>
      <c r="E38" s="459">
        <v>1</v>
      </c>
      <c r="F38" s="459"/>
      <c r="G38" s="459">
        <v>1</v>
      </c>
      <c r="H38" s="459"/>
      <c r="I38" s="459"/>
      <c r="J38" s="459"/>
      <c r="K38" s="459"/>
      <c r="L38" s="459"/>
      <c r="P38" s="460"/>
      <c r="R38" s="461">
        <f t="shared" si="1"/>
        <v>1874</v>
      </c>
      <c r="S38" s="461" t="str">
        <f t="shared" si="5"/>
        <v>Agua</v>
      </c>
      <c r="T38" s="462" t="str">
        <f t="shared" si="6"/>
        <v>Caño 63</v>
      </c>
      <c r="U38" s="440">
        <f>+D38*SERVICIOS!$D$3</f>
        <v>0</v>
      </c>
      <c r="V38" s="440">
        <f>+E38*SERVICIOS!$D$4</f>
        <v>0</v>
      </c>
      <c r="W38" s="440">
        <f>+F38*SERVICIOS!$D$4</f>
        <v>0</v>
      </c>
      <c r="X38" s="440">
        <f>+SERVICIOS!$D$1*SERVICIOS!G38</f>
        <v>0</v>
      </c>
      <c r="Y38" s="440">
        <f>+H38*SERVICIOS!$D$2</f>
        <v>0</v>
      </c>
      <c r="Z38" s="440">
        <f>+I38*SERVICIOS!$D$8</f>
        <v>0</v>
      </c>
      <c r="AA38" s="440">
        <f t="shared" si="2"/>
        <v>0</v>
      </c>
      <c r="AB38" s="440">
        <f t="shared" si="3"/>
        <v>0</v>
      </c>
      <c r="AC38" s="440">
        <f>+L38*SERVICIOS!$D$6</f>
        <v>0</v>
      </c>
      <c r="AD38" s="455"/>
      <c r="AE38" s="455"/>
      <c r="AF38" s="455"/>
      <c r="AG38" s="455"/>
      <c r="AH38" s="455"/>
      <c r="AI38" s="440">
        <f t="shared" si="4"/>
        <v>0</v>
      </c>
      <c r="AJ38" s="463" t="e">
        <f>+VLOOKUP(R38,'Base Material'!B:D,3,FALSE)</f>
        <v>#N/A</v>
      </c>
      <c r="AK38" s="464" t="e">
        <f t="shared" si="7"/>
        <v>#N/A</v>
      </c>
    </row>
    <row r="39" spans="1:37" x14ac:dyDescent="0.25">
      <c r="A39" s="456">
        <v>1875</v>
      </c>
      <c r="B39" s="457" t="s">
        <v>107</v>
      </c>
      <c r="C39" s="458" t="s">
        <v>796</v>
      </c>
      <c r="D39" s="459"/>
      <c r="E39" s="459"/>
      <c r="F39" s="459"/>
      <c r="G39" s="459"/>
      <c r="H39" s="459"/>
      <c r="I39" s="459">
        <v>30</v>
      </c>
      <c r="J39" s="459"/>
      <c r="K39" s="459"/>
      <c r="L39" s="459"/>
      <c r="P39" s="460"/>
      <c r="R39" s="461">
        <f t="shared" si="1"/>
        <v>1875</v>
      </c>
      <c r="S39" s="461" t="str">
        <f t="shared" si="5"/>
        <v>Agua</v>
      </c>
      <c r="T39" s="462" t="str">
        <f t="shared" si="6"/>
        <v>Cupla de 110</v>
      </c>
      <c r="U39" s="440">
        <f>+D39*SERVICIOS!$D$3</f>
        <v>0</v>
      </c>
      <c r="V39" s="440">
        <f>+E39*SERVICIOS!$D$4</f>
        <v>0</v>
      </c>
      <c r="W39" s="440">
        <f>+F39*SERVICIOS!$D$4</f>
        <v>0</v>
      </c>
      <c r="X39" s="440">
        <f>+SERVICIOS!$D$1*SERVICIOS!G39</f>
        <v>0</v>
      </c>
      <c r="Y39" s="440">
        <f>+H39*SERVICIOS!$D$2</f>
        <v>0</v>
      </c>
      <c r="Z39" s="440">
        <f>+I39*SERVICIOS!$D$8</f>
        <v>30</v>
      </c>
      <c r="AA39" s="440">
        <f t="shared" si="2"/>
        <v>0</v>
      </c>
      <c r="AB39" s="440">
        <f t="shared" si="3"/>
        <v>0</v>
      </c>
      <c r="AC39" s="440">
        <f>+L39*SERVICIOS!$D$6</f>
        <v>0</v>
      </c>
      <c r="AD39" s="455"/>
      <c r="AE39" s="455"/>
      <c r="AF39" s="455"/>
      <c r="AG39" s="455"/>
      <c r="AH39" s="455"/>
      <c r="AI39" s="440">
        <f t="shared" si="4"/>
        <v>30</v>
      </c>
      <c r="AJ39" s="463" t="e">
        <f>+VLOOKUP(R39,'Base Material'!B:D,3,FALSE)</f>
        <v>#N/A</v>
      </c>
      <c r="AK39" s="464" t="e">
        <f t="shared" si="7"/>
        <v>#N/A</v>
      </c>
    </row>
    <row r="40" spans="1:37" x14ac:dyDescent="0.25">
      <c r="A40" s="456">
        <v>17027</v>
      </c>
      <c r="B40" s="457" t="s">
        <v>107</v>
      </c>
      <c r="C40" s="458" t="s">
        <v>797</v>
      </c>
      <c r="D40" s="459"/>
      <c r="E40" s="459"/>
      <c r="F40" s="459"/>
      <c r="G40" s="459"/>
      <c r="H40" s="459"/>
      <c r="I40" s="459">
        <v>5</v>
      </c>
      <c r="J40" s="459"/>
      <c r="K40" s="459"/>
      <c r="L40" s="459"/>
      <c r="P40" s="460"/>
      <c r="R40" s="461">
        <f t="shared" si="1"/>
        <v>17027</v>
      </c>
      <c r="S40" s="461" t="str">
        <f t="shared" si="5"/>
        <v>Agua</v>
      </c>
      <c r="T40" s="462" t="str">
        <f t="shared" si="6"/>
        <v>Embudo de 110 con membrana (aguaduc)</v>
      </c>
      <c r="U40" s="440">
        <f>+D40*SERVICIOS!$D$3</f>
        <v>0</v>
      </c>
      <c r="V40" s="440">
        <f>+E40*SERVICIOS!$D$4</f>
        <v>0</v>
      </c>
      <c r="W40" s="440">
        <f>+F40*SERVICIOS!$D$4</f>
        <v>0</v>
      </c>
      <c r="X40" s="440">
        <f>+SERVICIOS!$D$1*SERVICIOS!G40</f>
        <v>0</v>
      </c>
      <c r="Y40" s="440">
        <f>+H40*SERVICIOS!$D$2</f>
        <v>0</v>
      </c>
      <c r="Z40" s="440">
        <f>+I40*SERVICIOS!$D$8</f>
        <v>5</v>
      </c>
      <c r="AA40" s="440">
        <f t="shared" si="2"/>
        <v>0</v>
      </c>
      <c r="AB40" s="440">
        <f t="shared" si="3"/>
        <v>0</v>
      </c>
      <c r="AC40" s="440">
        <f>+L40*SERVICIOS!$D$6</f>
        <v>0</v>
      </c>
      <c r="AD40" s="455"/>
      <c r="AE40" s="455"/>
      <c r="AF40" s="455"/>
      <c r="AG40" s="455"/>
      <c r="AH40" s="455"/>
      <c r="AI40" s="440">
        <f t="shared" si="4"/>
        <v>5</v>
      </c>
      <c r="AJ40" s="463" t="e">
        <f>+VLOOKUP(R40,'Base Material'!B:D,3,FALSE)</f>
        <v>#N/A</v>
      </c>
      <c r="AK40" s="464" t="e">
        <f t="shared" si="7"/>
        <v>#N/A</v>
      </c>
    </row>
    <row r="41" spans="1:37" x14ac:dyDescent="0.25">
      <c r="A41" s="456">
        <v>1859</v>
      </c>
      <c r="B41" s="457" t="s">
        <v>107</v>
      </c>
      <c r="C41" s="458" t="s">
        <v>798</v>
      </c>
      <c r="D41" s="459">
        <v>1</v>
      </c>
      <c r="E41" s="459">
        <v>1</v>
      </c>
      <c r="F41" s="459"/>
      <c r="G41" s="459">
        <v>1</v>
      </c>
      <c r="H41" s="459">
        <v>1</v>
      </c>
      <c r="I41" s="459"/>
      <c r="J41" s="459"/>
      <c r="K41" s="459"/>
      <c r="L41" s="459"/>
      <c r="P41" s="460"/>
      <c r="R41" s="461">
        <f t="shared" si="1"/>
        <v>1859</v>
      </c>
      <c r="S41" s="461" t="str">
        <f t="shared" si="5"/>
        <v>Agua</v>
      </c>
      <c r="T41" s="462" t="str">
        <f t="shared" si="6"/>
        <v>Pieta de patio 110x63x40 (5 bocas)</v>
      </c>
      <c r="U41" s="440">
        <f>+D41*SERVICIOS!$D$3</f>
        <v>0</v>
      </c>
      <c r="V41" s="440">
        <f>+E41*SERVICIOS!$D$4</f>
        <v>0</v>
      </c>
      <c r="W41" s="440">
        <f>+F41*SERVICIOS!$D$4</f>
        <v>0</v>
      </c>
      <c r="X41" s="440">
        <f>+SERVICIOS!$D$1*SERVICIOS!G41</f>
        <v>0</v>
      </c>
      <c r="Y41" s="440">
        <f>+H41*SERVICIOS!$D$2</f>
        <v>0</v>
      </c>
      <c r="Z41" s="440">
        <f>+I41*SERVICIOS!$D$8</f>
        <v>0</v>
      </c>
      <c r="AA41" s="440">
        <f t="shared" si="2"/>
        <v>0</v>
      </c>
      <c r="AB41" s="440">
        <f t="shared" si="3"/>
        <v>0</v>
      </c>
      <c r="AC41" s="440">
        <f>+L41*SERVICIOS!$D$6</f>
        <v>0</v>
      </c>
      <c r="AD41" s="455"/>
      <c r="AE41" s="455"/>
      <c r="AF41" s="455"/>
      <c r="AG41" s="455"/>
      <c r="AH41" s="455"/>
      <c r="AI41" s="440">
        <f t="shared" si="4"/>
        <v>0</v>
      </c>
      <c r="AJ41" s="463" t="e">
        <f>+VLOOKUP(R41,'Base Material'!B:D,3,FALSE)</f>
        <v>#N/A</v>
      </c>
      <c r="AK41" s="464" t="e">
        <f t="shared" si="7"/>
        <v>#N/A</v>
      </c>
    </row>
    <row r="42" spans="1:37" x14ac:dyDescent="0.25">
      <c r="A42" s="456">
        <v>6024</v>
      </c>
      <c r="B42" s="457" t="s">
        <v>107</v>
      </c>
      <c r="C42" s="458" t="s">
        <v>799</v>
      </c>
      <c r="D42" s="459"/>
      <c r="E42" s="459"/>
      <c r="F42" s="459"/>
      <c r="G42" s="459"/>
      <c r="H42" s="459"/>
      <c r="I42" s="459">
        <v>8</v>
      </c>
      <c r="J42" s="459"/>
      <c r="K42" s="459"/>
      <c r="L42" s="459"/>
      <c r="P42" s="460"/>
      <c r="R42" s="461">
        <f t="shared" si="1"/>
        <v>6024</v>
      </c>
      <c r="S42" s="461" t="str">
        <f t="shared" si="5"/>
        <v>Agua</v>
      </c>
      <c r="T42" s="462" t="str">
        <f t="shared" si="6"/>
        <v>Pileta de patio 160x110</v>
      </c>
      <c r="U42" s="440">
        <f>+D42*SERVICIOS!$D$3</f>
        <v>0</v>
      </c>
      <c r="V42" s="440">
        <f>+E42*SERVICIOS!$D$4</f>
        <v>0</v>
      </c>
      <c r="W42" s="440">
        <f>+F42*SERVICIOS!$D$4</f>
        <v>0</v>
      </c>
      <c r="X42" s="440">
        <f>+SERVICIOS!$D$1*SERVICIOS!G42</f>
        <v>0</v>
      </c>
      <c r="Y42" s="440">
        <f>+H42*SERVICIOS!$D$2</f>
        <v>0</v>
      </c>
      <c r="Z42" s="440">
        <f>+I42*SERVICIOS!$D$8</f>
        <v>8</v>
      </c>
      <c r="AA42" s="440">
        <f t="shared" si="2"/>
        <v>0</v>
      </c>
      <c r="AB42" s="440">
        <f t="shared" si="3"/>
        <v>0</v>
      </c>
      <c r="AC42" s="440">
        <f>+L42*SERVICIOS!$D$6</f>
        <v>0</v>
      </c>
      <c r="AD42" s="455"/>
      <c r="AE42" s="455"/>
      <c r="AF42" s="455"/>
      <c r="AG42" s="455"/>
      <c r="AH42" s="455"/>
      <c r="AI42" s="440">
        <f t="shared" si="4"/>
        <v>8</v>
      </c>
      <c r="AJ42" s="463" t="e">
        <f>+VLOOKUP(R42,'Base Material'!B:D,3,FALSE)</f>
        <v>#N/A</v>
      </c>
      <c r="AK42" s="464" t="e">
        <f t="shared" si="7"/>
        <v>#N/A</v>
      </c>
    </row>
    <row r="43" spans="1:37" x14ac:dyDescent="0.25">
      <c r="A43" s="456">
        <v>1810</v>
      </c>
      <c r="B43" s="457" t="s">
        <v>107</v>
      </c>
      <c r="C43" s="458" t="s">
        <v>800</v>
      </c>
      <c r="D43" s="459"/>
      <c r="E43" s="459"/>
      <c r="F43" s="459"/>
      <c r="G43" s="459">
        <v>1</v>
      </c>
      <c r="H43" s="459"/>
      <c r="I43" s="459"/>
      <c r="J43" s="459"/>
      <c r="K43" s="459"/>
      <c r="L43" s="459">
        <v>2</v>
      </c>
      <c r="P43" s="460"/>
      <c r="R43" s="461">
        <f t="shared" si="1"/>
        <v>1810</v>
      </c>
      <c r="S43" s="461" t="str">
        <f t="shared" si="5"/>
        <v>Agua</v>
      </c>
      <c r="T43" s="462" t="str">
        <f t="shared" si="6"/>
        <v>Ramal T de 110</v>
      </c>
      <c r="U43" s="440">
        <f>+D43*SERVICIOS!$D$3</f>
        <v>0</v>
      </c>
      <c r="V43" s="440">
        <f>+E43*SERVICIOS!$D$4</f>
        <v>0</v>
      </c>
      <c r="W43" s="440">
        <f>+F43*SERVICIOS!$D$4</f>
        <v>0</v>
      </c>
      <c r="X43" s="440">
        <f>+SERVICIOS!$D$1*SERVICIOS!G43</f>
        <v>0</v>
      </c>
      <c r="Y43" s="440">
        <f>+H43*SERVICIOS!$D$2</f>
        <v>0</v>
      </c>
      <c r="Z43" s="440">
        <f>+I43*SERVICIOS!$D$8</f>
        <v>0</v>
      </c>
      <c r="AA43" s="440">
        <f t="shared" si="2"/>
        <v>0</v>
      </c>
      <c r="AB43" s="440">
        <f t="shared" si="3"/>
        <v>0</v>
      </c>
      <c r="AC43" s="440">
        <f>+L43*SERVICIOS!$D$6</f>
        <v>2</v>
      </c>
      <c r="AD43" s="455"/>
      <c r="AE43" s="455"/>
      <c r="AF43" s="455"/>
      <c r="AG43" s="455"/>
      <c r="AH43" s="455"/>
      <c r="AI43" s="440">
        <f t="shared" si="4"/>
        <v>2</v>
      </c>
      <c r="AJ43" s="463" t="e">
        <f>+VLOOKUP(R43,'Base Material'!B:D,3,FALSE)</f>
        <v>#N/A</v>
      </c>
      <c r="AK43" s="464" t="e">
        <f t="shared" si="7"/>
        <v>#N/A</v>
      </c>
    </row>
    <row r="44" spans="1:37" x14ac:dyDescent="0.25">
      <c r="A44" s="456">
        <v>1822</v>
      </c>
      <c r="B44" s="457" t="s">
        <v>107</v>
      </c>
      <c r="C44" s="458" t="s">
        <v>801</v>
      </c>
      <c r="D44" s="459"/>
      <c r="E44" s="459"/>
      <c r="F44" s="459">
        <v>1</v>
      </c>
      <c r="G44" s="459">
        <v>2</v>
      </c>
      <c r="H44" s="459"/>
      <c r="I44" s="459">
        <v>5</v>
      </c>
      <c r="J44" s="459"/>
      <c r="K44" s="459">
        <v>13</v>
      </c>
      <c r="L44" s="459"/>
      <c r="P44" s="460"/>
      <c r="R44" s="461">
        <f t="shared" si="1"/>
        <v>1822</v>
      </c>
      <c r="S44" s="461" t="str">
        <f t="shared" si="5"/>
        <v>Agua</v>
      </c>
      <c r="T44" s="462" t="str">
        <f t="shared" si="6"/>
        <v>Ramal Y 110x110</v>
      </c>
      <c r="U44" s="440">
        <f>+D44*SERVICIOS!$D$3</f>
        <v>0</v>
      </c>
      <c r="V44" s="440">
        <f>+E44*SERVICIOS!$D$4</f>
        <v>0</v>
      </c>
      <c r="W44" s="440">
        <f>+F44*SERVICIOS!$D$4</f>
        <v>0</v>
      </c>
      <c r="X44" s="440">
        <f>+SERVICIOS!$D$1*SERVICIOS!G44</f>
        <v>0</v>
      </c>
      <c r="Y44" s="440">
        <f>+H44*SERVICIOS!$D$2</f>
        <v>0</v>
      </c>
      <c r="Z44" s="440">
        <f>+I44*SERVICIOS!$D$8</f>
        <v>5</v>
      </c>
      <c r="AA44" s="440">
        <f t="shared" si="2"/>
        <v>0</v>
      </c>
      <c r="AB44" s="440">
        <f t="shared" si="3"/>
        <v>13</v>
      </c>
      <c r="AC44" s="440">
        <f>+L44*SERVICIOS!$D$6</f>
        <v>0</v>
      </c>
      <c r="AD44" s="455"/>
      <c r="AE44" s="455"/>
      <c r="AF44" s="455"/>
      <c r="AG44" s="455"/>
      <c r="AH44" s="455"/>
      <c r="AI44" s="440">
        <f t="shared" si="4"/>
        <v>18</v>
      </c>
      <c r="AJ44" s="463" t="e">
        <f>+VLOOKUP(R44,'Base Material'!B:D,3,FALSE)</f>
        <v>#N/A</v>
      </c>
      <c r="AK44" s="464" t="e">
        <f t="shared" si="7"/>
        <v>#N/A</v>
      </c>
    </row>
    <row r="45" spans="1:37" x14ac:dyDescent="0.25">
      <c r="A45" s="456">
        <v>1824</v>
      </c>
      <c r="B45" s="457" t="s">
        <v>107</v>
      </c>
      <c r="C45" s="458" t="s">
        <v>802</v>
      </c>
      <c r="D45" s="459">
        <v>1</v>
      </c>
      <c r="E45" s="459">
        <v>1</v>
      </c>
      <c r="F45" s="459"/>
      <c r="G45" s="459"/>
      <c r="H45" s="459">
        <v>1</v>
      </c>
      <c r="I45" s="459"/>
      <c r="J45" s="459"/>
      <c r="K45" s="459"/>
      <c r="L45" s="459"/>
      <c r="P45" s="460"/>
      <c r="R45" s="461">
        <f t="shared" si="1"/>
        <v>1824</v>
      </c>
      <c r="S45" s="461" t="str">
        <f t="shared" si="5"/>
        <v>Agua</v>
      </c>
      <c r="T45" s="462" t="str">
        <f t="shared" si="6"/>
        <v>Ramal Y 110x63</v>
      </c>
      <c r="U45" s="440">
        <f>+D45*SERVICIOS!$D$3</f>
        <v>0</v>
      </c>
      <c r="V45" s="440">
        <f>+E45*SERVICIOS!$D$4</f>
        <v>0</v>
      </c>
      <c r="W45" s="440">
        <f>+F45*SERVICIOS!$D$4</f>
        <v>0</v>
      </c>
      <c r="X45" s="440">
        <f>+SERVICIOS!$D$1*SERVICIOS!G45</f>
        <v>0</v>
      </c>
      <c r="Y45" s="440">
        <f>+H45*SERVICIOS!$D$2</f>
        <v>0</v>
      </c>
      <c r="Z45" s="440">
        <f>+I45*SERVICIOS!$D$8</f>
        <v>0</v>
      </c>
      <c r="AA45" s="440">
        <f t="shared" si="2"/>
        <v>0</v>
      </c>
      <c r="AB45" s="440">
        <f t="shared" si="3"/>
        <v>0</v>
      </c>
      <c r="AC45" s="440">
        <f>+L45*SERVICIOS!$D$6</f>
        <v>0</v>
      </c>
      <c r="AD45" s="455"/>
      <c r="AE45" s="455"/>
      <c r="AF45" s="455"/>
      <c r="AG45" s="455"/>
      <c r="AH45" s="455"/>
      <c r="AI45" s="440">
        <f t="shared" si="4"/>
        <v>0</v>
      </c>
      <c r="AJ45" s="463" t="e">
        <f>+VLOOKUP(R45,'Base Material'!B:D,3,FALSE)</f>
        <v>#N/A</v>
      </c>
      <c r="AK45" s="464" t="e">
        <f t="shared" si="7"/>
        <v>#N/A</v>
      </c>
    </row>
    <row r="46" spans="1:37" x14ac:dyDescent="0.25">
      <c r="A46" s="456">
        <v>31491</v>
      </c>
      <c r="B46" s="457" t="s">
        <v>107</v>
      </c>
      <c r="C46" s="458" t="s">
        <v>803</v>
      </c>
      <c r="D46" s="459">
        <v>1</v>
      </c>
      <c r="E46" s="459">
        <v>1</v>
      </c>
      <c r="F46" s="459"/>
      <c r="G46" s="459"/>
      <c r="H46" s="459"/>
      <c r="I46" s="459"/>
      <c r="J46" s="459"/>
      <c r="K46" s="459"/>
      <c r="L46" s="459"/>
      <c r="P46" s="460"/>
      <c r="R46" s="461">
        <f t="shared" si="1"/>
        <v>31491</v>
      </c>
      <c r="S46" s="461" t="str">
        <f t="shared" si="5"/>
        <v>Agua</v>
      </c>
      <c r="T46" s="462" t="str">
        <f t="shared" si="6"/>
        <v>Rejilla abierta 8x8</v>
      </c>
      <c r="U46" s="440">
        <f>+D46*SERVICIOS!$D$3</f>
        <v>0</v>
      </c>
      <c r="V46" s="440">
        <f>+E46*SERVICIOS!$D$4</f>
        <v>0</v>
      </c>
      <c r="W46" s="440">
        <f>+F46*SERVICIOS!$D$4</f>
        <v>0</v>
      </c>
      <c r="X46" s="440">
        <f>+SERVICIOS!$D$1*SERVICIOS!G46</f>
        <v>0</v>
      </c>
      <c r="Y46" s="440">
        <f>+H46*SERVICIOS!$D$2</f>
        <v>0</v>
      </c>
      <c r="Z46" s="440">
        <f>+I46*SERVICIOS!$D$8</f>
        <v>0</v>
      </c>
      <c r="AA46" s="440">
        <f t="shared" si="2"/>
        <v>0</v>
      </c>
      <c r="AB46" s="440">
        <f t="shared" si="3"/>
        <v>0</v>
      </c>
      <c r="AC46" s="440">
        <f>+L46*SERVICIOS!$D$6</f>
        <v>0</v>
      </c>
      <c r="AD46" s="455"/>
      <c r="AE46" s="455"/>
      <c r="AF46" s="455"/>
      <c r="AG46" s="455"/>
      <c r="AH46" s="455"/>
      <c r="AI46" s="440">
        <f t="shared" si="4"/>
        <v>0</v>
      </c>
      <c r="AJ46" s="463" t="e">
        <f>+VLOOKUP(R46,'Base Material'!B:D,3,FALSE)</f>
        <v>#N/A</v>
      </c>
      <c r="AK46" s="464" t="e">
        <f t="shared" si="7"/>
        <v>#N/A</v>
      </c>
    </row>
    <row r="47" spans="1:37" x14ac:dyDescent="0.25">
      <c r="A47" s="456">
        <v>16990</v>
      </c>
      <c r="B47" s="457" t="s">
        <v>107</v>
      </c>
      <c r="C47" s="458" t="s">
        <v>804</v>
      </c>
      <c r="D47" s="459">
        <v>1</v>
      </c>
      <c r="E47" s="459">
        <v>1</v>
      </c>
      <c r="F47" s="459"/>
      <c r="G47" s="459">
        <v>1</v>
      </c>
      <c r="H47" s="459">
        <v>1</v>
      </c>
      <c r="I47" s="459"/>
      <c r="J47" s="459"/>
      <c r="K47" s="459"/>
      <c r="L47" s="459"/>
      <c r="P47" s="460"/>
      <c r="R47" s="461">
        <f t="shared" si="1"/>
        <v>16990</v>
      </c>
      <c r="S47" s="461" t="str">
        <f t="shared" si="5"/>
        <v>Agua</v>
      </c>
      <c r="T47" s="462" t="str">
        <f t="shared" si="6"/>
        <v>Rejilla abierta 15x15</v>
      </c>
      <c r="U47" s="440">
        <f>+D47*SERVICIOS!$D$3</f>
        <v>0</v>
      </c>
      <c r="V47" s="440">
        <f>+E47*SERVICIOS!$D$4</f>
        <v>0</v>
      </c>
      <c r="W47" s="440">
        <f>+F47*SERVICIOS!$D$4</f>
        <v>0</v>
      </c>
      <c r="X47" s="440">
        <f>+SERVICIOS!$D$1*SERVICIOS!G47</f>
        <v>0</v>
      </c>
      <c r="Y47" s="440">
        <f>+H47*SERVICIOS!$D$2</f>
        <v>0</v>
      </c>
      <c r="Z47" s="440">
        <f>+I47*SERVICIOS!$D$8</f>
        <v>0</v>
      </c>
      <c r="AA47" s="440">
        <f t="shared" si="2"/>
        <v>0</v>
      </c>
      <c r="AB47" s="440">
        <f t="shared" si="3"/>
        <v>0</v>
      </c>
      <c r="AC47" s="440">
        <f>+L47*SERVICIOS!$D$6</f>
        <v>0</v>
      </c>
      <c r="AD47" s="455"/>
      <c r="AE47" s="455"/>
      <c r="AF47" s="455"/>
      <c r="AG47" s="455"/>
      <c r="AH47" s="455"/>
      <c r="AI47" s="440">
        <f t="shared" si="4"/>
        <v>0</v>
      </c>
      <c r="AJ47" s="463" t="e">
        <f>+VLOOKUP(R47,'Base Material'!B:D,3,FALSE)</f>
        <v>#N/A</v>
      </c>
      <c r="AK47" s="464" t="e">
        <f t="shared" si="7"/>
        <v>#N/A</v>
      </c>
    </row>
    <row r="48" spans="1:37" x14ac:dyDescent="0.25">
      <c r="A48" s="456">
        <v>16992</v>
      </c>
      <c r="B48" s="457" t="s">
        <v>107</v>
      </c>
      <c r="C48" s="458" t="s">
        <v>805</v>
      </c>
      <c r="D48" s="459"/>
      <c r="E48" s="459"/>
      <c r="F48" s="459"/>
      <c r="G48" s="459">
        <v>1</v>
      </c>
      <c r="H48" s="459"/>
      <c r="I48" s="459"/>
      <c r="J48" s="459"/>
      <c r="K48" s="459"/>
      <c r="L48" s="459"/>
      <c r="P48" s="460"/>
      <c r="R48" s="461">
        <f t="shared" si="1"/>
        <v>16992</v>
      </c>
      <c r="S48" s="461" t="str">
        <f t="shared" si="5"/>
        <v>Agua</v>
      </c>
      <c r="T48" s="462" t="str">
        <f t="shared" si="6"/>
        <v>Rejilla ciega de 15x15</v>
      </c>
      <c r="U48" s="440">
        <f>+D48*SERVICIOS!$D$3</f>
        <v>0</v>
      </c>
      <c r="V48" s="440">
        <f>+E48*SERVICIOS!$D$4</f>
        <v>0</v>
      </c>
      <c r="W48" s="440">
        <f>+F48*SERVICIOS!$D$4</f>
        <v>0</v>
      </c>
      <c r="X48" s="440">
        <f>+SERVICIOS!$D$1*SERVICIOS!G48</f>
        <v>0</v>
      </c>
      <c r="Y48" s="440">
        <f>+H48*SERVICIOS!$D$2</f>
        <v>0</v>
      </c>
      <c r="Z48" s="440">
        <f>+I48*SERVICIOS!$D$8</f>
        <v>0</v>
      </c>
      <c r="AA48" s="440">
        <f t="shared" si="2"/>
        <v>0</v>
      </c>
      <c r="AB48" s="440">
        <f t="shared" si="3"/>
        <v>0</v>
      </c>
      <c r="AC48" s="440">
        <f>+L48*SERVICIOS!$D$6</f>
        <v>0</v>
      </c>
      <c r="AD48" s="455"/>
      <c r="AE48" s="455"/>
      <c r="AF48" s="455"/>
      <c r="AG48" s="455"/>
      <c r="AH48" s="455"/>
      <c r="AI48" s="440">
        <f t="shared" si="4"/>
        <v>0</v>
      </c>
      <c r="AJ48" s="463" t="e">
        <f>+VLOOKUP(R48,'Base Material'!B:D,3,FALSE)</f>
        <v>#N/A</v>
      </c>
      <c r="AK48" s="464" t="e">
        <f t="shared" si="7"/>
        <v>#N/A</v>
      </c>
    </row>
    <row r="49" spans="1:37" x14ac:dyDescent="0.25">
      <c r="A49" s="456">
        <v>797</v>
      </c>
      <c r="B49" s="457" t="s">
        <v>107</v>
      </c>
      <c r="C49" s="458" t="s">
        <v>806</v>
      </c>
      <c r="D49" s="459"/>
      <c r="E49" s="459"/>
      <c r="F49" s="459"/>
      <c r="G49" s="459"/>
      <c r="H49" s="459">
        <v>1</v>
      </c>
      <c r="I49" s="459"/>
      <c r="J49" s="459"/>
      <c r="K49" s="459"/>
      <c r="L49" s="459"/>
      <c r="P49" s="460"/>
      <c r="R49" s="461">
        <f t="shared" si="1"/>
        <v>797</v>
      </c>
      <c r="S49" s="461" t="str">
        <f t="shared" si="5"/>
        <v>Agua</v>
      </c>
      <c r="T49" s="462" t="str">
        <f t="shared" si="6"/>
        <v>Sifon simple</v>
      </c>
      <c r="U49" s="440">
        <f>+D49*SERVICIOS!$D$3</f>
        <v>0</v>
      </c>
      <c r="V49" s="440">
        <f>+E49*SERVICIOS!$D$4</f>
        <v>0</v>
      </c>
      <c r="W49" s="440">
        <f>+F49*SERVICIOS!$D$4</f>
        <v>0</v>
      </c>
      <c r="X49" s="440">
        <f>+SERVICIOS!$D$1*SERVICIOS!G49</f>
        <v>0</v>
      </c>
      <c r="Y49" s="440">
        <f>+H49*SERVICIOS!$D$2</f>
        <v>0</v>
      </c>
      <c r="Z49" s="440">
        <f>+I49*SERVICIOS!$D$8</f>
        <v>0</v>
      </c>
      <c r="AA49" s="440">
        <f t="shared" si="2"/>
        <v>0</v>
      </c>
      <c r="AB49" s="440">
        <f t="shared" si="3"/>
        <v>0</v>
      </c>
      <c r="AC49" s="440">
        <f>+L49*SERVICIOS!$D$6</f>
        <v>0</v>
      </c>
      <c r="AD49" s="455"/>
      <c r="AE49" s="455"/>
      <c r="AF49" s="455"/>
      <c r="AG49" s="455"/>
      <c r="AH49" s="455"/>
      <c r="AI49" s="440">
        <f t="shared" si="4"/>
        <v>0</v>
      </c>
      <c r="AJ49" s="463" t="e">
        <f>+VLOOKUP(R49,'Base Material'!B:D,3,FALSE)</f>
        <v>#N/A</v>
      </c>
      <c r="AK49" s="464" t="e">
        <f t="shared" si="7"/>
        <v>#N/A</v>
      </c>
    </row>
    <row r="50" spans="1:37" x14ac:dyDescent="0.25">
      <c r="A50" s="456">
        <v>796</v>
      </c>
      <c r="B50" s="457" t="s">
        <v>107</v>
      </c>
      <c r="C50" s="458" t="s">
        <v>807</v>
      </c>
      <c r="D50" s="459"/>
      <c r="E50" s="459"/>
      <c r="F50" s="459"/>
      <c r="G50" s="459">
        <v>1</v>
      </c>
      <c r="H50" s="459"/>
      <c r="I50" s="459"/>
      <c r="J50" s="459"/>
      <c r="K50" s="459"/>
      <c r="L50" s="459"/>
      <c r="P50" s="460"/>
      <c r="R50" s="461">
        <f t="shared" si="1"/>
        <v>796</v>
      </c>
      <c r="S50" s="461" t="str">
        <f t="shared" si="5"/>
        <v>Agua</v>
      </c>
      <c r="T50" s="462" t="str">
        <f t="shared" si="6"/>
        <v>Sifon doble</v>
      </c>
      <c r="U50" s="440">
        <f>+D50*SERVICIOS!$D$3</f>
        <v>0</v>
      </c>
      <c r="V50" s="440">
        <f>+E50*SERVICIOS!$D$4</f>
        <v>0</v>
      </c>
      <c r="W50" s="440">
        <f>+F50*SERVICIOS!$D$4</f>
        <v>0</v>
      </c>
      <c r="X50" s="440">
        <f>+SERVICIOS!$D$1*SERVICIOS!G50</f>
        <v>0</v>
      </c>
      <c r="Y50" s="440">
        <f>+H50*SERVICIOS!$D$2</f>
        <v>0</v>
      </c>
      <c r="Z50" s="440">
        <f>+I50*SERVICIOS!$D$8</f>
        <v>0</v>
      </c>
      <c r="AA50" s="440">
        <f t="shared" si="2"/>
        <v>0</v>
      </c>
      <c r="AB50" s="440">
        <f t="shared" si="3"/>
        <v>0</v>
      </c>
      <c r="AC50" s="440">
        <f>+L50*SERVICIOS!$D$6</f>
        <v>0</v>
      </c>
      <c r="AD50" s="455"/>
      <c r="AE50" s="455"/>
      <c r="AF50" s="455"/>
      <c r="AG50" s="455"/>
      <c r="AH50" s="455"/>
      <c r="AI50" s="440">
        <f t="shared" si="4"/>
        <v>0</v>
      </c>
      <c r="AJ50" s="463" t="e">
        <f>+VLOOKUP(R50,'Base Material'!B:D,3,FALSE)</f>
        <v>#N/A</v>
      </c>
      <c r="AK50" s="464" t="e">
        <f t="shared" si="7"/>
        <v>#N/A</v>
      </c>
    </row>
    <row r="51" spans="1:37" x14ac:dyDescent="0.25">
      <c r="A51" s="456">
        <v>4712</v>
      </c>
      <c r="B51" s="457" t="s">
        <v>107</v>
      </c>
      <c r="C51" s="458" t="s">
        <v>784</v>
      </c>
      <c r="D51" s="459">
        <v>1</v>
      </c>
      <c r="E51" s="459">
        <v>1</v>
      </c>
      <c r="F51" s="459"/>
      <c r="G51" s="459"/>
      <c r="H51" s="459"/>
      <c r="I51" s="459"/>
      <c r="J51" s="459"/>
      <c r="K51" s="459"/>
      <c r="L51" s="459"/>
      <c r="P51" s="460"/>
      <c r="R51" s="461">
        <f t="shared" si="1"/>
        <v>4712</v>
      </c>
      <c r="S51" s="461" t="str">
        <f t="shared" si="5"/>
        <v>Agua</v>
      </c>
      <c r="T51" s="462" t="str">
        <f t="shared" si="6"/>
        <v>Cilastic transparente</v>
      </c>
      <c r="U51" s="440">
        <f>+D51*SERVICIOS!$D$3</f>
        <v>0</v>
      </c>
      <c r="V51" s="440">
        <f>+E51*SERVICIOS!$D$4</f>
        <v>0</v>
      </c>
      <c r="W51" s="440">
        <f>+F51*SERVICIOS!$D$4</f>
        <v>0</v>
      </c>
      <c r="X51" s="440">
        <f>+SERVICIOS!$D$1*SERVICIOS!G51</f>
        <v>0</v>
      </c>
      <c r="Y51" s="440">
        <f>+H51*SERVICIOS!$D$2</f>
        <v>0</v>
      </c>
      <c r="Z51" s="440">
        <f>+I51*SERVICIOS!$D$8</f>
        <v>0</v>
      </c>
      <c r="AA51" s="440">
        <f t="shared" si="2"/>
        <v>0</v>
      </c>
      <c r="AB51" s="440">
        <f t="shared" si="3"/>
        <v>0</v>
      </c>
      <c r="AC51" s="440">
        <f>+L51*SERVICIOS!$D$6</f>
        <v>0</v>
      </c>
      <c r="AD51" s="455"/>
      <c r="AE51" s="455"/>
      <c r="AF51" s="455"/>
      <c r="AG51" s="455"/>
      <c r="AH51" s="455"/>
      <c r="AI51" s="440">
        <f t="shared" si="4"/>
        <v>0</v>
      </c>
      <c r="AJ51" s="463" t="e">
        <f>+VLOOKUP(R51,'Base Material'!B:D,3,FALSE)</f>
        <v>#N/A</v>
      </c>
      <c r="AK51" s="464" t="e">
        <f t="shared" si="7"/>
        <v>#N/A</v>
      </c>
    </row>
    <row r="52" spans="1:37" x14ac:dyDescent="0.25">
      <c r="A52" s="456">
        <v>26537</v>
      </c>
      <c r="B52" s="457" t="s">
        <v>107</v>
      </c>
      <c r="C52" s="458" t="s">
        <v>808</v>
      </c>
      <c r="D52" s="459"/>
      <c r="E52" s="459"/>
      <c r="F52" s="459"/>
      <c r="G52" s="459"/>
      <c r="H52" s="459"/>
      <c r="I52" s="459"/>
      <c r="J52" s="459"/>
      <c r="K52" s="459">
        <v>8</v>
      </c>
      <c r="L52" s="459"/>
      <c r="P52" s="460"/>
      <c r="R52" s="461">
        <f t="shared" si="1"/>
        <v>26537</v>
      </c>
      <c r="S52" s="461" t="str">
        <f t="shared" si="5"/>
        <v>Agua</v>
      </c>
      <c r="T52" s="462" t="str">
        <f t="shared" si="6"/>
        <v>Sombrerete de 110</v>
      </c>
      <c r="U52" s="440">
        <f>+D52*SERVICIOS!$D$3</f>
        <v>0</v>
      </c>
      <c r="V52" s="440">
        <f>+E52*SERVICIOS!$D$4</f>
        <v>0</v>
      </c>
      <c r="W52" s="440">
        <f>+F52*SERVICIOS!$D$4</f>
        <v>0</v>
      </c>
      <c r="X52" s="440">
        <f>+SERVICIOS!$D$1*SERVICIOS!G52</f>
        <v>0</v>
      </c>
      <c r="Y52" s="440">
        <f>+H52*SERVICIOS!$D$2</f>
        <v>0</v>
      </c>
      <c r="Z52" s="440">
        <f>+I52*SERVICIOS!$D$8</f>
        <v>0</v>
      </c>
      <c r="AA52" s="440">
        <f t="shared" si="2"/>
        <v>0</v>
      </c>
      <c r="AB52" s="440">
        <f t="shared" si="3"/>
        <v>8</v>
      </c>
      <c r="AC52" s="440">
        <f>+L52*SERVICIOS!$D$6</f>
        <v>0</v>
      </c>
      <c r="AD52" s="455"/>
      <c r="AE52" s="455"/>
      <c r="AF52" s="455"/>
      <c r="AG52" s="455"/>
      <c r="AH52" s="455"/>
      <c r="AI52" s="440">
        <f t="shared" si="4"/>
        <v>8</v>
      </c>
      <c r="AJ52" s="463" t="e">
        <f>+VLOOKUP(R52,'Base Material'!B:D,3,FALSE)</f>
        <v>#N/A</v>
      </c>
      <c r="AK52" s="464" t="e">
        <f t="shared" si="7"/>
        <v>#N/A</v>
      </c>
    </row>
    <row r="53" spans="1:37" x14ac:dyDescent="0.25">
      <c r="A53" s="456">
        <v>31622</v>
      </c>
      <c r="B53" s="457" t="s">
        <v>107</v>
      </c>
      <c r="C53" s="458" t="s">
        <v>809</v>
      </c>
      <c r="D53" s="459"/>
      <c r="E53" s="459"/>
      <c r="F53" s="459"/>
      <c r="G53" s="459"/>
      <c r="H53" s="459"/>
      <c r="I53" s="459"/>
      <c r="J53" s="459"/>
      <c r="K53" s="459"/>
      <c r="L53" s="459">
        <v>1</v>
      </c>
      <c r="P53" s="460"/>
      <c r="R53" s="461">
        <f t="shared" si="1"/>
        <v>31622</v>
      </c>
      <c r="S53" s="461" t="str">
        <f t="shared" si="5"/>
        <v>Agua</v>
      </c>
      <c r="T53" s="462" t="str">
        <f t="shared" si="6"/>
        <v>Tanque septico de 1100 lts</v>
      </c>
      <c r="U53" s="440">
        <f>+D53*SERVICIOS!$D$3</f>
        <v>0</v>
      </c>
      <c r="V53" s="440">
        <f>+E53*SERVICIOS!$D$4</f>
        <v>0</v>
      </c>
      <c r="W53" s="440">
        <f>+F53*SERVICIOS!$D$4</f>
        <v>0</v>
      </c>
      <c r="X53" s="440">
        <f>+SERVICIOS!$D$1*SERVICIOS!G53</f>
        <v>0</v>
      </c>
      <c r="Y53" s="440">
        <f>+H53*SERVICIOS!$D$2</f>
        <v>0</v>
      </c>
      <c r="Z53" s="440">
        <f>+I53*SERVICIOS!$D$8</f>
        <v>0</v>
      </c>
      <c r="AA53" s="440">
        <f t="shared" si="2"/>
        <v>0</v>
      </c>
      <c r="AB53" s="440">
        <f t="shared" si="3"/>
        <v>0</v>
      </c>
      <c r="AC53" s="440">
        <f>+L53*SERVICIOS!$D$6</f>
        <v>1</v>
      </c>
      <c r="AD53" s="455"/>
      <c r="AE53" s="455"/>
      <c r="AF53" s="455"/>
      <c r="AG53" s="455"/>
      <c r="AH53" s="455"/>
      <c r="AI53" s="440">
        <f t="shared" si="4"/>
        <v>1</v>
      </c>
      <c r="AJ53" s="463" t="e">
        <f>+VLOOKUP(R53,'Base Material'!B:D,3,FALSE)</f>
        <v>#N/A</v>
      </c>
      <c r="AK53" s="464" t="e">
        <f t="shared" si="7"/>
        <v>#N/A</v>
      </c>
    </row>
    <row r="54" spans="1:37" x14ac:dyDescent="0.25">
      <c r="A54" s="456">
        <v>1849</v>
      </c>
      <c r="B54" s="457" t="s">
        <v>107</v>
      </c>
      <c r="C54" s="458" t="s">
        <v>810</v>
      </c>
      <c r="D54" s="459"/>
      <c r="E54" s="459"/>
      <c r="F54" s="459"/>
      <c r="G54" s="459"/>
      <c r="H54" s="459"/>
      <c r="I54" s="459"/>
      <c r="J54" s="459"/>
      <c r="K54" s="459"/>
      <c r="L54" s="459">
        <v>1</v>
      </c>
      <c r="P54" s="460"/>
      <c r="R54" s="461">
        <f t="shared" si="1"/>
        <v>1849</v>
      </c>
      <c r="S54" s="461" t="str">
        <f t="shared" si="5"/>
        <v>Agua</v>
      </c>
      <c r="T54" s="462" t="str">
        <f t="shared" si="6"/>
        <v>Tapa DE PVC 110 con aro de goma</v>
      </c>
      <c r="U54" s="440">
        <f>+D54*SERVICIOS!$D$3</f>
        <v>0</v>
      </c>
      <c r="V54" s="440">
        <f>+E54*SERVICIOS!$D$4</f>
        <v>0</v>
      </c>
      <c r="W54" s="440">
        <f>+F54*SERVICIOS!$D$4</f>
        <v>0</v>
      </c>
      <c r="X54" s="440">
        <f>+SERVICIOS!$D$1*SERVICIOS!G54</f>
        <v>0</v>
      </c>
      <c r="Y54" s="440">
        <f>+H54*SERVICIOS!$D$2</f>
        <v>0</v>
      </c>
      <c r="Z54" s="440">
        <f>+I54*SERVICIOS!$D$8</f>
        <v>0</v>
      </c>
      <c r="AA54" s="440">
        <f t="shared" si="2"/>
        <v>0</v>
      </c>
      <c r="AB54" s="440">
        <f t="shared" si="3"/>
        <v>0</v>
      </c>
      <c r="AC54" s="440">
        <f>+L54*SERVICIOS!$D$6</f>
        <v>1</v>
      </c>
      <c r="AD54" s="455"/>
      <c r="AE54" s="455"/>
      <c r="AF54" s="455"/>
      <c r="AG54" s="455"/>
      <c r="AH54" s="455"/>
      <c r="AI54" s="440">
        <f t="shared" si="4"/>
        <v>1</v>
      </c>
      <c r="AJ54" s="463" t="e">
        <f>+VLOOKUP(R54,'Base Material'!B:D,3,FALSE)</f>
        <v>#N/A</v>
      </c>
      <c r="AK54" s="464" t="e">
        <f t="shared" si="7"/>
        <v>#N/A</v>
      </c>
    </row>
    <row r="55" spans="1:37" x14ac:dyDescent="0.25">
      <c r="A55" s="456">
        <v>2885</v>
      </c>
      <c r="B55" s="457" t="s">
        <v>107</v>
      </c>
      <c r="C55" s="458" t="s">
        <v>811</v>
      </c>
      <c r="D55" s="459">
        <v>2</v>
      </c>
      <c r="E55" s="459">
        <v>2</v>
      </c>
      <c r="F55" s="459"/>
      <c r="G55" s="459">
        <v>2</v>
      </c>
      <c r="H55" s="459"/>
      <c r="I55" s="459"/>
      <c r="J55" s="459"/>
      <c r="K55" s="459"/>
      <c r="L55" s="459"/>
      <c r="P55" s="460"/>
      <c r="R55" s="461">
        <f t="shared" si="1"/>
        <v>2885</v>
      </c>
      <c r="S55" s="461" t="str">
        <f t="shared" si="5"/>
        <v>Agua</v>
      </c>
      <c r="T55" s="462" t="str">
        <f t="shared" si="6"/>
        <v>Tapa de PVC 110</v>
      </c>
      <c r="U55" s="440">
        <f>+D55*SERVICIOS!$D$3</f>
        <v>0</v>
      </c>
      <c r="V55" s="440">
        <f>+E55*SERVICIOS!$D$4</f>
        <v>0</v>
      </c>
      <c r="W55" s="440">
        <f>+F55*SERVICIOS!$D$4</f>
        <v>0</v>
      </c>
      <c r="X55" s="440">
        <f>+SERVICIOS!$D$1*SERVICIOS!G55</f>
        <v>0</v>
      </c>
      <c r="Y55" s="440">
        <f>+H55*SERVICIOS!$D$2</f>
        <v>0</v>
      </c>
      <c r="Z55" s="440">
        <f>+I55*SERVICIOS!$D$8</f>
        <v>0</v>
      </c>
      <c r="AA55" s="440">
        <f t="shared" si="2"/>
        <v>0</v>
      </c>
      <c r="AB55" s="440">
        <f t="shared" si="3"/>
        <v>0</v>
      </c>
      <c r="AC55" s="440">
        <f>+L55*SERVICIOS!$D$6</f>
        <v>0</v>
      </c>
      <c r="AD55" s="455"/>
      <c r="AE55" s="455"/>
      <c r="AF55" s="455"/>
      <c r="AG55" s="455"/>
      <c r="AH55" s="455"/>
      <c r="AI55" s="440">
        <f t="shared" si="4"/>
        <v>0</v>
      </c>
      <c r="AJ55" s="463" t="e">
        <f>+VLOOKUP(R55,'Base Material'!B:D,3,FALSE)</f>
        <v>#N/A</v>
      </c>
      <c r="AK55" s="464" t="e">
        <f t="shared" si="7"/>
        <v>#N/A</v>
      </c>
    </row>
    <row r="56" spans="1:37" x14ac:dyDescent="0.25">
      <c r="A56" s="456">
        <v>2882</v>
      </c>
      <c r="B56" s="457" t="s">
        <v>107</v>
      </c>
      <c r="C56" s="458" t="s">
        <v>812</v>
      </c>
      <c r="D56" s="459">
        <v>3</v>
      </c>
      <c r="E56" s="459">
        <v>3</v>
      </c>
      <c r="F56" s="459"/>
      <c r="G56" s="459"/>
      <c r="H56" s="459"/>
      <c r="I56" s="459"/>
      <c r="J56" s="459"/>
      <c r="K56" s="459"/>
      <c r="L56" s="459"/>
      <c r="P56" s="460"/>
      <c r="R56" s="461">
        <f t="shared" si="1"/>
        <v>2882</v>
      </c>
      <c r="S56" s="461" t="str">
        <f t="shared" si="5"/>
        <v>Agua</v>
      </c>
      <c r="T56" s="462" t="str">
        <f t="shared" si="6"/>
        <v>Tapa de PVC  40</v>
      </c>
      <c r="U56" s="440">
        <f>+D56*SERVICIOS!$D$3</f>
        <v>0</v>
      </c>
      <c r="V56" s="440">
        <f>+E56*SERVICIOS!$D$4</f>
        <v>0</v>
      </c>
      <c r="W56" s="440">
        <f>+F56*SERVICIOS!$D$4</f>
        <v>0</v>
      </c>
      <c r="X56" s="440">
        <f>+SERVICIOS!$D$1*SERVICIOS!G56</f>
        <v>0</v>
      </c>
      <c r="Y56" s="440">
        <f>+H56*SERVICIOS!$D$2</f>
        <v>0</v>
      </c>
      <c r="Z56" s="440">
        <f>+I56*SERVICIOS!$D$8</f>
        <v>0</v>
      </c>
      <c r="AA56" s="440">
        <f t="shared" si="2"/>
        <v>0</v>
      </c>
      <c r="AB56" s="440">
        <f t="shared" si="3"/>
        <v>0</v>
      </c>
      <c r="AC56" s="440">
        <f>+L56*SERVICIOS!$D$6</f>
        <v>0</v>
      </c>
      <c r="AD56" s="455"/>
      <c r="AE56" s="455"/>
      <c r="AF56" s="455"/>
      <c r="AG56" s="455"/>
      <c r="AH56" s="455"/>
      <c r="AI56" s="440">
        <f t="shared" si="4"/>
        <v>0</v>
      </c>
      <c r="AJ56" s="463" t="e">
        <f>+VLOOKUP(R56,'Base Material'!B:D,3,FALSE)</f>
        <v>#N/A</v>
      </c>
      <c r="AK56" s="464" t="e">
        <f t="shared" si="7"/>
        <v>#N/A</v>
      </c>
    </row>
    <row r="57" spans="1:37" x14ac:dyDescent="0.25">
      <c r="A57" s="456">
        <v>1774</v>
      </c>
      <c r="B57" s="457" t="s">
        <v>107</v>
      </c>
      <c r="C57" s="458" t="s">
        <v>780</v>
      </c>
      <c r="D57" s="459">
        <v>1</v>
      </c>
      <c r="E57" s="459">
        <v>5</v>
      </c>
      <c r="F57" s="459"/>
      <c r="G57" s="459"/>
      <c r="H57" s="459">
        <v>1</v>
      </c>
      <c r="I57" s="459"/>
      <c r="J57" s="459"/>
      <c r="K57" s="459"/>
      <c r="L57" s="459"/>
      <c r="P57" s="460"/>
      <c r="R57" s="461">
        <f t="shared" si="1"/>
        <v>1774</v>
      </c>
      <c r="S57" s="461" t="str">
        <f t="shared" si="5"/>
        <v>Agua</v>
      </c>
      <c r="T57" s="462" t="str">
        <f t="shared" si="6"/>
        <v>Caño  40</v>
      </c>
      <c r="U57" s="440">
        <f>+D57*SERVICIOS!$D$3</f>
        <v>0</v>
      </c>
      <c r="V57" s="440">
        <f>+E57*SERVICIOS!$D$4</f>
        <v>0</v>
      </c>
      <c r="W57" s="440">
        <f>+F57*SERVICIOS!$D$4</f>
        <v>0</v>
      </c>
      <c r="X57" s="440">
        <f>+SERVICIOS!$D$1*SERVICIOS!G57</f>
        <v>0</v>
      </c>
      <c r="Y57" s="440">
        <f>+H57*SERVICIOS!$D$2</f>
        <v>0</v>
      </c>
      <c r="Z57" s="440">
        <f>+I57*SERVICIOS!$D$8</f>
        <v>0</v>
      </c>
      <c r="AA57" s="440">
        <f t="shared" si="2"/>
        <v>0</v>
      </c>
      <c r="AB57" s="440">
        <f t="shared" si="3"/>
        <v>0</v>
      </c>
      <c r="AC57" s="440">
        <f>+L57*SERVICIOS!$D$6</f>
        <v>0</v>
      </c>
      <c r="AD57" s="455"/>
      <c r="AE57" s="455"/>
      <c r="AF57" s="455"/>
      <c r="AG57" s="455"/>
      <c r="AH57" s="455"/>
      <c r="AI57" s="440">
        <f t="shared" si="4"/>
        <v>0</v>
      </c>
      <c r="AJ57" s="463" t="e">
        <f>+VLOOKUP(R57,'Base Material'!B:D,3,FALSE)</f>
        <v>#N/A</v>
      </c>
      <c r="AK57" s="464" t="e">
        <f t="shared" si="7"/>
        <v>#N/A</v>
      </c>
    </row>
    <row r="58" spans="1:37" x14ac:dyDescent="0.25">
      <c r="A58" s="456">
        <v>1776</v>
      </c>
      <c r="B58" s="457" t="s">
        <v>107</v>
      </c>
      <c r="C58" s="458" t="s">
        <v>782</v>
      </c>
      <c r="D58" s="459">
        <v>1</v>
      </c>
      <c r="E58" s="459">
        <v>1</v>
      </c>
      <c r="F58" s="459"/>
      <c r="G58" s="459"/>
      <c r="H58" s="459"/>
      <c r="I58" s="459"/>
      <c r="J58" s="459"/>
      <c r="K58" s="459"/>
      <c r="L58" s="459"/>
      <c r="P58" s="460"/>
      <c r="R58" s="461">
        <f t="shared" si="1"/>
        <v>1776</v>
      </c>
      <c r="S58" s="461" t="str">
        <f t="shared" si="5"/>
        <v>Agua</v>
      </c>
      <c r="T58" s="462" t="str">
        <f t="shared" si="6"/>
        <v>Caño 63</v>
      </c>
      <c r="U58" s="440">
        <f>+D58*SERVICIOS!$D$3</f>
        <v>0</v>
      </c>
      <c r="V58" s="440">
        <f>+E58*SERVICIOS!$D$4</f>
        <v>0</v>
      </c>
      <c r="W58" s="440">
        <f>+F58*SERVICIOS!$D$4</f>
        <v>0</v>
      </c>
      <c r="X58" s="440">
        <f>+SERVICIOS!$D$1*SERVICIOS!G58</f>
        <v>0</v>
      </c>
      <c r="Y58" s="440">
        <f>+H58*SERVICIOS!$D$2</f>
        <v>0</v>
      </c>
      <c r="Z58" s="440">
        <f>+I58*SERVICIOS!$D$8</f>
        <v>0</v>
      </c>
      <c r="AA58" s="440">
        <f t="shared" si="2"/>
        <v>0</v>
      </c>
      <c r="AB58" s="440">
        <f t="shared" si="3"/>
        <v>0</v>
      </c>
      <c r="AC58" s="440">
        <f>+L58*SERVICIOS!$D$6</f>
        <v>0</v>
      </c>
      <c r="AD58" s="455"/>
      <c r="AE58" s="455"/>
      <c r="AF58" s="455"/>
      <c r="AG58" s="455"/>
      <c r="AH58" s="455"/>
      <c r="AI58" s="440">
        <f t="shared" si="4"/>
        <v>0</v>
      </c>
      <c r="AJ58" s="463" t="e">
        <f>+VLOOKUP(R58,'Base Material'!B:D,3,FALSE)</f>
        <v>#N/A</v>
      </c>
      <c r="AK58" s="464" t="e">
        <f t="shared" si="7"/>
        <v>#N/A</v>
      </c>
    </row>
    <row r="59" spans="1:37" x14ac:dyDescent="0.25">
      <c r="A59" s="456">
        <v>1777</v>
      </c>
      <c r="B59" s="457" t="s">
        <v>107</v>
      </c>
      <c r="C59" s="458" t="s">
        <v>813</v>
      </c>
      <c r="D59" s="459">
        <v>1</v>
      </c>
      <c r="E59" s="459">
        <v>3</v>
      </c>
      <c r="F59" s="459"/>
      <c r="G59" s="459"/>
      <c r="H59" s="459">
        <v>1</v>
      </c>
      <c r="I59" s="459">
        <v>15</v>
      </c>
      <c r="J59" s="459"/>
      <c r="K59" s="459">
        <v>15</v>
      </c>
      <c r="L59" s="459">
        <v>3</v>
      </c>
      <c r="P59" s="460"/>
      <c r="R59" s="461">
        <f t="shared" si="1"/>
        <v>1777</v>
      </c>
      <c r="S59" s="461" t="str">
        <f t="shared" si="5"/>
        <v>Agua</v>
      </c>
      <c r="T59" s="462" t="str">
        <f t="shared" si="6"/>
        <v>Caño 110</v>
      </c>
      <c r="U59" s="440">
        <f>+D59*SERVICIOS!$D$3</f>
        <v>0</v>
      </c>
      <c r="V59" s="440">
        <f>+E59*SERVICIOS!$D$4</f>
        <v>0</v>
      </c>
      <c r="W59" s="440">
        <f>+F59*SERVICIOS!$D$4</f>
        <v>0</v>
      </c>
      <c r="X59" s="440">
        <f>+SERVICIOS!$D$1*SERVICIOS!G59</f>
        <v>0</v>
      </c>
      <c r="Y59" s="440">
        <f>+H59*SERVICIOS!$D$2</f>
        <v>0</v>
      </c>
      <c r="Z59" s="440">
        <f>+I59*SERVICIOS!$D$8</f>
        <v>15</v>
      </c>
      <c r="AA59" s="440">
        <f t="shared" si="2"/>
        <v>0</v>
      </c>
      <c r="AB59" s="440">
        <f t="shared" si="3"/>
        <v>15</v>
      </c>
      <c r="AC59" s="440">
        <f>+L59*SERVICIOS!$D$6</f>
        <v>3</v>
      </c>
      <c r="AD59" s="455"/>
      <c r="AE59" s="455"/>
      <c r="AF59" s="455"/>
      <c r="AG59" s="455"/>
      <c r="AH59" s="455"/>
      <c r="AI59" s="440">
        <f t="shared" si="4"/>
        <v>33</v>
      </c>
      <c r="AJ59" s="463" t="e">
        <f>+VLOOKUP(R59,'Base Material'!B:D,3,FALSE)</f>
        <v>#N/A</v>
      </c>
      <c r="AK59" s="464" t="e">
        <f t="shared" si="7"/>
        <v>#N/A</v>
      </c>
    </row>
    <row r="60" spans="1:37" x14ac:dyDescent="0.25">
      <c r="A60" s="456">
        <v>4711</v>
      </c>
      <c r="B60" s="457" t="s">
        <v>107</v>
      </c>
      <c r="C60" s="458" t="s">
        <v>814</v>
      </c>
      <c r="D60" s="459">
        <v>3</v>
      </c>
      <c r="E60" s="459">
        <v>6</v>
      </c>
      <c r="F60" s="459"/>
      <c r="G60" s="459"/>
      <c r="H60" s="459"/>
      <c r="I60" s="459"/>
      <c r="J60" s="459"/>
      <c r="K60" s="459"/>
      <c r="L60" s="459"/>
      <c r="P60" s="460"/>
      <c r="R60" s="461">
        <f t="shared" si="1"/>
        <v>4711</v>
      </c>
      <c r="S60" s="461" t="str">
        <f t="shared" si="5"/>
        <v>Agua</v>
      </c>
      <c r="T60" s="462" t="str">
        <f t="shared" si="6"/>
        <v>Tornillo para inodoro completo</v>
      </c>
      <c r="U60" s="440">
        <f>+D60*SERVICIOS!$D$3</f>
        <v>0</v>
      </c>
      <c r="V60" s="440">
        <f>+E60*SERVICIOS!$D$4</f>
        <v>0</v>
      </c>
      <c r="W60" s="440">
        <f>+F60*SERVICIOS!$D$4</f>
        <v>0</v>
      </c>
      <c r="X60" s="440">
        <f>+SERVICIOS!$D$1*SERVICIOS!G60</f>
        <v>0</v>
      </c>
      <c r="Y60" s="440">
        <f>+H60*SERVICIOS!$D$2</f>
        <v>0</v>
      </c>
      <c r="Z60" s="440">
        <f>+I60*SERVICIOS!$D$8</f>
        <v>0</v>
      </c>
      <c r="AA60" s="440">
        <f t="shared" si="2"/>
        <v>0</v>
      </c>
      <c r="AB60" s="440">
        <f t="shared" si="3"/>
        <v>0</v>
      </c>
      <c r="AC60" s="440">
        <f>+L60*SERVICIOS!$D$6</f>
        <v>0</v>
      </c>
      <c r="AD60" s="455"/>
      <c r="AE60" s="455"/>
      <c r="AF60" s="455"/>
      <c r="AG60" s="455"/>
      <c r="AH60" s="455"/>
      <c r="AI60" s="440">
        <f t="shared" si="4"/>
        <v>0</v>
      </c>
      <c r="AJ60" s="463" t="e">
        <f>+VLOOKUP(R60,'Base Material'!B:D,3,FALSE)</f>
        <v>#N/A</v>
      </c>
      <c r="AK60" s="464" t="e">
        <f t="shared" si="7"/>
        <v>#N/A</v>
      </c>
    </row>
    <row r="61" spans="1:37" x14ac:dyDescent="0.25">
      <c r="A61" s="456">
        <v>798</v>
      </c>
      <c r="B61" s="457" t="s">
        <v>107</v>
      </c>
      <c r="C61" s="458" t="s">
        <v>815</v>
      </c>
      <c r="D61" s="459">
        <v>1</v>
      </c>
      <c r="E61" s="459">
        <v>1</v>
      </c>
      <c r="F61" s="459">
        <v>1</v>
      </c>
      <c r="G61" s="459">
        <v>1</v>
      </c>
      <c r="H61" s="459">
        <v>1</v>
      </c>
      <c r="I61" s="459"/>
      <c r="J61" s="459"/>
      <c r="K61" s="459"/>
      <c r="L61" s="459"/>
      <c r="P61" s="460"/>
      <c r="R61" s="461">
        <f t="shared" si="1"/>
        <v>798</v>
      </c>
      <c r="S61" s="461" t="str">
        <f t="shared" si="5"/>
        <v>Agua</v>
      </c>
      <c r="T61" s="462" t="str">
        <f t="shared" si="6"/>
        <v>Aerosoles</v>
      </c>
      <c r="U61" s="440">
        <f>+D61*SERVICIOS!$D$3</f>
        <v>0</v>
      </c>
      <c r="V61" s="440">
        <f>+E61*SERVICIOS!$D$4</f>
        <v>0</v>
      </c>
      <c r="W61" s="440">
        <f>+F61*SERVICIOS!$D$4</f>
        <v>0</v>
      </c>
      <c r="X61" s="440">
        <f>+SERVICIOS!$D$1*SERVICIOS!G61</f>
        <v>0</v>
      </c>
      <c r="Y61" s="440">
        <f>+H61*SERVICIOS!$D$2</f>
        <v>0</v>
      </c>
      <c r="Z61" s="440">
        <f>+I61*SERVICIOS!$D$8</f>
        <v>0</v>
      </c>
      <c r="AA61" s="440">
        <f t="shared" si="2"/>
        <v>0</v>
      </c>
      <c r="AB61" s="440">
        <f t="shared" si="3"/>
        <v>0</v>
      </c>
      <c r="AC61" s="440">
        <f>+L61*SERVICIOS!$D$6</f>
        <v>0</v>
      </c>
      <c r="AD61" s="455"/>
      <c r="AE61" s="455"/>
      <c r="AF61" s="455"/>
      <c r="AG61" s="455"/>
      <c r="AH61" s="455"/>
      <c r="AI61" s="440">
        <f t="shared" si="4"/>
        <v>0</v>
      </c>
      <c r="AJ61" s="463">
        <f>+VLOOKUP(R61,'Base Material'!B:D,3,FALSE)</f>
        <v>1897.27</v>
      </c>
      <c r="AK61" s="464">
        <f t="shared" si="7"/>
        <v>0</v>
      </c>
    </row>
    <row r="62" spans="1:37" x14ac:dyDescent="0.25">
      <c r="A62" s="456">
        <v>15529</v>
      </c>
      <c r="B62" s="457" t="s">
        <v>107</v>
      </c>
      <c r="C62" s="458" t="s">
        <v>816</v>
      </c>
      <c r="D62" s="459"/>
      <c r="E62" s="459">
        <v>10</v>
      </c>
      <c r="F62" s="459"/>
      <c r="G62" s="459"/>
      <c r="H62" s="459">
        <v>10</v>
      </c>
      <c r="I62" s="459"/>
      <c r="J62" s="459"/>
      <c r="K62" s="459"/>
      <c r="L62" s="459"/>
      <c r="P62" s="460"/>
      <c r="R62" s="461">
        <f t="shared" si="1"/>
        <v>15529</v>
      </c>
      <c r="S62" s="461" t="str">
        <f t="shared" si="5"/>
        <v>Agua</v>
      </c>
      <c r="T62" s="462" t="str">
        <f t="shared" si="6"/>
        <v>cinta métrica perforada (por metro)</v>
      </c>
      <c r="U62" s="440">
        <f>+D62*SERVICIOS!$D$3</f>
        <v>0</v>
      </c>
      <c r="V62" s="440">
        <f>+E62*SERVICIOS!$D$4</f>
        <v>0</v>
      </c>
      <c r="W62" s="440">
        <f>+F62*SERVICIOS!$D$4</f>
        <v>0</v>
      </c>
      <c r="X62" s="440">
        <f>+SERVICIOS!$D$1*SERVICIOS!G62</f>
        <v>0</v>
      </c>
      <c r="Y62" s="440">
        <f>+H62*SERVICIOS!$D$2</f>
        <v>0</v>
      </c>
      <c r="Z62" s="440">
        <f>+I62*SERVICIOS!$D$8</f>
        <v>0</v>
      </c>
      <c r="AA62" s="440">
        <f t="shared" si="2"/>
        <v>0</v>
      </c>
      <c r="AB62" s="440">
        <f t="shared" si="3"/>
        <v>0</v>
      </c>
      <c r="AC62" s="440">
        <f>+L62*SERVICIOS!$D$6</f>
        <v>0</v>
      </c>
      <c r="AD62" s="455"/>
      <c r="AE62" s="455"/>
      <c r="AF62" s="455"/>
      <c r="AG62" s="455"/>
      <c r="AH62" s="455"/>
      <c r="AI62" s="440">
        <f t="shared" si="4"/>
        <v>0</v>
      </c>
      <c r="AJ62" s="463" t="e">
        <f>+VLOOKUP(R62,'Base Material'!B:D,3,FALSE)</f>
        <v>#N/A</v>
      </c>
      <c r="AK62" s="464" t="e">
        <f t="shared" si="7"/>
        <v>#N/A</v>
      </c>
    </row>
    <row r="63" spans="1:37" x14ac:dyDescent="0.25">
      <c r="A63" s="456">
        <v>15407</v>
      </c>
      <c r="B63" s="457" t="s">
        <v>107</v>
      </c>
      <c r="C63" s="458" t="s">
        <v>817</v>
      </c>
      <c r="D63" s="459"/>
      <c r="E63" s="459">
        <v>25</v>
      </c>
      <c r="F63" s="459"/>
      <c r="G63" s="459"/>
      <c r="H63" s="459">
        <v>25</v>
      </c>
      <c r="I63" s="459"/>
      <c r="J63" s="459"/>
      <c r="K63" s="459"/>
      <c r="L63" s="459"/>
      <c r="P63" s="460"/>
      <c r="R63" s="461">
        <f t="shared" si="1"/>
        <v>15407</v>
      </c>
      <c r="S63" s="461" t="str">
        <f t="shared" si="5"/>
        <v>Agua</v>
      </c>
      <c r="T63" s="462" t="str">
        <f t="shared" si="6"/>
        <v>Tonrillo del 8</v>
      </c>
      <c r="U63" s="440">
        <f>+D63*SERVICIOS!$D$3</f>
        <v>0</v>
      </c>
      <c r="V63" s="440">
        <f>+E63*SERVICIOS!$D$4</f>
        <v>0</v>
      </c>
      <c r="W63" s="440">
        <f>+F63*SERVICIOS!$D$4</f>
        <v>0</v>
      </c>
      <c r="X63" s="440">
        <f>+SERVICIOS!$D$1*SERVICIOS!G63</f>
        <v>0</v>
      </c>
      <c r="Y63" s="440">
        <f>+H63*SERVICIOS!$D$2</f>
        <v>0</v>
      </c>
      <c r="Z63" s="440">
        <f>+I63*SERVICIOS!$D$8</f>
        <v>0</v>
      </c>
      <c r="AA63" s="440">
        <f t="shared" si="2"/>
        <v>0</v>
      </c>
      <c r="AB63" s="440">
        <f t="shared" si="3"/>
        <v>0</v>
      </c>
      <c r="AC63" s="440">
        <f>+L63*SERVICIOS!$D$6</f>
        <v>0</v>
      </c>
      <c r="AD63" s="455"/>
      <c r="AE63" s="455"/>
      <c r="AF63" s="455"/>
      <c r="AG63" s="455"/>
      <c r="AH63" s="455"/>
      <c r="AI63" s="440">
        <f t="shared" si="4"/>
        <v>0</v>
      </c>
      <c r="AJ63" s="463" t="e">
        <f>+VLOOKUP(R63,'Base Material'!B:D,3,FALSE)</f>
        <v>#N/A</v>
      </c>
      <c r="AK63" s="464" t="e">
        <f t="shared" si="7"/>
        <v>#N/A</v>
      </c>
    </row>
    <row r="64" ht="12" customHeight="1" spans="1:37" x14ac:dyDescent="0.25">
      <c r="A64" s="456">
        <v>15420</v>
      </c>
      <c r="B64" s="457" t="s">
        <v>107</v>
      </c>
      <c r="C64" s="458" t="s">
        <v>818</v>
      </c>
      <c r="D64" s="459"/>
      <c r="E64" s="459">
        <v>25</v>
      </c>
      <c r="F64" s="459"/>
      <c r="G64" s="459"/>
      <c r="H64" s="459">
        <v>25</v>
      </c>
      <c r="I64" s="459"/>
      <c r="J64" s="459"/>
      <c r="K64" s="459"/>
      <c r="L64" s="459"/>
      <c r="P64" s="460"/>
      <c r="R64" s="461">
        <f t="shared" si="1"/>
        <v>15420</v>
      </c>
      <c r="S64" s="461" t="str">
        <f t="shared" si="5"/>
        <v>Agua</v>
      </c>
      <c r="T64" s="462" t="str">
        <f t="shared" si="6"/>
        <v>Taco del 8</v>
      </c>
      <c r="U64" s="440">
        <f>+U63</f>
        <v>0</v>
      </c>
      <c r="V64" s="440">
        <f>+V63</f>
        <v>0</v>
      </c>
      <c r="W64" s="440">
        <f>+F64*SERVICIOS!$D$4</f>
        <v>0</v>
      </c>
      <c r="X64" s="440">
        <f>+X63</f>
        <v>0</v>
      </c>
      <c r="Y64" s="440">
        <f>+Y63</f>
        <v>0</v>
      </c>
      <c r="Z64" s="440">
        <f>+I64*SERVICIOS!$D$8</f>
        <v>0</v>
      </c>
      <c r="AA64" s="440">
        <f t="shared" si="2"/>
        <v>0</v>
      </c>
      <c r="AB64" s="440">
        <f t="shared" si="3"/>
        <v>0</v>
      </c>
      <c r="AC64" s="440">
        <f>+L64*SERVICIOS!$D$6</f>
        <v>0</v>
      </c>
      <c r="AD64" s="455"/>
      <c r="AE64" s="455"/>
      <c r="AF64" s="455"/>
      <c r="AG64" s="455"/>
      <c r="AH64" s="455"/>
      <c r="AI64" s="440">
        <f t="shared" si="4"/>
        <v>0</v>
      </c>
      <c r="AJ64" s="463" t="e">
        <f>+VLOOKUP(R64,'Base Material'!B:D,3,FALSE)</f>
        <v>#N/A</v>
      </c>
      <c r="AK64" s="464" t="e">
        <f t="shared" si="7"/>
        <v>#N/A</v>
      </c>
    </row>
    <row r="65" ht="23.25" customHeight="1" spans="1:37" s="465" customFormat="1" x14ac:dyDescent="0.25">
      <c r="A65" s="466" t="s">
        <v>761</v>
      </c>
      <c r="B65" s="467"/>
      <c r="C65" s="455" t="s">
        <v>819</v>
      </c>
      <c r="D65" s="455" t="s">
        <v>764</v>
      </c>
      <c r="E65" s="455" t="s">
        <v>765</v>
      </c>
      <c r="F65" s="455" t="s">
        <v>766</v>
      </c>
      <c r="G65" s="455" t="s">
        <v>767</v>
      </c>
      <c r="H65" s="455" t="s">
        <v>768</v>
      </c>
      <c r="I65" s="455" t="s">
        <v>758</v>
      </c>
      <c r="J65" s="455" t="s">
        <v>769</v>
      </c>
      <c r="K65" s="455" t="s">
        <v>770</v>
      </c>
      <c r="L65" s="455" t="s">
        <v>771</v>
      </c>
      <c r="M65" s="435"/>
      <c r="P65" s="468"/>
      <c r="R65" s="455" t="s">
        <v>772</v>
      </c>
      <c r="S65" s="455"/>
      <c r="T65" s="455" t="str">
        <f t="shared" si="6"/>
        <v>AGUA</v>
      </c>
      <c r="U65" s="455" t="s">
        <v>764</v>
      </c>
      <c r="V65" s="455" t="s">
        <v>765</v>
      </c>
      <c r="W65" s="455" t="s">
        <v>766</v>
      </c>
      <c r="X65" s="455" t="s">
        <v>767</v>
      </c>
      <c r="Y65" s="455" t="s">
        <v>768</v>
      </c>
      <c r="Z65" s="455" t="s">
        <v>758</v>
      </c>
      <c r="AA65" s="455" t="s">
        <v>769</v>
      </c>
      <c r="AB65" s="455" t="s">
        <v>770</v>
      </c>
      <c r="AC65" s="455" t="s">
        <v>771</v>
      </c>
      <c r="AD65" s="455"/>
      <c r="AE65" s="455"/>
      <c r="AF65" s="455"/>
      <c r="AG65" s="455"/>
      <c r="AH65" s="455"/>
      <c r="AI65" s="455" t="s">
        <v>775</v>
      </c>
      <c r="AJ65" s="455" t="str">
        <f>+VLOOKUP(R65,'Base Material'!B:D,3,FALSE)</f>
        <v>COSTO CON IVA</v>
      </c>
      <c r="AK65" s="455" t="e">
        <f t="shared" si="7"/>
        <v>#VALUE!</v>
      </c>
    </row>
    <row r="66" spans="1:37" x14ac:dyDescent="0.25">
      <c r="A66" s="456">
        <v>26485</v>
      </c>
      <c r="B66" s="457" t="s">
        <v>36</v>
      </c>
      <c r="C66" s="469" t="s">
        <v>820</v>
      </c>
      <c r="D66" s="459"/>
      <c r="E66" s="459"/>
      <c r="F66" s="459"/>
      <c r="G66" s="459"/>
      <c r="H66" s="459"/>
      <c r="I66" s="459"/>
      <c r="J66" s="459">
        <v>1</v>
      </c>
      <c r="K66" s="459"/>
      <c r="L66" s="459"/>
      <c r="P66" s="460"/>
      <c r="R66" s="461">
        <f t="shared" ref="R66:R112" si="8">+A66</f>
        <v>26485</v>
      </c>
      <c r="S66" s="461" t="str">
        <f t="shared" si="5"/>
        <v>Cloaca</v>
      </c>
      <c r="T66" s="462" t="str">
        <f t="shared" si="6"/>
        <v>Bomba Rowa para cisterna de 3 baños</v>
      </c>
      <c r="U66" s="440">
        <f>+D66*SERVICIOS!$D$3</f>
        <v>0</v>
      </c>
      <c r="V66" s="440">
        <f>+E66*SERVICIOS!$D$4</f>
        <v>0</v>
      </c>
      <c r="W66" s="440">
        <f>+F66*SERVICIOS!$D$4</f>
        <v>0</v>
      </c>
      <c r="X66" s="440">
        <f>+SERVICIOS!$D$1*SERVICIOS!G66</f>
        <v>0</v>
      </c>
      <c r="Y66" s="440">
        <f>+H66*SERVICIOS!$D$2</f>
        <v>0</v>
      </c>
      <c r="Z66" s="440">
        <f>+I66*SERVICIOS!$D$8</f>
        <v>0</v>
      </c>
      <c r="AA66" s="440">
        <f t="shared" ref="AA66:AA112" si="9">+J66*$D$7</f>
        <v>1</v>
      </c>
      <c r="AB66" s="440">
        <f t="shared" ref="AB66:AB112" si="10">+K66</f>
        <v>0</v>
      </c>
      <c r="AC66" s="440">
        <f>+L66*SERVICIOS!$D$6</f>
        <v>0</v>
      </c>
      <c r="AD66" s="455"/>
      <c r="AE66" s="455"/>
      <c r="AF66" s="455"/>
      <c r="AG66" s="455"/>
      <c r="AH66" s="455"/>
      <c r="AI66" s="440">
        <f t="shared" ref="AI66:AI112" si="11">SUM(U66:AH66)</f>
        <v>1</v>
      </c>
      <c r="AJ66" s="463" t="e">
        <f>+VLOOKUP(R66,'Base Material'!B:D,3,FALSE)</f>
        <v>#N/A</v>
      </c>
      <c r="AK66" s="464" t="e">
        <f t="shared" si="7"/>
        <v>#N/A</v>
      </c>
    </row>
    <row r="67" spans="1:37" x14ac:dyDescent="0.25">
      <c r="A67" s="456">
        <v>1956</v>
      </c>
      <c r="B67" s="457" t="s">
        <v>36</v>
      </c>
      <c r="C67" s="469" t="s">
        <v>821</v>
      </c>
      <c r="D67" s="459"/>
      <c r="E67" s="459">
        <v>2</v>
      </c>
      <c r="F67" s="459"/>
      <c r="G67" s="459"/>
      <c r="H67" s="459"/>
      <c r="I67" s="459"/>
      <c r="J67" s="459"/>
      <c r="K67" s="459"/>
      <c r="L67" s="459"/>
      <c r="P67" s="460"/>
      <c r="R67" s="461">
        <f t="shared" si="8"/>
        <v>1956</v>
      </c>
      <c r="S67" s="461" t="str">
        <f t="shared" si="5"/>
        <v>Cloaca</v>
      </c>
      <c r="T67" s="462" t="str">
        <f t="shared" si="6"/>
        <v>Codo fusión 20x1/2 hembra</v>
      </c>
      <c r="U67" s="440">
        <f>+D67*SERVICIOS!$D$3</f>
        <v>0</v>
      </c>
      <c r="V67" s="440">
        <f>+E67*SERVICIOS!$D$4</f>
        <v>0</v>
      </c>
      <c r="W67" s="440">
        <f>+F67*SERVICIOS!$D$4</f>
        <v>0</v>
      </c>
      <c r="X67" s="440">
        <f>+SERVICIOS!$D$1*SERVICIOS!G67</f>
        <v>0</v>
      </c>
      <c r="Y67" s="440">
        <f>+H67*SERVICIOS!$D$2</f>
        <v>0</v>
      </c>
      <c r="Z67" s="440">
        <f>+I67*SERVICIOS!$D$8</f>
        <v>0</v>
      </c>
      <c r="AA67" s="440">
        <f t="shared" si="9"/>
        <v>0</v>
      </c>
      <c r="AB67" s="440">
        <f t="shared" si="10"/>
        <v>0</v>
      </c>
      <c r="AC67" s="440">
        <f>+L67*SERVICIOS!$D$6</f>
        <v>0</v>
      </c>
      <c r="AD67" s="455"/>
      <c r="AE67" s="455"/>
      <c r="AF67" s="455"/>
      <c r="AG67" s="455"/>
      <c r="AH67" s="455"/>
      <c r="AI67" s="440">
        <f t="shared" si="11"/>
        <v>0</v>
      </c>
      <c r="AJ67" s="463">
        <f>+VLOOKUP(R67,'Base Material'!B:D,3,FALSE)</f>
        <v>674</v>
      </c>
      <c r="AK67" s="464">
        <f t="shared" si="7"/>
        <v>0</v>
      </c>
    </row>
    <row r="68" spans="1:37" x14ac:dyDescent="0.25">
      <c r="A68" s="456">
        <v>1957</v>
      </c>
      <c r="B68" s="457" t="s">
        <v>36</v>
      </c>
      <c r="C68" s="458" t="s">
        <v>822</v>
      </c>
      <c r="D68" s="459"/>
      <c r="E68" s="459">
        <v>7</v>
      </c>
      <c r="F68" s="459"/>
      <c r="G68" s="459">
        <v>2</v>
      </c>
      <c r="H68" s="459">
        <v>4</v>
      </c>
      <c r="I68" s="459"/>
      <c r="J68" s="459"/>
      <c r="K68" s="459">
        <v>2</v>
      </c>
      <c r="L68" s="459"/>
      <c r="P68" s="460"/>
      <c r="R68" s="461">
        <f t="shared" si="8"/>
        <v>1957</v>
      </c>
      <c r="S68" s="461" t="str">
        <f t="shared" si="5"/>
        <v>Cloaca</v>
      </c>
      <c r="T68" s="462" t="str">
        <f t="shared" si="6"/>
        <v>Codo fusión 25x1/2</v>
      </c>
      <c r="U68" s="440">
        <f>+D68*SERVICIOS!$D$3</f>
        <v>0</v>
      </c>
      <c r="V68" s="440">
        <f>+E68*SERVICIOS!$D$4</f>
        <v>0</v>
      </c>
      <c r="W68" s="440">
        <f>+F68*SERVICIOS!$D$4</f>
        <v>0</v>
      </c>
      <c r="X68" s="440">
        <f>+SERVICIOS!$D$1*SERVICIOS!G68</f>
        <v>0</v>
      </c>
      <c r="Y68" s="440">
        <f>+H68*SERVICIOS!$D$2</f>
        <v>0</v>
      </c>
      <c r="Z68" s="440">
        <f>+I68*SERVICIOS!$D$8</f>
        <v>0</v>
      </c>
      <c r="AA68" s="440">
        <f t="shared" si="9"/>
        <v>0</v>
      </c>
      <c r="AB68" s="440">
        <f t="shared" si="10"/>
        <v>2</v>
      </c>
      <c r="AC68" s="440">
        <f>+L68*SERVICIOS!$D$6</f>
        <v>0</v>
      </c>
      <c r="AD68" s="455"/>
      <c r="AE68" s="455"/>
      <c r="AF68" s="455"/>
      <c r="AG68" s="455"/>
      <c r="AH68" s="455"/>
      <c r="AI68" s="440">
        <f t="shared" si="11"/>
        <v>2</v>
      </c>
      <c r="AJ68" s="463">
        <f>+VLOOKUP(R68,'Base Material'!B:D,3,FALSE)</f>
        <v>1112.72</v>
      </c>
      <c r="AK68" s="464">
        <f t="shared" si="7"/>
        <v>2225.44</v>
      </c>
    </row>
    <row r="69" spans="1:37" x14ac:dyDescent="0.25">
      <c r="A69" s="456">
        <v>1958</v>
      </c>
      <c r="B69" s="457" t="s">
        <v>36</v>
      </c>
      <c r="C69" s="458" t="s">
        <v>823</v>
      </c>
      <c r="D69" s="459"/>
      <c r="E69" s="459"/>
      <c r="F69" s="459"/>
      <c r="G69" s="459"/>
      <c r="H69" s="459">
        <v>1</v>
      </c>
      <c r="I69" s="459"/>
      <c r="J69" s="459"/>
      <c r="K69" s="459"/>
      <c r="L69" s="459"/>
      <c r="P69" s="460"/>
      <c r="R69" s="461">
        <f t="shared" si="8"/>
        <v>1958</v>
      </c>
      <c r="S69" s="461" t="str">
        <f t="shared" si="5"/>
        <v>Cloaca</v>
      </c>
      <c r="T69" s="462" t="str">
        <f t="shared" si="6"/>
        <v>Codo fusión 25X3/4 hembra</v>
      </c>
      <c r="U69" s="440">
        <f>+D69*SERVICIOS!$D$3</f>
        <v>0</v>
      </c>
      <c r="V69" s="440">
        <f>+E69*SERVICIOS!$D$4</f>
        <v>0</v>
      </c>
      <c r="W69" s="440">
        <f>+F69*SERVICIOS!$D$4</f>
        <v>0</v>
      </c>
      <c r="X69" s="440">
        <f>+SERVICIOS!$D$1*SERVICIOS!G69</f>
        <v>0</v>
      </c>
      <c r="Y69" s="440">
        <f>+H69*SERVICIOS!$D$2</f>
        <v>0</v>
      </c>
      <c r="Z69" s="440">
        <f>+I69*SERVICIOS!$D$8</f>
        <v>0</v>
      </c>
      <c r="AA69" s="440">
        <f t="shared" si="9"/>
        <v>0</v>
      </c>
      <c r="AB69" s="440">
        <f t="shared" si="10"/>
        <v>0</v>
      </c>
      <c r="AC69" s="440">
        <f>+L69*SERVICIOS!$D$6</f>
        <v>0</v>
      </c>
      <c r="AD69" s="455"/>
      <c r="AE69" s="455"/>
      <c r="AF69" s="455"/>
      <c r="AG69" s="455"/>
      <c r="AH69" s="455"/>
      <c r="AI69" s="440">
        <f t="shared" si="11"/>
        <v>0</v>
      </c>
      <c r="AJ69" s="463">
        <f>+VLOOKUP(R69,'Base Material'!B:D,3,FALSE)</f>
        <v>1085.32</v>
      </c>
      <c r="AK69" s="464">
        <f t="shared" si="7"/>
        <v>0</v>
      </c>
    </row>
    <row r="70" spans="1:37" x14ac:dyDescent="0.25">
      <c r="A70" s="456">
        <v>1961</v>
      </c>
      <c r="B70" s="457" t="s">
        <v>36</v>
      </c>
      <c r="C70" s="458" t="s">
        <v>824</v>
      </c>
      <c r="D70" s="459"/>
      <c r="E70" s="459"/>
      <c r="F70" s="459"/>
      <c r="G70" s="459"/>
      <c r="H70" s="459">
        <v>6</v>
      </c>
      <c r="I70" s="459"/>
      <c r="J70" s="459"/>
      <c r="K70" s="459">
        <v>20</v>
      </c>
      <c r="L70" s="459"/>
      <c r="P70" s="460"/>
      <c r="R70" s="461">
        <f t="shared" si="8"/>
        <v>1961</v>
      </c>
      <c r="S70" s="461" t="str">
        <f t="shared" si="5"/>
        <v>Cloaca</v>
      </c>
      <c r="T70" s="462" t="str">
        <f t="shared" si="6"/>
        <v>Codo fusión 32X3/4 hembra</v>
      </c>
      <c r="U70" s="440">
        <f>+D70*SERVICIOS!$D$3</f>
        <v>0</v>
      </c>
      <c r="V70" s="440">
        <f>+E70*SERVICIOS!$D$4</f>
        <v>0</v>
      </c>
      <c r="W70" s="440">
        <f>+F70*SERVICIOS!$D$4</f>
        <v>0</v>
      </c>
      <c r="X70" s="440">
        <f>+SERVICIOS!$D$1*SERVICIOS!G70</f>
        <v>0</v>
      </c>
      <c r="Y70" s="440">
        <f>+H70*SERVICIOS!$D$2</f>
        <v>0</v>
      </c>
      <c r="Z70" s="440">
        <f>+I70*SERVICIOS!$D$8</f>
        <v>0</v>
      </c>
      <c r="AA70" s="440">
        <f t="shared" si="9"/>
        <v>0</v>
      </c>
      <c r="AB70" s="440">
        <f t="shared" si="10"/>
        <v>20</v>
      </c>
      <c r="AC70" s="440">
        <f>+L70*SERVICIOS!$D$6</f>
        <v>0</v>
      </c>
      <c r="AD70" s="455"/>
      <c r="AE70" s="455"/>
      <c r="AF70" s="455"/>
      <c r="AG70" s="455"/>
      <c r="AH70" s="455"/>
      <c r="AI70" s="440">
        <f t="shared" si="11"/>
        <v>20</v>
      </c>
      <c r="AJ70" s="463">
        <f>+VLOOKUP(R70,'Base Material'!B:D,3,FALSE)</f>
        <v>1960.08</v>
      </c>
      <c r="AK70" s="464">
        <f t="shared" si="7"/>
        <v>39201.6</v>
      </c>
    </row>
    <row r="71" spans="1:37" x14ac:dyDescent="0.25">
      <c r="A71" s="456">
        <v>1886</v>
      </c>
      <c r="B71" s="457" t="s">
        <v>36</v>
      </c>
      <c r="C71" s="458" t="s">
        <v>825</v>
      </c>
      <c r="D71" s="459">
        <v>12</v>
      </c>
      <c r="E71" s="459">
        <v>30</v>
      </c>
      <c r="F71" s="459"/>
      <c r="G71" s="459">
        <v>12</v>
      </c>
      <c r="H71" s="459">
        <v>16</v>
      </c>
      <c r="I71" s="459"/>
      <c r="J71" s="459"/>
      <c r="K71" s="459">
        <v>8</v>
      </c>
      <c r="L71" s="459"/>
      <c r="P71" s="460"/>
      <c r="R71" s="461">
        <f t="shared" si="8"/>
        <v>1886</v>
      </c>
      <c r="S71" s="461" t="str">
        <f t="shared" si="5"/>
        <v>Cloaca</v>
      </c>
      <c r="T71" s="462" t="str">
        <f t="shared" si="6"/>
        <v>Codo fusión de 25</v>
      </c>
      <c r="U71" s="440">
        <f>+D71*SERVICIOS!$D$3</f>
        <v>0</v>
      </c>
      <c r="V71" s="440">
        <f>+E71*SERVICIOS!$D$4</f>
        <v>0</v>
      </c>
      <c r="W71" s="440">
        <f>+F71*SERVICIOS!$D$4</f>
        <v>0</v>
      </c>
      <c r="X71" s="440">
        <f>+SERVICIOS!$D$1*SERVICIOS!G71</f>
        <v>0</v>
      </c>
      <c r="Y71" s="440">
        <f>+H71*SERVICIOS!$D$2</f>
        <v>0</v>
      </c>
      <c r="Z71" s="440">
        <f>+I71*SERVICIOS!$D$8</f>
        <v>0</v>
      </c>
      <c r="AA71" s="440">
        <f t="shared" si="9"/>
        <v>0</v>
      </c>
      <c r="AB71" s="440">
        <f t="shared" si="10"/>
        <v>8</v>
      </c>
      <c r="AC71" s="440">
        <f>+L71*SERVICIOS!$D$6</f>
        <v>0</v>
      </c>
      <c r="AD71" s="455"/>
      <c r="AE71" s="455"/>
      <c r="AF71" s="455"/>
      <c r="AG71" s="455"/>
      <c r="AH71" s="455"/>
      <c r="AI71" s="440">
        <f t="shared" si="11"/>
        <v>8</v>
      </c>
      <c r="AJ71" s="463">
        <f>+VLOOKUP(R71,'Base Material'!B:D,3,FALSE)</f>
        <v>236.99</v>
      </c>
      <c r="AK71" s="464">
        <f t="shared" si="7"/>
        <v>1895.92</v>
      </c>
    </row>
    <row r="72" spans="1:37" x14ac:dyDescent="0.25">
      <c r="A72" s="456">
        <v>2228</v>
      </c>
      <c r="B72" s="457" t="s">
        <v>36</v>
      </c>
      <c r="C72" s="469" t="s">
        <v>826</v>
      </c>
      <c r="D72" s="459"/>
      <c r="E72" s="459"/>
      <c r="F72" s="459"/>
      <c r="G72" s="459"/>
      <c r="H72" s="459"/>
      <c r="I72" s="459"/>
      <c r="J72" s="459">
        <v>1</v>
      </c>
      <c r="K72" s="459"/>
      <c r="L72" s="459"/>
      <c r="P72" s="460"/>
      <c r="R72" s="461">
        <f t="shared" si="8"/>
        <v>2228</v>
      </c>
      <c r="S72" s="461" t="str">
        <f t="shared" si="5"/>
        <v>Cloaca</v>
      </c>
      <c r="T72" s="462" t="str">
        <f t="shared" si="6"/>
        <v>Concexión de tanque 3/4</v>
      </c>
      <c r="U72" s="440">
        <f>+D72*SERVICIOS!$D$3</f>
        <v>0</v>
      </c>
      <c r="V72" s="440">
        <f>+E72*SERVICIOS!$D$4</f>
        <v>0</v>
      </c>
      <c r="W72" s="440">
        <f>+F72*SERVICIOS!$D$4</f>
        <v>0</v>
      </c>
      <c r="X72" s="440">
        <f>+SERVICIOS!$D$1*SERVICIOS!G72</f>
        <v>0</v>
      </c>
      <c r="Y72" s="440">
        <f>+H72*SERVICIOS!$D$2</f>
        <v>0</v>
      </c>
      <c r="Z72" s="440">
        <f>+I72*SERVICIOS!$D$8</f>
        <v>0</v>
      </c>
      <c r="AA72" s="440">
        <f t="shared" si="9"/>
        <v>1</v>
      </c>
      <c r="AB72" s="440">
        <f t="shared" si="10"/>
        <v>0</v>
      </c>
      <c r="AC72" s="440">
        <f>+L72*SERVICIOS!$D$6</f>
        <v>0</v>
      </c>
      <c r="AD72" s="455"/>
      <c r="AE72" s="455"/>
      <c r="AF72" s="455"/>
      <c r="AG72" s="455"/>
      <c r="AH72" s="455"/>
      <c r="AI72" s="440">
        <f t="shared" si="11"/>
        <v>1</v>
      </c>
      <c r="AJ72" s="463">
        <f>+VLOOKUP(R72,'Base Material'!B:D,3,FALSE)</f>
        <v>1081.65</v>
      </c>
      <c r="AK72" s="464">
        <f t="shared" si="7"/>
        <v>1081.65</v>
      </c>
    </row>
    <row r="73" spans="1:37" x14ac:dyDescent="0.25">
      <c r="A73" s="456">
        <v>2229</v>
      </c>
      <c r="B73" s="457" t="s">
        <v>36</v>
      </c>
      <c r="C73" s="469" t="s">
        <v>827</v>
      </c>
      <c r="D73" s="459"/>
      <c r="E73" s="459"/>
      <c r="F73" s="459"/>
      <c r="G73" s="459"/>
      <c r="H73" s="459"/>
      <c r="I73" s="459"/>
      <c r="J73" s="459">
        <v>2</v>
      </c>
      <c r="K73" s="459"/>
      <c r="L73" s="459"/>
      <c r="P73" s="460"/>
      <c r="R73" s="461">
        <f t="shared" si="8"/>
        <v>2229</v>
      </c>
      <c r="S73" s="461" t="str">
        <f t="shared" si="5"/>
        <v>Cloaca</v>
      </c>
      <c r="T73" s="462" t="str">
        <f t="shared" si="6"/>
        <v>Conexión de tanque de 1"</v>
      </c>
      <c r="U73" s="440">
        <f>+D73*SERVICIOS!$D$3</f>
        <v>0</v>
      </c>
      <c r="V73" s="440">
        <f>+E73*SERVICIOS!$D$4</f>
        <v>0</v>
      </c>
      <c r="W73" s="440">
        <f>+F73*SERVICIOS!$D$4</f>
        <v>0</v>
      </c>
      <c r="X73" s="440">
        <f>+SERVICIOS!$D$1*SERVICIOS!G73</f>
        <v>0</v>
      </c>
      <c r="Y73" s="440">
        <f>+H73*SERVICIOS!$D$2</f>
        <v>0</v>
      </c>
      <c r="Z73" s="440">
        <f>+I73*SERVICIOS!$D$8</f>
        <v>0</v>
      </c>
      <c r="AA73" s="440">
        <f t="shared" si="9"/>
        <v>2</v>
      </c>
      <c r="AB73" s="440">
        <f t="shared" si="10"/>
        <v>0</v>
      </c>
      <c r="AC73" s="440">
        <f>+L73*SERVICIOS!$D$6</f>
        <v>0</v>
      </c>
      <c r="AD73" s="455"/>
      <c r="AE73" s="455"/>
      <c r="AF73" s="455"/>
      <c r="AG73" s="455"/>
      <c r="AH73" s="455"/>
      <c r="AI73" s="440">
        <f t="shared" si="11"/>
        <v>2</v>
      </c>
      <c r="AJ73" s="463">
        <f>+VLOOKUP(R73,'Base Material'!B:D,3,FALSE)</f>
        <v>1219.87</v>
      </c>
      <c r="AK73" s="464">
        <f t="shared" si="7"/>
        <v>2439.74</v>
      </c>
    </row>
    <row r="74" spans="1:37" x14ac:dyDescent="0.25">
      <c r="A74" s="456">
        <v>1947</v>
      </c>
      <c r="B74" s="457" t="s">
        <v>36</v>
      </c>
      <c r="C74" s="458" t="s">
        <v>828</v>
      </c>
      <c r="D74" s="459"/>
      <c r="E74" s="459"/>
      <c r="F74" s="459"/>
      <c r="G74" s="459"/>
      <c r="H74" s="459"/>
      <c r="I74" s="459"/>
      <c r="J74" s="459"/>
      <c r="K74" s="459">
        <v>20</v>
      </c>
      <c r="L74" s="459"/>
      <c r="P74" s="460"/>
      <c r="R74" s="461">
        <f t="shared" si="8"/>
        <v>1947</v>
      </c>
      <c r="S74" s="461" t="str">
        <f t="shared" si="5"/>
        <v>Cloaca</v>
      </c>
      <c r="T74" s="462" t="str">
        <f t="shared" si="6"/>
        <v>Cupla de 25 fusion</v>
      </c>
      <c r="U74" s="440">
        <f>+D74*SERVICIOS!$D$3</f>
        <v>0</v>
      </c>
      <c r="V74" s="440">
        <f>+E74*SERVICIOS!$D$4</f>
        <v>0</v>
      </c>
      <c r="W74" s="440">
        <f>+F74*SERVICIOS!$D$4</f>
        <v>0</v>
      </c>
      <c r="X74" s="440">
        <f>+SERVICIOS!$D$1*SERVICIOS!G74</f>
        <v>0</v>
      </c>
      <c r="Y74" s="440">
        <f>+H74*SERVICIOS!$D$2</f>
        <v>0</v>
      </c>
      <c r="Z74" s="440">
        <f>+I74*SERVICIOS!$D$8</f>
        <v>0</v>
      </c>
      <c r="AA74" s="440">
        <f t="shared" si="9"/>
        <v>0</v>
      </c>
      <c r="AB74" s="440">
        <f t="shared" si="10"/>
        <v>20</v>
      </c>
      <c r="AC74" s="440">
        <f>+L74*SERVICIOS!$D$6</f>
        <v>0</v>
      </c>
      <c r="AD74" s="455"/>
      <c r="AE74" s="455"/>
      <c r="AF74" s="455"/>
      <c r="AG74" s="455"/>
      <c r="AH74" s="455"/>
      <c r="AI74" s="440">
        <f t="shared" si="11"/>
        <v>20</v>
      </c>
      <c r="AJ74" s="463">
        <f>+VLOOKUP(R74,'Base Material'!B:D,3,FALSE)</f>
        <v>181.45</v>
      </c>
      <c r="AK74" s="464">
        <f t="shared" si="7"/>
        <v>3629</v>
      </c>
    </row>
    <row r="75" spans="1:37" x14ac:dyDescent="0.25">
      <c r="A75" s="456">
        <v>1948</v>
      </c>
      <c r="B75" s="457" t="s">
        <v>36</v>
      </c>
      <c r="C75" s="458" t="s">
        <v>829</v>
      </c>
      <c r="D75" s="459"/>
      <c r="E75" s="459"/>
      <c r="F75" s="459"/>
      <c r="G75" s="459"/>
      <c r="H75" s="459"/>
      <c r="I75" s="459"/>
      <c r="J75" s="459"/>
      <c r="K75" s="459">
        <v>20</v>
      </c>
      <c r="L75" s="459">
        <v>1</v>
      </c>
      <c r="P75" s="460"/>
      <c r="R75" s="461">
        <f t="shared" si="8"/>
        <v>1948</v>
      </c>
      <c r="S75" s="461" t="str">
        <f t="shared" si="5"/>
        <v>Cloaca</v>
      </c>
      <c r="T75" s="462" t="str">
        <f t="shared" si="6"/>
        <v>Cupla de 32 fusión</v>
      </c>
      <c r="U75" s="440">
        <f>+D75*SERVICIOS!$D$3</f>
        <v>0</v>
      </c>
      <c r="V75" s="440">
        <f>+E75*SERVICIOS!$D$4</f>
        <v>0</v>
      </c>
      <c r="W75" s="440">
        <f>+F75*SERVICIOS!$D$4</f>
        <v>0</v>
      </c>
      <c r="X75" s="440">
        <f>+SERVICIOS!$D$1*SERVICIOS!G75</f>
        <v>0</v>
      </c>
      <c r="Y75" s="440">
        <f>+H75*SERVICIOS!$D$2</f>
        <v>0</v>
      </c>
      <c r="Z75" s="440">
        <f>+I75*SERVICIOS!$D$8</f>
        <v>0</v>
      </c>
      <c r="AA75" s="440">
        <f t="shared" si="9"/>
        <v>0</v>
      </c>
      <c r="AB75" s="440">
        <f t="shared" si="10"/>
        <v>20</v>
      </c>
      <c r="AC75" s="440">
        <f>+L75*SERVICIOS!$D$6</f>
        <v>1</v>
      </c>
      <c r="AD75" s="455"/>
      <c r="AE75" s="455"/>
      <c r="AF75" s="455"/>
      <c r="AG75" s="455"/>
      <c r="AH75" s="455"/>
      <c r="AI75" s="440">
        <f t="shared" si="11"/>
        <v>21</v>
      </c>
      <c r="AJ75" s="463">
        <f>+VLOOKUP(R75,'Base Material'!B:D,3,FALSE)</f>
        <v>252.28</v>
      </c>
      <c r="AK75" s="464">
        <f t="shared" si="7"/>
        <v>5297.88</v>
      </c>
    </row>
    <row r="76" spans="1:37" x14ac:dyDescent="0.25">
      <c r="A76" s="456">
        <v>2008</v>
      </c>
      <c r="B76" s="457" t="s">
        <v>36</v>
      </c>
      <c r="C76" s="458" t="s">
        <v>830</v>
      </c>
      <c r="D76" s="459"/>
      <c r="E76" s="459"/>
      <c r="F76" s="459"/>
      <c r="G76" s="459"/>
      <c r="H76" s="459"/>
      <c r="I76" s="459"/>
      <c r="J76" s="459">
        <v>2</v>
      </c>
      <c r="K76" s="459"/>
      <c r="L76" s="459"/>
      <c r="P76" s="460"/>
      <c r="R76" s="461">
        <f t="shared" si="8"/>
        <v>2008</v>
      </c>
      <c r="S76" s="461" t="str">
        <f t="shared" si="5"/>
        <v>Cloaca</v>
      </c>
      <c r="T76" s="462" t="str">
        <f t="shared" si="6"/>
        <v>Cupla de 32x1" fusion Hembra</v>
      </c>
      <c r="U76" s="440">
        <f>+D76*SERVICIOS!$D$3</f>
        <v>0</v>
      </c>
      <c r="V76" s="440">
        <f>+E76*SERVICIOS!$D$4</f>
        <v>0</v>
      </c>
      <c r="W76" s="440">
        <f>+F76*SERVICIOS!$D$4</f>
        <v>0</v>
      </c>
      <c r="X76" s="440">
        <f>+SERVICIOS!$D$1*SERVICIOS!G76</f>
        <v>0</v>
      </c>
      <c r="Y76" s="440">
        <f>+H76*SERVICIOS!$D$2</f>
        <v>0</v>
      </c>
      <c r="Z76" s="440">
        <f>+I76*SERVICIOS!$D$8</f>
        <v>0</v>
      </c>
      <c r="AA76" s="440">
        <f t="shared" si="9"/>
        <v>2</v>
      </c>
      <c r="AB76" s="440">
        <f t="shared" si="10"/>
        <v>0</v>
      </c>
      <c r="AC76" s="440">
        <f>+L76*SERVICIOS!$D$6</f>
        <v>0</v>
      </c>
      <c r="AD76" s="455"/>
      <c r="AE76" s="455"/>
      <c r="AF76" s="455"/>
      <c r="AG76" s="455"/>
      <c r="AH76" s="455"/>
      <c r="AI76" s="440">
        <f t="shared" si="11"/>
        <v>2</v>
      </c>
      <c r="AJ76" s="463">
        <f>+VLOOKUP(R76,'Base Material'!B:D,3,FALSE)</f>
        <v>1777.39</v>
      </c>
      <c r="AK76" s="464">
        <f t="shared" si="7"/>
        <v>3554.78</v>
      </c>
    </row>
    <row r="77" spans="1:37" x14ac:dyDescent="0.25">
      <c r="A77" s="456">
        <v>2008</v>
      </c>
      <c r="B77" s="457" t="s">
        <v>36</v>
      </c>
      <c r="C77" s="458" t="s">
        <v>830</v>
      </c>
      <c r="D77" s="459"/>
      <c r="E77" s="459"/>
      <c r="F77" s="459"/>
      <c r="G77" s="459"/>
      <c r="H77" s="459"/>
      <c r="I77" s="459"/>
      <c r="J77" s="459">
        <v>4</v>
      </c>
      <c r="K77" s="459"/>
      <c r="L77" s="459"/>
      <c r="P77" s="460"/>
      <c r="R77" s="461">
        <f t="shared" si="8"/>
        <v>2008</v>
      </c>
      <c r="S77" s="461" t="str">
        <f t="shared" si="5"/>
        <v>Cloaca</v>
      </c>
      <c r="T77" s="462" t="str">
        <f t="shared" si="6"/>
        <v>Cupla de 32x1" fusion Hembra</v>
      </c>
      <c r="U77" s="440">
        <f>+D77*SERVICIOS!$D$3</f>
        <v>0</v>
      </c>
      <c r="V77" s="440">
        <f>+E77*SERVICIOS!$D$4</f>
        <v>0</v>
      </c>
      <c r="W77" s="440">
        <f>+F77*SERVICIOS!$D$4</f>
        <v>0</v>
      </c>
      <c r="X77" s="440">
        <f>+SERVICIOS!$D$1*SERVICIOS!G77</f>
        <v>0</v>
      </c>
      <c r="Y77" s="440">
        <f>+H77*SERVICIOS!$D$2</f>
        <v>0</v>
      </c>
      <c r="Z77" s="440">
        <f>+I77*SERVICIOS!$D$8</f>
        <v>0</v>
      </c>
      <c r="AA77" s="440">
        <f t="shared" si="9"/>
        <v>4</v>
      </c>
      <c r="AB77" s="440">
        <f t="shared" si="10"/>
        <v>0</v>
      </c>
      <c r="AC77" s="440">
        <f>+L77*SERVICIOS!$D$6</f>
        <v>0</v>
      </c>
      <c r="AD77" s="455"/>
      <c r="AE77" s="455"/>
      <c r="AF77" s="455"/>
      <c r="AG77" s="455"/>
      <c r="AH77" s="455"/>
      <c r="AI77" s="440">
        <f t="shared" si="11"/>
        <v>4</v>
      </c>
      <c r="AJ77" s="463">
        <f>+VLOOKUP(R77,'Base Material'!B:D,3,FALSE)</f>
        <v>1777.39</v>
      </c>
      <c r="AK77" s="464">
        <f t="shared" si="7"/>
        <v>7109.56</v>
      </c>
    </row>
    <row r="78" spans="1:37" x14ac:dyDescent="0.25">
      <c r="A78" s="456">
        <v>1968</v>
      </c>
      <c r="B78" s="457" t="s">
        <v>36</v>
      </c>
      <c r="C78" s="458" t="s">
        <v>831</v>
      </c>
      <c r="D78" s="459"/>
      <c r="E78" s="459">
        <v>2</v>
      </c>
      <c r="F78" s="459"/>
      <c r="G78" s="459"/>
      <c r="H78" s="459"/>
      <c r="I78" s="459"/>
      <c r="J78" s="459"/>
      <c r="K78" s="459"/>
      <c r="L78" s="459"/>
      <c r="P78" s="460"/>
      <c r="R78" s="461">
        <f t="shared" si="8"/>
        <v>1968</v>
      </c>
      <c r="S78" s="461" t="str">
        <f t="shared" si="5"/>
        <v>Cloaca</v>
      </c>
      <c r="T78" s="462" t="str">
        <f t="shared" si="6"/>
        <v>Cupla de fusión 20x1/2 macho</v>
      </c>
      <c r="U78" s="440">
        <f>+D78*SERVICIOS!$D$3</f>
        <v>0</v>
      </c>
      <c r="V78" s="440">
        <f>+E78*SERVICIOS!$D$4</f>
        <v>0</v>
      </c>
      <c r="W78" s="440">
        <f>+F78*SERVICIOS!$D$4</f>
        <v>0</v>
      </c>
      <c r="X78" s="440">
        <f>+SERVICIOS!$D$1*SERVICIOS!G78</f>
        <v>0</v>
      </c>
      <c r="Y78" s="440">
        <f>+H78*SERVICIOS!$D$2</f>
        <v>0</v>
      </c>
      <c r="Z78" s="440">
        <f>+I78*SERVICIOS!$D$8</f>
        <v>0</v>
      </c>
      <c r="AA78" s="440">
        <f t="shared" si="9"/>
        <v>0</v>
      </c>
      <c r="AB78" s="440">
        <f t="shared" si="10"/>
        <v>0</v>
      </c>
      <c r="AC78" s="440">
        <f>+L78*SERVICIOS!$D$6</f>
        <v>0</v>
      </c>
      <c r="AD78" s="455"/>
      <c r="AE78" s="455"/>
      <c r="AF78" s="455"/>
      <c r="AG78" s="455"/>
      <c r="AH78" s="455"/>
      <c r="AI78" s="440">
        <f t="shared" si="11"/>
        <v>0</v>
      </c>
      <c r="AJ78" s="463">
        <f>+VLOOKUP(R78,'Base Material'!B:D,3,FALSE)</f>
        <v>920.23</v>
      </c>
      <c r="AK78" s="464">
        <f t="shared" si="7"/>
        <v>0</v>
      </c>
    </row>
    <row r="79" spans="1:37" x14ac:dyDescent="0.25">
      <c r="A79" s="456">
        <v>2005</v>
      </c>
      <c r="B79" s="457" t="s">
        <v>36</v>
      </c>
      <c r="C79" s="458" t="s">
        <v>832</v>
      </c>
      <c r="D79" s="459"/>
      <c r="E79" s="459">
        <v>2</v>
      </c>
      <c r="F79" s="459"/>
      <c r="G79" s="459"/>
      <c r="H79" s="459"/>
      <c r="I79" s="459"/>
      <c r="J79" s="459"/>
      <c r="K79" s="459"/>
      <c r="L79" s="459"/>
      <c r="P79" s="460"/>
      <c r="R79" s="461">
        <f t="shared" si="8"/>
        <v>2005</v>
      </c>
      <c r="S79" s="461" t="str">
        <f t="shared" si="5"/>
        <v>Cloaca</v>
      </c>
      <c r="T79" s="462" t="str">
        <f t="shared" si="6"/>
        <v>Cupla de fusión 20x3/8 hembra</v>
      </c>
      <c r="U79" s="440">
        <f>+D79*SERVICIOS!$D$3</f>
        <v>0</v>
      </c>
      <c r="V79" s="440">
        <f>+E79*SERVICIOS!$D$4</f>
        <v>0</v>
      </c>
      <c r="W79" s="440">
        <f>+F79*SERVICIOS!$D$4</f>
        <v>0</v>
      </c>
      <c r="X79" s="440">
        <f>+SERVICIOS!$D$1*SERVICIOS!G79</f>
        <v>0</v>
      </c>
      <c r="Y79" s="440">
        <f>+H79*SERVICIOS!$D$2</f>
        <v>0</v>
      </c>
      <c r="Z79" s="440">
        <f>+I79*SERVICIOS!$D$8</f>
        <v>0</v>
      </c>
      <c r="AA79" s="440">
        <f t="shared" si="9"/>
        <v>0</v>
      </c>
      <c r="AB79" s="440">
        <f t="shared" si="10"/>
        <v>0</v>
      </c>
      <c r="AC79" s="440">
        <f>+L79*SERVICIOS!$D$6</f>
        <v>0</v>
      </c>
      <c r="AD79" s="455"/>
      <c r="AE79" s="455"/>
      <c r="AF79" s="455"/>
      <c r="AG79" s="455"/>
      <c r="AH79" s="455"/>
      <c r="AI79" s="440">
        <f t="shared" si="11"/>
        <v>0</v>
      </c>
      <c r="AJ79" s="463">
        <f>+VLOOKUP(R79,'Base Material'!B:D,3,FALSE)</f>
        <v>649.2</v>
      </c>
      <c r="AK79" s="464">
        <f t="shared" si="7"/>
        <v>0</v>
      </c>
    </row>
    <row r="80" spans="1:37" x14ac:dyDescent="0.25">
      <c r="A80" s="456">
        <v>2249</v>
      </c>
      <c r="B80" s="457" t="s">
        <v>36</v>
      </c>
      <c r="C80" s="458" t="s">
        <v>833</v>
      </c>
      <c r="D80" s="459"/>
      <c r="E80" s="459"/>
      <c r="F80" s="459"/>
      <c r="G80" s="459"/>
      <c r="H80" s="459"/>
      <c r="I80" s="459"/>
      <c r="J80" s="459">
        <v>10</v>
      </c>
      <c r="K80" s="459"/>
      <c r="L80" s="459"/>
      <c r="P80" s="460"/>
      <c r="R80" s="461">
        <f t="shared" si="8"/>
        <v>2249</v>
      </c>
      <c r="S80" s="461" t="str">
        <f t="shared" si="5"/>
        <v>Cloaca</v>
      </c>
      <c r="T80" s="462" t="str">
        <f t="shared" si="6"/>
        <v>Entrerosca de 1"1/2</v>
      </c>
      <c r="U80" s="440">
        <f>+D80*SERVICIOS!$D$3</f>
        <v>0</v>
      </c>
      <c r="V80" s="440">
        <f>+E80*SERVICIOS!$D$4</f>
        <v>0</v>
      </c>
      <c r="W80" s="440">
        <f>+F80*SERVICIOS!$D$4</f>
        <v>0</v>
      </c>
      <c r="X80" s="440">
        <f>+SERVICIOS!$D$1*SERVICIOS!G80</f>
        <v>0</v>
      </c>
      <c r="Y80" s="440">
        <f>+H80*SERVICIOS!$D$2</f>
        <v>0</v>
      </c>
      <c r="Z80" s="440">
        <f>+I80*SERVICIOS!$D$8</f>
        <v>0</v>
      </c>
      <c r="AA80" s="440">
        <f t="shared" si="9"/>
        <v>10</v>
      </c>
      <c r="AB80" s="440">
        <f t="shared" si="10"/>
        <v>0</v>
      </c>
      <c r="AC80" s="440">
        <f>+L80*SERVICIOS!$D$6</f>
        <v>0</v>
      </c>
      <c r="AD80" s="455"/>
      <c r="AE80" s="455"/>
      <c r="AF80" s="455"/>
      <c r="AG80" s="455"/>
      <c r="AH80" s="455"/>
      <c r="AI80" s="440">
        <f t="shared" si="11"/>
        <v>10</v>
      </c>
      <c r="AJ80" s="463" t="e">
        <f>+VLOOKUP(R80,'Base Material'!B:D,3,FALSE)</f>
        <v>#N/A</v>
      </c>
      <c r="AK80" s="464" t="e">
        <f t="shared" si="7"/>
        <v>#N/A</v>
      </c>
    </row>
    <row r="81" spans="1:37" x14ac:dyDescent="0.25">
      <c r="A81" s="456">
        <v>2246</v>
      </c>
      <c r="B81" s="457" t="s">
        <v>36</v>
      </c>
      <c r="C81" s="458" t="s">
        <v>834</v>
      </c>
      <c r="D81" s="459"/>
      <c r="E81" s="459"/>
      <c r="F81" s="459"/>
      <c r="G81" s="459"/>
      <c r="H81" s="459"/>
      <c r="I81" s="459"/>
      <c r="J81" s="459">
        <v>14</v>
      </c>
      <c r="K81" s="459"/>
      <c r="L81" s="459"/>
      <c r="P81" s="460"/>
      <c r="R81" s="461">
        <f t="shared" si="8"/>
        <v>2246</v>
      </c>
      <c r="S81" s="461" t="str">
        <f t="shared" si="5"/>
        <v>Cloaca</v>
      </c>
      <c r="T81" s="462" t="str">
        <f t="shared" si="6"/>
        <v>Entrerosca de 3/4  </v>
      </c>
      <c r="U81" s="440">
        <f>+D81*SERVICIOS!$D$3</f>
        <v>0</v>
      </c>
      <c r="V81" s="440">
        <f>+E81*SERVICIOS!$D$4</f>
        <v>0</v>
      </c>
      <c r="W81" s="440">
        <f>+F81*SERVICIOS!$D$4</f>
        <v>0</v>
      </c>
      <c r="X81" s="440">
        <f>+SERVICIOS!$D$1*SERVICIOS!G81</f>
        <v>0</v>
      </c>
      <c r="Y81" s="440">
        <f>+H81*SERVICIOS!$D$2</f>
        <v>0</v>
      </c>
      <c r="Z81" s="440">
        <f>+I81*SERVICIOS!$D$8</f>
        <v>0</v>
      </c>
      <c r="AA81" s="440">
        <f t="shared" si="9"/>
        <v>14</v>
      </c>
      <c r="AB81" s="440">
        <f t="shared" si="10"/>
        <v>0</v>
      </c>
      <c r="AC81" s="440">
        <f>+L81*SERVICIOS!$D$6</f>
        <v>0</v>
      </c>
      <c r="AD81" s="455"/>
      <c r="AE81" s="455"/>
      <c r="AF81" s="455"/>
      <c r="AG81" s="455"/>
      <c r="AH81" s="455"/>
      <c r="AI81" s="440">
        <f t="shared" si="11"/>
        <v>14</v>
      </c>
      <c r="AJ81" s="463" t="e">
        <f>+VLOOKUP(R81,'Base Material'!B:D,3,FALSE)</f>
        <v>#N/A</v>
      </c>
      <c r="AK81" s="464" t="e">
        <f t="shared" si="7"/>
        <v>#N/A</v>
      </c>
    </row>
    <row r="82" spans="1:37" x14ac:dyDescent="0.25">
      <c r="A82" s="456">
        <v>8544</v>
      </c>
      <c r="B82" s="457" t="s">
        <v>36</v>
      </c>
      <c r="C82" s="458" t="s">
        <v>835</v>
      </c>
      <c r="D82" s="459"/>
      <c r="E82" s="459"/>
      <c r="F82" s="459"/>
      <c r="G82" s="459"/>
      <c r="H82" s="459">
        <v>1</v>
      </c>
      <c r="I82" s="459"/>
      <c r="J82" s="459"/>
      <c r="K82" s="459"/>
      <c r="L82" s="459"/>
      <c r="P82" s="460"/>
      <c r="R82" s="461">
        <f t="shared" si="8"/>
        <v>8544</v>
      </c>
      <c r="S82" s="461" t="str">
        <f t="shared" ref="S82:T145" si="12">B82</f>
        <v>Cloaca</v>
      </c>
      <c r="T82" s="462" t="str">
        <f t="shared" si="12"/>
        <v>Entrerosca de 3/4 galvanizada</v>
      </c>
      <c r="U82" s="440">
        <f>+D82*SERVICIOS!$D$3</f>
        <v>0</v>
      </c>
      <c r="V82" s="440">
        <f>+E82*SERVICIOS!$D$4</f>
        <v>0</v>
      </c>
      <c r="W82" s="440">
        <f>+F82*SERVICIOS!$D$4</f>
        <v>0</v>
      </c>
      <c r="X82" s="440">
        <f>+SERVICIOS!$D$1*SERVICIOS!G82</f>
        <v>0</v>
      </c>
      <c r="Y82" s="440">
        <f>+H82*SERVICIOS!$D$2</f>
        <v>0</v>
      </c>
      <c r="Z82" s="440">
        <f>+I82*SERVICIOS!$D$8</f>
        <v>0</v>
      </c>
      <c r="AA82" s="440">
        <f t="shared" si="9"/>
        <v>0</v>
      </c>
      <c r="AB82" s="440">
        <f t="shared" si="10"/>
        <v>0</v>
      </c>
      <c r="AC82" s="440">
        <f>+L82*SERVICIOS!$D$6</f>
        <v>0</v>
      </c>
      <c r="AD82" s="455"/>
      <c r="AE82" s="455"/>
      <c r="AF82" s="455"/>
      <c r="AG82" s="455"/>
      <c r="AH82" s="455"/>
      <c r="AI82" s="440">
        <f t="shared" si="11"/>
        <v>0</v>
      </c>
      <c r="AJ82" s="463">
        <f>+VLOOKUP(R82,'Base Material'!B:D,3,FALSE)</f>
        <v>622.73</v>
      </c>
      <c r="AK82" s="464">
        <f t="shared" ref="AK82:AK145" si="13">+AJ82*AI82</f>
        <v>0</v>
      </c>
    </row>
    <row r="83" spans="1:37" x14ac:dyDescent="0.25">
      <c r="A83" s="456">
        <v>25156</v>
      </c>
      <c r="B83" s="457" t="s">
        <v>36</v>
      </c>
      <c r="C83" s="458" t="s">
        <v>836</v>
      </c>
      <c r="D83" s="459">
        <v>3</v>
      </c>
      <c r="E83" s="459">
        <v>7</v>
      </c>
      <c r="F83" s="459"/>
      <c r="G83" s="459">
        <v>2</v>
      </c>
      <c r="H83" s="459">
        <v>2</v>
      </c>
      <c r="I83" s="459"/>
      <c r="J83" s="459"/>
      <c r="K83" s="459"/>
      <c r="L83" s="459"/>
      <c r="P83" s="460"/>
      <c r="R83" s="461">
        <f t="shared" si="8"/>
        <v>25156</v>
      </c>
      <c r="S83" s="461" t="str">
        <f t="shared" si="12"/>
        <v>Cloaca</v>
      </c>
      <c r="T83" s="462" t="str">
        <f t="shared" si="12"/>
        <v>Flexible de 35x1/2 mallado</v>
      </c>
      <c r="U83" s="440">
        <f>+D83*SERVICIOS!$D$3</f>
        <v>0</v>
      </c>
      <c r="V83" s="440">
        <f>+E83*SERVICIOS!$D$4</f>
        <v>0</v>
      </c>
      <c r="W83" s="440">
        <f>+F83*SERVICIOS!$D$4</f>
        <v>0</v>
      </c>
      <c r="X83" s="440">
        <f>+SERVICIOS!$D$1*SERVICIOS!G83</f>
        <v>0</v>
      </c>
      <c r="Y83" s="440">
        <f>+H83*SERVICIOS!$D$2</f>
        <v>0</v>
      </c>
      <c r="Z83" s="440">
        <f>+I83*SERVICIOS!$D$8</f>
        <v>0</v>
      </c>
      <c r="AA83" s="440">
        <f t="shared" si="9"/>
        <v>0</v>
      </c>
      <c r="AB83" s="440">
        <f t="shared" si="10"/>
        <v>0</v>
      </c>
      <c r="AC83" s="440">
        <f>+L83*SERVICIOS!$D$6</f>
        <v>0</v>
      </c>
      <c r="AD83" s="455"/>
      <c r="AE83" s="455"/>
      <c r="AF83" s="455"/>
      <c r="AG83" s="455"/>
      <c r="AH83" s="455"/>
      <c r="AI83" s="440">
        <f t="shared" si="11"/>
        <v>0</v>
      </c>
      <c r="AJ83" s="463" t="e">
        <f>+VLOOKUP(R83,'Base Material'!B:D,3,FALSE)</f>
        <v>#N/A</v>
      </c>
      <c r="AK83" s="464" t="e">
        <f t="shared" si="13"/>
        <v>#N/A</v>
      </c>
    </row>
    <row r="84" spans="1:37" x14ac:dyDescent="0.25">
      <c r="A84" s="456">
        <v>17451</v>
      </c>
      <c r="B84" s="457" t="s">
        <v>36</v>
      </c>
      <c r="C84" s="458" t="s">
        <v>837</v>
      </c>
      <c r="D84" s="459"/>
      <c r="E84" s="459"/>
      <c r="F84" s="459"/>
      <c r="G84" s="459"/>
      <c r="H84" s="459"/>
      <c r="I84" s="459"/>
      <c r="J84" s="459">
        <v>1</v>
      </c>
      <c r="K84" s="459"/>
      <c r="L84" s="459"/>
      <c r="P84" s="460"/>
      <c r="R84" s="461">
        <f t="shared" si="8"/>
        <v>17451</v>
      </c>
      <c r="S84" s="461" t="str">
        <f t="shared" si="12"/>
        <v>Cloaca</v>
      </c>
      <c r="T84" s="462" t="str">
        <f t="shared" si="12"/>
        <v>flotante 3/4 alta presión</v>
      </c>
      <c r="U84" s="440">
        <f>+D84*SERVICIOS!$D$3</f>
        <v>0</v>
      </c>
      <c r="V84" s="440">
        <f>+E84*SERVICIOS!$D$4</f>
        <v>0</v>
      </c>
      <c r="W84" s="440">
        <f>+F84*SERVICIOS!$D$4</f>
        <v>0</v>
      </c>
      <c r="X84" s="440">
        <f>+SERVICIOS!$D$1*SERVICIOS!G84</f>
        <v>0</v>
      </c>
      <c r="Y84" s="440">
        <f>+H84*SERVICIOS!$D$2</f>
        <v>0</v>
      </c>
      <c r="Z84" s="440">
        <f>+I84*SERVICIOS!$D$8</f>
        <v>0</v>
      </c>
      <c r="AA84" s="440">
        <f t="shared" si="9"/>
        <v>1</v>
      </c>
      <c r="AB84" s="440">
        <f t="shared" si="10"/>
        <v>0</v>
      </c>
      <c r="AC84" s="440">
        <f>+L84*SERVICIOS!$D$6</f>
        <v>0</v>
      </c>
      <c r="AD84" s="455"/>
      <c r="AE84" s="455"/>
      <c r="AF84" s="455"/>
      <c r="AG84" s="455"/>
      <c r="AH84" s="455"/>
      <c r="AI84" s="440">
        <f t="shared" si="11"/>
        <v>1</v>
      </c>
      <c r="AJ84" s="463" t="e">
        <f>+VLOOKUP(R84,'Base Material'!B:D,3,FALSE)</f>
        <v>#N/A</v>
      </c>
      <c r="AK84" s="464" t="e">
        <f t="shared" si="13"/>
        <v>#N/A</v>
      </c>
    </row>
    <row r="85" spans="1:37" x14ac:dyDescent="0.25">
      <c r="A85" s="456">
        <v>31910</v>
      </c>
      <c r="B85" s="457" t="s">
        <v>36</v>
      </c>
      <c r="C85" s="458" t="s">
        <v>838</v>
      </c>
      <c r="D85" s="459"/>
      <c r="E85" s="459"/>
      <c r="F85" s="459"/>
      <c r="G85" s="459"/>
      <c r="H85" s="459"/>
      <c r="I85" s="459"/>
      <c r="J85" s="459">
        <v>1</v>
      </c>
      <c r="K85" s="459"/>
      <c r="L85" s="459"/>
      <c r="P85" s="460"/>
      <c r="R85" s="461">
        <f t="shared" si="8"/>
        <v>31910</v>
      </c>
      <c r="S85" s="461" t="str">
        <f t="shared" si="12"/>
        <v>Cloaca</v>
      </c>
      <c r="T85" s="462" t="str">
        <f t="shared" si="12"/>
        <v>Flotante electrico</v>
      </c>
      <c r="U85" s="440">
        <f>+D85*SERVICIOS!$D$3</f>
        <v>0</v>
      </c>
      <c r="V85" s="440">
        <f>+E85*SERVICIOS!$D$4</f>
        <v>0</v>
      </c>
      <c r="W85" s="440">
        <f>+F85*SERVICIOS!$D$4</f>
        <v>0</v>
      </c>
      <c r="X85" s="440">
        <f>+SERVICIOS!$D$1*SERVICIOS!G85</f>
        <v>0</v>
      </c>
      <c r="Y85" s="440">
        <f>+H85*SERVICIOS!$D$2</f>
        <v>0</v>
      </c>
      <c r="Z85" s="440">
        <f>+I85*SERVICIOS!$D$8</f>
        <v>0</v>
      </c>
      <c r="AA85" s="440">
        <f t="shared" si="9"/>
        <v>1</v>
      </c>
      <c r="AB85" s="440">
        <f t="shared" si="10"/>
        <v>0</v>
      </c>
      <c r="AC85" s="440">
        <f>+L85*SERVICIOS!$D$6</f>
        <v>0</v>
      </c>
      <c r="AD85" s="455"/>
      <c r="AE85" s="455"/>
      <c r="AF85" s="455"/>
      <c r="AG85" s="455"/>
      <c r="AH85" s="455"/>
      <c r="AI85" s="440">
        <f t="shared" si="11"/>
        <v>1</v>
      </c>
      <c r="AJ85" s="463" t="e">
        <f>+VLOOKUP(R85,'Base Material'!B:D,3,FALSE)</f>
        <v>#N/A</v>
      </c>
      <c r="AK85" s="464" t="e">
        <f t="shared" si="13"/>
        <v>#N/A</v>
      </c>
    </row>
    <row r="86" spans="1:37" x14ac:dyDescent="0.25">
      <c r="A86" s="456">
        <v>14841</v>
      </c>
      <c r="B86" s="457" t="s">
        <v>36</v>
      </c>
      <c r="C86" s="458" t="s">
        <v>839</v>
      </c>
      <c r="D86" s="459"/>
      <c r="E86" s="459"/>
      <c r="F86" s="459"/>
      <c r="G86" s="459"/>
      <c r="H86" s="459"/>
      <c r="I86" s="459"/>
      <c r="J86" s="459"/>
      <c r="K86" s="459">
        <v>1</v>
      </c>
      <c r="L86" s="459"/>
      <c r="P86" s="460"/>
      <c r="R86" s="461">
        <f t="shared" si="8"/>
        <v>14841</v>
      </c>
      <c r="S86" s="461" t="str">
        <f t="shared" si="12"/>
        <v>Cloaca</v>
      </c>
      <c r="T86" s="462" t="str">
        <f t="shared" si="12"/>
        <v>Kit de conección de agua</v>
      </c>
      <c r="U86" s="440">
        <f>+D86*SERVICIOS!$D$3</f>
        <v>0</v>
      </c>
      <c r="V86" s="440">
        <f>+E86*SERVICIOS!$D$4</f>
        <v>0</v>
      </c>
      <c r="W86" s="440">
        <f>+F86*SERVICIOS!$D$4</f>
        <v>0</v>
      </c>
      <c r="X86" s="440">
        <f>+SERVICIOS!$D$1*SERVICIOS!G86</f>
        <v>0</v>
      </c>
      <c r="Y86" s="440">
        <f>+H86*SERVICIOS!$D$2</f>
        <v>0</v>
      </c>
      <c r="Z86" s="440">
        <f>+I86*SERVICIOS!$D$8</f>
        <v>0</v>
      </c>
      <c r="AA86" s="440">
        <f t="shared" si="9"/>
        <v>0</v>
      </c>
      <c r="AB86" s="440">
        <f t="shared" si="10"/>
        <v>1</v>
      </c>
      <c r="AC86" s="440">
        <f>+L86*SERVICIOS!$D$6</f>
        <v>0</v>
      </c>
      <c r="AD86" s="455"/>
      <c r="AE86" s="455"/>
      <c r="AF86" s="455"/>
      <c r="AG86" s="455"/>
      <c r="AH86" s="455"/>
      <c r="AI86" s="440">
        <f t="shared" si="11"/>
        <v>1</v>
      </c>
      <c r="AJ86" s="463">
        <f>+VLOOKUP(R86,'Base Material'!B:D,3,FALSE)</f>
        <v>24878.37</v>
      </c>
      <c r="AK86" s="464">
        <f t="shared" si="13"/>
        <v>24878.37</v>
      </c>
    </row>
    <row r="87" spans="1:37" x14ac:dyDescent="0.25">
      <c r="A87" s="456">
        <v>2065</v>
      </c>
      <c r="B87" s="457" t="s">
        <v>36</v>
      </c>
      <c r="C87" s="458" t="s">
        <v>840</v>
      </c>
      <c r="D87" s="459">
        <v>2</v>
      </c>
      <c r="E87" s="459">
        <v>2</v>
      </c>
      <c r="F87" s="459"/>
      <c r="G87" s="459">
        <v>2</v>
      </c>
      <c r="H87" s="459">
        <v>2</v>
      </c>
      <c r="I87" s="459"/>
      <c r="J87" s="459"/>
      <c r="K87" s="459"/>
      <c r="L87" s="459"/>
      <c r="P87" s="460"/>
      <c r="R87" s="461">
        <f t="shared" si="8"/>
        <v>2065</v>
      </c>
      <c r="S87" s="461" t="str">
        <f t="shared" si="12"/>
        <v>Cloaca</v>
      </c>
      <c r="T87" s="462" t="str">
        <f t="shared" si="12"/>
        <v>LLave campana embellecida 1/2</v>
      </c>
      <c r="U87" s="440">
        <f>+D87*SERVICIOS!$D$3</f>
        <v>0</v>
      </c>
      <c r="V87" s="440">
        <f>+E87*SERVICIOS!$D$4</f>
        <v>0</v>
      </c>
      <c r="W87" s="440">
        <f>+F87*SERVICIOS!$D$4</f>
        <v>0</v>
      </c>
      <c r="X87" s="440">
        <f>+SERVICIOS!$D$1*SERVICIOS!G87</f>
        <v>0</v>
      </c>
      <c r="Y87" s="440">
        <f>+H87*SERVICIOS!$D$2</f>
        <v>0</v>
      </c>
      <c r="Z87" s="440">
        <f>+I87*SERVICIOS!$D$8</f>
        <v>0</v>
      </c>
      <c r="AA87" s="440">
        <f t="shared" si="9"/>
        <v>0</v>
      </c>
      <c r="AB87" s="440">
        <f t="shared" si="10"/>
        <v>0</v>
      </c>
      <c r="AC87" s="440">
        <f>+L87*SERVICIOS!$D$6</f>
        <v>0</v>
      </c>
      <c r="AD87" s="455"/>
      <c r="AE87" s="455"/>
      <c r="AF87" s="455"/>
      <c r="AG87" s="455"/>
      <c r="AH87" s="455"/>
      <c r="AI87" s="440">
        <f t="shared" si="11"/>
        <v>0</v>
      </c>
      <c r="AJ87" s="463" t="e">
        <f>+VLOOKUP(R87,'Base Material'!B:D,3,FALSE)</f>
        <v>#N/A</v>
      </c>
      <c r="AK87" s="464" t="e">
        <f t="shared" si="13"/>
        <v>#N/A</v>
      </c>
    </row>
    <row r="88" spans="1:37" x14ac:dyDescent="0.25">
      <c r="A88" s="456">
        <v>27969</v>
      </c>
      <c r="B88" s="457" t="s">
        <v>36</v>
      </c>
      <c r="C88" s="458" t="s">
        <v>841</v>
      </c>
      <c r="D88" s="459"/>
      <c r="E88" s="459"/>
      <c r="F88" s="459"/>
      <c r="G88" s="459">
        <v>1</v>
      </c>
      <c r="H88" s="459">
        <v>2</v>
      </c>
      <c r="I88" s="459"/>
      <c r="J88" s="459"/>
      <c r="K88" s="459"/>
      <c r="L88" s="459"/>
      <c r="P88" s="460"/>
      <c r="R88" s="461">
        <f t="shared" si="8"/>
        <v>27969</v>
      </c>
      <c r="S88" s="461" t="str">
        <f t="shared" si="12"/>
        <v>Cloaca</v>
      </c>
      <c r="T88" s="462" t="str">
        <f t="shared" si="12"/>
        <v>Llave de 3/4 a 1/2 ( Lavarropa)</v>
      </c>
      <c r="U88" s="440">
        <f>+D88*SERVICIOS!$D$3</f>
        <v>0</v>
      </c>
      <c r="V88" s="440">
        <f>+E88*SERVICIOS!$D$4</f>
        <v>0</v>
      </c>
      <c r="W88" s="440">
        <f>+F88*SERVICIOS!$D$4</f>
        <v>0</v>
      </c>
      <c r="X88" s="440">
        <f>+SERVICIOS!$D$1*SERVICIOS!G88</f>
        <v>0</v>
      </c>
      <c r="Y88" s="440">
        <f>+H88*SERVICIOS!$D$2</f>
        <v>0</v>
      </c>
      <c r="Z88" s="440">
        <f>+I88*SERVICIOS!$D$8</f>
        <v>0</v>
      </c>
      <c r="AA88" s="440">
        <f t="shared" si="9"/>
        <v>0</v>
      </c>
      <c r="AB88" s="440">
        <f t="shared" si="10"/>
        <v>0</v>
      </c>
      <c r="AC88" s="440">
        <f>+L88*SERVICIOS!$D$6</f>
        <v>0</v>
      </c>
      <c r="AD88" s="455"/>
      <c r="AE88" s="455"/>
      <c r="AF88" s="455"/>
      <c r="AG88" s="455"/>
      <c r="AH88" s="455"/>
      <c r="AI88" s="440">
        <f t="shared" si="11"/>
        <v>0</v>
      </c>
      <c r="AJ88" s="463">
        <f>+VLOOKUP(R88,'Base Material'!B:D,3,FALSE)</f>
        <v>4471.12</v>
      </c>
      <c r="AK88" s="464">
        <f t="shared" si="13"/>
        <v>0</v>
      </c>
    </row>
    <row r="89" spans="1:37" x14ac:dyDescent="0.25">
      <c r="A89" s="456">
        <v>18484</v>
      </c>
      <c r="B89" s="457" t="s">
        <v>36</v>
      </c>
      <c r="C89" s="458" t="s">
        <v>842</v>
      </c>
      <c r="D89" s="459"/>
      <c r="E89" s="459"/>
      <c r="F89" s="459"/>
      <c r="G89" s="459"/>
      <c r="H89" s="459"/>
      <c r="I89" s="459"/>
      <c r="J89" s="459">
        <v>10</v>
      </c>
      <c r="K89" s="459"/>
      <c r="L89" s="459"/>
      <c r="P89" s="460"/>
      <c r="R89" s="461">
        <f t="shared" si="8"/>
        <v>18484</v>
      </c>
      <c r="S89" s="461" t="str">
        <f t="shared" si="12"/>
        <v>Cloaca</v>
      </c>
      <c r="T89" s="462" t="str">
        <f t="shared" si="12"/>
        <v>Llave esferica de 25</v>
      </c>
      <c r="U89" s="440">
        <f>+D89*SERVICIOS!$D$3</f>
        <v>0</v>
      </c>
      <c r="V89" s="440">
        <f>+E89*SERVICIOS!$D$4</f>
        <v>0</v>
      </c>
      <c r="W89" s="440">
        <f>+F89*SERVICIOS!$D$4</f>
        <v>0</v>
      </c>
      <c r="X89" s="440">
        <f>+SERVICIOS!$D$1*SERVICIOS!G89</f>
        <v>0</v>
      </c>
      <c r="Y89" s="440">
        <f>+H89*SERVICIOS!$D$2</f>
        <v>0</v>
      </c>
      <c r="Z89" s="440">
        <f>+I89*SERVICIOS!$D$8</f>
        <v>0</v>
      </c>
      <c r="AA89" s="440">
        <f t="shared" si="9"/>
        <v>10</v>
      </c>
      <c r="AB89" s="440">
        <f t="shared" si="10"/>
        <v>0</v>
      </c>
      <c r="AC89" s="440">
        <f>+L89*SERVICIOS!$D$6</f>
        <v>0</v>
      </c>
      <c r="AD89" s="455"/>
      <c r="AE89" s="455"/>
      <c r="AF89" s="455"/>
      <c r="AG89" s="455"/>
      <c r="AH89" s="455"/>
      <c r="AI89" s="440">
        <f t="shared" si="11"/>
        <v>10</v>
      </c>
      <c r="AJ89" s="463" t="e">
        <f>+VLOOKUP(R89,'Base Material'!B:D,3,FALSE)</f>
        <v>#N/A</v>
      </c>
      <c r="AK89" s="464" t="e">
        <f t="shared" si="13"/>
        <v>#N/A</v>
      </c>
    </row>
    <row r="90" spans="1:37" x14ac:dyDescent="0.25">
      <c r="A90" s="456">
        <v>25448</v>
      </c>
      <c r="B90" s="457" t="s">
        <v>36</v>
      </c>
      <c r="C90" s="458" t="s">
        <v>843</v>
      </c>
      <c r="D90" s="459"/>
      <c r="E90" s="459"/>
      <c r="F90" s="459"/>
      <c r="G90" s="459"/>
      <c r="H90" s="459">
        <v>1</v>
      </c>
      <c r="I90" s="459"/>
      <c r="J90" s="459">
        <v>7</v>
      </c>
      <c r="K90" s="459"/>
      <c r="L90" s="459"/>
      <c r="P90" s="460"/>
      <c r="R90" s="461">
        <f t="shared" si="8"/>
        <v>25448</v>
      </c>
      <c r="S90" s="461" t="str">
        <f t="shared" si="12"/>
        <v>Cloaca</v>
      </c>
      <c r="T90" s="462" t="str">
        <f t="shared" si="12"/>
        <v>Llave esférica de 3/4</v>
      </c>
      <c r="U90" s="440">
        <f>+D90*SERVICIOS!$D$3</f>
        <v>0</v>
      </c>
      <c r="V90" s="440">
        <f>+E90*SERVICIOS!$D$4</f>
        <v>0</v>
      </c>
      <c r="W90" s="440">
        <f>+F90*SERVICIOS!$D$4</f>
        <v>0</v>
      </c>
      <c r="X90" s="440">
        <f>+SERVICIOS!$D$1*SERVICIOS!G90</f>
        <v>0</v>
      </c>
      <c r="Y90" s="440">
        <f>+H90*SERVICIOS!$D$2</f>
        <v>0</v>
      </c>
      <c r="Z90" s="440">
        <f>+I90*SERVICIOS!$D$8</f>
        <v>0</v>
      </c>
      <c r="AA90" s="440">
        <f t="shared" si="9"/>
        <v>7</v>
      </c>
      <c r="AB90" s="440">
        <f t="shared" si="10"/>
        <v>0</v>
      </c>
      <c r="AC90" s="440">
        <f>+L90*SERVICIOS!$D$6</f>
        <v>0</v>
      </c>
      <c r="AD90" s="455"/>
      <c r="AE90" s="455"/>
      <c r="AF90" s="455"/>
      <c r="AG90" s="455"/>
      <c r="AH90" s="455"/>
      <c r="AI90" s="440">
        <f t="shared" si="11"/>
        <v>7</v>
      </c>
      <c r="AJ90" s="463" t="e">
        <f>+VLOOKUP(R90,'Base Material'!B:D,3,FALSE)</f>
        <v>#N/A</v>
      </c>
      <c r="AK90" s="464" t="e">
        <f t="shared" si="13"/>
        <v>#N/A</v>
      </c>
    </row>
    <row r="91" spans="1:37" x14ac:dyDescent="0.25">
      <c r="A91" s="456">
        <v>10889</v>
      </c>
      <c r="B91" s="457" t="s">
        <v>36</v>
      </c>
      <c r="C91" s="458" t="s">
        <v>844</v>
      </c>
      <c r="D91" s="459">
        <v>3</v>
      </c>
      <c r="E91" s="459">
        <v>5</v>
      </c>
      <c r="F91" s="459"/>
      <c r="G91" s="459"/>
      <c r="H91" s="459"/>
      <c r="I91" s="459"/>
      <c r="J91" s="459"/>
      <c r="K91" s="459"/>
      <c r="L91" s="459"/>
      <c r="P91" s="460"/>
      <c r="R91" s="461">
        <f t="shared" si="8"/>
        <v>10889</v>
      </c>
      <c r="S91" s="461" t="str">
        <f t="shared" si="12"/>
        <v>Cloaca</v>
      </c>
      <c r="T91" s="462" t="str">
        <f t="shared" si="12"/>
        <v>Prolongadores de 1/2x20mm</v>
      </c>
      <c r="U91" s="440">
        <f>+D91*SERVICIOS!$D$3</f>
        <v>0</v>
      </c>
      <c r="V91" s="440">
        <f>+E91*SERVICIOS!$D$4</f>
        <v>0</v>
      </c>
      <c r="W91" s="440">
        <f>+F91*SERVICIOS!$D$4</f>
        <v>0</v>
      </c>
      <c r="X91" s="440">
        <f>+SERVICIOS!$D$1*SERVICIOS!G91</f>
        <v>0</v>
      </c>
      <c r="Y91" s="440">
        <f>+H91*SERVICIOS!$D$2</f>
        <v>0</v>
      </c>
      <c r="Z91" s="440">
        <f>+I91*SERVICIOS!$D$8</f>
        <v>0</v>
      </c>
      <c r="AA91" s="440">
        <f t="shared" si="9"/>
        <v>0</v>
      </c>
      <c r="AB91" s="440">
        <f t="shared" si="10"/>
        <v>0</v>
      </c>
      <c r="AC91" s="440">
        <f>+L91*SERVICIOS!$D$6</f>
        <v>0</v>
      </c>
      <c r="AD91" s="455"/>
      <c r="AE91" s="455"/>
      <c r="AF91" s="455"/>
      <c r="AG91" s="455"/>
      <c r="AH91" s="455"/>
      <c r="AI91" s="440">
        <f t="shared" si="11"/>
        <v>0</v>
      </c>
      <c r="AJ91" s="463" t="e">
        <f>+VLOOKUP(R91,'Base Material'!B:D,3,FALSE)</f>
        <v>#N/A</v>
      </c>
      <c r="AK91" s="464" t="e">
        <f t="shared" si="13"/>
        <v>#N/A</v>
      </c>
    </row>
    <row r="92" spans="1:37" x14ac:dyDescent="0.25">
      <c r="A92" s="456">
        <v>12410</v>
      </c>
      <c r="B92" s="457" t="s">
        <v>36</v>
      </c>
      <c r="C92" s="458" t="s">
        <v>845</v>
      </c>
      <c r="D92" s="459"/>
      <c r="E92" s="459"/>
      <c r="F92" s="459"/>
      <c r="G92" s="459"/>
      <c r="H92" s="459"/>
      <c r="I92" s="459"/>
      <c r="J92" s="459">
        <v>2</v>
      </c>
      <c r="K92" s="459"/>
      <c r="L92" s="459"/>
      <c r="P92" s="460"/>
      <c r="R92" s="461">
        <f t="shared" si="8"/>
        <v>12410</v>
      </c>
      <c r="S92" s="461" t="str">
        <f t="shared" si="12"/>
        <v>Cloaca</v>
      </c>
      <c r="T92" s="462" t="str">
        <f t="shared" si="12"/>
        <v>Reducciones de 1"1/2x1"</v>
      </c>
      <c r="U92" s="440">
        <f>+D92*SERVICIOS!$D$3</f>
        <v>0</v>
      </c>
      <c r="V92" s="440">
        <f>+E92*SERVICIOS!$D$4</f>
        <v>0</v>
      </c>
      <c r="W92" s="440">
        <f>+F92*SERVICIOS!$D$4</f>
        <v>0</v>
      </c>
      <c r="X92" s="440">
        <f>+SERVICIOS!$D$1*SERVICIOS!G92</f>
        <v>0</v>
      </c>
      <c r="Y92" s="440">
        <f>+H92*SERVICIOS!$D$2</f>
        <v>0</v>
      </c>
      <c r="Z92" s="440">
        <f>+I92*SERVICIOS!$D$8</f>
        <v>0</v>
      </c>
      <c r="AA92" s="440">
        <f t="shared" si="9"/>
        <v>2</v>
      </c>
      <c r="AB92" s="440">
        <f t="shared" si="10"/>
        <v>0</v>
      </c>
      <c r="AC92" s="440">
        <f>+L92*SERVICIOS!$D$6</f>
        <v>0</v>
      </c>
      <c r="AD92" s="455"/>
      <c r="AE92" s="455"/>
      <c r="AF92" s="455"/>
      <c r="AG92" s="455"/>
      <c r="AH92" s="455"/>
      <c r="AI92" s="440">
        <f t="shared" si="11"/>
        <v>2</v>
      </c>
      <c r="AJ92" s="463" t="e">
        <f>+VLOOKUP(R92,'Base Material'!B:D,3,FALSE)</f>
        <v>#N/A</v>
      </c>
      <c r="AK92" s="464" t="e">
        <f t="shared" si="13"/>
        <v>#N/A</v>
      </c>
    </row>
    <row r="93" spans="1:37" x14ac:dyDescent="0.25">
      <c r="A93" s="456">
        <v>10551</v>
      </c>
      <c r="B93" s="457" t="s">
        <v>36</v>
      </c>
      <c r="C93" s="458" t="s">
        <v>846</v>
      </c>
      <c r="D93" s="459"/>
      <c r="E93" s="459"/>
      <c r="F93" s="459"/>
      <c r="G93" s="459"/>
      <c r="H93" s="459"/>
      <c r="I93" s="459"/>
      <c r="J93" s="459">
        <v>8</v>
      </c>
      <c r="K93" s="459"/>
      <c r="L93" s="459"/>
      <c r="P93" s="460"/>
      <c r="R93" s="461">
        <f t="shared" si="8"/>
        <v>10551</v>
      </c>
      <c r="S93" s="461" t="str">
        <f t="shared" si="12"/>
        <v>Cloaca</v>
      </c>
      <c r="T93" s="462" t="str">
        <f t="shared" si="12"/>
        <v>Reducciones de 1"1/2x3/4</v>
      </c>
      <c r="U93" s="440">
        <f>+D93*SERVICIOS!$D$3</f>
        <v>0</v>
      </c>
      <c r="V93" s="440">
        <f>+E93*SERVICIOS!$D$4</f>
        <v>0</v>
      </c>
      <c r="W93" s="440">
        <f>+F93*SERVICIOS!$D$4</f>
        <v>0</v>
      </c>
      <c r="X93" s="440">
        <f>+SERVICIOS!$D$1*SERVICIOS!G93</f>
        <v>0</v>
      </c>
      <c r="Y93" s="440">
        <f>+H93*SERVICIOS!$D$2</f>
        <v>0</v>
      </c>
      <c r="Z93" s="440">
        <f>+I93*SERVICIOS!$D$8</f>
        <v>0</v>
      </c>
      <c r="AA93" s="440">
        <f t="shared" si="9"/>
        <v>8</v>
      </c>
      <c r="AB93" s="440">
        <f t="shared" si="10"/>
        <v>0</v>
      </c>
      <c r="AC93" s="440">
        <f>+L93*SERVICIOS!$D$6</f>
        <v>0</v>
      </c>
      <c r="AD93" s="455"/>
      <c r="AE93" s="455"/>
      <c r="AF93" s="455"/>
      <c r="AG93" s="455"/>
      <c r="AH93" s="455"/>
      <c r="AI93" s="440">
        <f t="shared" si="11"/>
        <v>8</v>
      </c>
      <c r="AJ93" s="463" t="e">
        <f>+VLOOKUP(R93,'Base Material'!B:D,3,FALSE)</f>
        <v>#N/A</v>
      </c>
      <c r="AK93" s="464" t="e">
        <f t="shared" si="13"/>
        <v>#N/A</v>
      </c>
    </row>
    <row r="94" spans="1:37" x14ac:dyDescent="0.25">
      <c r="A94" s="456">
        <v>11915</v>
      </c>
      <c r="B94" s="457" t="s">
        <v>36</v>
      </c>
      <c r="C94" s="458" t="s">
        <v>847</v>
      </c>
      <c r="D94" s="459"/>
      <c r="E94" s="459"/>
      <c r="F94" s="459"/>
      <c r="G94" s="459"/>
      <c r="H94" s="459">
        <v>6</v>
      </c>
      <c r="I94" s="459"/>
      <c r="J94" s="459"/>
      <c r="K94" s="459"/>
      <c r="L94" s="459"/>
      <c r="P94" s="460"/>
      <c r="R94" s="461">
        <f t="shared" si="8"/>
        <v>11915</v>
      </c>
      <c r="S94" s="461" t="str">
        <f t="shared" si="12"/>
        <v>Cloaca</v>
      </c>
      <c r="T94" s="462" t="str">
        <f t="shared" si="12"/>
        <v>Sobrepaso fusión de 25</v>
      </c>
      <c r="U94" s="440">
        <f>+D94*SERVICIOS!$D$3</f>
        <v>0</v>
      </c>
      <c r="V94" s="440">
        <f>+E94*SERVICIOS!$D$4</f>
        <v>0</v>
      </c>
      <c r="W94" s="440">
        <f>+F94*SERVICIOS!$D$4</f>
        <v>0</v>
      </c>
      <c r="X94" s="440">
        <f>+SERVICIOS!$D$1*SERVICIOS!G94</f>
        <v>0</v>
      </c>
      <c r="Y94" s="440">
        <f>+H94*SERVICIOS!$D$2</f>
        <v>0</v>
      </c>
      <c r="Z94" s="440">
        <f>+I94*SERVICIOS!$D$8</f>
        <v>0</v>
      </c>
      <c r="AA94" s="440">
        <f t="shared" si="9"/>
        <v>0</v>
      </c>
      <c r="AB94" s="440">
        <f t="shared" si="10"/>
        <v>0</v>
      </c>
      <c r="AC94" s="440">
        <f>+L94*SERVICIOS!$D$6</f>
        <v>0</v>
      </c>
      <c r="AD94" s="455"/>
      <c r="AE94" s="455"/>
      <c r="AF94" s="455"/>
      <c r="AG94" s="455"/>
      <c r="AH94" s="455"/>
      <c r="AI94" s="440">
        <f t="shared" si="11"/>
        <v>0</v>
      </c>
      <c r="AJ94" s="463" t="e">
        <f>+VLOOKUP(R94,'Base Material'!B:D,3,FALSE)</f>
        <v>#N/A</v>
      </c>
      <c r="AK94" s="464" t="e">
        <f t="shared" si="13"/>
        <v>#N/A</v>
      </c>
    </row>
    <row r="95" spans="1:37" x14ac:dyDescent="0.25">
      <c r="A95" s="456">
        <v>25378</v>
      </c>
      <c r="B95" s="457" t="s">
        <v>36</v>
      </c>
      <c r="C95" s="458" t="s">
        <v>848</v>
      </c>
      <c r="D95" s="459"/>
      <c r="E95" s="459"/>
      <c r="F95" s="459"/>
      <c r="G95" s="459"/>
      <c r="H95" s="459"/>
      <c r="I95" s="459"/>
      <c r="J95" s="459"/>
      <c r="K95" s="459">
        <v>2</v>
      </c>
      <c r="L95" s="459"/>
      <c r="P95" s="460"/>
      <c r="R95" s="461">
        <f t="shared" si="8"/>
        <v>25378</v>
      </c>
      <c r="S95" s="461" t="str">
        <f t="shared" si="12"/>
        <v>Cloaca</v>
      </c>
      <c r="T95" s="462" t="str">
        <f t="shared" si="12"/>
        <v>Surtidores de media</v>
      </c>
      <c r="U95" s="440">
        <f>+D95*SERVICIOS!$D$3</f>
        <v>0</v>
      </c>
      <c r="V95" s="440">
        <f>+E95*SERVICIOS!$D$4</f>
        <v>0</v>
      </c>
      <c r="W95" s="440">
        <f>+F95*SERVICIOS!$D$4</f>
        <v>0</v>
      </c>
      <c r="X95" s="440">
        <f>+SERVICIOS!$D$1*SERVICIOS!G95</f>
        <v>0</v>
      </c>
      <c r="Y95" s="440">
        <f>+H95*SERVICIOS!$D$2</f>
        <v>0</v>
      </c>
      <c r="Z95" s="440">
        <f>+I95*SERVICIOS!$D$8</f>
        <v>0</v>
      </c>
      <c r="AA95" s="440">
        <f t="shared" si="9"/>
        <v>0</v>
      </c>
      <c r="AB95" s="440">
        <f t="shared" si="10"/>
        <v>2</v>
      </c>
      <c r="AC95" s="440">
        <f>+L95*SERVICIOS!$D$6</f>
        <v>0</v>
      </c>
      <c r="AD95" s="455"/>
      <c r="AE95" s="455"/>
      <c r="AF95" s="455"/>
      <c r="AG95" s="455"/>
      <c r="AH95" s="455"/>
      <c r="AI95" s="440">
        <f t="shared" si="11"/>
        <v>2</v>
      </c>
      <c r="AJ95" s="463" t="e">
        <f>+VLOOKUP(R95,'Base Material'!B:D,3,FALSE)</f>
        <v>#N/A</v>
      </c>
      <c r="AK95" s="464" t="e">
        <f t="shared" si="13"/>
        <v>#N/A</v>
      </c>
    </row>
    <row r="96" spans="1:37" x14ac:dyDescent="0.25">
      <c r="A96" s="456">
        <v>2218</v>
      </c>
      <c r="B96" s="457" t="s">
        <v>36</v>
      </c>
      <c r="C96" s="458" t="s">
        <v>849</v>
      </c>
      <c r="D96" s="459"/>
      <c r="E96" s="459"/>
      <c r="F96" s="459"/>
      <c r="G96" s="459"/>
      <c r="H96" s="459"/>
      <c r="I96" s="459"/>
      <c r="J96" s="459">
        <v>8</v>
      </c>
      <c r="K96" s="459"/>
      <c r="L96" s="459"/>
      <c r="P96" s="460"/>
      <c r="R96" s="461">
        <f t="shared" si="8"/>
        <v>2218</v>
      </c>
      <c r="S96" s="461" t="str">
        <f t="shared" si="12"/>
        <v>Cloaca</v>
      </c>
      <c r="T96" s="462" t="str">
        <f t="shared" si="12"/>
        <v>T de 1"1/2</v>
      </c>
      <c r="U96" s="440">
        <f>+D96*SERVICIOS!$D$3</f>
        <v>0</v>
      </c>
      <c r="V96" s="440">
        <f>+E96*SERVICIOS!$D$4</f>
        <v>0</v>
      </c>
      <c r="W96" s="440">
        <f>+F96*SERVICIOS!$D$4</f>
        <v>0</v>
      </c>
      <c r="X96" s="440">
        <f>+SERVICIOS!$D$1*SERVICIOS!G96</f>
        <v>0</v>
      </c>
      <c r="Y96" s="440">
        <f>+H96*SERVICIOS!$D$2</f>
        <v>0</v>
      </c>
      <c r="Z96" s="440">
        <f>+I96*SERVICIOS!$D$8</f>
        <v>0</v>
      </c>
      <c r="AA96" s="440">
        <f t="shared" si="9"/>
        <v>8</v>
      </c>
      <c r="AB96" s="440">
        <f t="shared" si="10"/>
        <v>0</v>
      </c>
      <c r="AC96" s="440">
        <f>+L96*SERVICIOS!$D$6</f>
        <v>0</v>
      </c>
      <c r="AD96" s="455"/>
      <c r="AE96" s="455"/>
      <c r="AF96" s="455"/>
      <c r="AG96" s="455"/>
      <c r="AH96" s="455"/>
      <c r="AI96" s="440">
        <f t="shared" si="11"/>
        <v>8</v>
      </c>
      <c r="AJ96" s="463" t="e">
        <f>+VLOOKUP(R96,'Base Material'!B:D,3,FALSE)</f>
        <v>#N/A</v>
      </c>
      <c r="AK96" s="464" t="e">
        <f t="shared" si="13"/>
        <v>#N/A</v>
      </c>
    </row>
    <row r="97" spans="1:37" x14ac:dyDescent="0.25">
      <c r="A97" s="456">
        <v>1933</v>
      </c>
      <c r="B97" s="457" t="s">
        <v>36</v>
      </c>
      <c r="C97" s="458" t="s">
        <v>850</v>
      </c>
      <c r="D97" s="459">
        <v>2</v>
      </c>
      <c r="E97" s="459">
        <v>6</v>
      </c>
      <c r="F97" s="459"/>
      <c r="G97" s="459">
        <v>2</v>
      </c>
      <c r="H97" s="459">
        <v>10</v>
      </c>
      <c r="I97" s="459"/>
      <c r="J97" s="459"/>
      <c r="K97" s="459">
        <v>12</v>
      </c>
      <c r="L97" s="459"/>
      <c r="P97" s="460"/>
      <c r="R97" s="461">
        <f t="shared" si="8"/>
        <v>1933</v>
      </c>
      <c r="S97" s="461" t="str">
        <f t="shared" si="12"/>
        <v>Cloaca</v>
      </c>
      <c r="T97" s="462" t="str">
        <f t="shared" si="12"/>
        <v>T de 25 fusión fusión </v>
      </c>
      <c r="U97" s="440">
        <f>+D97*SERVICIOS!$D$3</f>
        <v>0</v>
      </c>
      <c r="V97" s="440">
        <f>+E97*SERVICIOS!$D$4</f>
        <v>0</v>
      </c>
      <c r="W97" s="440">
        <f>+F97*SERVICIOS!$D$4</f>
        <v>0</v>
      </c>
      <c r="X97" s="440">
        <f>+SERVICIOS!$D$1*SERVICIOS!G97</f>
        <v>0</v>
      </c>
      <c r="Y97" s="440">
        <f>+H97*SERVICIOS!$D$2</f>
        <v>0</v>
      </c>
      <c r="Z97" s="440">
        <f>+I97*SERVICIOS!$D$8</f>
        <v>0</v>
      </c>
      <c r="AA97" s="440">
        <f t="shared" si="9"/>
        <v>0</v>
      </c>
      <c r="AB97" s="440">
        <f t="shared" si="10"/>
        <v>12</v>
      </c>
      <c r="AC97" s="440">
        <f>+L97*SERVICIOS!$D$6</f>
        <v>0</v>
      </c>
      <c r="AD97" s="455"/>
      <c r="AE97" s="455"/>
      <c r="AF97" s="455"/>
      <c r="AG97" s="455"/>
      <c r="AH97" s="455"/>
      <c r="AI97" s="440">
        <f t="shared" si="11"/>
        <v>12</v>
      </c>
      <c r="AJ97" s="463" t="e">
        <f>+VLOOKUP(R97,'Base Material'!B:D,3,FALSE)</f>
        <v>#N/A</v>
      </c>
      <c r="AK97" s="464" t="e">
        <f t="shared" si="13"/>
        <v>#N/A</v>
      </c>
    </row>
    <row r="98" spans="1:37" x14ac:dyDescent="0.25">
      <c r="A98" s="456">
        <v>1934</v>
      </c>
      <c r="B98" s="457" t="s">
        <v>36</v>
      </c>
      <c r="C98" s="458" t="s">
        <v>851</v>
      </c>
      <c r="D98" s="459"/>
      <c r="E98" s="459"/>
      <c r="F98" s="459"/>
      <c r="G98" s="459"/>
      <c r="H98" s="459"/>
      <c r="I98" s="459"/>
      <c r="J98" s="459"/>
      <c r="K98" s="459">
        <v>12</v>
      </c>
      <c r="L98" s="459"/>
      <c r="P98" s="460"/>
      <c r="R98" s="461">
        <f t="shared" si="8"/>
        <v>1934</v>
      </c>
      <c r="S98" s="461" t="str">
        <f t="shared" si="12"/>
        <v>Cloaca</v>
      </c>
      <c r="T98" s="462" t="str">
        <f t="shared" si="12"/>
        <v>T de 32 fusión fusión</v>
      </c>
      <c r="U98" s="440">
        <f>+D98*SERVICIOS!$D$3</f>
        <v>0</v>
      </c>
      <c r="V98" s="440">
        <f>+E98*SERVICIOS!$D$4</f>
        <v>0</v>
      </c>
      <c r="W98" s="440">
        <f>+F98*SERVICIOS!$D$4</f>
        <v>0</v>
      </c>
      <c r="X98" s="440">
        <f>+SERVICIOS!$D$1*SERVICIOS!G98</f>
        <v>0</v>
      </c>
      <c r="Y98" s="440">
        <f>+H98*SERVICIOS!$D$2</f>
        <v>0</v>
      </c>
      <c r="Z98" s="440">
        <f>+I98*SERVICIOS!$D$8</f>
        <v>0</v>
      </c>
      <c r="AA98" s="440">
        <f t="shared" si="9"/>
        <v>0</v>
      </c>
      <c r="AB98" s="440">
        <f t="shared" si="10"/>
        <v>12</v>
      </c>
      <c r="AC98" s="440">
        <f>+L98*SERVICIOS!$D$6</f>
        <v>0</v>
      </c>
      <c r="AD98" s="455"/>
      <c r="AE98" s="455"/>
      <c r="AF98" s="455"/>
      <c r="AG98" s="455"/>
      <c r="AH98" s="455"/>
      <c r="AI98" s="440">
        <f t="shared" si="11"/>
        <v>12</v>
      </c>
      <c r="AJ98" s="463" t="e">
        <f>+VLOOKUP(R98,'Base Material'!B:D,3,FALSE)</f>
        <v>#N/A</v>
      </c>
      <c r="AK98" s="464" t="e">
        <f t="shared" si="13"/>
        <v>#N/A</v>
      </c>
    </row>
    <row r="99" spans="1:37" x14ac:dyDescent="0.25">
      <c r="A99" s="456">
        <v>7571</v>
      </c>
      <c r="B99" s="457" t="s">
        <v>36</v>
      </c>
      <c r="C99" s="458" t="s">
        <v>852</v>
      </c>
      <c r="D99" s="459"/>
      <c r="E99" s="459"/>
      <c r="F99" s="459"/>
      <c r="G99" s="459"/>
      <c r="H99" s="459"/>
      <c r="I99" s="459"/>
      <c r="J99" s="459"/>
      <c r="K99" s="459">
        <v>1</v>
      </c>
      <c r="L99" s="459"/>
      <c r="P99" s="460"/>
      <c r="R99" s="461">
        <f t="shared" si="8"/>
        <v>7571</v>
      </c>
      <c r="S99" s="461" t="str">
        <f t="shared" si="12"/>
        <v>Cloaca</v>
      </c>
      <c r="T99" s="462" t="str">
        <f t="shared" si="12"/>
        <v>Tanque de 1500 lts</v>
      </c>
      <c r="U99" s="440">
        <f>+D99*SERVICIOS!$D$3</f>
        <v>0</v>
      </c>
      <c r="V99" s="440">
        <f>+E99*SERVICIOS!$D$4</f>
        <v>0</v>
      </c>
      <c r="W99" s="440">
        <f>+F99*SERVICIOS!$D$4</f>
        <v>0</v>
      </c>
      <c r="X99" s="440">
        <f>+SERVICIOS!$D$1*SERVICIOS!G99</f>
        <v>0</v>
      </c>
      <c r="Y99" s="440">
        <f>+H99*SERVICIOS!$D$2</f>
        <v>0</v>
      </c>
      <c r="Z99" s="440">
        <f>+I99*SERVICIOS!$D$8</f>
        <v>0</v>
      </c>
      <c r="AA99" s="440">
        <f t="shared" si="9"/>
        <v>0</v>
      </c>
      <c r="AB99" s="440">
        <f t="shared" si="10"/>
        <v>1</v>
      </c>
      <c r="AC99" s="440">
        <f>+L99*SERVICIOS!$D$6</f>
        <v>0</v>
      </c>
      <c r="AD99" s="455"/>
      <c r="AE99" s="455"/>
      <c r="AF99" s="455"/>
      <c r="AG99" s="455"/>
      <c r="AH99" s="455"/>
      <c r="AI99" s="440">
        <f t="shared" si="11"/>
        <v>1</v>
      </c>
      <c r="AJ99" s="463" t="e">
        <f>+VLOOKUP(R99,'Base Material'!B:D,3,FALSE)</f>
        <v>#N/A</v>
      </c>
      <c r="AK99" s="464" t="e">
        <f t="shared" si="13"/>
        <v>#N/A</v>
      </c>
    </row>
    <row r="100" spans="1:37" x14ac:dyDescent="0.25">
      <c r="A100" s="456">
        <v>1895</v>
      </c>
      <c r="B100" s="457" t="s">
        <v>36</v>
      </c>
      <c r="C100" s="458" t="s">
        <v>853</v>
      </c>
      <c r="D100" s="459"/>
      <c r="E100" s="459"/>
      <c r="F100" s="459"/>
      <c r="G100" s="459"/>
      <c r="H100" s="459"/>
      <c r="I100" s="459"/>
      <c r="J100" s="459"/>
      <c r="K100" s="459">
        <v>5</v>
      </c>
      <c r="L100" s="459"/>
      <c r="P100" s="460"/>
      <c r="R100" s="461">
        <f t="shared" si="8"/>
        <v>1895</v>
      </c>
      <c r="S100" s="461" t="str">
        <f t="shared" si="12"/>
        <v>Cloaca</v>
      </c>
      <c r="T100" s="462" t="str">
        <f t="shared" si="12"/>
        <v>Tapa fusión de 25</v>
      </c>
      <c r="U100" s="440">
        <f>+D100*SERVICIOS!$D$3</f>
        <v>0</v>
      </c>
      <c r="V100" s="440">
        <f>+E100*SERVICIOS!$D$4</f>
        <v>0</v>
      </c>
      <c r="W100" s="440">
        <f>+F100*SERVICIOS!$D$4</f>
        <v>0</v>
      </c>
      <c r="X100" s="440">
        <f>+SERVICIOS!$D$1*SERVICIOS!G100</f>
        <v>0</v>
      </c>
      <c r="Y100" s="440">
        <f>+H100*SERVICIOS!$D$2</f>
        <v>0</v>
      </c>
      <c r="Z100" s="440">
        <f>+I100*SERVICIOS!$D$8</f>
        <v>0</v>
      </c>
      <c r="AA100" s="440">
        <f t="shared" si="9"/>
        <v>0</v>
      </c>
      <c r="AB100" s="440">
        <f t="shared" si="10"/>
        <v>5</v>
      </c>
      <c r="AC100" s="440">
        <f>+L100*SERVICIOS!$D$6</f>
        <v>0</v>
      </c>
      <c r="AD100" s="455"/>
      <c r="AE100" s="455"/>
      <c r="AF100" s="455"/>
      <c r="AG100" s="455"/>
      <c r="AH100" s="455"/>
      <c r="AI100" s="440">
        <f t="shared" si="11"/>
        <v>5</v>
      </c>
      <c r="AJ100" s="463" t="e">
        <f>+VLOOKUP(R100,'Base Material'!B:D,3,FALSE)</f>
        <v>#N/A</v>
      </c>
      <c r="AK100" s="464" t="e">
        <f t="shared" si="13"/>
        <v>#N/A</v>
      </c>
    </row>
    <row r="101" spans="1:37" x14ac:dyDescent="0.25">
      <c r="A101" s="456">
        <v>1896</v>
      </c>
      <c r="B101" s="457" t="s">
        <v>36</v>
      </c>
      <c r="C101" s="458" t="s">
        <v>854</v>
      </c>
      <c r="D101" s="459"/>
      <c r="E101" s="459"/>
      <c r="F101" s="459"/>
      <c r="G101" s="459"/>
      <c r="H101" s="459"/>
      <c r="I101" s="459"/>
      <c r="J101" s="459"/>
      <c r="K101" s="459">
        <v>5</v>
      </c>
      <c r="L101" s="459"/>
      <c r="P101" s="460"/>
      <c r="R101" s="461">
        <f t="shared" si="8"/>
        <v>1896</v>
      </c>
      <c r="S101" s="461" t="str">
        <f t="shared" si="12"/>
        <v>Cloaca</v>
      </c>
      <c r="T101" s="462" t="str">
        <f t="shared" si="12"/>
        <v>Tapa fusión de 32</v>
      </c>
      <c r="U101" s="440">
        <f>+D101*SERVICIOS!$D$3</f>
        <v>0</v>
      </c>
      <c r="V101" s="440">
        <f>+E101*SERVICIOS!$D$4</f>
        <v>0</v>
      </c>
      <c r="W101" s="440">
        <f>+F101*SERVICIOS!$D$4</f>
        <v>0</v>
      </c>
      <c r="X101" s="440">
        <f>+SERVICIOS!$D$1*SERVICIOS!G101</f>
        <v>0</v>
      </c>
      <c r="Y101" s="440">
        <f>+H101*SERVICIOS!$D$2</f>
        <v>0</v>
      </c>
      <c r="Z101" s="440">
        <f>+I101*SERVICIOS!$D$8</f>
        <v>0</v>
      </c>
      <c r="AA101" s="440">
        <f t="shared" si="9"/>
        <v>0</v>
      </c>
      <c r="AB101" s="440">
        <f t="shared" si="10"/>
        <v>5</v>
      </c>
      <c r="AC101" s="440">
        <f>+L101*SERVICIOS!$D$6</f>
        <v>0</v>
      </c>
      <c r="AD101" s="455"/>
      <c r="AE101" s="455"/>
      <c r="AF101" s="455"/>
      <c r="AG101" s="455"/>
      <c r="AH101" s="455"/>
      <c r="AI101" s="440">
        <f t="shared" si="11"/>
        <v>5</v>
      </c>
      <c r="AJ101" s="463" t="e">
        <f>+VLOOKUP(R101,'Base Material'!B:D,3,FALSE)</f>
        <v>#N/A</v>
      </c>
      <c r="AK101" s="464" t="e">
        <f t="shared" si="13"/>
        <v>#N/A</v>
      </c>
    </row>
    <row r="102" spans="1:37" x14ac:dyDescent="0.25">
      <c r="A102" s="456">
        <v>2295</v>
      </c>
      <c r="B102" s="457" t="s">
        <v>36</v>
      </c>
      <c r="C102" s="458" t="s">
        <v>855</v>
      </c>
      <c r="D102" s="459">
        <v>3</v>
      </c>
      <c r="E102" s="459">
        <v>5</v>
      </c>
      <c r="F102" s="459"/>
      <c r="G102" s="459">
        <v>2</v>
      </c>
      <c r="H102" s="459"/>
      <c r="I102" s="459"/>
      <c r="J102" s="459"/>
      <c r="K102" s="459"/>
      <c r="L102" s="459"/>
      <c r="P102" s="460"/>
      <c r="R102" s="461">
        <f t="shared" si="8"/>
        <v>2295</v>
      </c>
      <c r="S102" s="461" t="str">
        <f t="shared" si="12"/>
        <v>Cloaca</v>
      </c>
      <c r="T102" s="462" t="str">
        <f t="shared" si="12"/>
        <v>Tapones de 1/2</v>
      </c>
      <c r="U102" s="440">
        <f>+D102*SERVICIOS!$D$3</f>
        <v>0</v>
      </c>
      <c r="V102" s="440">
        <f>+E102*SERVICIOS!$D$4</f>
        <v>0</v>
      </c>
      <c r="W102" s="440">
        <f>+F102*SERVICIOS!$D$4</f>
        <v>0</v>
      </c>
      <c r="X102" s="440">
        <f>+SERVICIOS!$D$1*SERVICIOS!G102</f>
        <v>0</v>
      </c>
      <c r="Y102" s="440">
        <f>+H102*SERVICIOS!$D$2</f>
        <v>0</v>
      </c>
      <c r="Z102" s="440">
        <f>+I102*SERVICIOS!$D$8</f>
        <v>0</v>
      </c>
      <c r="AA102" s="440">
        <f t="shared" si="9"/>
        <v>0</v>
      </c>
      <c r="AB102" s="440">
        <f t="shared" si="10"/>
        <v>0</v>
      </c>
      <c r="AC102" s="440">
        <f>+L102*SERVICIOS!$D$6</f>
        <v>0</v>
      </c>
      <c r="AD102" s="455"/>
      <c r="AE102" s="455"/>
      <c r="AF102" s="455"/>
      <c r="AG102" s="455"/>
      <c r="AH102" s="455"/>
      <c r="AI102" s="440">
        <f t="shared" si="11"/>
        <v>0</v>
      </c>
      <c r="AJ102" s="463" t="e">
        <f>+VLOOKUP(R102,'Base Material'!B:D,3,FALSE)</f>
        <v>#N/A</v>
      </c>
      <c r="AK102" s="464" t="e">
        <f t="shared" si="13"/>
        <v>#N/A</v>
      </c>
    </row>
    <row r="103" spans="1:37" x14ac:dyDescent="0.25">
      <c r="A103" s="456">
        <v>2103</v>
      </c>
      <c r="B103" s="457" t="s">
        <v>36</v>
      </c>
      <c r="C103" s="458" t="s">
        <v>856</v>
      </c>
      <c r="D103" s="459"/>
      <c r="E103" s="459"/>
      <c r="F103" s="459"/>
      <c r="G103" s="459"/>
      <c r="H103" s="459"/>
      <c r="I103" s="459"/>
      <c r="J103" s="459"/>
      <c r="K103" s="459">
        <v>30</v>
      </c>
      <c r="L103" s="459"/>
      <c r="P103" s="460"/>
      <c r="R103" s="461">
        <f t="shared" si="8"/>
        <v>2103</v>
      </c>
      <c r="S103" s="461" t="str">
        <f t="shared" si="12"/>
        <v>Cloaca</v>
      </c>
      <c r="T103" s="462" t="str">
        <f t="shared" si="12"/>
        <v>Tirón de 32</v>
      </c>
      <c r="U103" s="440">
        <f>+D103*SERVICIOS!$D$3</f>
        <v>0</v>
      </c>
      <c r="V103" s="440">
        <f>+E103*SERVICIOS!$D$4</f>
        <v>0</v>
      </c>
      <c r="W103" s="440">
        <f>+F103*SERVICIOS!$D$4</f>
        <v>0</v>
      </c>
      <c r="X103" s="440">
        <f>+SERVICIOS!$D$1*SERVICIOS!G103</f>
        <v>0</v>
      </c>
      <c r="Y103" s="440">
        <f>+H103*SERVICIOS!$D$2</f>
        <v>0</v>
      </c>
      <c r="Z103" s="440">
        <f>+I103*SERVICIOS!$D$8</f>
        <v>0</v>
      </c>
      <c r="AA103" s="440">
        <f t="shared" si="9"/>
        <v>0</v>
      </c>
      <c r="AB103" s="440">
        <f t="shared" si="10"/>
        <v>30</v>
      </c>
      <c r="AC103" s="440">
        <f>+L103*SERVICIOS!$D$6</f>
        <v>0</v>
      </c>
      <c r="AD103" s="455"/>
      <c r="AE103" s="455"/>
      <c r="AF103" s="455"/>
      <c r="AG103" s="455"/>
      <c r="AH103" s="455"/>
      <c r="AI103" s="440">
        <f t="shared" si="11"/>
        <v>30</v>
      </c>
      <c r="AJ103" s="463">
        <f>+VLOOKUP(R103,'Base Material'!B:D,3,FALSE)</f>
        <v>5333.98</v>
      </c>
      <c r="AK103" s="464">
        <f t="shared" si="13"/>
        <v>160019.4</v>
      </c>
    </row>
    <row r="104" spans="1:37" x14ac:dyDescent="0.25">
      <c r="A104" s="456">
        <v>2101</v>
      </c>
      <c r="B104" s="457" t="s">
        <v>36</v>
      </c>
      <c r="C104" s="458" t="s">
        <v>857</v>
      </c>
      <c r="D104" s="459"/>
      <c r="E104" s="459">
        <v>1</v>
      </c>
      <c r="F104" s="459"/>
      <c r="G104" s="459"/>
      <c r="H104" s="459"/>
      <c r="I104" s="459"/>
      <c r="J104" s="459"/>
      <c r="K104" s="459"/>
      <c r="L104" s="459"/>
      <c r="P104" s="460"/>
      <c r="R104" s="461">
        <f t="shared" si="8"/>
        <v>2101</v>
      </c>
      <c r="S104" s="461" t="str">
        <f t="shared" si="12"/>
        <v>Cloaca</v>
      </c>
      <c r="T104" s="462" t="str">
        <f t="shared" si="12"/>
        <v>Tiron de fusión de 20</v>
      </c>
      <c r="U104" s="440">
        <f>+D104*SERVICIOS!$D$3</f>
        <v>0</v>
      </c>
      <c r="V104" s="440">
        <f>+E104*SERVICIOS!$D$4</f>
        <v>0</v>
      </c>
      <c r="W104" s="440">
        <f>+F104*SERVICIOS!$D$4</f>
        <v>0</v>
      </c>
      <c r="X104" s="440">
        <f>+SERVICIOS!$D$1*SERVICIOS!G104</f>
        <v>0</v>
      </c>
      <c r="Y104" s="440">
        <f>+H104*SERVICIOS!$D$2</f>
        <v>0</v>
      </c>
      <c r="Z104" s="440">
        <f>+I104*SERVICIOS!$D$8</f>
        <v>0</v>
      </c>
      <c r="AA104" s="440">
        <f t="shared" si="9"/>
        <v>0</v>
      </c>
      <c r="AB104" s="440">
        <f t="shared" si="10"/>
        <v>0</v>
      </c>
      <c r="AC104" s="440">
        <f>+L104*SERVICIOS!$D$6</f>
        <v>0</v>
      </c>
      <c r="AD104" s="455"/>
      <c r="AE104" s="455"/>
      <c r="AF104" s="455"/>
      <c r="AG104" s="455"/>
      <c r="AH104" s="455"/>
      <c r="AI104" s="440">
        <f t="shared" si="11"/>
        <v>0</v>
      </c>
      <c r="AJ104" s="463" t="e">
        <f>+VLOOKUP(R104,'Base Material'!B:D,3,FALSE)</f>
        <v>#N/A</v>
      </c>
      <c r="AK104" s="464" t="e">
        <f t="shared" si="13"/>
        <v>#N/A</v>
      </c>
    </row>
    <row r="105" spans="1:37" x14ac:dyDescent="0.25">
      <c r="A105" s="456">
        <v>2102</v>
      </c>
      <c r="B105" s="457" t="s">
        <v>36</v>
      </c>
      <c r="C105" s="458" t="s">
        <v>858</v>
      </c>
      <c r="D105" s="459">
        <v>3</v>
      </c>
      <c r="E105" s="459">
        <v>8</v>
      </c>
      <c r="F105" s="459"/>
      <c r="G105" s="459">
        <v>1</v>
      </c>
      <c r="H105" s="459"/>
      <c r="I105" s="459"/>
      <c r="J105" s="459"/>
      <c r="K105" s="459"/>
      <c r="L105" s="459"/>
      <c r="P105" s="460"/>
      <c r="R105" s="461">
        <f t="shared" si="8"/>
        <v>2102</v>
      </c>
      <c r="S105" s="461" t="str">
        <f t="shared" si="12"/>
        <v>Cloaca</v>
      </c>
      <c r="T105" s="462" t="str">
        <f t="shared" si="12"/>
        <v>Tiron de fusión de 25</v>
      </c>
      <c r="U105" s="440">
        <f>+D105*SERVICIOS!$D$3</f>
        <v>0</v>
      </c>
      <c r="V105" s="440">
        <f>+E105*SERVICIOS!$D$4</f>
        <v>0</v>
      </c>
      <c r="W105" s="440">
        <f>+F105*SERVICIOS!$D$4</f>
        <v>0</v>
      </c>
      <c r="X105" s="440">
        <f>+SERVICIOS!$D$1*SERVICIOS!G105</f>
        <v>0</v>
      </c>
      <c r="Y105" s="440">
        <f>+H105*SERVICIOS!$D$2</f>
        <v>0</v>
      </c>
      <c r="Z105" s="440">
        <f>+I105*SERVICIOS!$D$8</f>
        <v>0</v>
      </c>
      <c r="AA105" s="440">
        <f t="shared" si="9"/>
        <v>0</v>
      </c>
      <c r="AB105" s="440">
        <f t="shared" si="10"/>
        <v>0</v>
      </c>
      <c r="AC105" s="440">
        <f>+L105*SERVICIOS!$D$6</f>
        <v>0</v>
      </c>
      <c r="AD105" s="455"/>
      <c r="AE105" s="455"/>
      <c r="AF105" s="455"/>
      <c r="AG105" s="455"/>
      <c r="AH105" s="455"/>
      <c r="AI105" s="440">
        <f t="shared" si="11"/>
        <v>0</v>
      </c>
      <c r="AJ105" s="463">
        <f>+VLOOKUP(R105,'Base Material'!B:D,3,FALSE)</f>
        <v>3431.1</v>
      </c>
      <c r="AK105" s="464">
        <f t="shared" si="13"/>
        <v>0</v>
      </c>
    </row>
    <row r="106" spans="1:37" x14ac:dyDescent="0.25">
      <c r="A106" s="456">
        <v>2028</v>
      </c>
      <c r="B106" s="457" t="s">
        <v>36</v>
      </c>
      <c r="C106" s="458" t="s">
        <v>859</v>
      </c>
      <c r="D106" s="459"/>
      <c r="E106" s="459"/>
      <c r="F106" s="459"/>
      <c r="G106" s="459"/>
      <c r="H106" s="459"/>
      <c r="I106" s="459"/>
      <c r="J106" s="459">
        <v>7</v>
      </c>
      <c r="K106" s="459"/>
      <c r="L106" s="459"/>
      <c r="P106" s="460"/>
      <c r="R106" s="461">
        <f t="shared" si="8"/>
        <v>2028</v>
      </c>
      <c r="S106" s="461" t="str">
        <f t="shared" si="12"/>
        <v>Cloaca</v>
      </c>
      <c r="T106" s="462" t="str">
        <f t="shared" si="12"/>
        <v>Union doble fusión 32x1"</v>
      </c>
      <c r="U106" s="440">
        <f>+D106*SERVICIOS!$D$3</f>
        <v>0</v>
      </c>
      <c r="V106" s="440">
        <f>+E106*SERVICIOS!$D$4</f>
        <v>0</v>
      </c>
      <c r="W106" s="440">
        <f>+F106*SERVICIOS!$D$4</f>
        <v>0</v>
      </c>
      <c r="X106" s="440">
        <f>+SERVICIOS!$D$1*SERVICIOS!G106</f>
        <v>0</v>
      </c>
      <c r="Y106" s="440">
        <f>+H106*SERVICIOS!$D$2</f>
        <v>0</v>
      </c>
      <c r="Z106" s="440">
        <f>+I106*SERVICIOS!$D$8</f>
        <v>0</v>
      </c>
      <c r="AA106" s="440">
        <f t="shared" si="9"/>
        <v>7</v>
      </c>
      <c r="AB106" s="440">
        <f t="shared" si="10"/>
        <v>0</v>
      </c>
      <c r="AC106" s="440">
        <f>+L106*SERVICIOS!$D$6</f>
        <v>0</v>
      </c>
      <c r="AD106" s="455"/>
      <c r="AE106" s="455"/>
      <c r="AF106" s="455"/>
      <c r="AG106" s="455"/>
      <c r="AH106" s="455"/>
      <c r="AI106" s="440">
        <f t="shared" si="11"/>
        <v>7</v>
      </c>
      <c r="AJ106" s="463" t="e">
        <f>+VLOOKUP(R106,'Base Material'!B:D,3,FALSE)</f>
        <v>#N/A</v>
      </c>
      <c r="AK106" s="464" t="e">
        <f t="shared" si="13"/>
        <v>#N/A</v>
      </c>
    </row>
    <row r="107" spans="1:37" x14ac:dyDescent="0.25">
      <c r="A107" s="456">
        <v>25449</v>
      </c>
      <c r="B107" s="457" t="s">
        <v>36</v>
      </c>
      <c r="C107" s="458" t="s">
        <v>860</v>
      </c>
      <c r="D107" s="459"/>
      <c r="E107" s="459"/>
      <c r="F107" s="459"/>
      <c r="G107" s="459"/>
      <c r="H107" s="459"/>
      <c r="I107" s="459"/>
      <c r="J107" s="459">
        <v>2</v>
      </c>
      <c r="K107" s="459"/>
      <c r="L107" s="459"/>
      <c r="P107" s="460"/>
      <c r="R107" s="461">
        <f t="shared" si="8"/>
        <v>25449</v>
      </c>
      <c r="S107" s="461" t="str">
        <f t="shared" si="12"/>
        <v>Cloaca</v>
      </c>
      <c r="T107" s="462" t="str">
        <f t="shared" si="12"/>
        <v>Llaves de 1 " metálica</v>
      </c>
      <c r="U107" s="440">
        <f>+D107*SERVICIOS!$D$3</f>
        <v>0</v>
      </c>
      <c r="V107" s="440">
        <f>+E107*SERVICIOS!$D$4</f>
        <v>0</v>
      </c>
      <c r="W107" s="440">
        <f>+F107*SERVICIOS!$D$4</f>
        <v>0</v>
      </c>
      <c r="X107" s="440">
        <f>+SERVICIOS!$D$1*SERVICIOS!G107</f>
        <v>0</v>
      </c>
      <c r="Y107" s="440">
        <f>+H107*SERVICIOS!$D$2</f>
        <v>0</v>
      </c>
      <c r="Z107" s="440">
        <f>+I107*SERVICIOS!$D$8</f>
        <v>0</v>
      </c>
      <c r="AA107" s="440">
        <f t="shared" si="9"/>
        <v>2</v>
      </c>
      <c r="AB107" s="440">
        <f t="shared" si="10"/>
        <v>0</v>
      </c>
      <c r="AC107" s="440">
        <f>+L107*SERVICIOS!$D$6</f>
        <v>0</v>
      </c>
      <c r="AD107" s="455"/>
      <c r="AE107" s="455"/>
      <c r="AF107" s="455"/>
      <c r="AG107" s="455"/>
      <c r="AH107" s="455"/>
      <c r="AI107" s="440">
        <f t="shared" si="11"/>
        <v>2</v>
      </c>
      <c r="AJ107" s="463" t="e">
        <f>+VLOOKUP(R107,'Base Material'!B:D,3,FALSE)</f>
        <v>#N/A</v>
      </c>
      <c r="AK107" s="464" t="e">
        <f t="shared" si="13"/>
        <v>#N/A</v>
      </c>
    </row>
    <row r="108" spans="1:37" x14ac:dyDescent="0.25">
      <c r="A108" s="456">
        <v>3339</v>
      </c>
      <c r="B108" s="457" t="s">
        <v>36</v>
      </c>
      <c r="C108" s="458" t="s">
        <v>861</v>
      </c>
      <c r="D108" s="459"/>
      <c r="E108" s="459"/>
      <c r="F108" s="459"/>
      <c r="G108" s="459"/>
      <c r="H108" s="459"/>
      <c r="I108" s="459"/>
      <c r="J108" s="459">
        <v>200</v>
      </c>
      <c r="K108" s="459"/>
      <c r="L108" s="459"/>
      <c r="P108" s="460"/>
      <c r="R108" s="461">
        <f t="shared" si="8"/>
        <v>3339</v>
      </c>
      <c r="S108" s="461" t="str">
        <f t="shared" si="12"/>
        <v>Cloaca</v>
      </c>
      <c r="T108" s="462" t="str">
        <f t="shared" si="12"/>
        <v>Cañamo (gramos)</v>
      </c>
      <c r="U108" s="440">
        <f>+D108*SERVICIOS!$D$3</f>
        <v>0</v>
      </c>
      <c r="V108" s="440">
        <f>+E108*SERVICIOS!$D$4</f>
        <v>0</v>
      </c>
      <c r="W108" s="440">
        <f>+F108*SERVICIOS!$D$4</f>
        <v>0</v>
      </c>
      <c r="X108" s="440">
        <f>+SERVICIOS!$D$1*SERVICIOS!G108</f>
        <v>0</v>
      </c>
      <c r="Y108" s="440">
        <f>+H108*SERVICIOS!$D$2</f>
        <v>0</v>
      </c>
      <c r="Z108" s="440">
        <f>+I108*SERVICIOS!$D$8</f>
        <v>0</v>
      </c>
      <c r="AA108" s="440">
        <f t="shared" si="9"/>
        <v>200</v>
      </c>
      <c r="AB108" s="440">
        <f t="shared" si="10"/>
        <v>0</v>
      </c>
      <c r="AC108" s="440">
        <f>+L108*SERVICIOS!$D$6</f>
        <v>0</v>
      </c>
      <c r="AD108" s="455"/>
      <c r="AE108" s="455"/>
      <c r="AF108" s="455"/>
      <c r="AG108" s="455"/>
      <c r="AH108" s="455"/>
      <c r="AI108" s="440">
        <f t="shared" si="11"/>
        <v>200</v>
      </c>
      <c r="AJ108" s="463" t="e">
        <f>+VLOOKUP(R108,'Base Material'!B:D,3,FALSE)</f>
        <v>#N/A</v>
      </c>
      <c r="AK108" s="464" t="e">
        <f t="shared" si="13"/>
        <v>#N/A</v>
      </c>
    </row>
    <row r="109" spans="1:37" x14ac:dyDescent="0.25">
      <c r="A109" s="456">
        <v>15654</v>
      </c>
      <c r="B109" s="457" t="s">
        <v>36</v>
      </c>
      <c r="C109" s="458" t="s">
        <v>862</v>
      </c>
      <c r="D109" s="459"/>
      <c r="E109" s="459"/>
      <c r="F109" s="459"/>
      <c r="G109" s="459"/>
      <c r="H109" s="459"/>
      <c r="I109" s="459"/>
      <c r="J109" s="459">
        <v>2</v>
      </c>
      <c r="K109" s="459"/>
      <c r="L109" s="459"/>
      <c r="P109" s="460"/>
      <c r="R109" s="461">
        <f t="shared" si="8"/>
        <v>15654</v>
      </c>
      <c r="S109" s="461" t="str">
        <f t="shared" si="12"/>
        <v>Cloaca</v>
      </c>
      <c r="T109" s="462" t="str">
        <f t="shared" si="12"/>
        <v>Sellarosca grandes</v>
      </c>
      <c r="U109" s="440">
        <f>+D109*SERVICIOS!$D$3</f>
        <v>0</v>
      </c>
      <c r="V109" s="440">
        <f>+E109*SERVICIOS!$D$4</f>
        <v>0</v>
      </c>
      <c r="W109" s="440">
        <f>+F109*SERVICIOS!$D$4</f>
        <v>0</v>
      </c>
      <c r="X109" s="440">
        <f>+SERVICIOS!$D$1*SERVICIOS!G109</f>
        <v>0</v>
      </c>
      <c r="Y109" s="440">
        <f>+H109*SERVICIOS!$D$2</f>
        <v>0</v>
      </c>
      <c r="Z109" s="440">
        <f>+I109*SERVICIOS!$D$8</f>
        <v>0</v>
      </c>
      <c r="AA109" s="440">
        <f t="shared" si="9"/>
        <v>2</v>
      </c>
      <c r="AB109" s="440">
        <f t="shared" si="10"/>
        <v>0</v>
      </c>
      <c r="AC109" s="440">
        <f>+L109*SERVICIOS!$D$6</f>
        <v>0</v>
      </c>
      <c r="AD109" s="455"/>
      <c r="AE109" s="455"/>
      <c r="AF109" s="455"/>
      <c r="AG109" s="455"/>
      <c r="AH109" s="455"/>
      <c r="AI109" s="440">
        <f t="shared" si="11"/>
        <v>2</v>
      </c>
      <c r="AJ109" s="463" t="e">
        <f>+VLOOKUP(R109,'Base Material'!B:D,3,FALSE)</f>
        <v>#N/A</v>
      </c>
      <c r="AK109" s="464" t="e">
        <f t="shared" si="13"/>
        <v>#N/A</v>
      </c>
    </row>
    <row r="110" spans="1:37" x14ac:dyDescent="0.25">
      <c r="A110" s="456"/>
      <c r="B110" s="457" t="s">
        <v>36</v>
      </c>
      <c r="C110" s="458" t="s">
        <v>863</v>
      </c>
      <c r="D110" s="459">
        <v>3</v>
      </c>
      <c r="E110" s="459">
        <v>5</v>
      </c>
      <c r="F110" s="459"/>
      <c r="G110" s="459">
        <v>4</v>
      </c>
      <c r="H110" s="459">
        <v>3</v>
      </c>
      <c r="I110" s="459"/>
      <c r="J110" s="459"/>
      <c r="K110" s="459"/>
      <c r="L110" s="459"/>
      <c r="P110" s="460"/>
      <c r="R110" s="461">
        <f t="shared" si="8"/>
        <v>0</v>
      </c>
      <c r="S110" s="461" t="str">
        <f t="shared" si="12"/>
        <v>Cloaca</v>
      </c>
      <c r="T110" s="462" t="str">
        <f t="shared" si="12"/>
        <v>Conectores ( extensores de agua para artefactos)</v>
      </c>
      <c r="U110" s="440">
        <f>+D110*SERVICIOS!$D$3</f>
        <v>0</v>
      </c>
      <c r="V110" s="440">
        <f>+E110*SERVICIOS!$D$4</f>
        <v>0</v>
      </c>
      <c r="W110" s="440">
        <f>+F110*SERVICIOS!$D$4</f>
        <v>0</v>
      </c>
      <c r="X110" s="440">
        <f>+SERVICIOS!$D$1*SERVICIOS!G110</f>
        <v>0</v>
      </c>
      <c r="Y110" s="440">
        <f>+H110*SERVICIOS!$D$2</f>
        <v>0</v>
      </c>
      <c r="Z110" s="440">
        <f>+I110*SERVICIOS!$D$8</f>
        <v>0</v>
      </c>
      <c r="AA110" s="440">
        <f t="shared" si="9"/>
        <v>0</v>
      </c>
      <c r="AB110" s="440">
        <f t="shared" si="10"/>
        <v>0</v>
      </c>
      <c r="AC110" s="440">
        <f>+L110*SERVICIOS!$D$6</f>
        <v>0</v>
      </c>
      <c r="AD110" s="455"/>
      <c r="AE110" s="455"/>
      <c r="AF110" s="455"/>
      <c r="AG110" s="455"/>
      <c r="AH110" s="455"/>
      <c r="AI110" s="440">
        <f t="shared" si="11"/>
        <v>0</v>
      </c>
      <c r="AJ110" s="463" t="e">
        <f>+VLOOKUP(R110,'Base Material'!B:D,3,FALSE)</f>
        <v>#N/A</v>
      </c>
      <c r="AK110" s="464" t="e">
        <f t="shared" si="13"/>
        <v>#N/A</v>
      </c>
    </row>
    <row r="111" spans="1:37" x14ac:dyDescent="0.25">
      <c r="A111" s="456">
        <v>7571</v>
      </c>
      <c r="B111" s="457" t="s">
        <v>36</v>
      </c>
      <c r="C111" s="458" t="s">
        <v>852</v>
      </c>
      <c r="D111" s="459"/>
      <c r="E111" s="459"/>
      <c r="F111" s="459"/>
      <c r="G111" s="459"/>
      <c r="H111" s="459"/>
      <c r="I111" s="459"/>
      <c r="J111" s="459">
        <v>2</v>
      </c>
      <c r="K111" s="459"/>
      <c r="L111" s="459"/>
      <c r="P111" s="460"/>
      <c r="R111" s="461">
        <f t="shared" si="8"/>
        <v>7571</v>
      </c>
      <c r="S111" s="461" t="str">
        <f t="shared" si="12"/>
        <v>Cloaca</v>
      </c>
      <c r="T111" s="462" t="str">
        <f t="shared" si="12"/>
        <v>Tanque de 1500 lts</v>
      </c>
      <c r="U111" s="440">
        <f>+D111*SERVICIOS!$D$3</f>
        <v>0</v>
      </c>
      <c r="V111" s="440">
        <f>+E111*SERVICIOS!$D$4</f>
        <v>0</v>
      </c>
      <c r="W111" s="440">
        <f>+F111*SERVICIOS!$D$4</f>
        <v>0</v>
      </c>
      <c r="X111" s="440">
        <f>+SERVICIOS!$D$1*SERVICIOS!G111</f>
        <v>0</v>
      </c>
      <c r="Y111" s="440">
        <f>+H111*SERVICIOS!$D$2</f>
        <v>0</v>
      </c>
      <c r="Z111" s="440">
        <f>+I111*SERVICIOS!$D$8</f>
        <v>0</v>
      </c>
      <c r="AA111" s="440">
        <f t="shared" si="9"/>
        <v>2</v>
      </c>
      <c r="AB111" s="440">
        <f t="shared" si="10"/>
        <v>0</v>
      </c>
      <c r="AC111" s="440">
        <f>+L111*SERVICIOS!$D$6</f>
        <v>0</v>
      </c>
      <c r="AD111" s="455"/>
      <c r="AE111" s="455"/>
      <c r="AF111" s="455"/>
      <c r="AG111" s="455"/>
      <c r="AH111" s="455"/>
      <c r="AI111" s="440">
        <f>SUM(U111:AH111)</f>
        <v>2</v>
      </c>
      <c r="AJ111" s="463" t="e">
        <f>+VLOOKUP(R111,'Base Material'!B:D,3,FALSE)</f>
        <v>#N/A</v>
      </c>
      <c r="AK111" s="464" t="e">
        <f t="shared" si="13"/>
        <v>#N/A</v>
      </c>
    </row>
    <row r="112" ht="12" customHeight="1" spans="1:37" x14ac:dyDescent="0.25">
      <c r="A112" s="456">
        <v>3665</v>
      </c>
      <c r="B112" s="457" t="s">
        <v>36</v>
      </c>
      <c r="C112" s="458" t="s">
        <v>864</v>
      </c>
      <c r="D112" s="459"/>
      <c r="E112" s="459"/>
      <c r="F112" s="459"/>
      <c r="G112" s="459"/>
      <c r="H112" s="459"/>
      <c r="I112" s="459"/>
      <c r="J112" s="459">
        <v>1</v>
      </c>
      <c r="K112" s="459"/>
      <c r="L112" s="459"/>
      <c r="P112" s="460"/>
      <c r="R112" s="461">
        <f t="shared" si="8"/>
        <v>3665</v>
      </c>
      <c r="S112" s="461" t="str">
        <f t="shared" si="12"/>
        <v>Cloaca</v>
      </c>
      <c r="T112" s="462" t="str">
        <f t="shared" si="12"/>
        <v>Válvula de retención de bronce</v>
      </c>
      <c r="U112" s="440">
        <f>+D112*SERVICIOS!$D$3</f>
        <v>0</v>
      </c>
      <c r="V112" s="440">
        <f>+E112*SERVICIOS!$D$4</f>
        <v>0</v>
      </c>
      <c r="W112" s="440">
        <f>+F112*SERVICIOS!$D$4</f>
        <v>0</v>
      </c>
      <c r="X112" s="440">
        <f>+SERVICIOS!$D$1*SERVICIOS!G112</f>
        <v>0</v>
      </c>
      <c r="Y112" s="440">
        <f>+H112*SERVICIOS!$D$2</f>
        <v>0</v>
      </c>
      <c r="Z112" s="440">
        <f>+I112*SERVICIOS!$D$8</f>
        <v>0</v>
      </c>
      <c r="AA112" s="440">
        <f t="shared" si="9"/>
        <v>1</v>
      </c>
      <c r="AB112" s="440">
        <f t="shared" si="10"/>
        <v>0</v>
      </c>
      <c r="AC112" s="440">
        <f>+L112*SERVICIOS!$D$6</f>
        <v>0</v>
      </c>
      <c r="AD112" s="455"/>
      <c r="AE112" s="455"/>
      <c r="AF112" s="455"/>
      <c r="AG112" s="455"/>
      <c r="AH112" s="455"/>
      <c r="AI112" s="440">
        <f t="shared" si="11"/>
        <v>1</v>
      </c>
      <c r="AJ112" s="463" t="e">
        <f>+VLOOKUP(R112,'Base Material'!B:D,3,FALSE)</f>
        <v>#N/A</v>
      </c>
      <c r="AK112" s="464" t="e">
        <f t="shared" si="13"/>
        <v>#N/A</v>
      </c>
    </row>
    <row r="113" ht="23.25" customHeight="1" spans="1:37" s="465" customFormat="1" x14ac:dyDescent="0.25">
      <c r="A113" s="466" t="s">
        <v>865</v>
      </c>
      <c r="B113" s="470"/>
      <c r="C113" s="455" t="s">
        <v>865</v>
      </c>
      <c r="D113" s="455" t="s">
        <v>764</v>
      </c>
      <c r="E113" s="455" t="s">
        <v>765</v>
      </c>
      <c r="F113" s="455" t="s">
        <v>766</v>
      </c>
      <c r="G113" s="455" t="s">
        <v>767</v>
      </c>
      <c r="H113" s="455" t="s">
        <v>768</v>
      </c>
      <c r="I113" s="455" t="s">
        <v>758</v>
      </c>
      <c r="J113" s="455" t="s">
        <v>769</v>
      </c>
      <c r="K113" s="455" t="s">
        <v>770</v>
      </c>
      <c r="L113" s="455" t="s">
        <v>771</v>
      </c>
      <c r="M113" s="455" t="s">
        <v>866</v>
      </c>
      <c r="P113" s="468"/>
      <c r="R113" s="455" t="s">
        <v>772</v>
      </c>
      <c r="S113" s="455"/>
      <c r="T113" s="455" t="str">
        <f t="shared" si="12"/>
        <v>AIRE</v>
      </c>
      <c r="U113" s="455" t="s">
        <v>866</v>
      </c>
      <c r="V113" s="455"/>
      <c r="W113" s="455"/>
      <c r="X113" s="455"/>
      <c r="Y113" s="455"/>
      <c r="Z113" s="455"/>
      <c r="AA113" s="455"/>
      <c r="AB113" s="455"/>
      <c r="AC113" s="455"/>
      <c r="AD113" s="455"/>
      <c r="AE113" s="455"/>
      <c r="AF113" s="455"/>
      <c r="AG113" s="455"/>
      <c r="AH113" s="455"/>
      <c r="AI113" s="455" t="s">
        <v>775</v>
      </c>
      <c r="AJ113" s="455" t="str">
        <f>+VLOOKUP(R113,'Base Material'!B:D,3,FALSE)</f>
        <v>COSTO CON IVA</v>
      </c>
      <c r="AK113" s="455" t="e">
        <f t="shared" si="13"/>
        <v>#VALUE!</v>
      </c>
    </row>
    <row r="114" spans="1:37" x14ac:dyDescent="0.25">
      <c r="A114" s="456">
        <v>31246</v>
      </c>
      <c r="B114" s="471" t="s">
        <v>754</v>
      </c>
      <c r="C114" s="458" t="s">
        <v>867</v>
      </c>
      <c r="D114" s="459"/>
      <c r="E114" s="459"/>
      <c r="F114" s="459"/>
      <c r="G114" s="459"/>
      <c r="H114" s="459"/>
      <c r="I114" s="459"/>
      <c r="J114" s="459"/>
      <c r="K114" s="459"/>
      <c r="L114" s="459"/>
      <c r="M114" s="459">
        <v>1</v>
      </c>
      <c r="P114" s="460"/>
      <c r="R114" s="461">
        <f t="shared" ref="R114:R127" si="14">+A114</f>
        <v>31246</v>
      </c>
      <c r="S114" s="461" t="str">
        <f t="shared" si="12"/>
        <v>Aires</v>
      </c>
      <c r="T114" s="462" t="str">
        <f t="shared" si="12"/>
        <v>Caja plastica vertical duratop/Demaduracces</v>
      </c>
      <c r="U114" s="440">
        <f>+M114*SERVICIOS!$D$5</f>
        <v>1</v>
      </c>
      <c r="V114" s="455"/>
      <c r="W114" s="455"/>
      <c r="X114" s="455"/>
      <c r="Y114" s="455"/>
      <c r="Z114" s="455"/>
      <c r="AA114" s="455"/>
      <c r="AB114" s="455"/>
      <c r="AC114" s="455"/>
      <c r="AD114" s="455"/>
      <c r="AE114" s="455"/>
      <c r="AF114" s="455"/>
      <c r="AG114" s="455"/>
      <c r="AH114" s="455"/>
      <c r="AI114" s="440">
        <f t="shared" ref="AI114:AI127" si="15">SUM(U114:AH114)</f>
        <v>1</v>
      </c>
      <c r="AJ114" s="463">
        <f>+VLOOKUP(R114,'Base Material'!B:D,3,FALSE)</f>
        <v>2950.71</v>
      </c>
      <c r="AK114" s="464">
        <f t="shared" si="13"/>
        <v>2950.71</v>
      </c>
    </row>
    <row r="115" spans="1:37" x14ac:dyDescent="0.25">
      <c r="A115" s="456">
        <v>24131</v>
      </c>
      <c r="B115" s="471" t="s">
        <v>754</v>
      </c>
      <c r="C115" s="458" t="s">
        <v>868</v>
      </c>
      <c r="D115" s="459"/>
      <c r="E115" s="459"/>
      <c r="F115" s="459"/>
      <c r="G115" s="459"/>
      <c r="H115" s="459"/>
      <c r="I115" s="459"/>
      <c r="J115" s="459"/>
      <c r="K115" s="459"/>
      <c r="L115" s="459"/>
      <c r="M115" s="459">
        <v>0.25</v>
      </c>
      <c r="P115" s="460"/>
      <c r="R115" s="461">
        <f t="shared" si="14"/>
        <v>24131</v>
      </c>
      <c r="S115" s="461" t="str">
        <f t="shared" si="12"/>
        <v>Aires</v>
      </c>
      <c r="T115" s="462" t="str">
        <f t="shared" si="12"/>
        <v>Caño de cobre 3/8 ( metros)</v>
      </c>
      <c r="U115" s="440">
        <f>+M115*SERVICIOS!$D$5</f>
        <v>0.25</v>
      </c>
      <c r="V115" s="455"/>
      <c r="W115" s="455"/>
      <c r="X115" s="455"/>
      <c r="Y115" s="455"/>
      <c r="Z115" s="455"/>
      <c r="AA115" s="455"/>
      <c r="AB115" s="455"/>
      <c r="AC115" s="455"/>
      <c r="AD115" s="455"/>
      <c r="AE115" s="455"/>
      <c r="AF115" s="455"/>
      <c r="AG115" s="455"/>
      <c r="AH115" s="455"/>
      <c r="AI115" s="440">
        <f t="shared" si="15"/>
        <v>0.25</v>
      </c>
      <c r="AJ115" s="463" t="e">
        <f>+VLOOKUP(R115,'Base Material'!B:D,3,FALSE)</f>
        <v>#N/A</v>
      </c>
      <c r="AK115" s="464" t="e">
        <f t="shared" si="13"/>
        <v>#N/A</v>
      </c>
    </row>
    <row r="116" spans="1:37" x14ac:dyDescent="0.25">
      <c r="A116" s="456">
        <v>24130</v>
      </c>
      <c r="B116" s="471" t="s">
        <v>754</v>
      </c>
      <c r="C116" s="458" t="s">
        <v>869</v>
      </c>
      <c r="D116" s="459"/>
      <c r="E116" s="459"/>
      <c r="F116" s="459"/>
      <c r="G116" s="459"/>
      <c r="H116" s="459"/>
      <c r="I116" s="459"/>
      <c r="J116" s="459"/>
      <c r="K116" s="459"/>
      <c r="L116" s="459"/>
      <c r="M116" s="459">
        <v>0.25</v>
      </c>
      <c r="P116" s="460"/>
      <c r="R116" s="461">
        <f t="shared" si="14"/>
        <v>24130</v>
      </c>
      <c r="S116" s="461" t="str">
        <f t="shared" si="12"/>
        <v>Aires</v>
      </c>
      <c r="T116" s="462" t="str">
        <f t="shared" si="12"/>
        <v>Caño de cobre 1/4 (metros)</v>
      </c>
      <c r="U116" s="440">
        <f>+M116*SERVICIOS!$D$5</f>
        <v>0.25</v>
      </c>
      <c r="V116" s="455"/>
      <c r="W116" s="455"/>
      <c r="X116" s="455"/>
      <c r="Y116" s="455"/>
      <c r="Z116" s="455"/>
      <c r="AA116" s="455"/>
      <c r="AB116" s="455"/>
      <c r="AC116" s="455"/>
      <c r="AD116" s="455"/>
      <c r="AE116" s="455"/>
      <c r="AF116" s="455"/>
      <c r="AG116" s="455"/>
      <c r="AH116" s="455"/>
      <c r="AI116" s="440">
        <f t="shared" si="15"/>
        <v>0.25</v>
      </c>
      <c r="AJ116" s="463" t="e">
        <f>+VLOOKUP(R116,'Base Material'!B:D,3,FALSE)</f>
        <v>#N/A</v>
      </c>
      <c r="AK116" s="464" t="e">
        <f t="shared" si="13"/>
        <v>#N/A</v>
      </c>
    </row>
    <row r="117" spans="1:37" x14ac:dyDescent="0.25">
      <c r="A117" s="456">
        <v>24192</v>
      </c>
      <c r="B117" s="471" t="s">
        <v>754</v>
      </c>
      <c r="C117" s="458" t="s">
        <v>870</v>
      </c>
      <c r="D117" s="459"/>
      <c r="E117" s="459"/>
      <c r="F117" s="459"/>
      <c r="G117" s="459"/>
      <c r="H117" s="459"/>
      <c r="I117" s="459"/>
      <c r="J117" s="459"/>
      <c r="K117" s="459"/>
      <c r="L117" s="459"/>
      <c r="M117" s="459">
        <v>0.25</v>
      </c>
      <c r="P117" s="460"/>
      <c r="R117" s="461">
        <f t="shared" si="14"/>
        <v>24192</v>
      </c>
      <c r="S117" s="461" t="str">
        <f t="shared" si="12"/>
        <v>Aires</v>
      </c>
      <c r="T117" s="462" t="str">
        <f t="shared" si="12"/>
        <v>Caño de cobre 1/2 (metros)</v>
      </c>
      <c r="U117" s="440">
        <f>+M117*SERVICIOS!$D$5</f>
        <v>0.25</v>
      </c>
      <c r="V117" s="455"/>
      <c r="W117" s="455"/>
      <c r="X117" s="455"/>
      <c r="Y117" s="455"/>
      <c r="Z117" s="455"/>
      <c r="AA117" s="455"/>
      <c r="AB117" s="455"/>
      <c r="AC117" s="455"/>
      <c r="AD117" s="455"/>
      <c r="AE117" s="455"/>
      <c r="AF117" s="455"/>
      <c r="AG117" s="455"/>
      <c r="AH117" s="455"/>
      <c r="AI117" s="440">
        <f t="shared" si="15"/>
        <v>0.25</v>
      </c>
      <c r="AJ117" s="463" t="e">
        <f>+VLOOKUP(R117,'Base Material'!B:D,3,FALSE)</f>
        <v>#N/A</v>
      </c>
      <c r="AK117" s="464" t="e">
        <f t="shared" si="13"/>
        <v>#N/A</v>
      </c>
    </row>
    <row r="118" spans="1:37" x14ac:dyDescent="0.25">
      <c r="A118" s="456">
        <v>18380</v>
      </c>
      <c r="B118" s="471" t="s">
        <v>754</v>
      </c>
      <c r="C118" s="458" t="s">
        <v>871</v>
      </c>
      <c r="D118" s="459"/>
      <c r="E118" s="459"/>
      <c r="F118" s="459"/>
      <c r="G118" s="459"/>
      <c r="H118" s="459"/>
      <c r="I118" s="459"/>
      <c r="J118" s="459"/>
      <c r="K118" s="459"/>
      <c r="L118" s="459"/>
      <c r="M118" s="459">
        <v>1</v>
      </c>
      <c r="P118" s="460"/>
      <c r="R118" s="461">
        <f t="shared" si="14"/>
        <v>18380</v>
      </c>
      <c r="S118" s="461" t="str">
        <f t="shared" si="12"/>
        <v>Aires</v>
      </c>
      <c r="T118" s="462" t="str">
        <f t="shared" si="12"/>
        <v>Cinta adhesiva blanca c/adhesivo 20mx72mm/A1</v>
      </c>
      <c r="U118" s="440">
        <f>+M118*SERVICIOS!$D$5</f>
        <v>1</v>
      </c>
      <c r="V118" s="455"/>
      <c r="W118" s="455"/>
      <c r="X118" s="455"/>
      <c r="Y118" s="455"/>
      <c r="Z118" s="455"/>
      <c r="AA118" s="455"/>
      <c r="AB118" s="455"/>
      <c r="AC118" s="455"/>
      <c r="AD118" s="455"/>
      <c r="AE118" s="455"/>
      <c r="AF118" s="455"/>
      <c r="AG118" s="455"/>
      <c r="AH118" s="455"/>
      <c r="AI118" s="440">
        <f t="shared" si="15"/>
        <v>1</v>
      </c>
      <c r="AJ118" s="463" t="e">
        <f>+VLOOKUP(R118,'Base Material'!B:D,3,FALSE)</f>
        <v>#N/A</v>
      </c>
      <c r="AK118" s="464" t="e">
        <f t="shared" si="13"/>
        <v>#N/A</v>
      </c>
    </row>
    <row r="119" spans="1:37" x14ac:dyDescent="0.25">
      <c r="A119" s="456">
        <v>18379</v>
      </c>
      <c r="B119" s="471" t="s">
        <v>754</v>
      </c>
      <c r="C119" s="458" t="s">
        <v>872</v>
      </c>
      <c r="D119" s="459"/>
      <c r="E119" s="459"/>
      <c r="F119" s="459"/>
      <c r="G119" s="459"/>
      <c r="H119" s="459"/>
      <c r="I119" s="459"/>
      <c r="J119" s="459"/>
      <c r="K119" s="459"/>
      <c r="L119" s="459"/>
      <c r="M119" s="459">
        <v>6</v>
      </c>
      <c r="P119" s="460"/>
      <c r="R119" s="461">
        <f t="shared" si="14"/>
        <v>18379</v>
      </c>
      <c r="S119" s="461" t="str">
        <f t="shared" si="12"/>
        <v>Aires</v>
      </c>
      <c r="T119" s="462" t="str">
        <f t="shared" si="12"/>
        <v>Cable tipo taller 5x1"1/2 Electicarlsub</v>
      </c>
      <c r="U119" s="440">
        <f>+M119*SERVICIOS!$D$5</f>
        <v>6</v>
      </c>
      <c r="V119" s="455"/>
      <c r="W119" s="455"/>
      <c r="X119" s="455"/>
      <c r="Y119" s="455"/>
      <c r="Z119" s="455"/>
      <c r="AA119" s="455"/>
      <c r="AB119" s="455"/>
      <c r="AC119" s="455"/>
      <c r="AD119" s="455"/>
      <c r="AE119" s="455"/>
      <c r="AF119" s="455"/>
      <c r="AG119" s="455"/>
      <c r="AH119" s="455"/>
      <c r="AI119" s="440">
        <f t="shared" si="15"/>
        <v>6</v>
      </c>
      <c r="AJ119" s="463">
        <f>+VLOOKUP(R119,'Base Material'!B:D,3,FALSE)</f>
        <v>1223.78</v>
      </c>
      <c r="AK119" s="464">
        <f t="shared" si="13"/>
        <v>7342.68</v>
      </c>
    </row>
    <row r="120" spans="1:37" x14ac:dyDescent="0.25">
      <c r="A120" s="456">
        <v>31864</v>
      </c>
      <c r="B120" s="471" t="s">
        <v>754</v>
      </c>
      <c r="C120" s="458" t="s">
        <v>873</v>
      </c>
      <c r="D120" s="459"/>
      <c r="E120" s="459"/>
      <c r="F120" s="459"/>
      <c r="G120" s="459"/>
      <c r="H120" s="459"/>
      <c r="I120" s="459"/>
      <c r="J120" s="459"/>
      <c r="K120" s="459"/>
      <c r="L120" s="459"/>
      <c r="M120" s="459">
        <v>2</v>
      </c>
      <c r="P120" s="460"/>
      <c r="R120" s="461">
        <f t="shared" si="14"/>
        <v>31864</v>
      </c>
      <c r="S120" s="461" t="str">
        <f t="shared" si="12"/>
        <v>Aires</v>
      </c>
      <c r="T120" s="462" t="str">
        <f t="shared" si="12"/>
        <v>Tira en 1,83 m 1/2" Aire acondicionado/Acc Uruia</v>
      </c>
      <c r="U120" s="440">
        <f>+M120*SERVICIOS!$D$5</f>
        <v>2</v>
      </c>
      <c r="V120" s="455"/>
      <c r="W120" s="455"/>
      <c r="X120" s="455"/>
      <c r="Y120" s="455"/>
      <c r="Z120" s="455"/>
      <c r="AA120" s="455"/>
      <c r="AB120" s="455"/>
      <c r="AC120" s="455"/>
      <c r="AD120" s="455"/>
      <c r="AE120" s="455"/>
      <c r="AF120" s="455"/>
      <c r="AG120" s="455"/>
      <c r="AH120" s="455"/>
      <c r="AI120" s="440">
        <f t="shared" si="15"/>
        <v>2</v>
      </c>
      <c r="AJ120" s="463" t="e">
        <f>+VLOOKUP(R120,'Base Material'!B:D,3,FALSE)</f>
        <v>#N/A</v>
      </c>
      <c r="AK120" s="464" t="e">
        <f t="shared" si="13"/>
        <v>#N/A</v>
      </c>
    </row>
    <row r="121" spans="1:37" x14ac:dyDescent="0.25">
      <c r="A121" s="456">
        <v>18373</v>
      </c>
      <c r="B121" s="471" t="s">
        <v>754</v>
      </c>
      <c r="C121" s="458" t="s">
        <v>874</v>
      </c>
      <c r="D121" s="459"/>
      <c r="E121" s="459"/>
      <c r="F121" s="459"/>
      <c r="G121" s="459"/>
      <c r="H121" s="459"/>
      <c r="I121" s="459"/>
      <c r="J121" s="459"/>
      <c r="K121" s="459"/>
      <c r="L121" s="459"/>
      <c r="M121" s="459">
        <v>2</v>
      </c>
      <c r="P121" s="460"/>
      <c r="R121" s="461">
        <f t="shared" si="14"/>
        <v>18373</v>
      </c>
      <c r="S121" s="461" t="str">
        <f t="shared" si="12"/>
        <v>Aires</v>
      </c>
      <c r="T121" s="462" t="str">
        <f t="shared" si="12"/>
        <v>Tira en 1,83 m 3/8" Aire acondicionado/Acc Uruia</v>
      </c>
      <c r="U121" s="440">
        <f>+M121*SERVICIOS!$D$5</f>
        <v>2</v>
      </c>
      <c r="V121" s="455"/>
      <c r="W121" s="455"/>
      <c r="X121" s="455"/>
      <c r="Y121" s="455"/>
      <c r="Z121" s="455"/>
      <c r="AA121" s="455"/>
      <c r="AB121" s="455"/>
      <c r="AC121" s="455"/>
      <c r="AD121" s="455"/>
      <c r="AE121" s="455"/>
      <c r="AF121" s="455"/>
      <c r="AG121" s="455"/>
      <c r="AH121" s="455"/>
      <c r="AI121" s="440">
        <f t="shared" si="15"/>
        <v>2</v>
      </c>
      <c r="AJ121" s="463" t="e">
        <f>+VLOOKUP(R121,'Base Material'!B:D,3,FALSE)</f>
        <v>#N/A</v>
      </c>
      <c r="AK121" s="464" t="e">
        <f t="shared" si="13"/>
        <v>#N/A</v>
      </c>
    </row>
    <row r="122" spans="1:37" x14ac:dyDescent="0.25">
      <c r="A122" s="456">
        <v>645</v>
      </c>
      <c r="B122" s="471" t="s">
        <v>754</v>
      </c>
      <c r="C122" s="458" t="s">
        <v>875</v>
      </c>
      <c r="D122" s="459"/>
      <c r="E122" s="459"/>
      <c r="F122" s="459"/>
      <c r="G122" s="459"/>
      <c r="H122" s="459"/>
      <c r="I122" s="459"/>
      <c r="J122" s="459"/>
      <c r="K122" s="459"/>
      <c r="L122" s="459"/>
      <c r="M122" s="459">
        <v>1</v>
      </c>
      <c r="P122" s="460"/>
      <c r="R122" s="461">
        <f t="shared" si="14"/>
        <v>645</v>
      </c>
      <c r="S122" s="461" t="str">
        <f t="shared" si="12"/>
        <v>Aires</v>
      </c>
      <c r="T122" s="462" t="str">
        <f t="shared" si="12"/>
        <v>SD-Tubo PVC Cl10-25x1.2mm 6M JP (20) TRIGRESDT</v>
      </c>
      <c r="U122" s="440">
        <f>+M122*SERVICIOS!$D$5</f>
        <v>1</v>
      </c>
      <c r="V122" s="455"/>
      <c r="W122" s="455"/>
      <c r="X122" s="455"/>
      <c r="Y122" s="455"/>
      <c r="Z122" s="455"/>
      <c r="AA122" s="455"/>
      <c r="AB122" s="455"/>
      <c r="AC122" s="455"/>
      <c r="AD122" s="455"/>
      <c r="AE122" s="455"/>
      <c r="AF122" s="455"/>
      <c r="AG122" s="455"/>
      <c r="AH122" s="455"/>
      <c r="AI122" s="440">
        <f t="shared" si="15"/>
        <v>1</v>
      </c>
      <c r="AJ122" s="463" t="e">
        <f>+VLOOKUP(R122,'Base Material'!B:D,3,FALSE)</f>
        <v>#N/A</v>
      </c>
      <c r="AK122" s="464" t="e">
        <f t="shared" si="13"/>
        <v>#N/A</v>
      </c>
    </row>
    <row r="123" spans="1:37" x14ac:dyDescent="0.25">
      <c r="A123" s="456">
        <v>18389</v>
      </c>
      <c r="B123" s="471" t="s">
        <v>754</v>
      </c>
      <c r="C123" s="458" t="s">
        <v>876</v>
      </c>
      <c r="D123" s="459"/>
      <c r="E123" s="459"/>
      <c r="F123" s="459"/>
      <c r="G123" s="459"/>
      <c r="H123" s="459"/>
      <c r="I123" s="459"/>
      <c r="J123" s="459"/>
      <c r="K123" s="459"/>
      <c r="L123" s="459"/>
      <c r="M123" s="459">
        <v>4</v>
      </c>
      <c r="P123" s="460"/>
      <c r="R123" s="461">
        <f t="shared" si="14"/>
        <v>18389</v>
      </c>
      <c r="S123" s="461" t="str">
        <f t="shared" si="12"/>
        <v>Aires</v>
      </c>
      <c r="T123" s="462" t="str">
        <f t="shared" si="12"/>
        <v>Codo 90 25 mm PN10 ERA/ERAPVC</v>
      </c>
      <c r="U123" s="440">
        <f>+M123*SERVICIOS!$D$5</f>
        <v>4</v>
      </c>
      <c r="V123" s="455"/>
      <c r="W123" s="455"/>
      <c r="X123" s="455"/>
      <c r="Y123" s="455"/>
      <c r="Z123" s="455"/>
      <c r="AA123" s="455"/>
      <c r="AB123" s="455"/>
      <c r="AC123" s="455"/>
      <c r="AD123" s="455"/>
      <c r="AE123" s="455"/>
      <c r="AF123" s="455"/>
      <c r="AG123" s="455"/>
      <c r="AH123" s="455"/>
      <c r="AI123" s="440">
        <f t="shared" si="15"/>
        <v>4</v>
      </c>
      <c r="AJ123" s="463">
        <f>+VLOOKUP(R123,'Base Material'!B:D,3,FALSE)</f>
        <v>221.7</v>
      </c>
      <c r="AK123" s="464">
        <f t="shared" si="13"/>
        <v>886.8</v>
      </c>
    </row>
    <row r="124" spans="1:37" x14ac:dyDescent="0.25">
      <c r="A124" s="456">
        <v>26662</v>
      </c>
      <c r="B124" s="471" t="s">
        <v>754</v>
      </c>
      <c r="C124" s="458" t="s">
        <v>877</v>
      </c>
      <c r="D124" s="459"/>
      <c r="E124" s="459"/>
      <c r="F124" s="459"/>
      <c r="G124" s="459"/>
      <c r="H124" s="459"/>
      <c r="I124" s="459"/>
      <c r="J124" s="459"/>
      <c r="K124" s="459"/>
      <c r="L124" s="459"/>
      <c r="M124" s="459">
        <v>2</v>
      </c>
      <c r="P124" s="460"/>
      <c r="R124" s="461">
        <f t="shared" si="14"/>
        <v>26662</v>
      </c>
      <c r="S124" s="461" t="str">
        <f t="shared" si="12"/>
        <v>Aires</v>
      </c>
      <c r="T124" s="462" t="str">
        <f t="shared" si="12"/>
        <v>Codo 45 25 mm PN10 ERA/ERAPVC</v>
      </c>
      <c r="U124" s="440">
        <f>+M124*SERVICIOS!$D$5</f>
        <v>2</v>
      </c>
      <c r="V124" s="455"/>
      <c r="W124" s="455"/>
      <c r="X124" s="455"/>
      <c r="Y124" s="455"/>
      <c r="Z124" s="455"/>
      <c r="AA124" s="455"/>
      <c r="AB124" s="455"/>
      <c r="AC124" s="455"/>
      <c r="AD124" s="455"/>
      <c r="AE124" s="455"/>
      <c r="AF124" s="455"/>
      <c r="AG124" s="455"/>
      <c r="AH124" s="455"/>
      <c r="AI124" s="440">
        <f t="shared" si="15"/>
        <v>2</v>
      </c>
      <c r="AJ124" s="463">
        <f>+VLOOKUP(R124,'Base Material'!B:D,3,FALSE)</f>
        <v>135.42</v>
      </c>
      <c r="AK124" s="464">
        <f t="shared" si="13"/>
        <v>270.84</v>
      </c>
    </row>
    <row r="125" spans="1:37" x14ac:dyDescent="0.25">
      <c r="A125" s="456">
        <v>155</v>
      </c>
      <c r="B125" s="471" t="s">
        <v>754</v>
      </c>
      <c r="C125" s="458" t="s">
        <v>878</v>
      </c>
      <c r="D125" s="459"/>
      <c r="E125" s="459"/>
      <c r="F125" s="459"/>
      <c r="G125" s="459"/>
      <c r="H125" s="459"/>
      <c r="I125" s="459"/>
      <c r="J125" s="459"/>
      <c r="K125" s="459"/>
      <c r="L125" s="459"/>
      <c r="M125" s="459">
        <v>1</v>
      </c>
      <c r="P125" s="460"/>
      <c r="R125" s="461">
        <f t="shared" si="14"/>
        <v>155</v>
      </c>
      <c r="S125" s="461" t="str">
        <f t="shared" si="12"/>
        <v>Aires</v>
      </c>
      <c r="T125" s="462" t="str">
        <f t="shared" si="12"/>
        <v>SD-Manguito SD/BR de 25 mm x 3/4" (50)/TIGRESDC</v>
      </c>
      <c r="U125" s="440">
        <f>+M125*SERVICIOS!$D$5</f>
        <v>1</v>
      </c>
      <c r="V125" s="455"/>
      <c r="W125" s="455"/>
      <c r="X125" s="455"/>
      <c r="Y125" s="455"/>
      <c r="Z125" s="455"/>
      <c r="AA125" s="455"/>
      <c r="AB125" s="455"/>
      <c r="AC125" s="455"/>
      <c r="AD125" s="455"/>
      <c r="AE125" s="455"/>
      <c r="AF125" s="455"/>
      <c r="AG125" s="455"/>
      <c r="AH125" s="455"/>
      <c r="AI125" s="440">
        <f t="shared" si="15"/>
        <v>1</v>
      </c>
      <c r="AJ125" s="463" t="e">
        <f>+VLOOKUP(R125,'Base Material'!B:D,3,FALSE)</f>
        <v>#N/A</v>
      </c>
      <c r="AK125" s="464" t="e">
        <f t="shared" si="13"/>
        <v>#N/A</v>
      </c>
    </row>
    <row r="126" spans="1:37" x14ac:dyDescent="0.25">
      <c r="A126" s="456">
        <v>3</v>
      </c>
      <c r="B126" s="471" t="s">
        <v>754</v>
      </c>
      <c r="C126" s="458" t="s">
        <v>879</v>
      </c>
      <c r="D126" s="459"/>
      <c r="E126" s="459"/>
      <c r="F126" s="459"/>
      <c r="G126" s="459"/>
      <c r="H126" s="459"/>
      <c r="I126" s="459"/>
      <c r="J126" s="459"/>
      <c r="K126" s="459"/>
      <c r="L126" s="459"/>
      <c r="M126" s="459">
        <v>1</v>
      </c>
      <c r="P126" s="460"/>
      <c r="R126" s="461">
        <f t="shared" si="14"/>
        <v>3</v>
      </c>
      <c r="S126" s="461" t="str">
        <f t="shared" si="12"/>
        <v>Aires</v>
      </c>
      <c r="T126" s="462" t="str">
        <f t="shared" si="12"/>
        <v>AD-adhesivo especial X205CC 175 GR (30)/TIGREADHES</v>
      </c>
      <c r="U126" s="440">
        <f>+M126*SERVICIOS!$D$5</f>
        <v>1</v>
      </c>
      <c r="V126" s="455"/>
      <c r="W126" s="455"/>
      <c r="X126" s="455"/>
      <c r="Y126" s="455"/>
      <c r="Z126" s="455"/>
      <c r="AA126" s="455"/>
      <c r="AB126" s="455"/>
      <c r="AC126" s="455"/>
      <c r="AD126" s="455"/>
      <c r="AE126" s="455"/>
      <c r="AF126" s="455"/>
      <c r="AG126" s="455"/>
      <c r="AH126" s="455"/>
      <c r="AI126" s="440">
        <f t="shared" si="15"/>
        <v>1</v>
      </c>
      <c r="AJ126" s="463" t="e">
        <f>+VLOOKUP(R126,'Base Material'!B:D,3,FALSE)</f>
        <v>#N/A</v>
      </c>
      <c r="AK126" s="464" t="e">
        <f t="shared" si="13"/>
        <v>#N/A</v>
      </c>
    </row>
    <row r="127" ht="12" customHeight="1" spans="1:37" x14ac:dyDescent="0.25">
      <c r="A127" s="456">
        <v>31616</v>
      </c>
      <c r="B127" s="471" t="s">
        <v>754</v>
      </c>
      <c r="C127" s="458" t="s">
        <v>880</v>
      </c>
      <c r="D127" s="459"/>
      <c r="E127" s="459"/>
      <c r="F127" s="459"/>
      <c r="G127" s="459"/>
      <c r="H127" s="459"/>
      <c r="I127" s="459"/>
      <c r="J127" s="459"/>
      <c r="K127" s="459"/>
      <c r="L127" s="459"/>
      <c r="M127" s="459">
        <v>1</v>
      </c>
      <c r="P127" s="460"/>
      <c r="R127" s="461">
        <f t="shared" si="14"/>
        <v>31616</v>
      </c>
      <c r="S127" s="461" t="str">
        <f t="shared" si="12"/>
        <v>Aires</v>
      </c>
      <c r="T127" s="462" t="str">
        <f t="shared" si="12"/>
        <v>Multicapa fusion S 3,2 25 mm x 4 mm ( emb.20 unid)</v>
      </c>
      <c r="U127" s="440">
        <f>+M127*SERVICIOS!$D$5</f>
        <v>1</v>
      </c>
      <c r="V127" s="455"/>
      <c r="W127" s="455"/>
      <c r="X127" s="455"/>
      <c r="Y127" s="455"/>
      <c r="Z127" s="455"/>
      <c r="AA127" s="455"/>
      <c r="AB127" s="455"/>
      <c r="AC127" s="455"/>
      <c r="AD127" s="455"/>
      <c r="AE127" s="455"/>
      <c r="AF127" s="455"/>
      <c r="AG127" s="455"/>
      <c r="AH127" s="455"/>
      <c r="AI127" s="440">
        <f t="shared" si="15"/>
        <v>1</v>
      </c>
      <c r="AJ127" s="463" t="e">
        <f>+VLOOKUP(R127,'Base Material'!B:D,3,FALSE)</f>
        <v>#N/A</v>
      </c>
      <c r="AK127" s="464" t="e">
        <f t="shared" si="13"/>
        <v>#N/A</v>
      </c>
    </row>
    <row r="128" ht="23.25" customHeight="1" spans="1:37" s="465" customFormat="1" x14ac:dyDescent="0.25">
      <c r="A128" s="472" t="s">
        <v>881</v>
      </c>
      <c r="B128" s="470"/>
      <c r="C128" s="455" t="s">
        <v>882</v>
      </c>
      <c r="D128" s="455" t="s">
        <v>764</v>
      </c>
      <c r="E128" s="455" t="s">
        <v>765</v>
      </c>
      <c r="F128" s="455" t="s">
        <v>766</v>
      </c>
      <c r="G128" s="455" t="s">
        <v>767</v>
      </c>
      <c r="H128" s="455" t="s">
        <v>768</v>
      </c>
      <c r="I128" s="434"/>
      <c r="J128" s="434"/>
      <c r="K128" s="434"/>
      <c r="L128" s="434"/>
      <c r="M128" s="434"/>
      <c r="P128" s="468"/>
      <c r="R128" s="455" t="s">
        <v>772</v>
      </c>
      <c r="S128" s="455"/>
      <c r="T128" s="455" t="str">
        <f t="shared" si="12"/>
        <v>Artefactos y Accesorios</v>
      </c>
      <c r="U128" s="455" t="s">
        <v>764</v>
      </c>
      <c r="V128" s="455" t="s">
        <v>765</v>
      </c>
      <c r="W128" s="455" t="s">
        <v>766</v>
      </c>
      <c r="X128" s="455" t="s">
        <v>767</v>
      </c>
      <c r="Y128" s="455" t="s">
        <v>768</v>
      </c>
      <c r="Z128" s="455"/>
      <c r="AA128" s="455"/>
      <c r="AB128" s="455"/>
      <c r="AC128" s="455"/>
      <c r="AD128" s="455"/>
      <c r="AE128" s="455"/>
      <c r="AF128" s="455"/>
      <c r="AG128" s="455"/>
      <c r="AH128" s="455"/>
      <c r="AI128" s="455" t="s">
        <v>775</v>
      </c>
      <c r="AJ128" s="455" t="str">
        <f>+VLOOKUP(R128,'Base Material'!B:D,3,FALSE)</f>
        <v>COSTO CON IVA</v>
      </c>
      <c r="AK128" s="455" t="e">
        <f t="shared" si="13"/>
        <v>#VALUE!</v>
      </c>
    </row>
    <row r="129" spans="1:37" x14ac:dyDescent="0.25">
      <c r="A129" s="456"/>
      <c r="B129" s="471" t="s">
        <v>33</v>
      </c>
      <c r="C129" s="458" t="s">
        <v>883</v>
      </c>
      <c r="D129" s="459">
        <v>1</v>
      </c>
      <c r="E129" s="459">
        <v>1</v>
      </c>
      <c r="F129" s="459"/>
      <c r="G129" s="459"/>
      <c r="H129" s="459"/>
      <c r="I129" s="434"/>
      <c r="J129" s="434"/>
      <c r="K129" s="434"/>
      <c r="L129" s="434"/>
      <c r="M129" s="434"/>
      <c r="P129" s="460"/>
      <c r="R129" s="461"/>
      <c r="S129" s="461" t="str">
        <f t="shared" si="12"/>
        <v>Artefactos</v>
      </c>
      <c r="T129" s="462" t="str">
        <f t="shared" si="12"/>
        <v>Vogue Plus Inod. Largo (PA505) LZA 5051/LOZAAQUALAF</v>
      </c>
      <c r="U129" s="440">
        <f>+D129*SERVICIOS!$D$3</f>
        <v>0</v>
      </c>
      <c r="V129" s="440">
        <f>+E129*SERVICIOS!$D$4</f>
        <v>0</v>
      </c>
      <c r="W129" s="440">
        <f>+F129*SERVICIOS!$D$4</f>
        <v>0</v>
      </c>
      <c r="X129" s="440">
        <f>+SERVICIOS!$D$1*SERVICIOS!G129</f>
        <v>0</v>
      </c>
      <c r="Y129" s="440">
        <f>+H129*SERVICIOS!$D$2</f>
        <v>0</v>
      </c>
      <c r="Z129" s="455"/>
      <c r="AA129" s="455"/>
      <c r="AB129" s="455"/>
      <c r="AC129" s="455"/>
      <c r="AD129" s="455"/>
      <c r="AE129" s="455"/>
      <c r="AF129" s="455"/>
      <c r="AG129" s="455"/>
      <c r="AH129" s="455"/>
      <c r="AI129" s="440">
        <f t="shared" ref="AI129:AI140" si="16">SUM(U129:AH129)</f>
        <v>0</v>
      </c>
      <c r="AJ129" s="463" t="e">
        <f>+VLOOKUP(R129,'Base Material'!B:D,3,FALSE)</f>
        <v>#N/A</v>
      </c>
      <c r="AK129" s="464" t="e">
        <f t="shared" si="13"/>
        <v>#N/A</v>
      </c>
    </row>
    <row r="130" spans="1:37" x14ac:dyDescent="0.25">
      <c r="A130" s="456"/>
      <c r="B130" s="471" t="s">
        <v>756</v>
      </c>
      <c r="C130" s="458" t="s">
        <v>884</v>
      </c>
      <c r="D130" s="459">
        <v>1</v>
      </c>
      <c r="E130" s="459">
        <v>1</v>
      </c>
      <c r="F130" s="459"/>
      <c r="G130" s="459"/>
      <c r="H130" s="459"/>
      <c r="I130" s="434"/>
      <c r="J130" s="434"/>
      <c r="K130" s="434"/>
      <c r="L130" s="434"/>
      <c r="M130" s="434"/>
      <c r="P130" s="460"/>
      <c r="R130" s="461"/>
      <c r="S130" s="461" t="str">
        <f t="shared" si="12"/>
        <v>Artefacto</v>
      </c>
      <c r="T130" s="462" t="str">
        <f t="shared" si="12"/>
        <v>Vogue Plus Depòsito para Inodoro DECA/LOZAAQUALAF</v>
      </c>
      <c r="U130" s="440">
        <f>+D130*SERVICIOS!$D$3</f>
        <v>0</v>
      </c>
      <c r="V130" s="440">
        <f>+E130*SERVICIOS!$D$4</f>
        <v>0</v>
      </c>
      <c r="W130" s="440">
        <f>+F130*SERVICIOS!$D$4</f>
        <v>0</v>
      </c>
      <c r="X130" s="440">
        <f>+SERVICIOS!$D$1*SERVICIOS!G130</f>
        <v>0</v>
      </c>
      <c r="Y130" s="440">
        <f>+H130*SERVICIOS!$D$2</f>
        <v>0</v>
      </c>
      <c r="Z130" s="455"/>
      <c r="AA130" s="455"/>
      <c r="AB130" s="455"/>
      <c r="AC130" s="455"/>
      <c r="AD130" s="455"/>
      <c r="AE130" s="455"/>
      <c r="AF130" s="455"/>
      <c r="AG130" s="455"/>
      <c r="AH130" s="455"/>
      <c r="AI130" s="440">
        <f t="shared" si="16"/>
        <v>0</v>
      </c>
      <c r="AJ130" s="463" t="e">
        <f>+VLOOKUP(R130,'Base Material'!B:D,3,FALSE)</f>
        <v>#N/A</v>
      </c>
      <c r="AK130" s="464" t="e">
        <f t="shared" si="13"/>
        <v>#N/A</v>
      </c>
    </row>
    <row r="131" spans="1:37" x14ac:dyDescent="0.25">
      <c r="A131" s="473"/>
      <c r="B131" s="471" t="s">
        <v>756</v>
      </c>
      <c r="C131" s="458" t="s">
        <v>885</v>
      </c>
      <c r="D131" s="459">
        <v>1</v>
      </c>
      <c r="E131" s="459">
        <v>1</v>
      </c>
      <c r="F131" s="459"/>
      <c r="G131" s="459"/>
      <c r="H131" s="459"/>
      <c r="I131" s="434"/>
      <c r="J131" s="434"/>
      <c r="K131" s="434"/>
      <c r="L131" s="434"/>
      <c r="M131" s="434"/>
      <c r="P131" s="460"/>
      <c r="R131" s="461"/>
      <c r="S131" s="461" t="str">
        <f t="shared" si="12"/>
        <v>Artefacto</v>
      </c>
      <c r="T131" s="462" t="str">
        <f t="shared" si="12"/>
        <v>Vogue Plus Asciento para inodoro C/Tapa VOGUE PLUS LZA-5017/L</v>
      </c>
      <c r="U131" s="440">
        <f>+D131*SERVICIOS!$D$3</f>
        <v>0</v>
      </c>
      <c r="V131" s="440">
        <f>+E131*SERVICIOS!$D$4</f>
        <v>0</v>
      </c>
      <c r="W131" s="440">
        <f>+F131*SERVICIOS!$D$4</f>
        <v>0</v>
      </c>
      <c r="X131" s="440">
        <f>+SERVICIOS!$D$1*SERVICIOS!G131</f>
        <v>0</v>
      </c>
      <c r="Y131" s="440">
        <f>+H131*SERVICIOS!$D$2</f>
        <v>0</v>
      </c>
      <c r="Z131" s="455"/>
      <c r="AA131" s="455"/>
      <c r="AB131" s="455"/>
      <c r="AC131" s="455"/>
      <c r="AD131" s="455"/>
      <c r="AE131" s="455"/>
      <c r="AF131" s="455"/>
      <c r="AG131" s="455"/>
      <c r="AH131" s="455"/>
      <c r="AI131" s="440">
        <f t="shared" si="16"/>
        <v>0</v>
      </c>
      <c r="AJ131" s="463" t="e">
        <f>+VLOOKUP(R131,'Base Material'!B:D,3,FALSE)</f>
        <v>#N/A</v>
      </c>
      <c r="AK131" s="464" t="e">
        <f t="shared" si="13"/>
        <v>#N/A</v>
      </c>
    </row>
    <row r="132" spans="1:37" x14ac:dyDescent="0.25">
      <c r="A132" s="456"/>
      <c r="B132" s="471" t="s">
        <v>756</v>
      </c>
      <c r="C132" s="458" t="s">
        <v>886</v>
      </c>
      <c r="D132" s="459">
        <v>1</v>
      </c>
      <c r="E132" s="459">
        <v>1</v>
      </c>
      <c r="F132" s="459"/>
      <c r="G132" s="459"/>
      <c r="H132" s="459"/>
      <c r="I132" s="434"/>
      <c r="J132" s="434"/>
      <c r="K132" s="434"/>
      <c r="L132" s="434"/>
      <c r="M132" s="434"/>
      <c r="P132" s="460"/>
      <c r="R132" s="461"/>
      <c r="S132" s="461" t="str">
        <f t="shared" si="12"/>
        <v>Artefacto</v>
      </c>
      <c r="T132" s="462" t="str">
        <f t="shared" si="12"/>
        <v>Bacha: Deca Bacha de apoyo cuadrada L70</v>
      </c>
      <c r="U132" s="440">
        <f>+D132*SERVICIOS!$D$3</f>
        <v>0</v>
      </c>
      <c r="V132" s="440">
        <f>+E132*SERVICIOS!$D$4</f>
        <v>0</v>
      </c>
      <c r="W132" s="440">
        <f>+F132*SERVICIOS!$D$4</f>
        <v>0</v>
      </c>
      <c r="X132" s="440">
        <f>+SERVICIOS!$D$1*SERVICIOS!G132</f>
        <v>0</v>
      </c>
      <c r="Y132" s="440">
        <f>+H132*SERVICIOS!$D$2</f>
        <v>0</v>
      </c>
      <c r="Z132" s="455"/>
      <c r="AA132" s="455"/>
      <c r="AB132" s="455"/>
      <c r="AC132" s="455"/>
      <c r="AD132" s="455"/>
      <c r="AE132" s="455"/>
      <c r="AF132" s="455"/>
      <c r="AG132" s="455"/>
      <c r="AH132" s="455"/>
      <c r="AI132" s="440">
        <f t="shared" si="16"/>
        <v>0</v>
      </c>
      <c r="AJ132" s="463" t="e">
        <f>+VLOOKUP(R132,'Base Material'!B:D,3,FALSE)</f>
        <v>#N/A</v>
      </c>
      <c r="AK132" s="464" t="e">
        <f t="shared" si="13"/>
        <v>#N/A</v>
      </c>
    </row>
    <row r="133" spans="1:37" x14ac:dyDescent="0.25">
      <c r="A133" s="456"/>
      <c r="B133" s="471" t="s">
        <v>756</v>
      </c>
      <c r="C133" s="469" t="s">
        <v>887</v>
      </c>
      <c r="D133" s="459"/>
      <c r="E133" s="459">
        <v>1</v>
      </c>
      <c r="F133" s="459"/>
      <c r="G133" s="459"/>
      <c r="H133" s="459"/>
      <c r="I133" s="434"/>
      <c r="J133" s="434"/>
      <c r="K133" s="434"/>
      <c r="L133" s="434"/>
      <c r="M133" s="434"/>
      <c r="P133" s="460"/>
      <c r="R133" s="461"/>
      <c r="S133" s="461" t="str">
        <f t="shared" si="12"/>
        <v>Artefacto</v>
      </c>
      <c r="T133" s="462" t="str">
        <f t="shared" si="12"/>
        <v>Vogue Plus Bidet 3 Aguj. (BA5)/ LOZAAAQUALAF</v>
      </c>
      <c r="U133" s="440">
        <f>+D133*SERVICIOS!$D$3</f>
        <v>0</v>
      </c>
      <c r="V133" s="440">
        <f>+E133*SERVICIOS!$D$4</f>
        <v>0</v>
      </c>
      <c r="W133" s="440">
        <f>+F133*SERVICIOS!$D$4</f>
        <v>0</v>
      </c>
      <c r="X133" s="440">
        <f>+SERVICIOS!$D$1*SERVICIOS!G133</f>
        <v>0</v>
      </c>
      <c r="Y133" s="440">
        <f>+H133*SERVICIOS!$D$2</f>
        <v>0</v>
      </c>
      <c r="Z133" s="455"/>
      <c r="AA133" s="455"/>
      <c r="AB133" s="455"/>
      <c r="AC133" s="455"/>
      <c r="AD133" s="455"/>
      <c r="AE133" s="455"/>
      <c r="AF133" s="455"/>
      <c r="AG133" s="455"/>
      <c r="AH133" s="455"/>
      <c r="AI133" s="440">
        <f t="shared" si="16"/>
        <v>0</v>
      </c>
      <c r="AJ133" s="463" t="e">
        <f>+VLOOKUP(R133,'Base Material'!B:D,3,FALSE)</f>
        <v>#N/A</v>
      </c>
      <c r="AK133" s="464" t="e">
        <f t="shared" si="13"/>
        <v>#N/A</v>
      </c>
    </row>
    <row r="134" spans="1:37" x14ac:dyDescent="0.25">
      <c r="A134" s="456"/>
      <c r="B134" s="471" t="s">
        <v>756</v>
      </c>
      <c r="C134" s="469" t="s">
        <v>888</v>
      </c>
      <c r="D134" s="459"/>
      <c r="E134" s="459">
        <v>1</v>
      </c>
      <c r="F134" s="459"/>
      <c r="G134" s="459"/>
      <c r="H134" s="459"/>
      <c r="I134" s="434"/>
      <c r="J134" s="434"/>
      <c r="K134" s="434"/>
      <c r="L134" s="434"/>
      <c r="M134" s="434"/>
      <c r="P134" s="460"/>
      <c r="R134" s="461"/>
      <c r="S134" s="461" t="str">
        <f t="shared" si="12"/>
        <v>Artefacto</v>
      </c>
      <c r="T134" s="462" t="str">
        <f t="shared" si="12"/>
        <v>Estal. Grif Quartier Lever Bidet/GRIFEStaLGRIF</v>
      </c>
      <c r="U134" s="440">
        <f>+D134*SERVICIOS!$D$3</f>
        <v>0</v>
      </c>
      <c r="V134" s="440">
        <f>+E134*SERVICIOS!$D$4</f>
        <v>0</v>
      </c>
      <c r="W134" s="440">
        <f>+F134*SERVICIOS!$D$4</f>
        <v>0</v>
      </c>
      <c r="X134" s="440">
        <f>+SERVICIOS!$D$1*SERVICIOS!G134</f>
        <v>0</v>
      </c>
      <c r="Y134" s="440">
        <f>+H134*SERVICIOS!$D$2</f>
        <v>0</v>
      </c>
      <c r="Z134" s="455"/>
      <c r="AA134" s="455"/>
      <c r="AB134" s="455"/>
      <c r="AC134" s="455"/>
      <c r="AD134" s="455"/>
      <c r="AE134" s="455"/>
      <c r="AF134" s="455"/>
      <c r="AG134" s="455"/>
      <c r="AH134" s="455"/>
      <c r="AI134" s="440">
        <f t="shared" si="16"/>
        <v>0</v>
      </c>
      <c r="AJ134" s="463" t="e">
        <f>+VLOOKUP(R134,'Base Material'!B:D,3,FALSE)</f>
        <v>#N/A</v>
      </c>
      <c r="AK134" s="464" t="e">
        <f t="shared" si="13"/>
        <v>#N/A</v>
      </c>
    </row>
    <row r="135" spans="1:37" x14ac:dyDescent="0.25">
      <c r="A135" s="456"/>
      <c r="B135" s="471" t="s">
        <v>756</v>
      </c>
      <c r="C135" s="469" t="s">
        <v>889</v>
      </c>
      <c r="D135" s="459"/>
      <c r="E135" s="459">
        <v>1</v>
      </c>
      <c r="F135" s="459"/>
      <c r="G135" s="459"/>
      <c r="H135" s="459"/>
      <c r="I135" s="434"/>
      <c r="J135" s="434"/>
      <c r="K135" s="434"/>
      <c r="L135" s="434"/>
      <c r="M135" s="434"/>
      <c r="P135" s="460"/>
      <c r="R135" s="461"/>
      <c r="S135" s="461" t="str">
        <f t="shared" si="12"/>
        <v>Artefacto</v>
      </c>
      <c r="T135" s="462" t="str">
        <f t="shared" si="12"/>
        <v>Cuadro de ducha de empotrar: Piazza Mind 21406 - Ducxha dse embutir</v>
      </c>
      <c r="U135" s="440">
        <f>+D135*SERVICIOS!$D$3</f>
        <v>0</v>
      </c>
      <c r="V135" s="440">
        <f>+E135*SERVICIOS!$D$4</f>
        <v>0</v>
      </c>
      <c r="W135" s="440">
        <f>+F135*SERVICIOS!$D$4</f>
        <v>0</v>
      </c>
      <c r="X135" s="440">
        <f>+SERVICIOS!$D$1*SERVICIOS!G135</f>
        <v>0</v>
      </c>
      <c r="Y135" s="440">
        <f>+H135*SERVICIOS!$D$2</f>
        <v>0</v>
      </c>
      <c r="Z135" s="455"/>
      <c r="AA135" s="455"/>
      <c r="AB135" s="455"/>
      <c r="AC135" s="455"/>
      <c r="AD135" s="455"/>
      <c r="AE135" s="455"/>
      <c r="AF135" s="455"/>
      <c r="AG135" s="455"/>
      <c r="AH135" s="455"/>
      <c r="AI135" s="440">
        <f t="shared" si="16"/>
        <v>0</v>
      </c>
      <c r="AJ135" s="463" t="e">
        <f>+VLOOKUP(R135,'Base Material'!B:D,3,FALSE)</f>
        <v>#N/A</v>
      </c>
      <c r="AK135" s="464" t="e">
        <f t="shared" si="13"/>
        <v>#N/A</v>
      </c>
    </row>
    <row r="136" spans="1:37" x14ac:dyDescent="0.25">
      <c r="A136" s="456"/>
      <c r="B136" s="471" t="s">
        <v>756</v>
      </c>
      <c r="C136" s="469" t="s">
        <v>890</v>
      </c>
      <c r="D136" s="459"/>
      <c r="E136" s="459"/>
      <c r="F136" s="459"/>
      <c r="G136" s="459">
        <v>1</v>
      </c>
      <c r="H136" s="459"/>
      <c r="I136" s="434"/>
      <c r="J136" s="434"/>
      <c r="K136" s="434"/>
      <c r="L136" s="434"/>
      <c r="M136" s="434"/>
      <c r="P136" s="460"/>
      <c r="R136" s="461"/>
      <c r="S136" s="461" t="str">
        <f t="shared" si="12"/>
        <v>Artefacto</v>
      </c>
      <c r="T136" s="462" t="str">
        <f t="shared" si="12"/>
        <v>Bacha de cocina: Johnson - Bacha de cocina R37</v>
      </c>
      <c r="U136" s="440">
        <f>+D136*SERVICIOS!$D$3</f>
        <v>0</v>
      </c>
      <c r="V136" s="440">
        <f>+E136*SERVICIOS!$D$4</f>
        <v>0</v>
      </c>
      <c r="W136" s="440">
        <f>+F136*SERVICIOS!$D$4</f>
        <v>0</v>
      </c>
      <c r="X136" s="440">
        <f>+SERVICIOS!$D$1*SERVICIOS!G136</f>
        <v>0</v>
      </c>
      <c r="Y136" s="440">
        <f>+H136*SERVICIOS!$D$2</f>
        <v>0</v>
      </c>
      <c r="Z136" s="455"/>
      <c r="AA136" s="455"/>
      <c r="AB136" s="455"/>
      <c r="AC136" s="455"/>
      <c r="AD136" s="455"/>
      <c r="AE136" s="455"/>
      <c r="AF136" s="455"/>
      <c r="AG136" s="455"/>
      <c r="AH136" s="455"/>
      <c r="AI136" s="440">
        <f t="shared" si="16"/>
        <v>0</v>
      </c>
      <c r="AJ136" s="463" t="e">
        <f>+VLOOKUP(R136,'Base Material'!B:D,3,FALSE)</f>
        <v>#N/A</v>
      </c>
      <c r="AK136" s="464" t="e">
        <f t="shared" si="13"/>
        <v>#N/A</v>
      </c>
    </row>
    <row r="137" spans="1:37" x14ac:dyDescent="0.25">
      <c r="A137" s="456"/>
      <c r="B137" s="471" t="s">
        <v>756</v>
      </c>
      <c r="C137" s="469" t="s">
        <v>891</v>
      </c>
      <c r="D137" s="459"/>
      <c r="E137" s="459"/>
      <c r="F137" s="459"/>
      <c r="G137" s="459"/>
      <c r="H137" s="459">
        <v>1</v>
      </c>
      <c r="I137" s="434"/>
      <c r="J137" s="434"/>
      <c r="K137" s="434"/>
      <c r="L137" s="434"/>
      <c r="M137" s="434"/>
      <c r="P137" s="460"/>
      <c r="R137" s="461"/>
      <c r="S137" s="461" t="str">
        <f t="shared" si="12"/>
        <v>Artefacto</v>
      </c>
      <c r="T137" s="462" t="str">
        <f t="shared" si="12"/>
        <v>Bacha de lavanderia: Johnson - Bacha lavadero LN50 50x40x25</v>
      </c>
      <c r="U137" s="440">
        <f>+D137*SERVICIOS!$D$3</f>
        <v>0</v>
      </c>
      <c r="V137" s="440">
        <f>+E137*SERVICIOS!$D$4</f>
        <v>0</v>
      </c>
      <c r="W137" s="440">
        <f>+F137*SERVICIOS!$D$4</f>
        <v>0</v>
      </c>
      <c r="X137" s="440">
        <f>+SERVICIOS!$D$1*SERVICIOS!G137</f>
        <v>0</v>
      </c>
      <c r="Y137" s="440">
        <f>+H137*SERVICIOS!$D$2</f>
        <v>0</v>
      </c>
      <c r="Z137" s="455"/>
      <c r="AA137" s="455"/>
      <c r="AB137" s="455"/>
      <c r="AC137" s="455"/>
      <c r="AD137" s="455"/>
      <c r="AE137" s="455"/>
      <c r="AF137" s="455"/>
      <c r="AG137" s="455"/>
      <c r="AH137" s="455"/>
      <c r="AI137" s="440">
        <f t="shared" si="16"/>
        <v>0</v>
      </c>
      <c r="AJ137" s="463" t="e">
        <f>+VLOOKUP(R137,'Base Material'!B:D,3,FALSE)</f>
        <v>#N/A</v>
      </c>
      <c r="AK137" s="464" t="e">
        <f t="shared" si="13"/>
        <v>#N/A</v>
      </c>
    </row>
    <row r="138" spans="1:37" x14ac:dyDescent="0.25">
      <c r="A138" s="456"/>
      <c r="B138" s="471" t="s">
        <v>756</v>
      </c>
      <c r="C138" s="469" t="s">
        <v>892</v>
      </c>
      <c r="D138" s="459"/>
      <c r="E138" s="459"/>
      <c r="F138" s="459"/>
      <c r="G138" s="459"/>
      <c r="H138" s="459"/>
      <c r="I138" s="434"/>
      <c r="J138" s="434"/>
      <c r="K138" s="434"/>
      <c r="L138" s="434"/>
      <c r="M138" s="434"/>
      <c r="P138" s="460"/>
      <c r="R138" s="461"/>
      <c r="S138" s="461" t="str">
        <f t="shared" si="12"/>
        <v>Artefacto</v>
      </c>
      <c r="T138" s="462" t="str">
        <f t="shared" si="12"/>
        <v>Monocomando baños: Hydros - Monocomando De Cocina Calyx 15911</v>
      </c>
      <c r="U138" s="440">
        <f>+D138*SERVICIOS!$D$3</f>
        <v>0</v>
      </c>
      <c r="V138" s="440">
        <f>+E138*SERVICIOS!$D$4</f>
        <v>0</v>
      </c>
      <c r="W138" s="440">
        <f>+F138*SERVICIOS!$D$4</f>
        <v>0</v>
      </c>
      <c r="X138" s="440">
        <f>+SERVICIOS!$D$1*SERVICIOS!G138</f>
        <v>0</v>
      </c>
      <c r="Y138" s="440">
        <f>+H138*SERVICIOS!$D$2</f>
        <v>0</v>
      </c>
      <c r="Z138" s="455"/>
      <c r="AA138" s="455"/>
      <c r="AB138" s="455"/>
      <c r="AC138" s="455"/>
      <c r="AD138" s="455"/>
      <c r="AE138" s="455"/>
      <c r="AF138" s="455"/>
      <c r="AG138" s="455"/>
      <c r="AH138" s="455"/>
      <c r="AI138" s="440">
        <f t="shared" si="16"/>
        <v>0</v>
      </c>
      <c r="AJ138" s="463" t="e">
        <f>+VLOOKUP(R138,'Base Material'!B:D,3,FALSE)</f>
        <v>#N/A</v>
      </c>
      <c r="AK138" s="464" t="e">
        <f t="shared" si="13"/>
        <v>#N/A</v>
      </c>
    </row>
    <row r="139" spans="1:37" x14ac:dyDescent="0.25">
      <c r="A139" s="456"/>
      <c r="B139" s="471" t="s">
        <v>756</v>
      </c>
      <c r="C139" s="469" t="s">
        <v>893</v>
      </c>
      <c r="D139" s="459"/>
      <c r="E139" s="459"/>
      <c r="F139" s="459"/>
      <c r="G139" s="459"/>
      <c r="H139" s="459"/>
      <c r="I139" s="434"/>
      <c r="J139" s="434"/>
      <c r="K139" s="434"/>
      <c r="L139" s="434"/>
      <c r="M139" s="434"/>
      <c r="P139" s="460"/>
      <c r="R139" s="461"/>
      <c r="S139" s="461" t="str">
        <f t="shared" si="12"/>
        <v>Artefacto</v>
      </c>
      <c r="T139" s="462" t="str">
        <f t="shared" si="12"/>
        <v>Monocomando lavanderia: Piazza - Monocomando cocina Emblem 10012</v>
      </c>
      <c r="U139" s="440">
        <f>+D139*SERVICIOS!$D$3</f>
        <v>0</v>
      </c>
      <c r="V139" s="440">
        <f>+E139*SERVICIOS!$D$4</f>
        <v>0</v>
      </c>
      <c r="W139" s="440">
        <f>+F139*SERVICIOS!$D$4</f>
        <v>0</v>
      </c>
      <c r="X139" s="440">
        <f>+SERVICIOS!$D$1*SERVICIOS!G139</f>
        <v>0</v>
      </c>
      <c r="Y139" s="440">
        <f>+H139*SERVICIOS!$D$2</f>
        <v>0</v>
      </c>
      <c r="Z139" s="455"/>
      <c r="AA139" s="455"/>
      <c r="AB139" s="455"/>
      <c r="AC139" s="455"/>
      <c r="AD139" s="455"/>
      <c r="AE139" s="455"/>
      <c r="AF139" s="455"/>
      <c r="AG139" s="455"/>
      <c r="AH139" s="455"/>
      <c r="AI139" s="440">
        <f t="shared" si="16"/>
        <v>0</v>
      </c>
      <c r="AJ139" s="463" t="e">
        <f>+VLOOKUP(R139,'Base Material'!B:D,3,FALSE)</f>
        <v>#N/A</v>
      </c>
      <c r="AK139" s="464" t="e">
        <f t="shared" si="13"/>
        <v>#N/A</v>
      </c>
    </row>
    <row r="140" ht="12" customHeight="1" spans="1:37" x14ac:dyDescent="0.25">
      <c r="A140" s="456"/>
      <c r="B140" s="471" t="s">
        <v>756</v>
      </c>
      <c r="C140" s="469" t="s">
        <v>894</v>
      </c>
      <c r="D140" s="459"/>
      <c r="E140" s="459"/>
      <c r="F140" s="459"/>
      <c r="G140" s="459">
        <v>1</v>
      </c>
      <c r="H140" s="459">
        <v>1</v>
      </c>
      <c r="I140" s="434"/>
      <c r="J140" s="434"/>
      <c r="K140" s="434"/>
      <c r="L140" s="434"/>
      <c r="M140" s="434"/>
      <c r="P140" s="460"/>
      <c r="R140" s="461"/>
      <c r="S140" s="461" t="str">
        <f t="shared" si="12"/>
        <v>Artefacto</v>
      </c>
      <c r="T140" s="462" t="str">
        <f t="shared" si="12"/>
        <v>Monocomando cocina:Piazza - Monocomando cocina gourmet con extensión 10300</v>
      </c>
      <c r="U140" s="440">
        <f>+D140*SERVICIOS!$D$3</f>
        <v>0</v>
      </c>
      <c r="V140" s="440">
        <f>+E140*SERVICIOS!$D$4</f>
        <v>0</v>
      </c>
      <c r="W140" s="440">
        <f>+F140*SERVICIOS!$D$4</f>
        <v>0</v>
      </c>
      <c r="X140" s="440">
        <f>+SERVICIOS!$D$1*SERVICIOS!G140</f>
        <v>0</v>
      </c>
      <c r="Y140" s="440">
        <f>+H140*SERVICIOS!$D$2</f>
        <v>0</v>
      </c>
      <c r="Z140" s="455"/>
      <c r="AA140" s="455"/>
      <c r="AB140" s="455"/>
      <c r="AC140" s="455"/>
      <c r="AD140" s="455"/>
      <c r="AE140" s="455"/>
      <c r="AF140" s="455"/>
      <c r="AG140" s="455"/>
      <c r="AH140" s="455"/>
      <c r="AI140" s="440">
        <f t="shared" si="16"/>
        <v>0</v>
      </c>
      <c r="AJ140" s="463" t="e">
        <f>+VLOOKUP(R140,'Base Material'!B:D,3,FALSE)</f>
        <v>#N/A</v>
      </c>
      <c r="AK140" s="464" t="e">
        <f t="shared" si="13"/>
        <v>#N/A</v>
      </c>
    </row>
    <row r="141" ht="34.5" customHeight="1" spans="1:37" s="465" customFormat="1" x14ac:dyDescent="0.25">
      <c r="A141" s="472" t="s">
        <v>881</v>
      </c>
      <c r="B141" s="467"/>
      <c r="C141" s="474" t="s">
        <v>895</v>
      </c>
      <c r="D141" s="475" t="s">
        <v>896</v>
      </c>
      <c r="E141" s="475" t="s">
        <v>897</v>
      </c>
      <c r="F141" s="475" t="s">
        <v>898</v>
      </c>
      <c r="G141" s="475" t="s">
        <v>899</v>
      </c>
      <c r="H141" s="475" t="s">
        <v>900</v>
      </c>
      <c r="I141" s="475" t="s">
        <v>747</v>
      </c>
      <c r="J141" s="475" t="s">
        <v>901</v>
      </c>
      <c r="K141" s="475" t="s">
        <v>902</v>
      </c>
      <c r="L141" s="475" t="s">
        <v>903</v>
      </c>
      <c r="M141" s="475" t="s">
        <v>904</v>
      </c>
      <c r="N141" s="475" t="s">
        <v>905</v>
      </c>
      <c r="O141" s="475" t="s">
        <v>906</v>
      </c>
      <c r="P141" s="476" t="s">
        <v>907</v>
      </c>
      <c r="Q141" s="477"/>
      <c r="R141" s="455" t="s">
        <v>881</v>
      </c>
      <c r="S141" s="455"/>
      <c r="T141" s="455" t="str">
        <f t="shared" si="12"/>
        <v>ELECTRICIDAD</v>
      </c>
      <c r="U141" s="455" t="s">
        <v>896</v>
      </c>
      <c r="V141" s="455" t="s">
        <v>897</v>
      </c>
      <c r="W141" s="455" t="s">
        <v>898</v>
      </c>
      <c r="X141" s="455" t="s">
        <v>899</v>
      </c>
      <c r="Y141" s="455" t="s">
        <v>900</v>
      </c>
      <c r="Z141" s="455" t="s">
        <v>747</v>
      </c>
      <c r="AA141" s="455" t="s">
        <v>901</v>
      </c>
      <c r="AB141" s="455" t="s">
        <v>902</v>
      </c>
      <c r="AC141" s="455" t="s">
        <v>903</v>
      </c>
      <c r="AD141" s="455" t="s">
        <v>904</v>
      </c>
      <c r="AE141" s="455" t="s">
        <v>905</v>
      </c>
      <c r="AF141" s="455" t="s">
        <v>906</v>
      </c>
      <c r="AG141" s="455" t="s">
        <v>907</v>
      </c>
      <c r="AH141" s="455"/>
      <c r="AI141" s="455" t="s">
        <v>775</v>
      </c>
      <c r="AJ141" s="455" t="e">
        <f>+VLOOKUP(R141,'Base Material'!B:D,3,FALSE)</f>
        <v>#N/A</v>
      </c>
      <c r="AK141" s="455" t="e">
        <f t="shared" si="13"/>
        <v>#N/A</v>
      </c>
    </row>
    <row r="142" spans="1:37" x14ac:dyDescent="0.25">
      <c r="A142" s="478">
        <v>22379</v>
      </c>
      <c r="B142" s="457" t="s">
        <v>40</v>
      </c>
      <c r="C142" s="479" t="s">
        <v>908</v>
      </c>
      <c r="D142" s="480">
        <v>0</v>
      </c>
      <c r="E142" s="480">
        <v>0</v>
      </c>
      <c r="F142" s="480">
        <v>0</v>
      </c>
      <c r="G142" s="480">
        <v>0</v>
      </c>
      <c r="H142" s="480">
        <v>0</v>
      </c>
      <c r="I142" s="480">
        <v>0</v>
      </c>
      <c r="J142" s="480">
        <v>0</v>
      </c>
      <c r="K142" s="480">
        <v>0</v>
      </c>
      <c r="L142" s="480">
        <v>0</v>
      </c>
      <c r="M142" s="480">
        <v>0</v>
      </c>
      <c r="N142" s="480">
        <v>0</v>
      </c>
      <c r="O142" s="480">
        <v>6</v>
      </c>
      <c r="P142" s="481">
        <v>0</v>
      </c>
      <c r="R142" s="461">
        <f t="shared" ref="R142:R204" si="17">+A142</f>
        <v>22379</v>
      </c>
      <c r="S142" s="461" t="str">
        <f t="shared" si="12"/>
        <v>Electricidad</v>
      </c>
      <c r="T142" s="462" t="str">
        <f t="shared" si="12"/>
        <v>Cable subterraneo 3x2,5</v>
      </c>
      <c r="U142" s="440">
        <v>0</v>
      </c>
      <c r="V142" s="440">
        <v>0</v>
      </c>
      <c r="W142" s="440">
        <v>0</v>
      </c>
      <c r="X142" s="440">
        <v>0</v>
      </c>
      <c r="Y142" s="440">
        <v>0</v>
      </c>
      <c r="Z142" s="440">
        <v>0</v>
      </c>
      <c r="AA142" s="440">
        <v>0</v>
      </c>
      <c r="AB142" s="440">
        <v>0</v>
      </c>
      <c r="AC142" s="440">
        <v>0</v>
      </c>
      <c r="AD142" s="440">
        <v>0</v>
      </c>
      <c r="AE142" s="440">
        <v>1</v>
      </c>
      <c r="AF142" s="440">
        <f>+O142</f>
        <v>6</v>
      </c>
      <c r="AG142" s="482">
        <f>+P142</f>
        <v>0</v>
      </c>
      <c r="AH142" s="455"/>
      <c r="AI142" s="440">
        <f t="shared" ref="AI142:AI204" si="18">SUM(U142:AH142)</f>
        <v>7</v>
      </c>
      <c r="AJ142" s="463">
        <f>+VLOOKUP(R142,'Base Material'!B:D,3,FALSE)</f>
        <v>1822.43</v>
      </c>
      <c r="AK142" s="464">
        <f t="shared" si="13"/>
        <v>12757.01</v>
      </c>
    </row>
    <row r="143" spans="1:37" x14ac:dyDescent="0.25">
      <c r="A143" s="478">
        <v>28148</v>
      </c>
      <c r="B143" s="457" t="s">
        <v>40</v>
      </c>
      <c r="C143" s="479" t="s">
        <v>909</v>
      </c>
      <c r="D143" s="480">
        <v>0</v>
      </c>
      <c r="E143" s="480">
        <v>0</v>
      </c>
      <c r="F143" s="480">
        <v>0</v>
      </c>
      <c r="G143" s="480">
        <v>0</v>
      </c>
      <c r="H143" s="480">
        <v>0</v>
      </c>
      <c r="I143" s="480">
        <v>0</v>
      </c>
      <c r="J143" s="480">
        <v>0</v>
      </c>
      <c r="K143" s="480">
        <v>0</v>
      </c>
      <c r="L143" s="480">
        <v>0</v>
      </c>
      <c r="M143" s="480">
        <v>0</v>
      </c>
      <c r="N143" s="480">
        <v>0</v>
      </c>
      <c r="O143" s="480">
        <v>0</v>
      </c>
      <c r="P143" s="481">
        <v>0</v>
      </c>
      <c r="R143" s="461">
        <f t="shared" si="17"/>
        <v>28148</v>
      </c>
      <c r="S143" s="461" t="str">
        <f t="shared" si="12"/>
        <v>Electricidad</v>
      </c>
      <c r="T143" s="462" t="str">
        <f t="shared" si="12"/>
        <v>Cable subterraneo 3x1,5</v>
      </c>
      <c r="U143" s="440">
        <v>0</v>
      </c>
      <c r="V143" s="440">
        <v>0</v>
      </c>
      <c r="W143" s="440">
        <v>0</v>
      </c>
      <c r="X143" s="440">
        <v>0</v>
      </c>
      <c r="Y143" s="440">
        <v>0</v>
      </c>
      <c r="Z143" s="440">
        <v>0</v>
      </c>
      <c r="AA143" s="440">
        <v>0</v>
      </c>
      <c r="AB143" s="440">
        <v>0</v>
      </c>
      <c r="AC143" s="440">
        <v>0</v>
      </c>
      <c r="AD143" s="440">
        <v>0</v>
      </c>
      <c r="AE143" s="440">
        <v>1</v>
      </c>
      <c r="AF143" s="440">
        <f t="shared" ref="AF143:AG220" si="19">+O143</f>
        <v>0</v>
      </c>
      <c r="AG143" s="482">
        <f t="shared" si="19"/>
        <v>0</v>
      </c>
      <c r="AH143" s="455"/>
      <c r="AI143" s="440">
        <f t="shared" si="18"/>
        <v>1</v>
      </c>
      <c r="AJ143" s="463">
        <f>+VLOOKUP(R143,'Base Material'!B:D,3,FALSE)</f>
        <v>6199.78</v>
      </c>
      <c r="AK143" s="464">
        <f t="shared" si="13"/>
        <v>6199.78</v>
      </c>
    </row>
    <row r="144" spans="1:37" x14ac:dyDescent="0.25">
      <c r="A144" s="478">
        <v>28148</v>
      </c>
      <c r="B144" s="457" t="s">
        <v>40</v>
      </c>
      <c r="C144" s="479" t="s">
        <v>910</v>
      </c>
      <c r="D144" s="480">
        <v>18</v>
      </c>
      <c r="E144" s="480">
        <v>0</v>
      </c>
      <c r="F144" s="480">
        <v>0</v>
      </c>
      <c r="G144" s="480">
        <v>0</v>
      </c>
      <c r="H144" s="480">
        <v>0</v>
      </c>
      <c r="I144" s="480">
        <v>0</v>
      </c>
      <c r="J144" s="480">
        <v>0</v>
      </c>
      <c r="K144" s="480">
        <v>0</v>
      </c>
      <c r="L144" s="480">
        <v>0</v>
      </c>
      <c r="M144" s="480">
        <v>0</v>
      </c>
      <c r="N144" s="480">
        <v>0</v>
      </c>
      <c r="O144" s="480">
        <v>0</v>
      </c>
      <c r="P144" s="481">
        <v>0</v>
      </c>
      <c r="R144" s="461">
        <f t="shared" si="17"/>
        <v>28148</v>
      </c>
      <c r="S144" s="461" t="str">
        <f t="shared" si="12"/>
        <v>Electricidad</v>
      </c>
      <c r="T144" s="462" t="str">
        <f t="shared" si="12"/>
        <v>Cable subterraneo 5x6</v>
      </c>
      <c r="U144" s="440">
        <v>18</v>
      </c>
      <c r="V144" s="440">
        <v>0</v>
      </c>
      <c r="W144" s="440">
        <v>0</v>
      </c>
      <c r="X144" s="440">
        <v>0</v>
      </c>
      <c r="Y144" s="440">
        <v>0</v>
      </c>
      <c r="Z144" s="440">
        <v>0</v>
      </c>
      <c r="AA144" s="440">
        <v>0</v>
      </c>
      <c r="AB144" s="440">
        <v>0</v>
      </c>
      <c r="AC144" s="440">
        <v>0</v>
      </c>
      <c r="AD144" s="440">
        <v>0</v>
      </c>
      <c r="AE144" s="440">
        <v>1</v>
      </c>
      <c r="AF144" s="440">
        <f t="shared" si="19"/>
        <v>0</v>
      </c>
      <c r="AG144" s="482">
        <f t="shared" si="19"/>
        <v>0</v>
      </c>
      <c r="AH144" s="455"/>
      <c r="AI144" s="440">
        <f t="shared" si="18"/>
        <v>19</v>
      </c>
      <c r="AJ144" s="463">
        <f>+VLOOKUP(R144,'Base Material'!B:D,3,FALSE)</f>
        <v>6199.78</v>
      </c>
      <c r="AK144" s="464">
        <f t="shared" si="13"/>
        <v>117795.81999999999</v>
      </c>
    </row>
    <row r="145" spans="1:37" x14ac:dyDescent="0.25">
      <c r="A145" s="478">
        <v>22455</v>
      </c>
      <c r="B145" s="457" t="s">
        <v>40</v>
      </c>
      <c r="C145" s="479" t="s">
        <v>911</v>
      </c>
      <c r="D145" s="480">
        <v>0</v>
      </c>
      <c r="E145" s="480">
        <v>10</v>
      </c>
      <c r="F145" s="480">
        <v>8</v>
      </c>
      <c r="G145" s="480">
        <v>5</v>
      </c>
      <c r="H145" s="480">
        <v>4</v>
      </c>
      <c r="I145" s="480">
        <v>10</v>
      </c>
      <c r="J145" s="480">
        <v>1</v>
      </c>
      <c r="K145" s="480">
        <v>1</v>
      </c>
      <c r="L145" s="480">
        <v>0</v>
      </c>
      <c r="M145" s="480">
        <v>0</v>
      </c>
      <c r="N145" s="480">
        <v>0</v>
      </c>
      <c r="O145" s="480">
        <v>0</v>
      </c>
      <c r="P145" s="481">
        <v>0</v>
      </c>
      <c r="R145" s="461">
        <f t="shared" si="17"/>
        <v>22455</v>
      </c>
      <c r="S145" s="461" t="str">
        <f t="shared" si="12"/>
        <v>Electricidad</v>
      </c>
      <c r="T145" s="462" t="str">
        <f t="shared" si="12"/>
        <v>Caja Chapa Octogonal Grande CH18 Obra</v>
      </c>
      <c r="U145" s="440">
        <v>0</v>
      </c>
      <c r="V145" s="440">
        <v>10</v>
      </c>
      <c r="W145" s="440">
        <v>32</v>
      </c>
      <c r="X145" s="440">
        <v>5</v>
      </c>
      <c r="Y145" s="440">
        <v>4</v>
      </c>
      <c r="Z145" s="440">
        <v>10</v>
      </c>
      <c r="AA145" s="440">
        <v>2</v>
      </c>
      <c r="AB145" s="440">
        <v>1</v>
      </c>
      <c r="AC145" s="440">
        <v>0</v>
      </c>
      <c r="AD145" s="440">
        <v>0</v>
      </c>
      <c r="AE145" s="440">
        <v>1</v>
      </c>
      <c r="AF145" s="440">
        <f t="shared" si="19"/>
        <v>0</v>
      </c>
      <c r="AG145" s="482">
        <f t="shared" si="19"/>
        <v>0</v>
      </c>
      <c r="AH145" s="455"/>
      <c r="AI145" s="440">
        <f t="shared" si="18"/>
        <v>65</v>
      </c>
      <c r="AJ145" s="463">
        <f>+VLOOKUP(R145,'Base Material'!B:D,3,FALSE)</f>
        <v>311.4</v>
      </c>
      <c r="AK145" s="464">
        <f t="shared" si="13"/>
        <v>20241</v>
      </c>
    </row>
    <row r="146" spans="1:37" x14ac:dyDescent="0.25">
      <c r="A146" s="478">
        <v>22456</v>
      </c>
      <c r="B146" s="457" t="s">
        <v>40</v>
      </c>
      <c r="C146" s="479" t="s">
        <v>912</v>
      </c>
      <c r="D146" s="480">
        <v>0</v>
      </c>
      <c r="E146" s="480">
        <v>3</v>
      </c>
      <c r="F146" s="480">
        <v>3</v>
      </c>
      <c r="G146" s="480">
        <v>0</v>
      </c>
      <c r="H146" s="480">
        <v>0</v>
      </c>
      <c r="I146" s="480">
        <v>3</v>
      </c>
      <c r="J146" s="480">
        <v>1</v>
      </c>
      <c r="K146" s="480">
        <v>1</v>
      </c>
      <c r="L146" s="480">
        <v>0</v>
      </c>
      <c r="M146" s="480">
        <v>8</v>
      </c>
      <c r="N146" s="480">
        <v>8</v>
      </c>
      <c r="O146" s="480">
        <v>0</v>
      </c>
      <c r="P146" s="481">
        <v>0</v>
      </c>
      <c r="R146" s="461">
        <f t="shared" si="17"/>
        <v>22456</v>
      </c>
      <c r="S146" s="461" t="str">
        <f t="shared" ref="S146:T208" si="20">B146</f>
        <v>Electricidad</v>
      </c>
      <c r="T146" s="462" t="str">
        <f t="shared" si="20"/>
        <v>Caja Chapa Octogonal Chica CH18 Obra</v>
      </c>
      <c r="U146" s="440">
        <v>0</v>
      </c>
      <c r="V146" s="440">
        <v>3</v>
      </c>
      <c r="W146" s="440">
        <v>12</v>
      </c>
      <c r="X146" s="440">
        <v>0</v>
      </c>
      <c r="Y146" s="440">
        <v>0</v>
      </c>
      <c r="Z146" s="440">
        <v>3</v>
      </c>
      <c r="AA146" s="440">
        <v>2</v>
      </c>
      <c r="AB146" s="440">
        <v>1</v>
      </c>
      <c r="AC146" s="440">
        <v>0</v>
      </c>
      <c r="AD146" s="440">
        <v>8</v>
      </c>
      <c r="AE146" s="440">
        <v>1</v>
      </c>
      <c r="AF146" s="440">
        <f t="shared" si="19"/>
        <v>0</v>
      </c>
      <c r="AG146" s="482">
        <f t="shared" si="19"/>
        <v>0</v>
      </c>
      <c r="AH146" s="455"/>
      <c r="AI146" s="440">
        <f t="shared" si="18"/>
        <v>30</v>
      </c>
      <c r="AJ146" s="463">
        <f>+VLOOKUP(R146,'Base Material'!B:D,3,FALSE)</f>
        <v>436.62</v>
      </c>
      <c r="AK146" s="464">
        <f t="shared" ref="AK146:AK209" si="21">+AJ146*AI146</f>
        <v>13098.6</v>
      </c>
    </row>
    <row r="147" spans="1:37" x14ac:dyDescent="0.25">
      <c r="A147" s="478">
        <v>22457</v>
      </c>
      <c r="B147" s="457" t="s">
        <v>40</v>
      </c>
      <c r="C147" s="479" t="s">
        <v>913</v>
      </c>
      <c r="D147" s="480">
        <v>0</v>
      </c>
      <c r="E147" s="480">
        <v>20</v>
      </c>
      <c r="F147" s="480">
        <v>15</v>
      </c>
      <c r="G147" s="480">
        <v>10</v>
      </c>
      <c r="H147" s="480">
        <v>6</v>
      </c>
      <c r="I147" s="480">
        <v>15</v>
      </c>
      <c r="J147" s="480">
        <v>2</v>
      </c>
      <c r="K147" s="480">
        <v>2</v>
      </c>
      <c r="L147" s="480">
        <v>0</v>
      </c>
      <c r="M147" s="480">
        <v>0</v>
      </c>
      <c r="N147" s="480">
        <v>0</v>
      </c>
      <c r="O147" s="480">
        <v>0</v>
      </c>
      <c r="P147" s="481">
        <v>0</v>
      </c>
      <c r="R147" s="461">
        <f t="shared" si="17"/>
        <v>22457</v>
      </c>
      <c r="S147" s="461" t="str">
        <f t="shared" si="20"/>
        <v>Electricidad</v>
      </c>
      <c r="T147" s="462" t="str">
        <f t="shared" si="20"/>
        <v>Caja  Chapa retangular CH18 Obra</v>
      </c>
      <c r="U147" s="440">
        <v>0</v>
      </c>
      <c r="V147" s="440">
        <v>20</v>
      </c>
      <c r="W147" s="440">
        <v>60</v>
      </c>
      <c r="X147" s="440">
        <v>10</v>
      </c>
      <c r="Y147" s="440">
        <v>6</v>
      </c>
      <c r="Z147" s="440">
        <v>15</v>
      </c>
      <c r="AA147" s="440">
        <v>4</v>
      </c>
      <c r="AB147" s="440">
        <v>2</v>
      </c>
      <c r="AC147" s="440">
        <v>0</v>
      </c>
      <c r="AD147" s="440">
        <v>0</v>
      </c>
      <c r="AE147" s="440">
        <v>1</v>
      </c>
      <c r="AF147" s="440">
        <f t="shared" si="19"/>
        <v>0</v>
      </c>
      <c r="AG147" s="482">
        <f t="shared" si="19"/>
        <v>0</v>
      </c>
      <c r="AH147" s="455"/>
      <c r="AI147" s="440">
        <f t="shared" si="18"/>
        <v>118</v>
      </c>
      <c r="AJ147" s="463">
        <f>+VLOOKUP(R147,'Base Material'!B:D,3,FALSE)</f>
        <v>283.37</v>
      </c>
      <c r="AK147" s="464">
        <f t="shared" si="21"/>
        <v>33437.66</v>
      </c>
    </row>
    <row r="148" spans="1:37" x14ac:dyDescent="0.25">
      <c r="A148" s="478">
        <v>22453</v>
      </c>
      <c r="B148" s="457" t="s">
        <v>40</v>
      </c>
      <c r="C148" s="479" t="s">
        <v>914</v>
      </c>
      <c r="D148" s="480">
        <v>0</v>
      </c>
      <c r="E148" s="480">
        <v>1</v>
      </c>
      <c r="F148" s="480">
        <v>1</v>
      </c>
      <c r="G148" s="480">
        <v>1</v>
      </c>
      <c r="H148" s="480">
        <v>1</v>
      </c>
      <c r="I148" s="480">
        <v>1</v>
      </c>
      <c r="J148" s="480">
        <v>1</v>
      </c>
      <c r="K148" s="480">
        <v>1</v>
      </c>
      <c r="L148" s="480">
        <v>0</v>
      </c>
      <c r="M148" s="480">
        <v>0</v>
      </c>
      <c r="N148" s="480">
        <v>0</v>
      </c>
      <c r="O148" s="480">
        <v>0</v>
      </c>
      <c r="P148" s="481">
        <v>0</v>
      </c>
      <c r="R148" s="461">
        <f t="shared" si="17"/>
        <v>22453</v>
      </c>
      <c r="S148" s="461" t="str">
        <f t="shared" si="20"/>
        <v>Electricidad</v>
      </c>
      <c r="T148" s="462" t="str">
        <f t="shared" si="20"/>
        <v>Caja chapa cuadrada  10x10 + tapa ciega CH18 OBRA</v>
      </c>
      <c r="U148" s="440">
        <v>0</v>
      </c>
      <c r="V148" s="440">
        <v>1</v>
      </c>
      <c r="W148" s="440">
        <v>4</v>
      </c>
      <c r="X148" s="440">
        <v>1</v>
      </c>
      <c r="Y148" s="440">
        <v>1</v>
      </c>
      <c r="Z148" s="440">
        <v>1</v>
      </c>
      <c r="AA148" s="440">
        <v>2</v>
      </c>
      <c r="AB148" s="440">
        <v>1</v>
      </c>
      <c r="AC148" s="440">
        <v>0</v>
      </c>
      <c r="AD148" s="440">
        <v>0</v>
      </c>
      <c r="AE148" s="440">
        <v>1</v>
      </c>
      <c r="AF148" s="440">
        <f t="shared" si="19"/>
        <v>0</v>
      </c>
      <c r="AG148" s="482">
        <f t="shared" si="19"/>
        <v>0</v>
      </c>
      <c r="AH148" s="455"/>
      <c r="AI148" s="440">
        <f t="shared" si="18"/>
        <v>12</v>
      </c>
      <c r="AJ148" s="463">
        <f>+VLOOKUP(R148,'Base Material'!B:D,3,FALSE)</f>
        <v>579.34</v>
      </c>
      <c r="AK148" s="464">
        <f t="shared" si="21"/>
        <v>6952.08</v>
      </c>
    </row>
    <row r="149" spans="1:37" x14ac:dyDescent="0.25">
      <c r="A149" s="478">
        <v>28445</v>
      </c>
      <c r="B149" s="457" t="s">
        <v>40</v>
      </c>
      <c r="C149" s="479" t="s">
        <v>915</v>
      </c>
      <c r="D149" s="480">
        <v>1</v>
      </c>
      <c r="E149" s="480">
        <v>0</v>
      </c>
      <c r="F149" s="480">
        <v>0</v>
      </c>
      <c r="G149" s="480">
        <v>0</v>
      </c>
      <c r="H149" s="480">
        <v>0</v>
      </c>
      <c r="I149" s="480">
        <v>0</v>
      </c>
      <c r="J149" s="480">
        <v>0</v>
      </c>
      <c r="K149" s="480">
        <v>0</v>
      </c>
      <c r="L149" s="480">
        <v>0</v>
      </c>
      <c r="M149" s="480">
        <v>0</v>
      </c>
      <c r="N149" s="480">
        <v>0</v>
      </c>
      <c r="O149" s="480">
        <v>0</v>
      </c>
      <c r="P149" s="481">
        <v>0</v>
      </c>
      <c r="R149" s="461">
        <f t="shared" si="17"/>
        <v>28445</v>
      </c>
      <c r="S149" s="461" t="str">
        <f t="shared" si="20"/>
        <v>Electricidad</v>
      </c>
      <c r="T149" s="462" t="str">
        <f t="shared" si="20"/>
        <v>Conector 3/4 Esp. Delga P/caño Metálico</v>
      </c>
      <c r="U149" s="440">
        <v>1</v>
      </c>
      <c r="V149" s="440">
        <v>0</v>
      </c>
      <c r="W149" s="440">
        <v>0</v>
      </c>
      <c r="X149" s="440">
        <v>0</v>
      </c>
      <c r="Y149" s="440">
        <v>0</v>
      </c>
      <c r="Z149" s="440">
        <v>0</v>
      </c>
      <c r="AA149" s="440">
        <v>0</v>
      </c>
      <c r="AB149" s="440">
        <v>0</v>
      </c>
      <c r="AC149" s="440">
        <v>0</v>
      </c>
      <c r="AD149" s="440">
        <v>0</v>
      </c>
      <c r="AE149" s="440">
        <v>1</v>
      </c>
      <c r="AF149" s="440">
        <f t="shared" si="19"/>
        <v>0</v>
      </c>
      <c r="AG149" s="482">
        <f t="shared" si="19"/>
        <v>0</v>
      </c>
      <c r="AH149" s="455"/>
      <c r="AI149" s="440">
        <f t="shared" si="18"/>
        <v>2</v>
      </c>
      <c r="AJ149" s="463" t="e">
        <f>+VLOOKUP(R149,'Base Material'!B:D,3,FALSE)</f>
        <v>#N/A</v>
      </c>
      <c r="AK149" s="464" t="e">
        <f t="shared" si="21"/>
        <v>#N/A</v>
      </c>
    </row>
    <row r="150" spans="1:37" x14ac:dyDescent="0.25">
      <c r="A150" s="478">
        <v>23380</v>
      </c>
      <c r="B150" s="457" t="s">
        <v>40</v>
      </c>
      <c r="C150" s="479" t="s">
        <v>916</v>
      </c>
      <c r="D150" s="480">
        <v>0</v>
      </c>
      <c r="E150" s="480">
        <v>14</v>
      </c>
      <c r="F150" s="480">
        <v>6</v>
      </c>
      <c r="G150" s="480">
        <v>2</v>
      </c>
      <c r="H150" s="480">
        <v>1</v>
      </c>
      <c r="I150" s="480">
        <v>5</v>
      </c>
      <c r="J150" s="480">
        <v>2</v>
      </c>
      <c r="K150" s="480">
        <v>1</v>
      </c>
      <c r="L150" s="480">
        <v>0</v>
      </c>
      <c r="M150" s="480">
        <v>0</v>
      </c>
      <c r="N150" s="480">
        <v>0</v>
      </c>
      <c r="O150" s="480">
        <v>0</v>
      </c>
      <c r="P150" s="481">
        <v>0</v>
      </c>
      <c r="R150" s="461">
        <f t="shared" si="17"/>
        <v>23380</v>
      </c>
      <c r="S150" s="461" t="str">
        <f t="shared" si="20"/>
        <v>Electricidad</v>
      </c>
      <c r="T150" s="462" t="str">
        <f t="shared" si="20"/>
        <v>Interruptor union simple blanco</v>
      </c>
      <c r="U150" s="440">
        <v>0</v>
      </c>
      <c r="V150" s="440">
        <v>14</v>
      </c>
      <c r="W150" s="440">
        <v>24</v>
      </c>
      <c r="X150" s="440">
        <v>2</v>
      </c>
      <c r="Y150" s="440">
        <v>1</v>
      </c>
      <c r="Z150" s="440">
        <v>5</v>
      </c>
      <c r="AA150" s="440">
        <v>4</v>
      </c>
      <c r="AB150" s="440">
        <v>1</v>
      </c>
      <c r="AC150" s="440">
        <v>0</v>
      </c>
      <c r="AD150" s="440">
        <v>0</v>
      </c>
      <c r="AE150" s="440">
        <v>1</v>
      </c>
      <c r="AF150" s="440">
        <f t="shared" si="19"/>
        <v>0</v>
      </c>
      <c r="AG150" s="482">
        <f t="shared" si="19"/>
        <v>0</v>
      </c>
      <c r="AH150" s="455"/>
      <c r="AI150" s="440">
        <f t="shared" si="18"/>
        <v>52</v>
      </c>
      <c r="AJ150" s="463">
        <f>+VLOOKUP(R150,'Base Material'!B:D,3,FALSE)</f>
        <v>461.76</v>
      </c>
      <c r="AK150" s="464">
        <f t="shared" si="21"/>
        <v>24011.52</v>
      </c>
    </row>
    <row r="151" spans="1:37" x14ac:dyDescent="0.25">
      <c r="A151" s="478">
        <v>23386</v>
      </c>
      <c r="B151" s="457" t="s">
        <v>40</v>
      </c>
      <c r="C151" s="479" t="s">
        <v>917</v>
      </c>
      <c r="D151" s="480">
        <v>0</v>
      </c>
      <c r="E151" s="480">
        <v>4</v>
      </c>
      <c r="F151" s="480">
        <v>2</v>
      </c>
      <c r="G151" s="480">
        <v>2</v>
      </c>
      <c r="H151" s="480">
        <v>2</v>
      </c>
      <c r="I151" s="480">
        <v>2</v>
      </c>
      <c r="J151" s="480">
        <v>2</v>
      </c>
      <c r="K151" s="480">
        <v>0</v>
      </c>
      <c r="L151" s="480">
        <v>0</v>
      </c>
      <c r="M151" s="480">
        <v>0</v>
      </c>
      <c r="N151" s="480">
        <v>0</v>
      </c>
      <c r="O151" s="480">
        <v>0</v>
      </c>
      <c r="P151" s="481">
        <v>0</v>
      </c>
      <c r="R151" s="461">
        <f t="shared" si="17"/>
        <v>23386</v>
      </c>
      <c r="S151" s="461" t="str">
        <f t="shared" si="20"/>
        <v>Electricidad</v>
      </c>
      <c r="T151" s="462" t="str">
        <f t="shared" si="20"/>
        <v>Interruptor unip. Combinado blanco</v>
      </c>
      <c r="U151" s="440">
        <v>0</v>
      </c>
      <c r="V151" s="440">
        <v>4</v>
      </c>
      <c r="W151" s="440">
        <v>8</v>
      </c>
      <c r="X151" s="440">
        <v>2</v>
      </c>
      <c r="Y151" s="440">
        <v>2</v>
      </c>
      <c r="Z151" s="440">
        <v>2</v>
      </c>
      <c r="AA151" s="440">
        <v>4</v>
      </c>
      <c r="AB151" s="440">
        <v>0</v>
      </c>
      <c r="AC151" s="440">
        <v>0</v>
      </c>
      <c r="AD151" s="440">
        <v>0</v>
      </c>
      <c r="AE151" s="440">
        <v>1</v>
      </c>
      <c r="AF151" s="440">
        <f t="shared" si="19"/>
        <v>0</v>
      </c>
      <c r="AG151" s="482">
        <f t="shared" si="19"/>
        <v>0</v>
      </c>
      <c r="AH151" s="455"/>
      <c r="AI151" s="440">
        <f t="shared" si="18"/>
        <v>23</v>
      </c>
      <c r="AJ151" s="463">
        <f>+VLOOKUP(R151,'Base Material'!B:D,3,FALSE)</f>
        <v>668.37</v>
      </c>
      <c r="AK151" s="464">
        <f t="shared" si="21"/>
        <v>15372.51</v>
      </c>
    </row>
    <row r="152" spans="1:37" x14ac:dyDescent="0.25">
      <c r="A152" s="478">
        <v>22585</v>
      </c>
      <c r="B152" s="457" t="s">
        <v>40</v>
      </c>
      <c r="C152" s="479" t="s">
        <v>918</v>
      </c>
      <c r="D152" s="480">
        <v>0</v>
      </c>
      <c r="E152" s="480">
        <v>2</v>
      </c>
      <c r="F152" s="480">
        <v>0</v>
      </c>
      <c r="G152" s="480">
        <v>0</v>
      </c>
      <c r="H152" s="480">
        <v>0</v>
      </c>
      <c r="I152" s="480">
        <v>0</v>
      </c>
      <c r="J152" s="480">
        <v>0</v>
      </c>
      <c r="K152" s="480">
        <v>0</v>
      </c>
      <c r="L152" s="480">
        <v>0</v>
      </c>
      <c r="M152" s="480">
        <v>0</v>
      </c>
      <c r="N152" s="480">
        <v>0</v>
      </c>
      <c r="O152" s="480">
        <v>0</v>
      </c>
      <c r="P152" s="481">
        <v>0</v>
      </c>
      <c r="R152" s="461">
        <f t="shared" si="17"/>
        <v>22585</v>
      </c>
      <c r="S152" s="461" t="str">
        <f t="shared" si="20"/>
        <v>Electricidad</v>
      </c>
      <c r="T152" s="462" t="str">
        <f t="shared" si="20"/>
        <v>Caja chapa de pase 10x10x10 + tapa ciega CH18 Obra</v>
      </c>
      <c r="U152" s="440">
        <v>0</v>
      </c>
      <c r="V152" s="440">
        <v>2</v>
      </c>
      <c r="W152" s="440">
        <v>0</v>
      </c>
      <c r="X152" s="440">
        <v>0</v>
      </c>
      <c r="Y152" s="440">
        <v>0</v>
      </c>
      <c r="Z152" s="440">
        <v>0</v>
      </c>
      <c r="AA152" s="440">
        <v>0</v>
      </c>
      <c r="AB152" s="440">
        <v>0</v>
      </c>
      <c r="AC152" s="440">
        <v>0</v>
      </c>
      <c r="AD152" s="440">
        <v>0</v>
      </c>
      <c r="AE152" s="440">
        <v>1</v>
      </c>
      <c r="AF152" s="440">
        <f t="shared" si="19"/>
        <v>0</v>
      </c>
      <c r="AG152" s="482">
        <f t="shared" si="19"/>
        <v>0</v>
      </c>
      <c r="AH152" s="455"/>
      <c r="AI152" s="440">
        <f t="shared" si="18"/>
        <v>3</v>
      </c>
      <c r="AJ152" s="463">
        <f>+VLOOKUP(R152,'Base Material'!B:D,3,FALSE)</f>
        <v>1523.7</v>
      </c>
      <c r="AK152" s="464">
        <f t="shared" si="21"/>
        <v>4571.1</v>
      </c>
    </row>
    <row r="153" spans="1:37" x14ac:dyDescent="0.25">
      <c r="A153" s="478">
        <v>23485</v>
      </c>
      <c r="B153" s="457" t="s">
        <v>40</v>
      </c>
      <c r="C153" s="479" t="s">
        <v>919</v>
      </c>
      <c r="D153" s="480">
        <v>0</v>
      </c>
      <c r="E153" s="480">
        <v>40</v>
      </c>
      <c r="F153" s="480">
        <v>30</v>
      </c>
      <c r="G153" s="480">
        <v>20</v>
      </c>
      <c r="H153" s="480">
        <v>8</v>
      </c>
      <c r="I153" s="480">
        <v>30</v>
      </c>
      <c r="J153" s="480">
        <v>4</v>
      </c>
      <c r="K153" s="480">
        <v>4</v>
      </c>
      <c r="L153" s="480">
        <v>0</v>
      </c>
      <c r="M153" s="480">
        <v>0</v>
      </c>
      <c r="N153" s="480">
        <v>0</v>
      </c>
      <c r="O153" s="480">
        <v>0</v>
      </c>
      <c r="P153" s="481">
        <v>0</v>
      </c>
      <c r="R153" s="461">
        <f t="shared" si="17"/>
        <v>23485</v>
      </c>
      <c r="S153" s="461" t="str">
        <f t="shared" si="20"/>
        <v>Electricidad</v>
      </c>
      <c r="T153" s="462" t="str">
        <f t="shared" si="20"/>
        <v>Tapon ciego blanco</v>
      </c>
      <c r="U153" s="440">
        <v>0</v>
      </c>
      <c r="V153" s="440">
        <v>40</v>
      </c>
      <c r="W153" s="440">
        <v>120</v>
      </c>
      <c r="X153" s="440">
        <v>20</v>
      </c>
      <c r="Y153" s="440">
        <v>8</v>
      </c>
      <c r="Z153" s="440">
        <v>30</v>
      </c>
      <c r="AA153" s="440">
        <v>8</v>
      </c>
      <c r="AB153" s="440">
        <v>4</v>
      </c>
      <c r="AC153" s="440">
        <v>0</v>
      </c>
      <c r="AD153" s="440">
        <v>0</v>
      </c>
      <c r="AE153" s="440">
        <v>1</v>
      </c>
      <c r="AF153" s="440">
        <f t="shared" si="19"/>
        <v>0</v>
      </c>
      <c r="AG153" s="482">
        <f t="shared" si="19"/>
        <v>0</v>
      </c>
      <c r="AH153" s="455"/>
      <c r="AI153" s="440">
        <f t="shared" si="18"/>
        <v>231</v>
      </c>
      <c r="AJ153" s="463" t="e">
        <f>+VLOOKUP(R153,'Base Material'!B:D,3,FALSE)</f>
        <v>#N/A</v>
      </c>
      <c r="AK153" s="464" t="e">
        <f t="shared" si="21"/>
        <v>#N/A</v>
      </c>
    </row>
    <row r="154" spans="1:37" x14ac:dyDescent="0.25">
      <c r="A154" s="478">
        <v>23420</v>
      </c>
      <c r="B154" s="457" t="s">
        <v>40</v>
      </c>
      <c r="C154" s="479" t="s">
        <v>920</v>
      </c>
      <c r="D154" s="480">
        <v>0</v>
      </c>
      <c r="E154" s="480">
        <v>15</v>
      </c>
      <c r="F154" s="480">
        <v>8</v>
      </c>
      <c r="G154" s="480">
        <v>6</v>
      </c>
      <c r="H154" s="480">
        <v>2</v>
      </c>
      <c r="I154" s="480">
        <v>2</v>
      </c>
      <c r="J154" s="480">
        <v>1</v>
      </c>
      <c r="K154" s="480">
        <v>1</v>
      </c>
      <c r="L154" s="480">
        <v>0</v>
      </c>
      <c r="M154" s="480">
        <v>0</v>
      </c>
      <c r="N154" s="480">
        <v>0</v>
      </c>
      <c r="O154" s="480">
        <v>0</v>
      </c>
      <c r="P154" s="481">
        <v>0</v>
      </c>
      <c r="R154" s="461">
        <f t="shared" si="17"/>
        <v>23420</v>
      </c>
      <c r="S154" s="461" t="str">
        <f t="shared" si="20"/>
        <v>Electricidad</v>
      </c>
      <c r="T154" s="462" t="str">
        <f t="shared" si="20"/>
        <v>Toma blanco 10A Sist Mod (600undi)</v>
      </c>
      <c r="U154" s="440">
        <v>0</v>
      </c>
      <c r="V154" s="440">
        <v>15</v>
      </c>
      <c r="W154" s="440">
        <v>32</v>
      </c>
      <c r="X154" s="440">
        <v>6</v>
      </c>
      <c r="Y154" s="440">
        <v>2</v>
      </c>
      <c r="Z154" s="440">
        <v>2</v>
      </c>
      <c r="AA154" s="440">
        <v>2</v>
      </c>
      <c r="AB154" s="440">
        <v>1</v>
      </c>
      <c r="AC154" s="440">
        <v>0</v>
      </c>
      <c r="AD154" s="440">
        <v>0</v>
      </c>
      <c r="AE154" s="440">
        <v>1</v>
      </c>
      <c r="AF154" s="440">
        <f t="shared" si="19"/>
        <v>0</v>
      </c>
      <c r="AG154" s="482">
        <f t="shared" si="19"/>
        <v>0</v>
      </c>
      <c r="AH154" s="455"/>
      <c r="AI154" s="440">
        <f t="shared" si="18"/>
        <v>61</v>
      </c>
      <c r="AJ154" s="463" t="e">
        <f>+VLOOKUP(R154,'Base Material'!B:D,3,FALSE)</f>
        <v>#N/A</v>
      </c>
      <c r="AK154" s="464" t="e">
        <f t="shared" si="21"/>
        <v>#N/A</v>
      </c>
    </row>
    <row r="155" spans="1:37" x14ac:dyDescent="0.25">
      <c r="A155" s="478">
        <v>23586</v>
      </c>
      <c r="B155" s="457" t="s">
        <v>40</v>
      </c>
      <c r="C155" s="479" t="s">
        <v>921</v>
      </c>
      <c r="D155" s="480">
        <v>0</v>
      </c>
      <c r="E155" s="480">
        <v>0</v>
      </c>
      <c r="F155" s="480">
        <v>0</v>
      </c>
      <c r="G155" s="480">
        <v>0</v>
      </c>
      <c r="H155" s="480">
        <v>0</v>
      </c>
      <c r="I155" s="480">
        <v>0</v>
      </c>
      <c r="J155" s="480">
        <v>0</v>
      </c>
      <c r="K155" s="480">
        <v>0</v>
      </c>
      <c r="L155" s="480">
        <v>0</v>
      </c>
      <c r="M155" s="480">
        <v>0</v>
      </c>
      <c r="N155" s="480">
        <v>0</v>
      </c>
      <c r="O155" s="480">
        <v>0</v>
      </c>
      <c r="P155" s="481">
        <v>1</v>
      </c>
      <c r="R155" s="461">
        <f t="shared" si="17"/>
        <v>23586</v>
      </c>
      <c r="S155" s="461" t="str">
        <f t="shared" si="20"/>
        <v>Electricidad</v>
      </c>
      <c r="T155" s="462" t="str">
        <f t="shared" si="20"/>
        <v>Toma exterior 20 AMPER BCO</v>
      </c>
      <c r="U155" s="440">
        <v>0</v>
      </c>
      <c r="V155" s="440">
        <v>0</v>
      </c>
      <c r="W155" s="440">
        <v>0</v>
      </c>
      <c r="X155" s="440">
        <v>0</v>
      </c>
      <c r="Y155" s="440">
        <v>0</v>
      </c>
      <c r="Z155" s="440">
        <v>0</v>
      </c>
      <c r="AA155" s="440">
        <v>0</v>
      </c>
      <c r="AB155" s="440">
        <v>0</v>
      </c>
      <c r="AC155" s="440">
        <v>0</v>
      </c>
      <c r="AD155" s="440">
        <v>0</v>
      </c>
      <c r="AE155" s="440">
        <v>1</v>
      </c>
      <c r="AF155" s="440">
        <f t="shared" si="19"/>
        <v>0</v>
      </c>
      <c r="AG155" s="482">
        <f t="shared" si="19"/>
        <v>1</v>
      </c>
      <c r="AH155" s="455"/>
      <c r="AI155" s="440">
        <f t="shared" si="18"/>
        <v>2</v>
      </c>
      <c r="AJ155" s="463" t="e">
        <f>+VLOOKUP(R155,'Base Material'!B:D,3,FALSE)</f>
        <v>#N/A</v>
      </c>
      <c r="AK155" s="464" t="e">
        <f t="shared" si="21"/>
        <v>#N/A</v>
      </c>
    </row>
    <row r="156" spans="1:37" x14ac:dyDescent="0.25">
      <c r="A156" s="478">
        <v>18720</v>
      </c>
      <c r="B156" s="457" t="s">
        <v>40</v>
      </c>
      <c r="C156" s="479" t="s">
        <v>922</v>
      </c>
      <c r="D156" s="480">
        <v>0</v>
      </c>
      <c r="E156" s="480">
        <v>100</v>
      </c>
      <c r="F156" s="480">
        <v>77</v>
      </c>
      <c r="G156" s="480">
        <v>50</v>
      </c>
      <c r="H156" s="480">
        <f>18+16</f>
        <v>34</v>
      </c>
      <c r="I156" s="480">
        <v>85</v>
      </c>
      <c r="J156" s="480">
        <v>6</v>
      </c>
      <c r="K156" s="480">
        <v>6</v>
      </c>
      <c r="L156" s="480">
        <v>0</v>
      </c>
      <c r="M156" s="480">
        <v>0</v>
      </c>
      <c r="N156" s="480">
        <v>0</v>
      </c>
      <c r="O156" s="480">
        <v>0</v>
      </c>
      <c r="P156" s="481">
        <v>0</v>
      </c>
      <c r="R156" s="461">
        <f t="shared" si="17"/>
        <v>18720</v>
      </c>
      <c r="S156" s="461" t="str">
        <f t="shared" si="20"/>
        <v>Electricidad</v>
      </c>
      <c r="T156" s="462" t="str">
        <f t="shared" si="20"/>
        <v>Conector para tubo de PVC 20 mm</v>
      </c>
      <c r="U156" s="440">
        <v>0</v>
      </c>
      <c r="V156" s="440">
        <v>100</v>
      </c>
      <c r="W156" s="440">
        <v>308</v>
      </c>
      <c r="X156" s="440">
        <v>50</v>
      </c>
      <c r="Y156" s="440">
        <v>34</v>
      </c>
      <c r="Z156" s="440">
        <v>85</v>
      </c>
      <c r="AA156" s="440">
        <v>12</v>
      </c>
      <c r="AB156" s="440">
        <v>6</v>
      </c>
      <c r="AC156" s="440">
        <v>0</v>
      </c>
      <c r="AD156" s="440">
        <v>0</v>
      </c>
      <c r="AE156" s="440">
        <v>1</v>
      </c>
      <c r="AF156" s="440">
        <f t="shared" si="19"/>
        <v>0</v>
      </c>
      <c r="AG156" s="482">
        <f t="shared" si="19"/>
        <v>0</v>
      </c>
      <c r="AH156" s="455"/>
      <c r="AI156" s="440">
        <f t="shared" si="18"/>
        <v>596</v>
      </c>
      <c r="AJ156" s="463">
        <f>+VLOOKUP(R156,'Base Material'!B:D,3,FALSE)</f>
        <v>80.88</v>
      </c>
      <c r="AK156" s="464">
        <f t="shared" si="21"/>
        <v>48204.479999999996</v>
      </c>
    </row>
    <row r="157" spans="1:37" x14ac:dyDescent="0.25">
      <c r="A157" s="483"/>
      <c r="B157" s="457" t="s">
        <v>40</v>
      </c>
      <c r="C157" s="479" t="s">
        <v>923</v>
      </c>
      <c r="D157" s="480">
        <v>0</v>
      </c>
      <c r="E157" s="480">
        <v>100</v>
      </c>
      <c r="F157" s="480">
        <v>63</v>
      </c>
      <c r="G157" s="480">
        <v>45</v>
      </c>
      <c r="H157" s="480">
        <v>37</v>
      </c>
      <c r="I157" s="480">
        <v>100</v>
      </c>
      <c r="J157" s="480">
        <v>2</v>
      </c>
      <c r="K157" s="480">
        <v>2</v>
      </c>
      <c r="L157" s="480">
        <v>0</v>
      </c>
      <c r="M157" s="480">
        <v>0</v>
      </c>
      <c r="N157" s="480">
        <v>45</v>
      </c>
      <c r="O157" s="480">
        <v>0</v>
      </c>
      <c r="P157" s="481">
        <v>0</v>
      </c>
      <c r="R157" s="461">
        <f t="shared" si="17"/>
        <v>0</v>
      </c>
      <c r="S157" s="461" t="str">
        <f t="shared" si="20"/>
        <v>Electricidad</v>
      </c>
      <c r="T157" s="462" t="str">
        <f t="shared" si="20"/>
        <v>Uniones de 20</v>
      </c>
      <c r="U157" s="440">
        <v>0</v>
      </c>
      <c r="V157" s="440">
        <v>100</v>
      </c>
      <c r="W157" s="440">
        <v>252</v>
      </c>
      <c r="X157" s="440">
        <v>45</v>
      </c>
      <c r="Y157" s="440">
        <v>37</v>
      </c>
      <c r="Z157" s="440">
        <v>100</v>
      </c>
      <c r="AA157" s="440">
        <v>4</v>
      </c>
      <c r="AB157" s="440">
        <v>2</v>
      </c>
      <c r="AC157" s="440">
        <v>0</v>
      </c>
      <c r="AD157" s="440">
        <v>0</v>
      </c>
      <c r="AE157" s="440">
        <v>1</v>
      </c>
      <c r="AF157" s="440">
        <f t="shared" si="19"/>
        <v>0</v>
      </c>
      <c r="AG157" s="482">
        <f t="shared" si="19"/>
        <v>0</v>
      </c>
      <c r="AH157" s="455"/>
      <c r="AI157" s="440">
        <f t="shared" si="18"/>
        <v>541</v>
      </c>
      <c r="AJ157" s="463" t="e">
        <f>+VLOOKUP(R157,'Base Material'!B:D,3,FALSE)</f>
        <v>#N/A</v>
      </c>
      <c r="AK157" s="464" t="e">
        <f t="shared" si="21"/>
        <v>#N/A</v>
      </c>
    </row>
    <row r="158" spans="1:37" x14ac:dyDescent="0.25">
      <c r="A158" s="478">
        <v>18727</v>
      </c>
      <c r="B158" s="457" t="s">
        <v>40</v>
      </c>
      <c r="C158" s="479" t="s">
        <v>924</v>
      </c>
      <c r="D158" s="480">
        <v>0</v>
      </c>
      <c r="E158" s="480">
        <v>0</v>
      </c>
      <c r="F158" s="480">
        <v>0</v>
      </c>
      <c r="G158" s="480">
        <v>0</v>
      </c>
      <c r="H158" s="480">
        <v>0</v>
      </c>
      <c r="I158" s="480">
        <v>0</v>
      </c>
      <c r="J158" s="480">
        <v>0</v>
      </c>
      <c r="K158" s="480">
        <v>0</v>
      </c>
      <c r="L158" s="480">
        <v>0</v>
      </c>
      <c r="M158" s="480">
        <v>0</v>
      </c>
      <c r="N158" s="480">
        <v>0</v>
      </c>
      <c r="O158" s="480">
        <v>0</v>
      </c>
      <c r="P158" s="481">
        <v>20</v>
      </c>
      <c r="R158" s="461">
        <f t="shared" si="17"/>
        <v>18727</v>
      </c>
      <c r="S158" s="461" t="str">
        <f t="shared" si="20"/>
        <v>Electricidad</v>
      </c>
      <c r="T158" s="462" t="str">
        <f t="shared" si="20"/>
        <v>Conectores de 25</v>
      </c>
      <c r="U158" s="440">
        <v>0</v>
      </c>
      <c r="V158" s="440">
        <v>0</v>
      </c>
      <c r="W158" s="440">
        <v>0</v>
      </c>
      <c r="X158" s="440">
        <v>0</v>
      </c>
      <c r="Y158" s="440">
        <v>0</v>
      </c>
      <c r="Z158" s="440">
        <v>0</v>
      </c>
      <c r="AA158" s="440">
        <v>0</v>
      </c>
      <c r="AB158" s="440">
        <v>0</v>
      </c>
      <c r="AC158" s="440">
        <v>0</v>
      </c>
      <c r="AD158" s="440">
        <v>0</v>
      </c>
      <c r="AE158" s="440">
        <v>1</v>
      </c>
      <c r="AF158" s="440">
        <f t="shared" si="19"/>
        <v>0</v>
      </c>
      <c r="AG158" s="482">
        <f t="shared" si="19"/>
        <v>20</v>
      </c>
      <c r="AH158" s="455"/>
      <c r="AI158" s="440">
        <f t="shared" si="18"/>
        <v>21</v>
      </c>
      <c r="AJ158" s="463" t="e">
        <f>+VLOOKUP(R158,'Base Material'!B:D,3,FALSE)</f>
        <v>#N/A</v>
      </c>
      <c r="AK158" s="464" t="e">
        <f t="shared" si="21"/>
        <v>#N/A</v>
      </c>
    </row>
    <row r="159" spans="1:37" x14ac:dyDescent="0.25">
      <c r="A159" s="478">
        <v>18722</v>
      </c>
      <c r="B159" s="457" t="s">
        <v>40</v>
      </c>
      <c r="C159" s="479" t="s">
        <v>925</v>
      </c>
      <c r="D159" s="480">
        <v>0</v>
      </c>
      <c r="E159" s="480">
        <v>0</v>
      </c>
      <c r="F159" s="480">
        <v>0</v>
      </c>
      <c r="G159" s="480">
        <v>0</v>
      </c>
      <c r="H159" s="480">
        <v>0</v>
      </c>
      <c r="I159" s="480">
        <v>0</v>
      </c>
      <c r="J159" s="480">
        <v>0</v>
      </c>
      <c r="K159" s="480">
        <v>0</v>
      </c>
      <c r="L159" s="480">
        <v>0</v>
      </c>
      <c r="M159" s="480">
        <v>0</v>
      </c>
      <c r="N159" s="480">
        <v>0</v>
      </c>
      <c r="O159" s="480">
        <v>0</v>
      </c>
      <c r="P159" s="481">
        <v>10</v>
      </c>
      <c r="R159" s="461">
        <f t="shared" si="17"/>
        <v>18722</v>
      </c>
      <c r="S159" s="461" t="str">
        <f t="shared" si="20"/>
        <v>Electricidad</v>
      </c>
      <c r="T159" s="462" t="str">
        <f t="shared" si="20"/>
        <v>Uniones de 25</v>
      </c>
      <c r="U159" s="440">
        <v>0</v>
      </c>
      <c r="V159" s="440">
        <v>0</v>
      </c>
      <c r="W159" s="440">
        <v>0</v>
      </c>
      <c r="X159" s="440">
        <v>0</v>
      </c>
      <c r="Y159" s="440">
        <v>0</v>
      </c>
      <c r="Z159" s="440">
        <v>0</v>
      </c>
      <c r="AA159" s="440">
        <v>0</v>
      </c>
      <c r="AB159" s="440">
        <v>0</v>
      </c>
      <c r="AC159" s="440">
        <v>0</v>
      </c>
      <c r="AD159" s="440">
        <v>0</v>
      </c>
      <c r="AE159" s="440">
        <v>1</v>
      </c>
      <c r="AF159" s="440">
        <f t="shared" si="19"/>
        <v>0</v>
      </c>
      <c r="AG159" s="482">
        <f t="shared" si="19"/>
        <v>10</v>
      </c>
      <c r="AH159" s="455"/>
      <c r="AI159" s="440">
        <f t="shared" si="18"/>
        <v>11</v>
      </c>
      <c r="AJ159" s="463">
        <f>+VLOOKUP(R159,'Base Material'!B:D,3,FALSE)</f>
        <v>172.5</v>
      </c>
      <c r="AK159" s="464">
        <f t="shared" si="21"/>
        <v>1897.5</v>
      </c>
    </row>
    <row r="160" spans="1:37" x14ac:dyDescent="0.25">
      <c r="A160" s="478">
        <v>23441</v>
      </c>
      <c r="B160" s="457" t="s">
        <v>40</v>
      </c>
      <c r="C160" s="479" t="s">
        <v>926</v>
      </c>
      <c r="D160" s="480">
        <v>0</v>
      </c>
      <c r="E160" s="480">
        <v>1</v>
      </c>
      <c r="F160" s="480">
        <v>1</v>
      </c>
      <c r="G160" s="480">
        <v>1</v>
      </c>
      <c r="H160" s="480">
        <v>0</v>
      </c>
      <c r="I160" s="480">
        <v>1</v>
      </c>
      <c r="J160" s="480">
        <v>0</v>
      </c>
      <c r="K160" s="480">
        <v>0</v>
      </c>
      <c r="L160" s="480">
        <v>0</v>
      </c>
      <c r="M160" s="480">
        <v>0</v>
      </c>
      <c r="N160" s="480">
        <v>0</v>
      </c>
      <c r="O160" s="480">
        <v>0</v>
      </c>
      <c r="P160" s="481">
        <v>0</v>
      </c>
      <c r="R160" s="461">
        <f t="shared" si="17"/>
        <v>23441</v>
      </c>
      <c r="S160" s="461" t="str">
        <f t="shared" si="20"/>
        <v>Electricidad</v>
      </c>
      <c r="T160" s="462" t="str">
        <f t="shared" si="20"/>
        <v>Toma corriente de 20 ampere</v>
      </c>
      <c r="U160" s="440">
        <v>0</v>
      </c>
      <c r="V160" s="440">
        <v>1</v>
      </c>
      <c r="W160" s="440">
        <v>4</v>
      </c>
      <c r="X160" s="440">
        <v>1</v>
      </c>
      <c r="Y160" s="440">
        <v>0</v>
      </c>
      <c r="Z160" s="440">
        <v>1</v>
      </c>
      <c r="AA160" s="440">
        <v>0</v>
      </c>
      <c r="AB160" s="440">
        <v>0</v>
      </c>
      <c r="AC160" s="440">
        <v>0</v>
      </c>
      <c r="AD160" s="440">
        <v>0</v>
      </c>
      <c r="AE160" s="440">
        <v>1</v>
      </c>
      <c r="AF160" s="440">
        <f t="shared" si="19"/>
        <v>0</v>
      </c>
      <c r="AG160" s="482">
        <f t="shared" si="19"/>
        <v>0</v>
      </c>
      <c r="AH160" s="455"/>
      <c r="AI160" s="440">
        <f t="shared" si="18"/>
        <v>8</v>
      </c>
      <c r="AJ160" s="463" t="e">
        <f>+VLOOKUP(R160,'Base Material'!B:D,3,FALSE)</f>
        <v>#N/A</v>
      </c>
      <c r="AK160" s="464" t="e">
        <f t="shared" si="21"/>
        <v>#N/A</v>
      </c>
    </row>
    <row r="161" spans="1:37" x14ac:dyDescent="0.25">
      <c r="A161" s="478"/>
      <c r="B161" s="457" t="s">
        <v>40</v>
      </c>
      <c r="C161" s="479" t="s">
        <v>927</v>
      </c>
      <c r="D161" s="480">
        <v>0</v>
      </c>
      <c r="E161" s="480">
        <v>0</v>
      </c>
      <c r="F161" s="480">
        <v>0</v>
      </c>
      <c r="G161" s="480">
        <v>0</v>
      </c>
      <c r="H161" s="480">
        <v>0</v>
      </c>
      <c r="I161" s="480">
        <v>0</v>
      </c>
      <c r="J161" s="480">
        <v>0</v>
      </c>
      <c r="K161" s="480">
        <v>0</v>
      </c>
      <c r="L161" s="480">
        <v>0</v>
      </c>
      <c r="M161" s="480">
        <v>0</v>
      </c>
      <c r="N161" s="480">
        <v>0</v>
      </c>
      <c r="O161" s="480">
        <v>0</v>
      </c>
      <c r="P161" s="481">
        <v>1</v>
      </c>
      <c r="R161" s="461">
        <f t="shared" si="17"/>
        <v>0</v>
      </c>
      <c r="S161" s="461" t="str">
        <f t="shared" si="20"/>
        <v>Electricidad</v>
      </c>
      <c r="T161" s="462" t="str">
        <f t="shared" si="20"/>
        <v>Tablero de 24 bocas</v>
      </c>
      <c r="U161" s="440">
        <v>0</v>
      </c>
      <c r="V161" s="440">
        <v>0</v>
      </c>
      <c r="W161" s="440">
        <v>0</v>
      </c>
      <c r="X161" s="440">
        <v>0</v>
      </c>
      <c r="Y161" s="440">
        <v>0</v>
      </c>
      <c r="Z161" s="440">
        <v>0</v>
      </c>
      <c r="AA161" s="440">
        <v>0</v>
      </c>
      <c r="AB161" s="440">
        <v>0</v>
      </c>
      <c r="AC161" s="440">
        <v>0</v>
      </c>
      <c r="AD161" s="440">
        <v>0</v>
      </c>
      <c r="AE161" s="440">
        <v>1</v>
      </c>
      <c r="AF161" s="440">
        <f t="shared" si="19"/>
        <v>0</v>
      </c>
      <c r="AG161" s="482">
        <f t="shared" si="19"/>
        <v>1</v>
      </c>
      <c r="AH161" s="455"/>
      <c r="AI161" s="440">
        <f t="shared" si="18"/>
        <v>2</v>
      </c>
      <c r="AJ161" s="463" t="e">
        <f>+VLOOKUP(R161,'Base Material'!B:D,3,FALSE)</f>
        <v>#N/A</v>
      </c>
      <c r="AK161" s="464" t="e">
        <f t="shared" si="21"/>
        <v>#N/A</v>
      </c>
    </row>
    <row r="162" spans="1:37" x14ac:dyDescent="0.25">
      <c r="A162" s="478">
        <v>22621</v>
      </c>
      <c r="B162" s="457" t="s">
        <v>40</v>
      </c>
      <c r="C162" s="479" t="s">
        <v>928</v>
      </c>
      <c r="D162" s="480">
        <v>0</v>
      </c>
      <c r="E162" s="480">
        <v>0</v>
      </c>
      <c r="F162" s="480">
        <v>0</v>
      </c>
      <c r="G162" s="480">
        <v>0</v>
      </c>
      <c r="H162" s="480">
        <v>0</v>
      </c>
      <c r="I162" s="480">
        <v>0</v>
      </c>
      <c r="J162" s="480">
        <v>0</v>
      </c>
      <c r="K162" s="480">
        <v>0</v>
      </c>
      <c r="L162" s="480">
        <v>0</v>
      </c>
      <c r="M162" s="480">
        <v>0</v>
      </c>
      <c r="N162" s="480">
        <v>0</v>
      </c>
      <c r="O162" s="480">
        <v>0</v>
      </c>
      <c r="P162" s="481">
        <v>1</v>
      </c>
      <c r="R162" s="461">
        <f t="shared" si="17"/>
        <v>22621</v>
      </c>
      <c r="S162" s="461" t="str">
        <f t="shared" si="20"/>
        <v>Electricidad</v>
      </c>
      <c r="T162" s="462" t="str">
        <f t="shared" si="20"/>
        <v>Tablero de 60 bocas</v>
      </c>
      <c r="U162" s="440">
        <v>0</v>
      </c>
      <c r="V162" s="440">
        <v>0</v>
      </c>
      <c r="W162" s="440">
        <v>0</v>
      </c>
      <c r="X162" s="440">
        <v>0</v>
      </c>
      <c r="Y162" s="440">
        <v>0</v>
      </c>
      <c r="Z162" s="440">
        <v>0</v>
      </c>
      <c r="AA162" s="440">
        <v>0</v>
      </c>
      <c r="AB162" s="440">
        <v>0</v>
      </c>
      <c r="AC162" s="440">
        <v>0</v>
      </c>
      <c r="AD162" s="440">
        <v>0</v>
      </c>
      <c r="AE162" s="440">
        <v>1</v>
      </c>
      <c r="AF162" s="440">
        <f t="shared" si="19"/>
        <v>0</v>
      </c>
      <c r="AG162" s="482">
        <f t="shared" si="19"/>
        <v>1</v>
      </c>
      <c r="AH162" s="455"/>
      <c r="AI162" s="440">
        <f t="shared" si="18"/>
        <v>2</v>
      </c>
      <c r="AJ162" s="463" t="e">
        <f>+VLOOKUP(R162,'Base Material'!B:D,3,FALSE)</f>
        <v>#N/A</v>
      </c>
      <c r="AK162" s="464" t="e">
        <f t="shared" si="21"/>
        <v>#N/A</v>
      </c>
    </row>
    <row r="163" spans="1:37" x14ac:dyDescent="0.25">
      <c r="A163" s="478">
        <v>2262</v>
      </c>
      <c r="B163" s="457" t="s">
        <v>40</v>
      </c>
      <c r="C163" s="479" t="s">
        <v>929</v>
      </c>
      <c r="D163" s="480">
        <v>0</v>
      </c>
      <c r="E163" s="480">
        <v>0</v>
      </c>
      <c r="F163" s="480">
        <v>0</v>
      </c>
      <c r="G163" s="480">
        <v>0</v>
      </c>
      <c r="H163" s="480">
        <v>0</v>
      </c>
      <c r="I163" s="480">
        <v>0</v>
      </c>
      <c r="J163" s="480">
        <v>0</v>
      </c>
      <c r="K163" s="480">
        <v>0</v>
      </c>
      <c r="L163" s="480">
        <v>0</v>
      </c>
      <c r="M163" s="480">
        <v>0</v>
      </c>
      <c r="N163" s="480">
        <v>0</v>
      </c>
      <c r="O163" s="480">
        <v>0</v>
      </c>
      <c r="P163" s="481">
        <v>1</v>
      </c>
      <c r="R163" s="461">
        <f t="shared" si="17"/>
        <v>2262</v>
      </c>
      <c r="S163" s="461" t="str">
        <f t="shared" si="20"/>
        <v>Electricidad</v>
      </c>
      <c r="T163" s="462" t="str">
        <f t="shared" si="20"/>
        <v>Tablero de 36 bocas</v>
      </c>
      <c r="U163" s="440">
        <v>0</v>
      </c>
      <c r="V163" s="440">
        <v>0</v>
      </c>
      <c r="W163" s="440">
        <v>0</v>
      </c>
      <c r="X163" s="440">
        <v>0</v>
      </c>
      <c r="Y163" s="440">
        <v>0</v>
      </c>
      <c r="Z163" s="440">
        <v>0</v>
      </c>
      <c r="AA163" s="440">
        <v>0</v>
      </c>
      <c r="AB163" s="440">
        <v>0</v>
      </c>
      <c r="AC163" s="440">
        <v>0</v>
      </c>
      <c r="AD163" s="440">
        <v>0</v>
      </c>
      <c r="AE163" s="440">
        <v>1</v>
      </c>
      <c r="AF163" s="440">
        <f t="shared" si="19"/>
        <v>0</v>
      </c>
      <c r="AG163" s="482">
        <f t="shared" si="19"/>
        <v>1</v>
      </c>
      <c r="AH163" s="455"/>
      <c r="AI163" s="440">
        <f t="shared" si="18"/>
        <v>2</v>
      </c>
      <c r="AJ163" s="463" t="e">
        <f>+VLOOKUP(R163,'Base Material'!B:D,3,FALSE)</f>
        <v>#N/A</v>
      </c>
      <c r="AK163" s="464" t="e">
        <f t="shared" si="21"/>
        <v>#N/A</v>
      </c>
    </row>
    <row r="164" spans="1:37" x14ac:dyDescent="0.25">
      <c r="A164" s="478">
        <v>23343</v>
      </c>
      <c r="B164" s="457" t="s">
        <v>40</v>
      </c>
      <c r="C164" s="479" t="s">
        <v>930</v>
      </c>
      <c r="D164" s="480">
        <v>0</v>
      </c>
      <c r="E164" s="480">
        <v>20</v>
      </c>
      <c r="F164" s="480">
        <v>15</v>
      </c>
      <c r="G164" s="480">
        <v>10</v>
      </c>
      <c r="H164" s="480">
        <v>4</v>
      </c>
      <c r="I164" s="480">
        <v>15</v>
      </c>
      <c r="J164" s="480">
        <v>2</v>
      </c>
      <c r="K164" s="480">
        <v>2</v>
      </c>
      <c r="L164" s="480">
        <v>0</v>
      </c>
      <c r="M164" s="480">
        <v>0</v>
      </c>
      <c r="N164" s="480">
        <v>0</v>
      </c>
      <c r="O164" s="480">
        <v>0</v>
      </c>
      <c r="P164" s="481">
        <v>0</v>
      </c>
      <c r="R164" s="461">
        <f t="shared" si="17"/>
        <v>23343</v>
      </c>
      <c r="S164" s="461" t="str">
        <f t="shared" si="20"/>
        <v>Electricidad</v>
      </c>
      <c r="T164" s="462" t="str">
        <f t="shared" si="20"/>
        <v>Bastidor unico</v>
      </c>
      <c r="U164" s="440">
        <v>0</v>
      </c>
      <c r="V164" s="440">
        <v>20</v>
      </c>
      <c r="W164" s="440">
        <v>60</v>
      </c>
      <c r="X164" s="440">
        <v>10</v>
      </c>
      <c r="Y164" s="440">
        <v>4</v>
      </c>
      <c r="Z164" s="440">
        <v>15</v>
      </c>
      <c r="AA164" s="440">
        <v>4</v>
      </c>
      <c r="AB164" s="440">
        <v>2</v>
      </c>
      <c r="AC164" s="440">
        <v>0</v>
      </c>
      <c r="AD164" s="440">
        <v>0</v>
      </c>
      <c r="AE164" s="440">
        <v>1</v>
      </c>
      <c r="AF164" s="440">
        <f t="shared" si="19"/>
        <v>0</v>
      </c>
      <c r="AG164" s="482">
        <f t="shared" si="19"/>
        <v>0</v>
      </c>
      <c r="AH164" s="455"/>
      <c r="AI164" s="440">
        <f t="shared" si="18"/>
        <v>116</v>
      </c>
      <c r="AJ164" s="463">
        <f>+VLOOKUP(R164,'Base Material'!B:D,3,FALSE)</f>
        <v>247.57</v>
      </c>
      <c r="AK164" s="464">
        <f t="shared" si="21"/>
        <v>28718.12</v>
      </c>
    </row>
    <row r="165" spans="1:37" x14ac:dyDescent="0.25">
      <c r="A165" s="478">
        <v>23316</v>
      </c>
      <c r="B165" s="457" t="s">
        <v>40</v>
      </c>
      <c r="C165" s="479" t="s">
        <v>931</v>
      </c>
      <c r="D165" s="480">
        <v>0</v>
      </c>
      <c r="E165" s="480">
        <v>20</v>
      </c>
      <c r="F165" s="480">
        <v>15</v>
      </c>
      <c r="G165" s="480">
        <v>10</v>
      </c>
      <c r="H165" s="480">
        <v>4</v>
      </c>
      <c r="I165" s="480">
        <v>15</v>
      </c>
      <c r="J165" s="480">
        <v>2</v>
      </c>
      <c r="K165" s="480">
        <v>2</v>
      </c>
      <c r="L165" s="480">
        <v>0</v>
      </c>
      <c r="M165" s="480">
        <v>0</v>
      </c>
      <c r="N165" s="480">
        <v>0</v>
      </c>
      <c r="O165" s="480">
        <v>0</v>
      </c>
      <c r="P165" s="481">
        <v>0</v>
      </c>
      <c r="R165" s="461">
        <f t="shared" si="17"/>
        <v>23316</v>
      </c>
      <c r="S165" s="461" t="str">
        <f t="shared" si="20"/>
        <v>Electricidad</v>
      </c>
      <c r="T165" s="462" t="str">
        <f t="shared" si="20"/>
        <v>Tapa 3D Modob</v>
      </c>
      <c r="U165" s="440">
        <v>0</v>
      </c>
      <c r="V165" s="440">
        <v>20</v>
      </c>
      <c r="W165" s="440">
        <v>60</v>
      </c>
      <c r="X165" s="440">
        <v>10</v>
      </c>
      <c r="Y165" s="440">
        <v>4</v>
      </c>
      <c r="Z165" s="440">
        <v>15</v>
      </c>
      <c r="AA165" s="440">
        <v>4</v>
      </c>
      <c r="AB165" s="440">
        <v>2</v>
      </c>
      <c r="AC165" s="440">
        <v>0</v>
      </c>
      <c r="AD165" s="440">
        <v>0</v>
      </c>
      <c r="AE165" s="440">
        <v>1</v>
      </c>
      <c r="AF165" s="440">
        <f t="shared" si="19"/>
        <v>0</v>
      </c>
      <c r="AG165" s="482">
        <f t="shared" si="19"/>
        <v>0</v>
      </c>
      <c r="AH165" s="455"/>
      <c r="AI165" s="440">
        <f t="shared" si="18"/>
        <v>116</v>
      </c>
      <c r="AJ165" s="463" t="e">
        <f>+VLOOKUP(R165,'Base Material'!B:D,3,FALSE)</f>
        <v>#N/A</v>
      </c>
      <c r="AK165" s="464" t="e">
        <f t="shared" si="21"/>
        <v>#N/A</v>
      </c>
    </row>
    <row r="166" spans="1:37" x14ac:dyDescent="0.25">
      <c r="A166" s="478">
        <v>18703</v>
      </c>
      <c r="B166" s="457" t="s">
        <v>40</v>
      </c>
      <c r="C166" s="479" t="s">
        <v>932</v>
      </c>
      <c r="D166" s="480">
        <v>1</v>
      </c>
      <c r="E166" s="480">
        <v>40</v>
      </c>
      <c r="F166" s="480">
        <v>25</v>
      </c>
      <c r="G166" s="480">
        <v>18</v>
      </c>
      <c r="H166" s="480">
        <v>15</v>
      </c>
      <c r="I166" s="480">
        <v>40</v>
      </c>
      <c r="J166" s="480">
        <v>4</v>
      </c>
      <c r="K166" s="480">
        <v>4</v>
      </c>
      <c r="L166" s="480">
        <v>0</v>
      </c>
      <c r="M166" s="480">
        <v>0</v>
      </c>
      <c r="N166" s="480">
        <v>15</v>
      </c>
      <c r="O166" s="480">
        <v>0</v>
      </c>
      <c r="P166" s="481">
        <v>0</v>
      </c>
      <c r="R166" s="461">
        <f t="shared" si="17"/>
        <v>18703</v>
      </c>
      <c r="S166" s="461" t="str">
        <f t="shared" si="20"/>
        <v>Electricidad</v>
      </c>
      <c r="T166" s="462" t="str">
        <f t="shared" si="20"/>
        <v>Tuboelectric tubo rig extrap. 32 mm</v>
      </c>
      <c r="U166" s="440">
        <v>1</v>
      </c>
      <c r="V166" s="440">
        <v>40</v>
      </c>
      <c r="W166" s="440">
        <v>100</v>
      </c>
      <c r="X166" s="440">
        <v>18</v>
      </c>
      <c r="Y166" s="440">
        <v>15</v>
      </c>
      <c r="Z166" s="440">
        <v>40</v>
      </c>
      <c r="AA166" s="440">
        <v>8</v>
      </c>
      <c r="AB166" s="440">
        <v>4</v>
      </c>
      <c r="AC166" s="440">
        <v>0</v>
      </c>
      <c r="AD166" s="440">
        <v>0</v>
      </c>
      <c r="AE166" s="440">
        <v>1</v>
      </c>
      <c r="AF166" s="440">
        <f t="shared" si="19"/>
        <v>0</v>
      </c>
      <c r="AG166" s="482">
        <f t="shared" si="19"/>
        <v>0</v>
      </c>
      <c r="AH166" s="455"/>
      <c r="AI166" s="440">
        <f t="shared" si="18"/>
        <v>227</v>
      </c>
      <c r="AJ166" s="463" t="e">
        <f>+VLOOKUP(R166,'Base Material'!B:D,3,FALSE)</f>
        <v>#N/A</v>
      </c>
      <c r="AK166" s="464" t="e">
        <f t="shared" si="21"/>
        <v>#N/A</v>
      </c>
    </row>
    <row r="167" spans="1:37" x14ac:dyDescent="0.25">
      <c r="A167" s="478">
        <v>18740</v>
      </c>
      <c r="B167" s="457" t="s">
        <v>40</v>
      </c>
      <c r="C167" s="479" t="s">
        <v>933</v>
      </c>
      <c r="D167" s="480">
        <v>0</v>
      </c>
      <c r="E167" s="480">
        <v>0</v>
      </c>
      <c r="F167" s="480">
        <v>0</v>
      </c>
      <c r="G167" s="480">
        <v>0</v>
      </c>
      <c r="H167" s="480">
        <v>0</v>
      </c>
      <c r="I167" s="480">
        <v>0</v>
      </c>
      <c r="J167" s="480">
        <v>0</v>
      </c>
      <c r="K167" s="480">
        <v>0</v>
      </c>
      <c r="L167" s="480">
        <v>0</v>
      </c>
      <c r="M167" s="480">
        <v>0</v>
      </c>
      <c r="N167" s="480">
        <v>0</v>
      </c>
      <c r="O167" s="480">
        <v>0</v>
      </c>
      <c r="P167" s="481">
        <v>4</v>
      </c>
      <c r="R167" s="461">
        <f t="shared" si="17"/>
        <v>18740</v>
      </c>
      <c r="S167" s="461" t="str">
        <f t="shared" si="20"/>
        <v>Electricidad</v>
      </c>
      <c r="T167" s="462" t="str">
        <f t="shared" si="20"/>
        <v>Adhesivo sellador 100cc GEAD</v>
      </c>
      <c r="U167" s="440">
        <v>0</v>
      </c>
      <c r="V167" s="440">
        <v>0</v>
      </c>
      <c r="W167" s="440">
        <v>0</v>
      </c>
      <c r="X167" s="440">
        <v>0</v>
      </c>
      <c r="Y167" s="440">
        <v>0</v>
      </c>
      <c r="Z167" s="440">
        <v>0</v>
      </c>
      <c r="AA167" s="440">
        <v>0</v>
      </c>
      <c r="AB167" s="440">
        <v>0</v>
      </c>
      <c r="AC167" s="440">
        <v>0</v>
      </c>
      <c r="AD167" s="440">
        <v>0</v>
      </c>
      <c r="AE167" s="440">
        <v>1</v>
      </c>
      <c r="AF167" s="440">
        <f t="shared" si="19"/>
        <v>0</v>
      </c>
      <c r="AG167" s="482">
        <f t="shared" si="19"/>
        <v>4</v>
      </c>
      <c r="AH167" s="455"/>
      <c r="AI167" s="440">
        <f t="shared" si="18"/>
        <v>5</v>
      </c>
      <c r="AJ167" s="463">
        <f>+VLOOKUP(R167,'Base Material'!B:D,3,FALSE)</f>
        <v>2362.8</v>
      </c>
      <c r="AK167" s="464">
        <f t="shared" si="21"/>
        <v>11814</v>
      </c>
    </row>
    <row r="168" spans="1:37" x14ac:dyDescent="0.25">
      <c r="A168" s="478">
        <v>23614</v>
      </c>
      <c r="B168" s="457" t="s">
        <v>40</v>
      </c>
      <c r="C168" s="479" t="s">
        <v>934</v>
      </c>
      <c r="D168" s="480">
        <v>0</v>
      </c>
      <c r="E168" s="480">
        <v>0</v>
      </c>
      <c r="F168" s="480">
        <v>0</v>
      </c>
      <c r="G168" s="480">
        <v>0</v>
      </c>
      <c r="H168" s="480">
        <v>0</v>
      </c>
      <c r="I168" s="480">
        <v>0</v>
      </c>
      <c r="J168" s="480">
        <v>0</v>
      </c>
      <c r="K168" s="480">
        <v>0</v>
      </c>
      <c r="L168" s="480">
        <v>0</v>
      </c>
      <c r="M168" s="480">
        <v>0</v>
      </c>
      <c r="N168" s="480">
        <v>0</v>
      </c>
      <c r="O168" s="480">
        <v>1</v>
      </c>
      <c r="P168" s="481">
        <v>1</v>
      </c>
      <c r="R168" s="461">
        <f t="shared" si="17"/>
        <v>23614</v>
      </c>
      <c r="S168" s="461" t="str">
        <f t="shared" si="20"/>
        <v>Electricidad</v>
      </c>
      <c r="T168" s="462" t="str">
        <f t="shared" si="20"/>
        <v>Caja Capsulada Azul Vacia 32 A</v>
      </c>
      <c r="U168" s="440">
        <v>0</v>
      </c>
      <c r="V168" s="440">
        <v>0</v>
      </c>
      <c r="W168" s="440">
        <v>0</v>
      </c>
      <c r="X168" s="440">
        <v>0</v>
      </c>
      <c r="Y168" s="440">
        <v>0</v>
      </c>
      <c r="Z168" s="440">
        <v>0</v>
      </c>
      <c r="AA168" s="440">
        <v>0</v>
      </c>
      <c r="AB168" s="440">
        <v>0</v>
      </c>
      <c r="AC168" s="440">
        <v>0</v>
      </c>
      <c r="AD168" s="440">
        <v>0</v>
      </c>
      <c r="AE168" s="440">
        <v>1</v>
      </c>
      <c r="AF168" s="440">
        <f t="shared" si="19"/>
        <v>1</v>
      </c>
      <c r="AG168" s="482">
        <f t="shared" si="19"/>
        <v>1</v>
      </c>
      <c r="AH168" s="455"/>
      <c r="AI168" s="440">
        <f t="shared" si="18"/>
        <v>3</v>
      </c>
      <c r="AJ168" s="463">
        <f>+VLOOKUP(R168,'Base Material'!B:D,3,FALSE)</f>
        <v>1445.82</v>
      </c>
      <c r="AK168" s="464">
        <f t="shared" si="21"/>
        <v>4337.46</v>
      </c>
    </row>
    <row r="169" spans="1:37" x14ac:dyDescent="0.25">
      <c r="A169" s="478">
        <v>23375</v>
      </c>
      <c r="B169" s="457" t="s">
        <v>40</v>
      </c>
      <c r="C169" s="479" t="s">
        <v>935</v>
      </c>
      <c r="D169" s="480">
        <v>0</v>
      </c>
      <c r="E169" s="480">
        <v>0</v>
      </c>
      <c r="F169" s="480">
        <v>0</v>
      </c>
      <c r="G169" s="480">
        <v>0</v>
      </c>
      <c r="H169" s="480">
        <v>0</v>
      </c>
      <c r="I169" s="480">
        <v>0</v>
      </c>
      <c r="J169" s="480">
        <v>0</v>
      </c>
      <c r="K169" s="480">
        <v>0</v>
      </c>
      <c r="L169" s="480">
        <v>0</v>
      </c>
      <c r="M169" s="480">
        <v>0</v>
      </c>
      <c r="N169" s="480">
        <v>0</v>
      </c>
      <c r="O169" s="480">
        <v>0</v>
      </c>
      <c r="P169" s="481">
        <v>2</v>
      </c>
      <c r="R169" s="461">
        <f t="shared" si="17"/>
        <v>23375</v>
      </c>
      <c r="S169" s="461" t="str">
        <f t="shared" si="20"/>
        <v>Electricidad</v>
      </c>
      <c r="T169" s="462" t="str">
        <f t="shared" si="20"/>
        <v>Caja sigma IP55 2 Mod Gris</v>
      </c>
      <c r="U169" s="440">
        <v>0</v>
      </c>
      <c r="V169" s="440">
        <v>0</v>
      </c>
      <c r="W169" s="440">
        <v>0</v>
      </c>
      <c r="X169" s="440">
        <v>0</v>
      </c>
      <c r="Y169" s="440">
        <v>0</v>
      </c>
      <c r="Z169" s="440">
        <v>0</v>
      </c>
      <c r="AA169" s="440">
        <v>0</v>
      </c>
      <c r="AB169" s="440">
        <v>0</v>
      </c>
      <c r="AC169" s="440">
        <v>0</v>
      </c>
      <c r="AD169" s="440">
        <v>0</v>
      </c>
      <c r="AE169" s="440">
        <v>1</v>
      </c>
      <c r="AF169" s="440">
        <f t="shared" si="19"/>
        <v>0</v>
      </c>
      <c r="AG169" s="482">
        <f t="shared" si="19"/>
        <v>2</v>
      </c>
      <c r="AH169" s="455"/>
      <c r="AI169" s="440">
        <f t="shared" si="18"/>
        <v>3</v>
      </c>
      <c r="AJ169" s="463">
        <f>+VLOOKUP(R169,'Base Material'!B:D,3,FALSE)</f>
        <v>2299.38</v>
      </c>
      <c r="AK169" s="464">
        <f t="shared" si="21"/>
        <v>6898.14</v>
      </c>
    </row>
    <row r="170" spans="1:37" x14ac:dyDescent="0.25">
      <c r="A170" s="478">
        <v>24250</v>
      </c>
      <c r="B170" s="457" t="s">
        <v>40</v>
      </c>
      <c r="C170" s="479" t="s">
        <v>936</v>
      </c>
      <c r="D170" s="480">
        <v>0</v>
      </c>
      <c r="E170" s="480">
        <v>0</v>
      </c>
      <c r="F170" s="480">
        <v>0</v>
      </c>
      <c r="G170" s="480">
        <v>0</v>
      </c>
      <c r="H170" s="480">
        <v>0</v>
      </c>
      <c r="I170" s="480">
        <v>0</v>
      </c>
      <c r="J170" s="480">
        <v>0</v>
      </c>
      <c r="K170" s="480">
        <v>0</v>
      </c>
      <c r="L170" s="480">
        <v>0</v>
      </c>
      <c r="M170" s="480">
        <v>0</v>
      </c>
      <c r="N170" s="480">
        <v>0</v>
      </c>
      <c r="O170" s="480">
        <v>0</v>
      </c>
      <c r="P170" s="481">
        <v>6</v>
      </c>
      <c r="R170" s="461">
        <f t="shared" si="17"/>
        <v>24250</v>
      </c>
      <c r="S170" s="461" t="str">
        <f t="shared" si="20"/>
        <v>Electricidad</v>
      </c>
      <c r="T170" s="462" t="str">
        <f t="shared" si="20"/>
        <v>Precintos de 15cm a 20 cm (paquetes)</v>
      </c>
      <c r="U170" s="440">
        <v>0</v>
      </c>
      <c r="V170" s="440">
        <v>0</v>
      </c>
      <c r="W170" s="440">
        <v>0</v>
      </c>
      <c r="X170" s="440">
        <v>0</v>
      </c>
      <c r="Y170" s="440">
        <v>0</v>
      </c>
      <c r="Z170" s="440">
        <v>0</v>
      </c>
      <c r="AA170" s="440">
        <v>0</v>
      </c>
      <c r="AB170" s="440">
        <v>0</v>
      </c>
      <c r="AC170" s="440">
        <v>0</v>
      </c>
      <c r="AD170" s="440">
        <v>0</v>
      </c>
      <c r="AE170" s="440">
        <v>1</v>
      </c>
      <c r="AF170" s="440">
        <f t="shared" si="19"/>
        <v>0</v>
      </c>
      <c r="AG170" s="482">
        <f t="shared" si="19"/>
        <v>6</v>
      </c>
      <c r="AH170" s="455"/>
      <c r="AI170" s="440">
        <f t="shared" si="18"/>
        <v>7</v>
      </c>
      <c r="AJ170" s="463" t="e">
        <f>+VLOOKUP(R170,'Base Material'!B:D,3,FALSE)</f>
        <v>#N/A</v>
      </c>
      <c r="AK170" s="464" t="e">
        <f t="shared" si="21"/>
        <v>#N/A</v>
      </c>
    </row>
    <row r="171" spans="1:37" x14ac:dyDescent="0.25">
      <c r="A171" s="478">
        <v>18706</v>
      </c>
      <c r="B171" s="457" t="s">
        <v>40</v>
      </c>
      <c r="C171" s="479" t="s">
        <v>937</v>
      </c>
      <c r="D171" s="480">
        <v>0</v>
      </c>
      <c r="E171" s="480">
        <v>0</v>
      </c>
      <c r="F171" s="480">
        <v>0</v>
      </c>
      <c r="G171" s="480">
        <v>0</v>
      </c>
      <c r="H171" s="480">
        <v>0</v>
      </c>
      <c r="I171" s="480">
        <v>0</v>
      </c>
      <c r="J171" s="480">
        <v>0</v>
      </c>
      <c r="K171" s="480">
        <v>0</v>
      </c>
      <c r="L171" s="480">
        <v>0</v>
      </c>
      <c r="M171" s="480">
        <v>0</v>
      </c>
      <c r="N171" s="480">
        <v>0</v>
      </c>
      <c r="O171" s="480">
        <v>0</v>
      </c>
      <c r="P171" s="481">
        <v>9</v>
      </c>
      <c r="R171" s="461">
        <f t="shared" si="17"/>
        <v>18706</v>
      </c>
      <c r="S171" s="461" t="str">
        <f t="shared" si="20"/>
        <v>Electricidad</v>
      </c>
      <c r="T171" s="462" t="str">
        <f t="shared" si="20"/>
        <v>Caño de 32</v>
      </c>
      <c r="U171" s="440">
        <v>0</v>
      </c>
      <c r="V171" s="440">
        <v>0</v>
      </c>
      <c r="W171" s="440">
        <v>0</v>
      </c>
      <c r="X171" s="440">
        <v>0</v>
      </c>
      <c r="Y171" s="440">
        <v>0</v>
      </c>
      <c r="Z171" s="440">
        <v>0</v>
      </c>
      <c r="AA171" s="440">
        <v>0</v>
      </c>
      <c r="AB171" s="440">
        <v>0</v>
      </c>
      <c r="AC171" s="440">
        <v>0</v>
      </c>
      <c r="AD171" s="440">
        <v>0</v>
      </c>
      <c r="AE171" s="440">
        <v>1</v>
      </c>
      <c r="AF171" s="440">
        <f t="shared" si="19"/>
        <v>0</v>
      </c>
      <c r="AG171" s="482">
        <f t="shared" si="19"/>
        <v>9</v>
      </c>
      <c r="AH171" s="455"/>
      <c r="AI171" s="440">
        <f t="shared" si="18"/>
        <v>10</v>
      </c>
      <c r="AJ171" s="463" t="e">
        <f>+VLOOKUP(R171,'Base Material'!B:D,3,FALSE)</f>
        <v>#N/A</v>
      </c>
      <c r="AK171" s="464" t="e">
        <f t="shared" si="21"/>
        <v>#N/A</v>
      </c>
    </row>
    <row r="172" spans="1:37" x14ac:dyDescent="0.25">
      <c r="A172" s="478">
        <v>18723</v>
      </c>
      <c r="B172" s="457" t="s">
        <v>40</v>
      </c>
      <c r="C172" s="479" t="s">
        <v>938</v>
      </c>
      <c r="D172" s="480">
        <v>0</v>
      </c>
      <c r="E172" s="480">
        <v>0</v>
      </c>
      <c r="F172" s="480">
        <v>0</v>
      </c>
      <c r="G172" s="480">
        <v>0</v>
      </c>
      <c r="H172" s="480">
        <v>0</v>
      </c>
      <c r="I172" s="480">
        <v>0</v>
      </c>
      <c r="J172" s="480">
        <v>0</v>
      </c>
      <c r="K172" s="480">
        <v>0</v>
      </c>
      <c r="L172" s="480">
        <v>0</v>
      </c>
      <c r="M172" s="480">
        <v>0</v>
      </c>
      <c r="N172" s="480">
        <v>0</v>
      </c>
      <c r="O172" s="480">
        <v>0</v>
      </c>
      <c r="P172" s="481">
        <v>15</v>
      </c>
      <c r="R172" s="461">
        <f t="shared" si="17"/>
        <v>18723</v>
      </c>
      <c r="S172" s="461" t="str">
        <f t="shared" si="20"/>
        <v>Electricidad</v>
      </c>
      <c r="T172" s="462" t="str">
        <f t="shared" si="20"/>
        <v>Conector para tubo de PVC 32 mm</v>
      </c>
      <c r="U172" s="440">
        <v>0</v>
      </c>
      <c r="V172" s="440">
        <v>0</v>
      </c>
      <c r="W172" s="440">
        <v>0</v>
      </c>
      <c r="X172" s="440">
        <v>0</v>
      </c>
      <c r="Y172" s="440">
        <v>0</v>
      </c>
      <c r="Z172" s="440">
        <v>0</v>
      </c>
      <c r="AA172" s="440">
        <v>0</v>
      </c>
      <c r="AB172" s="440">
        <v>0</v>
      </c>
      <c r="AC172" s="440">
        <v>0</v>
      </c>
      <c r="AD172" s="440">
        <v>0</v>
      </c>
      <c r="AE172" s="440">
        <v>1</v>
      </c>
      <c r="AF172" s="440">
        <f t="shared" si="19"/>
        <v>0</v>
      </c>
      <c r="AG172" s="482">
        <f t="shared" si="19"/>
        <v>15</v>
      </c>
      <c r="AH172" s="455"/>
      <c r="AI172" s="440">
        <f t="shared" si="18"/>
        <v>16</v>
      </c>
      <c r="AJ172" s="463">
        <f>+VLOOKUP(R172,'Base Material'!B:D,3,FALSE)</f>
        <v>404.56</v>
      </c>
      <c r="AK172" s="464">
        <f t="shared" si="21"/>
        <v>6472.96</v>
      </c>
    </row>
    <row r="173" spans="1:37" x14ac:dyDescent="0.25">
      <c r="A173" s="478">
        <v>18730</v>
      </c>
      <c r="B173" s="457" t="s">
        <v>40</v>
      </c>
      <c r="C173" s="479" t="s">
        <v>939</v>
      </c>
      <c r="D173" s="480">
        <v>0</v>
      </c>
      <c r="E173" s="480">
        <v>0</v>
      </c>
      <c r="F173" s="480">
        <v>0</v>
      </c>
      <c r="G173" s="480">
        <v>0</v>
      </c>
      <c r="H173" s="480">
        <v>0</v>
      </c>
      <c r="I173" s="480">
        <v>0</v>
      </c>
      <c r="J173" s="480">
        <v>0</v>
      </c>
      <c r="K173" s="480">
        <v>0</v>
      </c>
      <c r="L173" s="480">
        <v>0</v>
      </c>
      <c r="M173" s="480">
        <v>0</v>
      </c>
      <c r="N173" s="480">
        <v>0</v>
      </c>
      <c r="O173" s="480">
        <v>0</v>
      </c>
      <c r="P173" s="481">
        <v>35</v>
      </c>
      <c r="R173" s="461">
        <f t="shared" si="17"/>
        <v>18730</v>
      </c>
      <c r="S173" s="461" t="str">
        <f t="shared" si="20"/>
        <v>Electricidad</v>
      </c>
      <c r="T173" s="462" t="str">
        <f t="shared" si="20"/>
        <v>uniones de 32</v>
      </c>
      <c r="U173" s="440">
        <v>0</v>
      </c>
      <c r="V173" s="440">
        <v>0</v>
      </c>
      <c r="W173" s="440">
        <v>0</v>
      </c>
      <c r="X173" s="440">
        <v>0</v>
      </c>
      <c r="Y173" s="440">
        <v>0</v>
      </c>
      <c r="Z173" s="440">
        <v>0</v>
      </c>
      <c r="AA173" s="440">
        <v>0</v>
      </c>
      <c r="AB173" s="440">
        <v>0</v>
      </c>
      <c r="AC173" s="440">
        <v>0</v>
      </c>
      <c r="AD173" s="440">
        <v>0</v>
      </c>
      <c r="AE173" s="440">
        <v>1</v>
      </c>
      <c r="AF173" s="440">
        <f t="shared" si="19"/>
        <v>0</v>
      </c>
      <c r="AG173" s="482">
        <f t="shared" si="19"/>
        <v>35</v>
      </c>
      <c r="AH173" s="455"/>
      <c r="AI173" s="440">
        <f t="shared" si="18"/>
        <v>36</v>
      </c>
      <c r="AJ173" s="463" t="e">
        <f>+VLOOKUP(R173,'Base Material'!B:D,3,FALSE)</f>
        <v>#N/A</v>
      </c>
      <c r="AK173" s="464" t="e">
        <f t="shared" si="21"/>
        <v>#N/A</v>
      </c>
    </row>
    <row r="174" spans="1:37" x14ac:dyDescent="0.25">
      <c r="A174" s="478">
        <v>18861</v>
      </c>
      <c r="B174" s="457" t="s">
        <v>40</v>
      </c>
      <c r="C174" s="479" t="s">
        <v>940</v>
      </c>
      <c r="D174" s="480">
        <v>1</v>
      </c>
      <c r="E174" s="480">
        <v>0</v>
      </c>
      <c r="F174" s="480">
        <v>0</v>
      </c>
      <c r="G174" s="480">
        <v>0</v>
      </c>
      <c r="H174" s="480">
        <v>0</v>
      </c>
      <c r="I174" s="480">
        <v>0</v>
      </c>
      <c r="J174" s="480">
        <v>0</v>
      </c>
      <c r="K174" s="480">
        <v>0</v>
      </c>
      <c r="L174" s="480">
        <v>0</v>
      </c>
      <c r="M174" s="480">
        <v>0</v>
      </c>
      <c r="N174" s="480">
        <v>0</v>
      </c>
      <c r="O174" s="480">
        <v>0</v>
      </c>
      <c r="P174" s="481">
        <v>0</v>
      </c>
      <c r="R174" s="461">
        <f t="shared" si="17"/>
        <v>18861</v>
      </c>
      <c r="S174" s="461" t="str">
        <f t="shared" si="20"/>
        <v>Electricidad</v>
      </c>
      <c r="T174" s="462" t="str">
        <f t="shared" si="20"/>
        <v>Curva de aluminio 2 1/2 x 4,2 mt</v>
      </c>
      <c r="U174" s="440">
        <v>1</v>
      </c>
      <c r="V174" s="440">
        <v>0</v>
      </c>
      <c r="W174" s="440">
        <v>0</v>
      </c>
      <c r="X174" s="440">
        <v>0</v>
      </c>
      <c r="Y174" s="440">
        <v>0</v>
      </c>
      <c r="Z174" s="440">
        <v>0</v>
      </c>
      <c r="AA174" s="440">
        <v>0</v>
      </c>
      <c r="AB174" s="440">
        <v>0</v>
      </c>
      <c r="AC174" s="440">
        <v>0</v>
      </c>
      <c r="AD174" s="440">
        <v>0</v>
      </c>
      <c r="AE174" s="440">
        <v>1</v>
      </c>
      <c r="AF174" s="440">
        <f t="shared" si="19"/>
        <v>0</v>
      </c>
      <c r="AG174" s="482">
        <f t="shared" si="19"/>
        <v>0</v>
      </c>
      <c r="AH174" s="455"/>
      <c r="AI174" s="440">
        <f t="shared" si="18"/>
        <v>2</v>
      </c>
      <c r="AJ174" s="463" t="e">
        <f>+VLOOKUP(R174,'Base Material'!B:D,3,FALSE)</f>
        <v>#N/A</v>
      </c>
      <c r="AK174" s="464" t="e">
        <f t="shared" si="21"/>
        <v>#N/A</v>
      </c>
    </row>
    <row r="175" spans="1:37" x14ac:dyDescent="0.25">
      <c r="A175" s="478">
        <v>18737</v>
      </c>
      <c r="B175" s="457" t="s">
        <v>40</v>
      </c>
      <c r="C175" s="479" t="s">
        <v>941</v>
      </c>
      <c r="D175" s="480">
        <v>0</v>
      </c>
      <c r="E175" s="480">
        <v>0</v>
      </c>
      <c r="F175" s="480">
        <v>0</v>
      </c>
      <c r="G175" s="480">
        <v>0</v>
      </c>
      <c r="H175" s="480">
        <v>0</v>
      </c>
      <c r="I175" s="480">
        <v>0</v>
      </c>
      <c r="J175" s="480">
        <v>0</v>
      </c>
      <c r="K175" s="480">
        <v>0</v>
      </c>
      <c r="L175" s="480">
        <v>0</v>
      </c>
      <c r="M175" s="480">
        <v>0</v>
      </c>
      <c r="N175" s="480">
        <v>0</v>
      </c>
      <c r="O175" s="480">
        <v>0</v>
      </c>
      <c r="P175" s="481">
        <v>6</v>
      </c>
      <c r="R175" s="461">
        <f t="shared" si="17"/>
        <v>18737</v>
      </c>
      <c r="S175" s="461" t="str">
        <f t="shared" si="20"/>
        <v>Electricidad</v>
      </c>
      <c r="T175" s="462" t="str">
        <f t="shared" si="20"/>
        <v>Curva de 32</v>
      </c>
      <c r="U175" s="440">
        <v>0</v>
      </c>
      <c r="V175" s="440">
        <v>0</v>
      </c>
      <c r="W175" s="440">
        <v>0</v>
      </c>
      <c r="X175" s="440">
        <v>0</v>
      </c>
      <c r="Y175" s="440">
        <v>0</v>
      </c>
      <c r="Z175" s="440">
        <v>0</v>
      </c>
      <c r="AA175" s="440">
        <v>0</v>
      </c>
      <c r="AB175" s="440">
        <v>0</v>
      </c>
      <c r="AC175" s="440">
        <v>0</v>
      </c>
      <c r="AD175" s="440">
        <v>0</v>
      </c>
      <c r="AE175" s="440">
        <v>1</v>
      </c>
      <c r="AF175" s="440">
        <f t="shared" si="19"/>
        <v>0</v>
      </c>
      <c r="AG175" s="482">
        <f t="shared" si="19"/>
        <v>6</v>
      </c>
      <c r="AH175" s="455"/>
      <c r="AI175" s="440">
        <f t="shared" si="18"/>
        <v>7</v>
      </c>
      <c r="AJ175" s="463" t="e">
        <f>+VLOOKUP(R175,'Base Material'!B:D,3,FALSE)</f>
        <v>#N/A</v>
      </c>
      <c r="AK175" s="464" t="e">
        <f t="shared" si="21"/>
        <v>#N/A</v>
      </c>
    </row>
    <row r="176" spans="1:37" x14ac:dyDescent="0.25">
      <c r="A176" s="478">
        <v>12239</v>
      </c>
      <c r="B176" s="457" t="s">
        <v>40</v>
      </c>
      <c r="C176" s="479" t="s">
        <v>942</v>
      </c>
      <c r="D176" s="480">
        <v>0</v>
      </c>
      <c r="E176" s="480">
        <v>0</v>
      </c>
      <c r="F176" s="480">
        <v>0</v>
      </c>
      <c r="G176" s="480">
        <v>0</v>
      </c>
      <c r="H176" s="480">
        <v>0</v>
      </c>
      <c r="I176" s="480">
        <v>0</v>
      </c>
      <c r="J176" s="480">
        <v>0</v>
      </c>
      <c r="K176" s="480">
        <v>0</v>
      </c>
      <c r="L176" s="480">
        <v>0</v>
      </c>
      <c r="M176" s="480">
        <v>0</v>
      </c>
      <c r="N176" s="480">
        <v>0</v>
      </c>
      <c r="O176" s="480">
        <v>0</v>
      </c>
      <c r="P176" s="481">
        <v>1000</v>
      </c>
      <c r="R176" s="461">
        <f t="shared" si="17"/>
        <v>12239</v>
      </c>
      <c r="S176" s="461" t="str">
        <f t="shared" si="20"/>
        <v>Electricidad</v>
      </c>
      <c r="T176" s="462" t="str">
        <f t="shared" si="20"/>
        <v>Tornillo T1 mecha</v>
      </c>
      <c r="U176" s="440">
        <v>0</v>
      </c>
      <c r="V176" s="440">
        <v>0</v>
      </c>
      <c r="W176" s="440">
        <v>0</v>
      </c>
      <c r="X176" s="440">
        <v>0</v>
      </c>
      <c r="Y176" s="440">
        <v>0</v>
      </c>
      <c r="Z176" s="440">
        <v>0</v>
      </c>
      <c r="AA176" s="440">
        <v>0</v>
      </c>
      <c r="AB176" s="440">
        <v>0</v>
      </c>
      <c r="AC176" s="440">
        <v>0</v>
      </c>
      <c r="AD176" s="440">
        <v>0</v>
      </c>
      <c r="AE176" s="440">
        <v>1</v>
      </c>
      <c r="AF176" s="440">
        <f t="shared" si="19"/>
        <v>0</v>
      </c>
      <c r="AG176" s="482">
        <f t="shared" si="19"/>
        <v>1000</v>
      </c>
      <c r="AH176" s="455"/>
      <c r="AI176" s="440">
        <f t="shared" si="18"/>
        <v>1001</v>
      </c>
      <c r="AJ176" s="463" t="e">
        <f>+VLOOKUP(R176,'Base Material'!B:D,3,FALSE)</f>
        <v>#N/A</v>
      </c>
      <c r="AK176" s="464" t="e">
        <f t="shared" si="21"/>
        <v>#N/A</v>
      </c>
    </row>
    <row r="177" spans="1:37" x14ac:dyDescent="0.25">
      <c r="A177" s="478">
        <v>12032</v>
      </c>
      <c r="B177" s="457" t="s">
        <v>40</v>
      </c>
      <c r="C177" s="479" t="s">
        <v>943</v>
      </c>
      <c r="D177" s="480">
        <v>0</v>
      </c>
      <c r="E177" s="480">
        <v>0</v>
      </c>
      <c r="F177" s="480">
        <v>0</v>
      </c>
      <c r="G177" s="480">
        <v>0</v>
      </c>
      <c r="H177" s="480">
        <v>0</v>
      </c>
      <c r="I177" s="480">
        <v>0</v>
      </c>
      <c r="J177" s="480">
        <v>0</v>
      </c>
      <c r="K177" s="480">
        <v>0</v>
      </c>
      <c r="L177" s="480">
        <v>0</v>
      </c>
      <c r="M177" s="480">
        <v>0</v>
      </c>
      <c r="N177" s="480">
        <v>0</v>
      </c>
      <c r="O177" s="480">
        <v>0</v>
      </c>
      <c r="P177" s="481">
        <v>100</v>
      </c>
      <c r="R177" s="461">
        <f t="shared" si="17"/>
        <v>12032</v>
      </c>
      <c r="S177" s="461" t="str">
        <f t="shared" si="20"/>
        <v>Electricidad</v>
      </c>
      <c r="T177" s="462" t="str">
        <f t="shared" si="20"/>
        <v>Grampas (omega de 20)</v>
      </c>
      <c r="U177" s="440">
        <v>0</v>
      </c>
      <c r="V177" s="440">
        <v>0</v>
      </c>
      <c r="W177" s="440">
        <v>0</v>
      </c>
      <c r="X177" s="440">
        <v>0</v>
      </c>
      <c r="Y177" s="440">
        <v>0</v>
      </c>
      <c r="Z177" s="440">
        <v>0</v>
      </c>
      <c r="AA177" s="440">
        <v>0</v>
      </c>
      <c r="AB177" s="440">
        <v>0</v>
      </c>
      <c r="AC177" s="440">
        <v>0</v>
      </c>
      <c r="AD177" s="440">
        <v>0</v>
      </c>
      <c r="AE177" s="440">
        <v>1</v>
      </c>
      <c r="AF177" s="440">
        <f t="shared" si="19"/>
        <v>0</v>
      </c>
      <c r="AG177" s="482">
        <f t="shared" si="19"/>
        <v>100</v>
      </c>
      <c r="AH177" s="455"/>
      <c r="AI177" s="440">
        <f t="shared" si="18"/>
        <v>101</v>
      </c>
      <c r="AJ177" s="463">
        <f>+VLOOKUP(R177,'Base Material'!B:D,3,FALSE)</f>
        <v>1036.41</v>
      </c>
      <c r="AK177" s="464">
        <f t="shared" si="21"/>
        <v>104677.41</v>
      </c>
    </row>
    <row r="178" spans="1:37" x14ac:dyDescent="0.25">
      <c r="A178" s="478">
        <v>32384</v>
      </c>
      <c r="B178" s="457" t="s">
        <v>40</v>
      </c>
      <c r="C178" s="479" t="s">
        <v>944</v>
      </c>
      <c r="D178" s="480">
        <v>0</v>
      </c>
      <c r="E178" s="480">
        <v>1</v>
      </c>
      <c r="F178" s="480">
        <v>1</v>
      </c>
      <c r="G178" s="480">
        <v>1</v>
      </c>
      <c r="H178" s="480">
        <v>0</v>
      </c>
      <c r="I178" s="480">
        <v>1</v>
      </c>
      <c r="J178" s="480">
        <v>1</v>
      </c>
      <c r="K178" s="480">
        <v>1</v>
      </c>
      <c r="L178" s="480">
        <v>0</v>
      </c>
      <c r="M178" s="480">
        <v>0</v>
      </c>
      <c r="N178" s="480">
        <v>0</v>
      </c>
      <c r="O178" s="480">
        <v>0</v>
      </c>
      <c r="P178" s="481">
        <v>0</v>
      </c>
      <c r="R178" s="461">
        <f t="shared" si="17"/>
        <v>32384</v>
      </c>
      <c r="S178" s="461" t="str">
        <f t="shared" si="20"/>
        <v>Electricidad</v>
      </c>
      <c r="T178" s="462" t="str">
        <f t="shared" si="20"/>
        <v>CABLE UNIPOLAR CAT-4 2,5mmx1Mt VERDE</v>
      </c>
      <c r="U178" s="440">
        <v>0</v>
      </c>
      <c r="V178" s="440">
        <v>1</v>
      </c>
      <c r="W178" s="440">
        <v>4</v>
      </c>
      <c r="X178" s="440">
        <v>1</v>
      </c>
      <c r="Y178" s="440">
        <v>0</v>
      </c>
      <c r="Z178" s="440">
        <v>1</v>
      </c>
      <c r="AA178" s="440">
        <v>2</v>
      </c>
      <c r="AB178" s="440">
        <v>1</v>
      </c>
      <c r="AC178" s="440">
        <v>0</v>
      </c>
      <c r="AD178" s="440">
        <v>0</v>
      </c>
      <c r="AE178" s="440">
        <v>1</v>
      </c>
      <c r="AF178" s="440">
        <f t="shared" si="19"/>
        <v>0</v>
      </c>
      <c r="AG178" s="482">
        <f t="shared" si="19"/>
        <v>0</v>
      </c>
      <c r="AH178" s="455"/>
      <c r="AI178" s="440">
        <f t="shared" si="18"/>
        <v>11</v>
      </c>
      <c r="AJ178" s="463">
        <f>+VLOOKUP(R178,'Base Material'!B:D,3,FALSE)</f>
        <v>353.6</v>
      </c>
      <c r="AK178" s="464">
        <f t="shared" si="21"/>
        <v>3889.6000000000004</v>
      </c>
    </row>
    <row r="179" spans="1:37" x14ac:dyDescent="0.25">
      <c r="A179" s="478">
        <v>32381</v>
      </c>
      <c r="B179" s="457" t="s">
        <v>40</v>
      </c>
      <c r="C179" s="479" t="s">
        <v>945</v>
      </c>
      <c r="D179" s="480">
        <v>0</v>
      </c>
      <c r="E179" s="480">
        <v>2</v>
      </c>
      <c r="F179" s="480">
        <v>2</v>
      </c>
      <c r="G179" s="480">
        <v>1</v>
      </c>
      <c r="H179" s="480">
        <v>0</v>
      </c>
      <c r="I179" s="480">
        <v>1</v>
      </c>
      <c r="J179" s="480">
        <v>1</v>
      </c>
      <c r="K179" s="480">
        <v>1</v>
      </c>
      <c r="L179" s="480">
        <v>0</v>
      </c>
      <c r="M179" s="480">
        <v>0</v>
      </c>
      <c r="N179" s="480">
        <v>0</v>
      </c>
      <c r="O179" s="480">
        <v>0</v>
      </c>
      <c r="P179" s="481">
        <v>0</v>
      </c>
      <c r="R179" s="461">
        <f t="shared" si="17"/>
        <v>32381</v>
      </c>
      <c r="S179" s="461" t="str">
        <f t="shared" si="20"/>
        <v>Electricidad</v>
      </c>
      <c r="T179" s="462" t="str">
        <f t="shared" si="20"/>
        <v>CABLE UNIPOLAR CAT-4 2,5mmx1Mt ROJO</v>
      </c>
      <c r="U179" s="440">
        <v>0</v>
      </c>
      <c r="V179" s="440">
        <v>2</v>
      </c>
      <c r="W179" s="440">
        <v>8</v>
      </c>
      <c r="X179" s="440">
        <v>1</v>
      </c>
      <c r="Y179" s="440">
        <v>0</v>
      </c>
      <c r="Z179" s="440">
        <v>1</v>
      </c>
      <c r="AA179" s="440">
        <v>2</v>
      </c>
      <c r="AB179" s="440">
        <v>1</v>
      </c>
      <c r="AC179" s="440">
        <v>0</v>
      </c>
      <c r="AD179" s="440">
        <v>0</v>
      </c>
      <c r="AE179" s="440">
        <v>1</v>
      </c>
      <c r="AF179" s="440">
        <f t="shared" si="19"/>
        <v>0</v>
      </c>
      <c r="AG179" s="482">
        <f t="shared" si="19"/>
        <v>0</v>
      </c>
      <c r="AH179" s="455"/>
      <c r="AI179" s="440">
        <f t="shared" si="18"/>
        <v>16</v>
      </c>
      <c r="AJ179" s="463">
        <f>+VLOOKUP(R179,'Base Material'!B:D,3,FALSE)</f>
        <v>353.6</v>
      </c>
      <c r="AK179" s="464">
        <f t="shared" si="21"/>
        <v>5657.6</v>
      </c>
    </row>
    <row r="180" spans="1:37" x14ac:dyDescent="0.25">
      <c r="A180" s="478">
        <v>32378</v>
      </c>
      <c r="B180" s="457" t="s">
        <v>40</v>
      </c>
      <c r="C180" s="479" t="s">
        <v>946</v>
      </c>
      <c r="D180" s="480">
        <v>0</v>
      </c>
      <c r="E180" s="480">
        <v>1</v>
      </c>
      <c r="F180" s="480">
        <v>1</v>
      </c>
      <c r="G180" s="480">
        <v>1</v>
      </c>
      <c r="H180" s="480">
        <v>0</v>
      </c>
      <c r="I180" s="480">
        <v>1</v>
      </c>
      <c r="J180" s="480">
        <v>1</v>
      </c>
      <c r="K180" s="480">
        <v>1</v>
      </c>
      <c r="L180" s="480">
        <v>0</v>
      </c>
      <c r="M180" s="480">
        <v>0</v>
      </c>
      <c r="N180" s="480">
        <v>0</v>
      </c>
      <c r="O180" s="480">
        <v>0</v>
      </c>
      <c r="P180" s="481">
        <v>0</v>
      </c>
      <c r="R180" s="461">
        <f t="shared" si="17"/>
        <v>32378</v>
      </c>
      <c r="S180" s="461" t="str">
        <f t="shared" si="20"/>
        <v>Electricidad</v>
      </c>
      <c r="T180" s="462" t="str">
        <f t="shared" si="20"/>
        <v>CABLE UNIPOLAR CAT-4 1,5mmx1Mt VERDE</v>
      </c>
      <c r="U180" s="440">
        <v>0</v>
      </c>
      <c r="V180" s="440">
        <v>1</v>
      </c>
      <c r="W180" s="440">
        <v>4</v>
      </c>
      <c r="X180" s="440">
        <v>1</v>
      </c>
      <c r="Y180" s="440">
        <v>0</v>
      </c>
      <c r="Z180" s="440">
        <v>1</v>
      </c>
      <c r="AA180" s="440">
        <v>2</v>
      </c>
      <c r="AB180" s="440">
        <v>1</v>
      </c>
      <c r="AC180" s="440">
        <v>0</v>
      </c>
      <c r="AD180" s="440">
        <v>0</v>
      </c>
      <c r="AE180" s="440">
        <v>1</v>
      </c>
      <c r="AF180" s="440">
        <f t="shared" si="19"/>
        <v>0</v>
      </c>
      <c r="AG180" s="482">
        <f t="shared" si="19"/>
        <v>0</v>
      </c>
      <c r="AH180" s="455"/>
      <c r="AI180" s="440">
        <f t="shared" si="18"/>
        <v>11</v>
      </c>
      <c r="AJ180" s="463">
        <f>+VLOOKUP(R180,'Base Material'!B:D,3,FALSE)</f>
        <v>219.7</v>
      </c>
      <c r="AK180" s="464">
        <f t="shared" si="21"/>
        <v>2416.7</v>
      </c>
    </row>
    <row r="181" spans="1:37" x14ac:dyDescent="0.25">
      <c r="A181" s="478">
        <v>32375</v>
      </c>
      <c r="B181" s="457" t="s">
        <v>40</v>
      </c>
      <c r="C181" s="479" t="s">
        <v>947</v>
      </c>
      <c r="D181" s="480">
        <v>0</v>
      </c>
      <c r="E181" s="480">
        <v>2</v>
      </c>
      <c r="F181" s="480">
        <v>2</v>
      </c>
      <c r="G181" s="480">
        <v>1</v>
      </c>
      <c r="H181" s="480">
        <v>0</v>
      </c>
      <c r="I181" s="480">
        <v>1</v>
      </c>
      <c r="J181" s="480">
        <v>1</v>
      </c>
      <c r="K181" s="480">
        <v>1</v>
      </c>
      <c r="L181" s="480">
        <v>0</v>
      </c>
      <c r="M181" s="480">
        <v>0</v>
      </c>
      <c r="N181" s="480">
        <v>0</v>
      </c>
      <c r="O181" s="480">
        <v>0</v>
      </c>
      <c r="P181" s="481">
        <v>0</v>
      </c>
      <c r="R181" s="461">
        <f t="shared" si="17"/>
        <v>32375</v>
      </c>
      <c r="S181" s="461" t="str">
        <f t="shared" si="20"/>
        <v>Electricidad</v>
      </c>
      <c r="T181" s="462" t="str">
        <f t="shared" si="20"/>
        <v>CABLE UNIPOLAR CAT-4 1,5mmx1Mt ROJO</v>
      </c>
      <c r="U181" s="440">
        <v>0</v>
      </c>
      <c r="V181" s="440">
        <v>2</v>
      </c>
      <c r="W181" s="440">
        <v>8</v>
      </c>
      <c r="X181" s="440">
        <v>1</v>
      </c>
      <c r="Y181" s="440">
        <v>0</v>
      </c>
      <c r="Z181" s="440">
        <v>1</v>
      </c>
      <c r="AA181" s="440">
        <v>2</v>
      </c>
      <c r="AB181" s="440">
        <v>1</v>
      </c>
      <c r="AC181" s="440">
        <v>0</v>
      </c>
      <c r="AD181" s="440">
        <v>0</v>
      </c>
      <c r="AE181" s="440">
        <v>1</v>
      </c>
      <c r="AF181" s="440">
        <f t="shared" si="19"/>
        <v>0</v>
      </c>
      <c r="AG181" s="482">
        <f t="shared" si="19"/>
        <v>0</v>
      </c>
      <c r="AH181" s="455"/>
      <c r="AI181" s="440">
        <f t="shared" si="18"/>
        <v>16</v>
      </c>
      <c r="AJ181" s="463">
        <f>+VLOOKUP(R181,'Base Material'!B:D,3,FALSE)</f>
        <v>219.7</v>
      </c>
      <c r="AK181" s="464">
        <f t="shared" si="21"/>
        <v>3515.2</v>
      </c>
    </row>
    <row r="182" spans="1:37" x14ac:dyDescent="0.25">
      <c r="A182" s="478">
        <v>32553</v>
      </c>
      <c r="B182" s="457" t="s">
        <v>40</v>
      </c>
      <c r="C182" s="479" t="s">
        <v>948</v>
      </c>
      <c r="D182" s="480">
        <v>0</v>
      </c>
      <c r="E182" s="480">
        <v>1</v>
      </c>
      <c r="F182" s="480">
        <v>1</v>
      </c>
      <c r="G182" s="480">
        <v>1</v>
      </c>
      <c r="H182" s="480">
        <v>0</v>
      </c>
      <c r="I182" s="480">
        <v>0</v>
      </c>
      <c r="J182" s="480">
        <v>0</v>
      </c>
      <c r="K182" s="480">
        <v>0</v>
      </c>
      <c r="L182" s="480">
        <v>0</v>
      </c>
      <c r="M182" s="480">
        <v>0</v>
      </c>
      <c r="N182" s="480">
        <v>0</v>
      </c>
      <c r="O182" s="480">
        <v>0</v>
      </c>
      <c r="P182" s="481">
        <v>0</v>
      </c>
      <c r="R182" s="461">
        <f t="shared" si="17"/>
        <v>32553</v>
      </c>
      <c r="S182" s="461" t="str">
        <f t="shared" si="20"/>
        <v>Electricidad</v>
      </c>
      <c r="T182" s="462" t="str">
        <f t="shared" si="20"/>
        <v>CABLE UNIPOLAR CAT-4 6,0mmx1Mt NEGRO</v>
      </c>
      <c r="U182" s="440">
        <v>0</v>
      </c>
      <c r="V182" s="440">
        <v>1</v>
      </c>
      <c r="W182" s="440">
        <v>4</v>
      </c>
      <c r="X182" s="440">
        <v>1</v>
      </c>
      <c r="Y182" s="440">
        <v>0</v>
      </c>
      <c r="Z182" s="440">
        <v>0</v>
      </c>
      <c r="AA182" s="440">
        <v>0</v>
      </c>
      <c r="AB182" s="440">
        <v>0</v>
      </c>
      <c r="AC182" s="440">
        <v>0</v>
      </c>
      <c r="AD182" s="440">
        <v>0</v>
      </c>
      <c r="AE182" s="440">
        <v>1</v>
      </c>
      <c r="AF182" s="440">
        <f t="shared" si="19"/>
        <v>0</v>
      </c>
      <c r="AG182" s="482">
        <f t="shared" si="19"/>
        <v>0</v>
      </c>
      <c r="AH182" s="455"/>
      <c r="AI182" s="440">
        <f t="shared" si="18"/>
        <v>7</v>
      </c>
      <c r="AJ182" s="463">
        <f>+VLOOKUP(R182,'Base Material'!B:D,3,FALSE)</f>
        <v>839.36</v>
      </c>
      <c r="AK182" s="464">
        <f t="shared" si="21"/>
        <v>5875.52</v>
      </c>
    </row>
    <row r="183" spans="1:37" x14ac:dyDescent="0.25">
      <c r="A183" s="478">
        <v>32380</v>
      </c>
      <c r="B183" s="457" t="s">
        <v>40</v>
      </c>
      <c r="C183" s="479" t="s">
        <v>949</v>
      </c>
      <c r="D183" s="480">
        <v>0</v>
      </c>
      <c r="E183" s="480">
        <v>1</v>
      </c>
      <c r="F183" s="480">
        <v>0</v>
      </c>
      <c r="G183" s="480">
        <v>0</v>
      </c>
      <c r="H183" s="480">
        <v>0</v>
      </c>
      <c r="I183" s="480">
        <v>0</v>
      </c>
      <c r="J183" s="480">
        <v>0</v>
      </c>
      <c r="K183" s="480">
        <v>0</v>
      </c>
      <c r="L183" s="480">
        <v>0</v>
      </c>
      <c r="M183" s="480">
        <v>0</v>
      </c>
      <c r="N183" s="480">
        <v>0</v>
      </c>
      <c r="O183" s="480">
        <v>0</v>
      </c>
      <c r="P183" s="481">
        <v>0</v>
      </c>
      <c r="R183" s="461">
        <f t="shared" si="17"/>
        <v>32380</v>
      </c>
      <c r="S183" s="461" t="str">
        <f t="shared" si="20"/>
        <v>Electricidad</v>
      </c>
      <c r="T183" s="462" t="str">
        <f t="shared" si="20"/>
        <v>Cable (100m) - 6mm - marrón</v>
      </c>
      <c r="U183" s="440">
        <v>0</v>
      </c>
      <c r="V183" s="440">
        <v>1</v>
      </c>
      <c r="W183" s="440">
        <v>0</v>
      </c>
      <c r="X183" s="440">
        <v>0</v>
      </c>
      <c r="Y183" s="440">
        <v>0</v>
      </c>
      <c r="Z183" s="440">
        <v>0</v>
      </c>
      <c r="AA183" s="440">
        <v>0</v>
      </c>
      <c r="AB183" s="440">
        <v>0</v>
      </c>
      <c r="AC183" s="440">
        <v>0</v>
      </c>
      <c r="AD183" s="440">
        <v>0</v>
      </c>
      <c r="AE183" s="440">
        <v>1</v>
      </c>
      <c r="AF183" s="440">
        <f t="shared" si="19"/>
        <v>0</v>
      </c>
      <c r="AG183" s="482">
        <f t="shared" si="19"/>
        <v>0</v>
      </c>
      <c r="AH183" s="455"/>
      <c r="AI183" s="440">
        <f t="shared" si="18"/>
        <v>2</v>
      </c>
      <c r="AJ183" s="463" t="e">
        <f>+VLOOKUP(R183,'Base Material'!B:D,3,FALSE)</f>
        <v>#N/A</v>
      </c>
      <c r="AK183" s="464" t="e">
        <f t="shared" si="21"/>
        <v>#N/A</v>
      </c>
    </row>
    <row r="184" spans="1:37" x14ac:dyDescent="0.25">
      <c r="A184" s="478">
        <v>32550</v>
      </c>
      <c r="B184" s="457" t="s">
        <v>40</v>
      </c>
      <c r="C184" s="479" t="s">
        <v>950</v>
      </c>
      <c r="D184" s="480">
        <v>0</v>
      </c>
      <c r="E184" s="480">
        <v>1</v>
      </c>
      <c r="F184" s="480">
        <v>0</v>
      </c>
      <c r="G184" s="480">
        <v>0</v>
      </c>
      <c r="H184" s="480">
        <v>0</v>
      </c>
      <c r="I184" s="480">
        <v>0</v>
      </c>
      <c r="J184" s="480">
        <v>0</v>
      </c>
      <c r="K184" s="480">
        <v>0</v>
      </c>
      <c r="L184" s="480">
        <v>0</v>
      </c>
      <c r="M184" s="480">
        <v>0</v>
      </c>
      <c r="N184" s="480">
        <v>0</v>
      </c>
      <c r="O184" s="480">
        <v>0</v>
      </c>
      <c r="P184" s="481">
        <v>0</v>
      </c>
      <c r="R184" s="461">
        <f t="shared" si="17"/>
        <v>32550</v>
      </c>
      <c r="S184" s="461" t="str">
        <f t="shared" si="20"/>
        <v>Electricidad</v>
      </c>
      <c r="T184" s="462" t="str">
        <f t="shared" si="20"/>
        <v>CABLE UNIPOLAR CAT-4 6,0mmx1Mt VERDE</v>
      </c>
      <c r="U184" s="440">
        <v>0</v>
      </c>
      <c r="V184" s="440">
        <v>1</v>
      </c>
      <c r="W184" s="440">
        <v>0</v>
      </c>
      <c r="X184" s="440">
        <v>0</v>
      </c>
      <c r="Y184" s="440">
        <v>0</v>
      </c>
      <c r="Z184" s="440">
        <v>0</v>
      </c>
      <c r="AA184" s="440">
        <v>0</v>
      </c>
      <c r="AB184" s="440">
        <v>0</v>
      </c>
      <c r="AC184" s="440">
        <v>0</v>
      </c>
      <c r="AD184" s="440">
        <v>0</v>
      </c>
      <c r="AE184" s="440">
        <v>1</v>
      </c>
      <c r="AF184" s="440">
        <f t="shared" si="19"/>
        <v>0</v>
      </c>
      <c r="AG184" s="482">
        <f t="shared" si="19"/>
        <v>0</v>
      </c>
      <c r="AH184" s="455"/>
      <c r="AI184" s="440">
        <f t="shared" si="18"/>
        <v>2</v>
      </c>
      <c r="AJ184" s="463">
        <f>+VLOOKUP(R184,'Base Material'!B:D,3,FALSE)</f>
        <v>839.36</v>
      </c>
      <c r="AK184" s="464">
        <f t="shared" si="21"/>
        <v>1678.72</v>
      </c>
    </row>
    <row r="185" spans="1:37" x14ac:dyDescent="0.25">
      <c r="A185" s="478">
        <v>22552</v>
      </c>
      <c r="B185" s="457" t="s">
        <v>40</v>
      </c>
      <c r="C185" s="479" t="s">
        <v>951</v>
      </c>
      <c r="D185" s="480">
        <v>0</v>
      </c>
      <c r="E185" s="480">
        <v>0</v>
      </c>
      <c r="F185" s="480">
        <v>0</v>
      </c>
      <c r="G185" s="480">
        <v>0</v>
      </c>
      <c r="H185" s="480">
        <v>0</v>
      </c>
      <c r="I185" s="480">
        <v>0</v>
      </c>
      <c r="J185" s="480">
        <v>0</v>
      </c>
      <c r="K185" s="480">
        <v>0</v>
      </c>
      <c r="L185" s="480">
        <v>0</v>
      </c>
      <c r="M185" s="480">
        <v>0</v>
      </c>
      <c r="N185" s="480">
        <v>0</v>
      </c>
      <c r="O185" s="480">
        <v>0</v>
      </c>
      <c r="P185" s="481">
        <v>6</v>
      </c>
      <c r="R185" s="461">
        <f t="shared" si="17"/>
        <v>22552</v>
      </c>
      <c r="S185" s="461" t="str">
        <f t="shared" si="20"/>
        <v>Electricidad</v>
      </c>
      <c r="T185" s="462" t="str">
        <f t="shared" si="20"/>
        <v>Cinta asilante</v>
      </c>
      <c r="U185" s="440">
        <v>0</v>
      </c>
      <c r="V185" s="440">
        <v>0</v>
      </c>
      <c r="W185" s="440">
        <v>0</v>
      </c>
      <c r="X185" s="440">
        <v>0</v>
      </c>
      <c r="Y185" s="440">
        <v>0</v>
      </c>
      <c r="Z185" s="440">
        <v>0</v>
      </c>
      <c r="AA185" s="440">
        <v>0</v>
      </c>
      <c r="AB185" s="440">
        <v>0</v>
      </c>
      <c r="AC185" s="440">
        <v>0</v>
      </c>
      <c r="AD185" s="440">
        <v>0</v>
      </c>
      <c r="AE185" s="440">
        <v>1</v>
      </c>
      <c r="AF185" s="440">
        <f t="shared" si="19"/>
        <v>0</v>
      </c>
      <c r="AG185" s="482">
        <f t="shared" si="19"/>
        <v>6</v>
      </c>
      <c r="AH185" s="455"/>
      <c r="AI185" s="440">
        <f t="shared" si="18"/>
        <v>7</v>
      </c>
      <c r="AJ185" s="463" t="e">
        <f>+VLOOKUP(R185,'Base Material'!B:D,3,FALSE)</f>
        <v>#N/A</v>
      </c>
      <c r="AK185" s="464" t="e">
        <f t="shared" si="21"/>
        <v>#N/A</v>
      </c>
    </row>
    <row r="186" spans="1:37" x14ac:dyDescent="0.25">
      <c r="A186" s="478">
        <v>32189</v>
      </c>
      <c r="B186" s="457" t="s">
        <v>40</v>
      </c>
      <c r="C186" s="479" t="s">
        <v>952</v>
      </c>
      <c r="D186" s="480">
        <v>0</v>
      </c>
      <c r="E186" s="480">
        <v>0</v>
      </c>
      <c r="F186" s="480">
        <v>0</v>
      </c>
      <c r="G186" s="480">
        <v>0</v>
      </c>
      <c r="H186" s="480">
        <v>0</v>
      </c>
      <c r="I186" s="480">
        <v>0</v>
      </c>
      <c r="J186" s="480">
        <v>0</v>
      </c>
      <c r="K186" s="480">
        <v>0</v>
      </c>
      <c r="L186" s="480">
        <v>0</v>
      </c>
      <c r="M186" s="480">
        <v>0</v>
      </c>
      <c r="N186" s="480">
        <v>0</v>
      </c>
      <c r="O186" s="480">
        <v>0</v>
      </c>
      <c r="P186" s="481">
        <v>4</v>
      </c>
      <c r="R186" s="461">
        <f t="shared" si="17"/>
        <v>32189</v>
      </c>
      <c r="S186" s="461" t="str">
        <f t="shared" si="20"/>
        <v>Electricidad</v>
      </c>
      <c r="T186" s="462" t="str">
        <f t="shared" si="20"/>
        <v>Térmica 4x25</v>
      </c>
      <c r="U186" s="440">
        <v>0</v>
      </c>
      <c r="V186" s="440">
        <v>0</v>
      </c>
      <c r="W186" s="440">
        <v>0</v>
      </c>
      <c r="X186" s="440">
        <v>0</v>
      </c>
      <c r="Y186" s="440">
        <v>0</v>
      </c>
      <c r="Z186" s="440">
        <v>0</v>
      </c>
      <c r="AA186" s="440">
        <v>0</v>
      </c>
      <c r="AB186" s="440">
        <v>0</v>
      </c>
      <c r="AC186" s="440">
        <v>0</v>
      </c>
      <c r="AD186" s="440">
        <v>0</v>
      </c>
      <c r="AE186" s="440">
        <v>1</v>
      </c>
      <c r="AF186" s="440">
        <f t="shared" si="19"/>
        <v>0</v>
      </c>
      <c r="AG186" s="482">
        <f t="shared" si="19"/>
        <v>4</v>
      </c>
      <c r="AH186" s="455"/>
      <c r="AI186" s="440">
        <f t="shared" si="18"/>
        <v>5</v>
      </c>
      <c r="AJ186" s="463" t="e">
        <f>+VLOOKUP(R186,'Base Material'!B:D,3,FALSE)</f>
        <v>#N/A</v>
      </c>
      <c r="AK186" s="464" t="e">
        <f t="shared" si="21"/>
        <v>#N/A</v>
      </c>
    </row>
    <row r="187" spans="1:37" x14ac:dyDescent="0.25">
      <c r="A187" s="478">
        <v>28629</v>
      </c>
      <c r="B187" s="457" t="s">
        <v>40</v>
      </c>
      <c r="C187" s="479" t="s">
        <v>953</v>
      </c>
      <c r="D187" s="480">
        <v>1</v>
      </c>
      <c r="E187" s="480">
        <v>0</v>
      </c>
      <c r="F187" s="480">
        <v>0</v>
      </c>
      <c r="G187" s="480">
        <v>0</v>
      </c>
      <c r="H187" s="480">
        <v>0</v>
      </c>
      <c r="I187" s="480">
        <v>0</v>
      </c>
      <c r="J187" s="480">
        <v>0</v>
      </c>
      <c r="K187" s="480">
        <v>0</v>
      </c>
      <c r="L187" s="480">
        <v>0</v>
      </c>
      <c r="M187" s="480">
        <v>0</v>
      </c>
      <c r="N187" s="480">
        <v>0</v>
      </c>
      <c r="O187" s="480">
        <v>0</v>
      </c>
      <c r="P187" s="481">
        <v>2</v>
      </c>
      <c r="R187" s="461">
        <f t="shared" si="17"/>
        <v>28629</v>
      </c>
      <c r="S187" s="461" t="str">
        <f t="shared" si="20"/>
        <v>Electricidad</v>
      </c>
      <c r="T187" s="462" t="str">
        <f t="shared" si="20"/>
        <v>Interruptor diferencial TMD-30 2x25A JELUZ Disyuntor</v>
      </c>
      <c r="U187" s="440">
        <v>1</v>
      </c>
      <c r="V187" s="440">
        <v>0</v>
      </c>
      <c r="W187" s="440">
        <v>0</v>
      </c>
      <c r="X187" s="440">
        <v>0</v>
      </c>
      <c r="Y187" s="440">
        <v>0</v>
      </c>
      <c r="Z187" s="440">
        <v>0</v>
      </c>
      <c r="AA187" s="440">
        <v>0</v>
      </c>
      <c r="AB187" s="440">
        <v>0</v>
      </c>
      <c r="AC187" s="440">
        <v>0</v>
      </c>
      <c r="AD187" s="440">
        <v>0</v>
      </c>
      <c r="AE187" s="440">
        <v>1</v>
      </c>
      <c r="AF187" s="440">
        <f>+O187</f>
        <v>0</v>
      </c>
      <c r="AG187" s="482">
        <f>+P187</f>
        <v>2</v>
      </c>
      <c r="AH187" s="455"/>
      <c r="AI187" s="440">
        <f t="shared" si="18"/>
        <v>4</v>
      </c>
      <c r="AJ187" s="463" t="e">
        <f>+VLOOKUP(R187,'Base Material'!B:D,3,FALSE)</f>
        <v>#N/A</v>
      </c>
      <c r="AK187" s="464" t="e">
        <f t="shared" si="21"/>
        <v>#N/A</v>
      </c>
    </row>
    <row r="188" spans="1:37" x14ac:dyDescent="0.25">
      <c r="A188" s="478"/>
      <c r="B188" s="457" t="s">
        <v>40</v>
      </c>
      <c r="C188" s="479" t="s">
        <v>954</v>
      </c>
      <c r="D188" s="480">
        <v>0</v>
      </c>
      <c r="E188" s="480">
        <v>0</v>
      </c>
      <c r="F188" s="480">
        <v>0</v>
      </c>
      <c r="G188" s="480">
        <v>0</v>
      </c>
      <c r="H188" s="480">
        <v>0</v>
      </c>
      <c r="I188" s="480">
        <v>0</v>
      </c>
      <c r="J188" s="480">
        <v>0</v>
      </c>
      <c r="K188" s="480">
        <v>0</v>
      </c>
      <c r="L188" s="480">
        <v>0</v>
      </c>
      <c r="M188" s="480">
        <v>0</v>
      </c>
      <c r="N188" s="480">
        <v>0</v>
      </c>
      <c r="O188" s="480">
        <v>0</v>
      </c>
      <c r="P188" s="481">
        <v>1</v>
      </c>
      <c r="R188" s="461">
        <f t="shared" si="17"/>
        <v>0</v>
      </c>
      <c r="S188" s="461" t="str">
        <f t="shared" si="20"/>
        <v>Electricidad</v>
      </c>
      <c r="T188" s="462" t="str">
        <f t="shared" si="20"/>
        <v>Térmica 4x32</v>
      </c>
      <c r="U188" s="440">
        <v>0</v>
      </c>
      <c r="V188" s="440">
        <v>0</v>
      </c>
      <c r="W188" s="440">
        <v>0</v>
      </c>
      <c r="X188" s="440">
        <v>0</v>
      </c>
      <c r="Y188" s="440">
        <v>0</v>
      </c>
      <c r="Z188" s="440">
        <v>0</v>
      </c>
      <c r="AA188" s="440">
        <v>0</v>
      </c>
      <c r="AB188" s="440">
        <v>0</v>
      </c>
      <c r="AC188" s="440">
        <v>0</v>
      </c>
      <c r="AD188" s="440">
        <v>0</v>
      </c>
      <c r="AE188" s="440">
        <v>1</v>
      </c>
      <c r="AF188" s="440">
        <f t="shared" si="19"/>
        <v>0</v>
      </c>
      <c r="AG188" s="482">
        <f t="shared" si="19"/>
        <v>1</v>
      </c>
      <c r="AH188" s="455"/>
      <c r="AI188" s="440">
        <f t="shared" si="18"/>
        <v>2</v>
      </c>
      <c r="AJ188" s="463" t="e">
        <f>+VLOOKUP(R188,'Base Material'!B:D,3,FALSE)</f>
        <v>#N/A</v>
      </c>
      <c r="AK188" s="464" t="e">
        <f t="shared" si="21"/>
        <v>#N/A</v>
      </c>
    </row>
    <row r="189" spans="1:37" x14ac:dyDescent="0.25">
      <c r="A189" s="478"/>
      <c r="B189" s="457" t="s">
        <v>40</v>
      </c>
      <c r="C189" s="479" t="s">
        <v>955</v>
      </c>
      <c r="D189" s="480">
        <v>0</v>
      </c>
      <c r="E189" s="480">
        <v>0</v>
      </c>
      <c r="F189" s="480">
        <v>0</v>
      </c>
      <c r="G189" s="480">
        <v>0</v>
      </c>
      <c r="H189" s="480">
        <v>0</v>
      </c>
      <c r="I189" s="480">
        <v>0</v>
      </c>
      <c r="J189" s="480">
        <v>0</v>
      </c>
      <c r="K189" s="480">
        <v>0</v>
      </c>
      <c r="L189" s="480">
        <v>0</v>
      </c>
      <c r="M189" s="480">
        <v>0</v>
      </c>
      <c r="N189" s="480">
        <v>0</v>
      </c>
      <c r="O189" s="480">
        <v>0</v>
      </c>
      <c r="P189" s="481">
        <v>2</v>
      </c>
      <c r="R189" s="461">
        <f t="shared" si="17"/>
        <v>0</v>
      </c>
      <c r="S189" s="461" t="str">
        <f t="shared" si="20"/>
        <v>Electricidad</v>
      </c>
      <c r="T189" s="462" t="str">
        <f t="shared" si="20"/>
        <v>Térmica 4x16</v>
      </c>
      <c r="U189" s="440">
        <v>0</v>
      </c>
      <c r="V189" s="440">
        <v>0</v>
      </c>
      <c r="W189" s="440">
        <v>0</v>
      </c>
      <c r="X189" s="440">
        <v>0</v>
      </c>
      <c r="Y189" s="440">
        <v>0</v>
      </c>
      <c r="Z189" s="440">
        <v>0</v>
      </c>
      <c r="AA189" s="440">
        <v>0</v>
      </c>
      <c r="AB189" s="440">
        <v>0</v>
      </c>
      <c r="AC189" s="440">
        <v>0</v>
      </c>
      <c r="AD189" s="440">
        <v>0</v>
      </c>
      <c r="AE189" s="440">
        <v>1</v>
      </c>
      <c r="AF189" s="440">
        <f t="shared" si="19"/>
        <v>0</v>
      </c>
      <c r="AG189" s="482">
        <f t="shared" si="19"/>
        <v>2</v>
      </c>
      <c r="AH189" s="455"/>
      <c r="AI189" s="440">
        <f t="shared" si="18"/>
        <v>3</v>
      </c>
      <c r="AJ189" s="463" t="e">
        <f>+VLOOKUP(R189,'Base Material'!B:D,3,FALSE)</f>
        <v>#N/A</v>
      </c>
      <c r="AK189" s="464" t="e">
        <f t="shared" si="21"/>
        <v>#N/A</v>
      </c>
    </row>
    <row r="190" spans="1:37" x14ac:dyDescent="0.25">
      <c r="A190" s="478">
        <v>32188</v>
      </c>
      <c r="B190" s="457" t="s">
        <v>40</v>
      </c>
      <c r="C190" s="479" t="s">
        <v>952</v>
      </c>
      <c r="D190" s="480">
        <v>0</v>
      </c>
      <c r="E190" s="480">
        <v>0</v>
      </c>
      <c r="F190" s="480">
        <v>0</v>
      </c>
      <c r="G190" s="480">
        <v>0</v>
      </c>
      <c r="H190" s="480">
        <v>0</v>
      </c>
      <c r="I190" s="480">
        <v>0</v>
      </c>
      <c r="J190" s="480">
        <v>0</v>
      </c>
      <c r="K190" s="480">
        <v>0</v>
      </c>
      <c r="L190" s="480">
        <v>0</v>
      </c>
      <c r="M190" s="480">
        <v>0</v>
      </c>
      <c r="N190" s="480">
        <v>0</v>
      </c>
      <c r="O190" s="480">
        <v>0</v>
      </c>
      <c r="P190" s="481">
        <v>1</v>
      </c>
      <c r="R190" s="461">
        <f t="shared" si="17"/>
        <v>32188</v>
      </c>
      <c r="S190" s="461" t="str">
        <f t="shared" si="20"/>
        <v>Electricidad</v>
      </c>
      <c r="T190" s="462" t="str">
        <f t="shared" si="20"/>
        <v>Térmica 4x25</v>
      </c>
      <c r="U190" s="440">
        <v>0</v>
      </c>
      <c r="V190" s="440">
        <v>0</v>
      </c>
      <c r="W190" s="440">
        <v>0</v>
      </c>
      <c r="X190" s="440">
        <v>0</v>
      </c>
      <c r="Y190" s="440">
        <v>0</v>
      </c>
      <c r="Z190" s="440">
        <v>0</v>
      </c>
      <c r="AA190" s="440">
        <v>0</v>
      </c>
      <c r="AB190" s="440">
        <v>0</v>
      </c>
      <c r="AC190" s="440">
        <v>0</v>
      </c>
      <c r="AD190" s="440">
        <v>0</v>
      </c>
      <c r="AE190" s="440">
        <v>1</v>
      </c>
      <c r="AF190" s="440">
        <f t="shared" si="19"/>
        <v>0</v>
      </c>
      <c r="AG190" s="482">
        <f t="shared" si="19"/>
        <v>1</v>
      </c>
      <c r="AH190" s="455"/>
      <c r="AI190" s="440">
        <f t="shared" si="18"/>
        <v>2</v>
      </c>
      <c r="AJ190" s="463" t="e">
        <f>+VLOOKUP(R190,'Base Material'!B:D,3,FALSE)</f>
        <v>#N/A</v>
      </c>
      <c r="AK190" s="464" t="e">
        <f t="shared" si="21"/>
        <v>#N/A</v>
      </c>
    </row>
    <row r="191" spans="1:37" x14ac:dyDescent="0.25">
      <c r="A191" s="478">
        <v>32195</v>
      </c>
      <c r="B191" s="457" t="s">
        <v>40</v>
      </c>
      <c r="C191" s="479" t="s">
        <v>956</v>
      </c>
      <c r="D191" s="480">
        <v>0</v>
      </c>
      <c r="E191" s="480">
        <v>0</v>
      </c>
      <c r="F191" s="480">
        <v>0</v>
      </c>
      <c r="G191" s="480">
        <v>0</v>
      </c>
      <c r="H191" s="480">
        <v>0</v>
      </c>
      <c r="I191" s="480">
        <v>0</v>
      </c>
      <c r="J191" s="480">
        <v>0</v>
      </c>
      <c r="K191" s="480">
        <v>0</v>
      </c>
      <c r="L191" s="480">
        <v>0</v>
      </c>
      <c r="M191" s="480">
        <v>0</v>
      </c>
      <c r="N191" s="480">
        <v>0</v>
      </c>
      <c r="O191" s="480">
        <v>0</v>
      </c>
      <c r="P191" s="481">
        <v>14</v>
      </c>
      <c r="R191" s="461">
        <f t="shared" si="17"/>
        <v>32195</v>
      </c>
      <c r="S191" s="461" t="str">
        <f t="shared" si="20"/>
        <v>Electricidad</v>
      </c>
      <c r="T191" s="462" t="str">
        <f t="shared" si="20"/>
        <v>Térmica 2x10</v>
      </c>
      <c r="U191" s="440">
        <v>0</v>
      </c>
      <c r="V191" s="440">
        <v>0</v>
      </c>
      <c r="W191" s="440">
        <v>0</v>
      </c>
      <c r="X191" s="440">
        <v>0</v>
      </c>
      <c r="Y191" s="440">
        <v>0</v>
      </c>
      <c r="Z191" s="440">
        <v>0</v>
      </c>
      <c r="AA191" s="440">
        <v>0</v>
      </c>
      <c r="AB191" s="440">
        <v>0</v>
      </c>
      <c r="AC191" s="440">
        <v>0</v>
      </c>
      <c r="AD191" s="440">
        <v>0</v>
      </c>
      <c r="AE191" s="440">
        <v>1</v>
      </c>
      <c r="AF191" s="440">
        <f t="shared" si="19"/>
        <v>0</v>
      </c>
      <c r="AG191" s="482">
        <f t="shared" si="19"/>
        <v>14</v>
      </c>
      <c r="AH191" s="455"/>
      <c r="AI191" s="440">
        <f t="shared" si="18"/>
        <v>15</v>
      </c>
      <c r="AJ191" s="463" t="e">
        <f>+VLOOKUP(R191,'Base Material'!B:D,3,FALSE)</f>
        <v>#N/A</v>
      </c>
      <c r="AK191" s="464" t="e">
        <f t="shared" si="21"/>
        <v>#N/A</v>
      </c>
    </row>
    <row r="192" spans="1:37" x14ac:dyDescent="0.25">
      <c r="A192" s="478">
        <v>32179</v>
      </c>
      <c r="B192" s="457" t="s">
        <v>40</v>
      </c>
      <c r="C192" s="479" t="s">
        <v>957</v>
      </c>
      <c r="D192" s="480">
        <v>0</v>
      </c>
      <c r="E192" s="480">
        <v>0</v>
      </c>
      <c r="F192" s="480">
        <v>0</v>
      </c>
      <c r="G192" s="480">
        <v>0</v>
      </c>
      <c r="H192" s="480">
        <v>0</v>
      </c>
      <c r="I192" s="480">
        <v>0</v>
      </c>
      <c r="J192" s="480">
        <v>0</v>
      </c>
      <c r="K192" s="480">
        <v>0</v>
      </c>
      <c r="L192" s="480">
        <v>0</v>
      </c>
      <c r="M192" s="480">
        <v>0</v>
      </c>
      <c r="N192" s="480">
        <v>0</v>
      </c>
      <c r="O192" s="480">
        <v>0</v>
      </c>
      <c r="P192" s="481">
        <v>14</v>
      </c>
      <c r="R192" s="461">
        <f t="shared" si="17"/>
        <v>32179</v>
      </c>
      <c r="S192" s="461" t="str">
        <f t="shared" si="20"/>
        <v>Electricidad</v>
      </c>
      <c r="T192" s="462" t="str">
        <f t="shared" si="20"/>
        <v>Térmica 2x16</v>
      </c>
      <c r="U192" s="440">
        <v>0</v>
      </c>
      <c r="V192" s="440">
        <v>0</v>
      </c>
      <c r="W192" s="440">
        <v>0</v>
      </c>
      <c r="X192" s="440">
        <v>0</v>
      </c>
      <c r="Y192" s="440">
        <v>0</v>
      </c>
      <c r="Z192" s="440">
        <v>0</v>
      </c>
      <c r="AA192" s="440">
        <v>0</v>
      </c>
      <c r="AB192" s="440">
        <v>0</v>
      </c>
      <c r="AC192" s="440">
        <v>0</v>
      </c>
      <c r="AD192" s="440">
        <v>0</v>
      </c>
      <c r="AE192" s="440">
        <v>1</v>
      </c>
      <c r="AF192" s="440">
        <f t="shared" si="19"/>
        <v>0</v>
      </c>
      <c r="AG192" s="482">
        <f t="shared" si="19"/>
        <v>14</v>
      </c>
      <c r="AH192" s="455"/>
      <c r="AI192" s="440">
        <f t="shared" si="18"/>
        <v>15</v>
      </c>
      <c r="AJ192" s="463" t="e">
        <f>+VLOOKUP(R192,'Base Material'!B:D,3,FALSE)</f>
        <v>#N/A</v>
      </c>
      <c r="AK192" s="464" t="e">
        <f t="shared" si="21"/>
        <v>#N/A</v>
      </c>
    </row>
    <row r="193" spans="1:37" x14ac:dyDescent="0.25">
      <c r="A193" s="478"/>
      <c r="B193" s="457" t="s">
        <v>40</v>
      </c>
      <c r="C193" s="479" t="s">
        <v>958</v>
      </c>
      <c r="D193" s="480">
        <v>0</v>
      </c>
      <c r="E193" s="480">
        <v>0</v>
      </c>
      <c r="F193" s="480">
        <v>0</v>
      </c>
      <c r="G193" s="480">
        <v>0</v>
      </c>
      <c r="H193" s="480">
        <v>0</v>
      </c>
      <c r="I193" s="480">
        <v>0</v>
      </c>
      <c r="J193" s="480">
        <v>0</v>
      </c>
      <c r="K193" s="480">
        <v>0</v>
      </c>
      <c r="L193" s="480">
        <v>0</v>
      </c>
      <c r="M193" s="480">
        <v>0</v>
      </c>
      <c r="N193" s="480">
        <v>0</v>
      </c>
      <c r="O193" s="480">
        <v>0</v>
      </c>
      <c r="P193" s="481">
        <v>2</v>
      </c>
      <c r="R193" s="461">
        <f t="shared" si="17"/>
        <v>0</v>
      </c>
      <c r="S193" s="461" t="str">
        <f t="shared" si="20"/>
        <v>Electricidad</v>
      </c>
      <c r="T193" s="462" t="str">
        <f t="shared" si="20"/>
        <v>Térmica 4x20</v>
      </c>
      <c r="U193" s="440">
        <v>0</v>
      </c>
      <c r="V193" s="440">
        <v>0</v>
      </c>
      <c r="W193" s="440">
        <v>0</v>
      </c>
      <c r="X193" s="440">
        <v>0</v>
      </c>
      <c r="Y193" s="440">
        <v>0</v>
      </c>
      <c r="Z193" s="440">
        <v>0</v>
      </c>
      <c r="AA193" s="440">
        <v>0</v>
      </c>
      <c r="AB193" s="440">
        <v>0</v>
      </c>
      <c r="AC193" s="440">
        <v>0</v>
      </c>
      <c r="AD193" s="440">
        <v>0</v>
      </c>
      <c r="AE193" s="440">
        <v>1</v>
      </c>
      <c r="AF193" s="440">
        <f t="shared" si="19"/>
        <v>0</v>
      </c>
      <c r="AG193" s="482">
        <f t="shared" si="19"/>
        <v>2</v>
      </c>
      <c r="AH193" s="455"/>
      <c r="AI193" s="440">
        <f t="shared" si="18"/>
        <v>3</v>
      </c>
      <c r="AJ193" s="463" t="e">
        <f>+VLOOKUP(R193,'Base Material'!B:D,3,FALSE)</f>
        <v>#N/A</v>
      </c>
      <c r="AK193" s="464" t="e">
        <f t="shared" si="21"/>
        <v>#N/A</v>
      </c>
    </row>
    <row r="194" spans="1:37" x14ac:dyDescent="0.25">
      <c r="A194" s="478">
        <v>28628</v>
      </c>
      <c r="B194" s="457" t="s">
        <v>40</v>
      </c>
      <c r="C194" s="479" t="s">
        <v>959</v>
      </c>
      <c r="D194" s="480">
        <v>1</v>
      </c>
      <c r="E194" s="480">
        <v>0</v>
      </c>
      <c r="F194" s="480">
        <v>0</v>
      </c>
      <c r="G194" s="480">
        <v>0</v>
      </c>
      <c r="H194" s="480">
        <v>0</v>
      </c>
      <c r="I194" s="480">
        <v>0</v>
      </c>
      <c r="J194" s="480">
        <v>0</v>
      </c>
      <c r="K194" s="480">
        <v>0</v>
      </c>
      <c r="L194" s="480">
        <v>0</v>
      </c>
      <c r="M194" s="480">
        <v>0</v>
      </c>
      <c r="N194" s="480">
        <v>0</v>
      </c>
      <c r="O194" s="480">
        <v>0</v>
      </c>
      <c r="P194" s="481">
        <v>2</v>
      </c>
      <c r="R194" s="461">
        <f t="shared" si="17"/>
        <v>28628</v>
      </c>
      <c r="S194" s="461" t="str">
        <f t="shared" si="20"/>
        <v>Electricidad</v>
      </c>
      <c r="T194" s="462" t="str">
        <f t="shared" si="20"/>
        <v>Llave termomagnética 2x25A Jeluz</v>
      </c>
      <c r="U194" s="440">
        <v>1</v>
      </c>
      <c r="V194" s="440">
        <v>0</v>
      </c>
      <c r="W194" s="440">
        <v>0</v>
      </c>
      <c r="X194" s="440">
        <v>0</v>
      </c>
      <c r="Y194" s="440">
        <v>0</v>
      </c>
      <c r="Z194" s="440">
        <v>0</v>
      </c>
      <c r="AA194" s="440">
        <v>0</v>
      </c>
      <c r="AB194" s="440">
        <v>0</v>
      </c>
      <c r="AC194" s="440">
        <v>0</v>
      </c>
      <c r="AD194" s="440">
        <v>0</v>
      </c>
      <c r="AE194" s="440">
        <v>1</v>
      </c>
      <c r="AF194" s="440">
        <f>+O194</f>
        <v>0</v>
      </c>
      <c r="AG194" s="482">
        <f>+P194</f>
        <v>2</v>
      </c>
      <c r="AH194" s="455"/>
      <c r="AI194" s="440">
        <f t="shared" si="18"/>
        <v>4</v>
      </c>
      <c r="AJ194" s="463">
        <f>+VLOOKUP(R194,'Base Material'!B:D,3,FALSE)</f>
        <v>2988.86</v>
      </c>
      <c r="AK194" s="464">
        <f t="shared" si="21"/>
        <v>11955.44</v>
      </c>
    </row>
    <row r="195" spans="1:37" x14ac:dyDescent="0.25">
      <c r="A195" s="478">
        <v>28626</v>
      </c>
      <c r="B195" s="457" t="s">
        <v>40</v>
      </c>
      <c r="C195" s="479" t="s">
        <v>960</v>
      </c>
      <c r="D195" s="480">
        <v>1</v>
      </c>
      <c r="E195" s="480">
        <v>0</v>
      </c>
      <c r="F195" s="480">
        <v>0</v>
      </c>
      <c r="G195" s="480">
        <v>0</v>
      </c>
      <c r="H195" s="480">
        <v>0</v>
      </c>
      <c r="I195" s="480">
        <v>0</v>
      </c>
      <c r="J195" s="480">
        <v>0</v>
      </c>
      <c r="K195" s="480">
        <v>0</v>
      </c>
      <c r="L195" s="480">
        <v>0</v>
      </c>
      <c r="M195" s="480">
        <v>0</v>
      </c>
      <c r="N195" s="480">
        <v>0</v>
      </c>
      <c r="O195" s="480">
        <v>0</v>
      </c>
      <c r="P195" s="481">
        <v>2</v>
      </c>
      <c r="R195" s="461">
        <f t="shared" si="17"/>
        <v>28626</v>
      </c>
      <c r="S195" s="461" t="str">
        <f t="shared" si="20"/>
        <v>Electricidad</v>
      </c>
      <c r="T195" s="462" t="str">
        <f t="shared" si="20"/>
        <v>Llave termomagnética 2x16A Jeluz</v>
      </c>
      <c r="U195" s="440">
        <v>1</v>
      </c>
      <c r="V195" s="440">
        <v>0</v>
      </c>
      <c r="W195" s="440">
        <v>0</v>
      </c>
      <c r="X195" s="440">
        <v>0</v>
      </c>
      <c r="Y195" s="440">
        <v>0</v>
      </c>
      <c r="Z195" s="440">
        <v>0</v>
      </c>
      <c r="AA195" s="440">
        <v>0</v>
      </c>
      <c r="AB195" s="440">
        <v>0</v>
      </c>
      <c r="AC195" s="440">
        <v>0</v>
      </c>
      <c r="AD195" s="440">
        <v>0</v>
      </c>
      <c r="AE195" s="440">
        <v>1</v>
      </c>
      <c r="AF195" s="440">
        <f>+O195</f>
        <v>0</v>
      </c>
      <c r="AG195" s="482">
        <f>+P195</f>
        <v>2</v>
      </c>
      <c r="AH195" s="455"/>
      <c r="AI195" s="440">
        <f t="shared" si="18"/>
        <v>4</v>
      </c>
      <c r="AJ195" s="463">
        <f>+VLOOKUP(R195,'Base Material'!B:D,3,FALSE)</f>
        <v>2988.86</v>
      </c>
      <c r="AK195" s="464">
        <f t="shared" si="21"/>
        <v>11955.44</v>
      </c>
    </row>
    <row r="196" spans="1:37" x14ac:dyDescent="0.25">
      <c r="A196" s="478">
        <v>28280</v>
      </c>
      <c r="B196" s="457" t="s">
        <v>40</v>
      </c>
      <c r="C196" s="479" t="s">
        <v>961</v>
      </c>
      <c r="D196" s="480">
        <v>0</v>
      </c>
      <c r="E196" s="480">
        <v>0</v>
      </c>
      <c r="F196" s="480">
        <v>0</v>
      </c>
      <c r="G196" s="480">
        <v>0</v>
      </c>
      <c r="H196" s="480">
        <v>0</v>
      </c>
      <c r="I196" s="480">
        <v>0</v>
      </c>
      <c r="J196" s="480">
        <v>0</v>
      </c>
      <c r="K196" s="480">
        <v>0</v>
      </c>
      <c r="L196" s="480">
        <v>0</v>
      </c>
      <c r="M196" s="480">
        <v>0</v>
      </c>
      <c r="N196" s="480">
        <v>0</v>
      </c>
      <c r="O196" s="480">
        <v>0</v>
      </c>
      <c r="P196" s="481">
        <v>12</v>
      </c>
      <c r="R196" s="461">
        <f t="shared" si="17"/>
        <v>28280</v>
      </c>
      <c r="S196" s="461" t="str">
        <f t="shared" si="20"/>
        <v>Electricidad</v>
      </c>
      <c r="T196" s="462" t="str">
        <f t="shared" si="20"/>
        <v>Bornera 6mm Verde/amarillo</v>
      </c>
      <c r="U196" s="440">
        <v>0</v>
      </c>
      <c r="V196" s="440">
        <v>0</v>
      </c>
      <c r="W196" s="440">
        <v>0</v>
      </c>
      <c r="X196" s="440">
        <v>0</v>
      </c>
      <c r="Y196" s="440">
        <v>0</v>
      </c>
      <c r="Z196" s="440">
        <v>0</v>
      </c>
      <c r="AA196" s="440">
        <v>0</v>
      </c>
      <c r="AB196" s="440">
        <v>0</v>
      </c>
      <c r="AC196" s="440">
        <v>0</v>
      </c>
      <c r="AD196" s="440">
        <v>0</v>
      </c>
      <c r="AE196" s="440">
        <v>1</v>
      </c>
      <c r="AF196" s="440">
        <f t="shared" si="19"/>
        <v>0</v>
      </c>
      <c r="AG196" s="482">
        <f t="shared" si="19"/>
        <v>12</v>
      </c>
      <c r="AH196" s="455"/>
      <c r="AI196" s="440">
        <f t="shared" si="18"/>
        <v>13</v>
      </c>
      <c r="AJ196" s="463">
        <f>+VLOOKUP(R196,'Base Material'!B:D,3,FALSE)</f>
        <v>3167.35</v>
      </c>
      <c r="AK196" s="464">
        <f t="shared" si="21"/>
        <v>41175.549999999996</v>
      </c>
    </row>
    <row r="197" spans="1:37" x14ac:dyDescent="0.25">
      <c r="A197" s="478">
        <v>31639</v>
      </c>
      <c r="B197" s="457" t="s">
        <v>40</v>
      </c>
      <c r="C197" s="479" t="s">
        <v>962</v>
      </c>
      <c r="D197" s="480">
        <v>0</v>
      </c>
      <c r="E197" s="480">
        <v>0</v>
      </c>
      <c r="F197" s="480">
        <v>0</v>
      </c>
      <c r="G197" s="480">
        <v>0</v>
      </c>
      <c r="H197" s="480">
        <v>0</v>
      </c>
      <c r="I197" s="480">
        <v>0</v>
      </c>
      <c r="J197" s="480">
        <v>0</v>
      </c>
      <c r="K197" s="480">
        <v>0</v>
      </c>
      <c r="L197" s="480">
        <v>0</v>
      </c>
      <c r="M197" s="480">
        <v>0</v>
      </c>
      <c r="N197" s="480">
        <v>0</v>
      </c>
      <c r="O197" s="480">
        <v>0</v>
      </c>
      <c r="P197" s="481">
        <v>10</v>
      </c>
      <c r="R197" s="461">
        <f t="shared" si="17"/>
        <v>31639</v>
      </c>
      <c r="S197" s="461" t="str">
        <f t="shared" si="20"/>
        <v>Electricidad</v>
      </c>
      <c r="T197" s="462" t="str">
        <f t="shared" si="20"/>
        <v>Disco de corte de 4 (chico)</v>
      </c>
      <c r="U197" s="440">
        <v>0</v>
      </c>
      <c r="V197" s="440">
        <v>0</v>
      </c>
      <c r="W197" s="440">
        <v>0</v>
      </c>
      <c r="X197" s="440">
        <v>0</v>
      </c>
      <c r="Y197" s="440">
        <v>0</v>
      </c>
      <c r="Z197" s="440">
        <v>0</v>
      </c>
      <c r="AA197" s="440">
        <v>0</v>
      </c>
      <c r="AB197" s="440">
        <v>0</v>
      </c>
      <c r="AC197" s="440">
        <v>0</v>
      </c>
      <c r="AD197" s="440">
        <v>0</v>
      </c>
      <c r="AE197" s="440">
        <v>1</v>
      </c>
      <c r="AF197" s="440">
        <f t="shared" si="19"/>
        <v>0</v>
      </c>
      <c r="AG197" s="482">
        <f t="shared" si="19"/>
        <v>10</v>
      </c>
      <c r="AH197" s="455"/>
      <c r="AI197" s="440">
        <f t="shared" si="18"/>
        <v>11</v>
      </c>
      <c r="AJ197" s="463" t="e">
        <f>+VLOOKUP(R197,'Base Material'!B:D,3,FALSE)</f>
        <v>#N/A</v>
      </c>
      <c r="AK197" s="464" t="e">
        <f t="shared" si="21"/>
        <v>#N/A</v>
      </c>
    </row>
    <row r="198" spans="1:37" x14ac:dyDescent="0.25">
      <c r="A198" s="478">
        <v>31676</v>
      </c>
      <c r="B198" s="457" t="s">
        <v>40</v>
      </c>
      <c r="C198" s="479" t="s">
        <v>963</v>
      </c>
      <c r="D198" s="480">
        <v>0</v>
      </c>
      <c r="E198" s="480">
        <v>0</v>
      </c>
      <c r="F198" s="480">
        <v>0</v>
      </c>
      <c r="G198" s="480">
        <v>0</v>
      </c>
      <c r="H198" s="480">
        <v>0</v>
      </c>
      <c r="I198" s="480">
        <v>0</v>
      </c>
      <c r="J198" s="480">
        <v>0</v>
      </c>
      <c r="K198" s="480">
        <v>0</v>
      </c>
      <c r="L198" s="480">
        <v>0</v>
      </c>
      <c r="M198" s="480">
        <v>0</v>
      </c>
      <c r="N198" s="480">
        <v>0</v>
      </c>
      <c r="O198" s="480">
        <v>0</v>
      </c>
      <c r="P198" s="481">
        <v>6</v>
      </c>
      <c r="R198" s="461">
        <f t="shared" si="17"/>
        <v>31676</v>
      </c>
      <c r="S198" s="461" t="str">
        <f t="shared" si="20"/>
        <v>Electricidad</v>
      </c>
      <c r="T198" s="462" t="str">
        <f t="shared" si="20"/>
        <v>Mecha de copa de 25mm vimeta, sin guía</v>
      </c>
      <c r="U198" s="440">
        <v>0</v>
      </c>
      <c r="V198" s="440">
        <v>0</v>
      </c>
      <c r="W198" s="440">
        <v>0</v>
      </c>
      <c r="X198" s="440">
        <v>0</v>
      </c>
      <c r="Y198" s="440">
        <v>0</v>
      </c>
      <c r="Z198" s="440">
        <v>0</v>
      </c>
      <c r="AA198" s="440">
        <v>0</v>
      </c>
      <c r="AB198" s="440">
        <v>0</v>
      </c>
      <c r="AC198" s="440">
        <v>0</v>
      </c>
      <c r="AD198" s="440">
        <v>0</v>
      </c>
      <c r="AE198" s="440">
        <v>1</v>
      </c>
      <c r="AF198" s="440">
        <f t="shared" si="19"/>
        <v>0</v>
      </c>
      <c r="AG198" s="482">
        <f t="shared" si="19"/>
        <v>6</v>
      </c>
      <c r="AH198" s="455"/>
      <c r="AI198" s="440">
        <f t="shared" si="18"/>
        <v>7</v>
      </c>
      <c r="AJ198" s="463" t="e">
        <f>+VLOOKUP(R198,'Base Material'!B:D,3,FALSE)</f>
        <v>#N/A</v>
      </c>
      <c r="AK198" s="464" t="e">
        <f t="shared" si="21"/>
        <v>#N/A</v>
      </c>
    </row>
    <row r="199" spans="1:37" x14ac:dyDescent="0.25">
      <c r="A199" s="478"/>
      <c r="B199" s="457" t="s">
        <v>40</v>
      </c>
      <c r="C199" s="479" t="s">
        <v>964</v>
      </c>
      <c r="D199" s="480">
        <v>3</v>
      </c>
      <c r="E199" s="480">
        <v>0</v>
      </c>
      <c r="F199" s="480">
        <v>0</v>
      </c>
      <c r="G199" s="480">
        <v>0</v>
      </c>
      <c r="H199" s="480">
        <v>0</v>
      </c>
      <c r="I199" s="480">
        <v>0</v>
      </c>
      <c r="J199" s="480">
        <v>0</v>
      </c>
      <c r="K199" s="480">
        <v>0</v>
      </c>
      <c r="L199" s="480">
        <v>0</v>
      </c>
      <c r="M199" s="480">
        <v>0</v>
      </c>
      <c r="N199" s="480">
        <v>0</v>
      </c>
      <c r="O199" s="480">
        <v>0</v>
      </c>
      <c r="P199" s="481">
        <v>0</v>
      </c>
      <c r="R199" s="461">
        <f t="shared" si="17"/>
        <v>0</v>
      </c>
      <c r="S199" s="461" t="str">
        <f t="shared" si="20"/>
        <v>Electricidad</v>
      </c>
      <c r="T199" s="462" t="str">
        <f t="shared" si="20"/>
        <v>Porta fusible 0,1</v>
      </c>
      <c r="U199" s="440">
        <v>3</v>
      </c>
      <c r="V199" s="440">
        <v>0</v>
      </c>
      <c r="W199" s="440">
        <v>0</v>
      </c>
      <c r="X199" s="440">
        <v>0</v>
      </c>
      <c r="Y199" s="440">
        <v>0</v>
      </c>
      <c r="Z199" s="440">
        <v>0</v>
      </c>
      <c r="AA199" s="440">
        <v>0</v>
      </c>
      <c r="AB199" s="440">
        <v>0</v>
      </c>
      <c r="AC199" s="440">
        <v>0</v>
      </c>
      <c r="AD199" s="440">
        <v>0</v>
      </c>
      <c r="AE199" s="440">
        <v>1</v>
      </c>
      <c r="AF199" s="440">
        <f t="shared" si="19"/>
        <v>0</v>
      </c>
      <c r="AG199" s="482">
        <f t="shared" si="19"/>
        <v>0</v>
      </c>
      <c r="AH199" s="455"/>
      <c r="AI199" s="440">
        <f t="shared" si="18"/>
        <v>4</v>
      </c>
      <c r="AJ199" s="463" t="e">
        <f>+VLOOKUP(R199,'Base Material'!B:D,3,FALSE)</f>
        <v>#N/A</v>
      </c>
      <c r="AK199" s="464" t="e">
        <f t="shared" si="21"/>
        <v>#N/A</v>
      </c>
    </row>
    <row r="200" spans="1:37" x14ac:dyDescent="0.25">
      <c r="A200" s="478">
        <v>22619</v>
      </c>
      <c r="B200" s="457" t="s">
        <v>40</v>
      </c>
      <c r="C200" s="479" t="s">
        <v>965</v>
      </c>
      <c r="D200" s="480">
        <v>1</v>
      </c>
      <c r="E200" s="480">
        <v>0</v>
      </c>
      <c r="F200" s="480">
        <v>0</v>
      </c>
      <c r="G200" s="480">
        <v>0</v>
      </c>
      <c r="H200" s="480">
        <v>0</v>
      </c>
      <c r="I200" s="480">
        <v>0</v>
      </c>
      <c r="J200" s="480">
        <v>0</v>
      </c>
      <c r="K200" s="480">
        <v>0</v>
      </c>
      <c r="L200" s="480">
        <v>0</v>
      </c>
      <c r="M200" s="480">
        <v>0</v>
      </c>
      <c r="N200" s="480">
        <v>0</v>
      </c>
      <c r="O200" s="480">
        <v>0</v>
      </c>
      <c r="P200" s="481">
        <v>0</v>
      </c>
      <c r="R200" s="461">
        <f t="shared" si="17"/>
        <v>22619</v>
      </c>
      <c r="S200" s="461" t="str">
        <f t="shared" si="20"/>
        <v>Electricidad</v>
      </c>
      <c r="T200" s="462" t="str">
        <f t="shared" si="20"/>
        <v>Gabinete Gab Met. Empotrar 313x313x85</v>
      </c>
      <c r="U200" s="440">
        <v>1</v>
      </c>
      <c r="V200" s="440">
        <v>0</v>
      </c>
      <c r="W200" s="440">
        <v>0</v>
      </c>
      <c r="X200" s="440">
        <v>0</v>
      </c>
      <c r="Y200" s="440">
        <v>0</v>
      </c>
      <c r="Z200" s="440">
        <v>0</v>
      </c>
      <c r="AA200" s="440">
        <v>0</v>
      </c>
      <c r="AB200" s="440">
        <v>0</v>
      </c>
      <c r="AC200" s="440">
        <v>0</v>
      </c>
      <c r="AD200" s="440">
        <v>0</v>
      </c>
      <c r="AE200" s="440">
        <v>1</v>
      </c>
      <c r="AF200" s="440">
        <f t="shared" si="19"/>
        <v>0</v>
      </c>
      <c r="AG200" s="482">
        <f t="shared" si="19"/>
        <v>0</v>
      </c>
      <c r="AH200" s="455"/>
      <c r="AI200" s="440">
        <f t="shared" si="18"/>
        <v>2</v>
      </c>
      <c r="AJ200" s="463">
        <f>+VLOOKUP(R200,'Base Material'!B:D,3,FALSE)</f>
        <v>32394.51</v>
      </c>
      <c r="AK200" s="464">
        <f t="shared" si="21"/>
        <v>64789.02</v>
      </c>
    </row>
    <row r="201" spans="1:37" x14ac:dyDescent="0.25">
      <c r="A201" s="478">
        <v>28929</v>
      </c>
      <c r="B201" s="457" t="s">
        <v>40</v>
      </c>
      <c r="C201" s="479" t="s">
        <v>966</v>
      </c>
      <c r="D201" s="480">
        <v>1</v>
      </c>
      <c r="E201" s="480">
        <v>0</v>
      </c>
      <c r="F201" s="480">
        <v>0</v>
      </c>
      <c r="G201" s="480">
        <v>0</v>
      </c>
      <c r="H201" s="480">
        <v>0</v>
      </c>
      <c r="I201" s="480">
        <v>0</v>
      </c>
      <c r="J201" s="480">
        <v>0</v>
      </c>
      <c r="K201" s="480">
        <v>0</v>
      </c>
      <c r="L201" s="480">
        <v>0</v>
      </c>
      <c r="M201" s="480">
        <v>0</v>
      </c>
      <c r="N201" s="480">
        <v>0</v>
      </c>
      <c r="O201" s="480">
        <v>0</v>
      </c>
      <c r="P201" s="481">
        <v>0</v>
      </c>
      <c r="R201" s="461">
        <f t="shared" si="17"/>
        <v>28929</v>
      </c>
      <c r="S201" s="461" t="str">
        <f t="shared" si="20"/>
        <v>Electricidad</v>
      </c>
      <c r="T201" s="462" t="str">
        <f t="shared" si="20"/>
        <v>Gabinete p/termica Gabxel c/riel GEE 35x30 IP65 GEE 3530 IP65</v>
      </c>
      <c r="U201" s="440">
        <v>1</v>
      </c>
      <c r="V201" s="440">
        <v>0</v>
      </c>
      <c r="W201" s="440">
        <v>0</v>
      </c>
      <c r="X201" s="440">
        <v>0</v>
      </c>
      <c r="Y201" s="440">
        <v>0</v>
      </c>
      <c r="Z201" s="440">
        <v>0</v>
      </c>
      <c r="AA201" s="440">
        <v>0</v>
      </c>
      <c r="AB201" s="440">
        <v>0</v>
      </c>
      <c r="AC201" s="440">
        <v>0</v>
      </c>
      <c r="AD201" s="440">
        <v>0</v>
      </c>
      <c r="AE201" s="440">
        <v>1</v>
      </c>
      <c r="AF201" s="440">
        <f t="shared" si="19"/>
        <v>0</v>
      </c>
      <c r="AG201" s="482">
        <f t="shared" si="19"/>
        <v>0</v>
      </c>
      <c r="AH201" s="455"/>
      <c r="AI201" s="440">
        <f t="shared" si="18"/>
        <v>2</v>
      </c>
      <c r="AJ201" s="463" t="e">
        <f>+VLOOKUP(R201,'Base Material'!B:D,3,FALSE)</f>
        <v>#N/A</v>
      </c>
      <c r="AK201" s="464" t="e">
        <f t="shared" si="21"/>
        <v>#N/A</v>
      </c>
    </row>
    <row r="202" spans="1:37" x14ac:dyDescent="0.25">
      <c r="A202" s="478">
        <v>21454</v>
      </c>
      <c r="B202" s="457" t="s">
        <v>40</v>
      </c>
      <c r="C202" s="479" t="s">
        <v>967</v>
      </c>
      <c r="D202" s="480">
        <v>1</v>
      </c>
      <c r="E202" s="480">
        <v>0</v>
      </c>
      <c r="F202" s="480">
        <v>0</v>
      </c>
      <c r="G202" s="480">
        <v>0</v>
      </c>
      <c r="H202" s="480">
        <v>0</v>
      </c>
      <c r="I202" s="480">
        <v>0</v>
      </c>
      <c r="J202" s="480">
        <v>0</v>
      </c>
      <c r="K202" s="480">
        <v>0</v>
      </c>
      <c r="L202" s="480">
        <v>0</v>
      </c>
      <c r="M202" s="480">
        <v>0</v>
      </c>
      <c r="N202" s="480">
        <v>0</v>
      </c>
      <c r="O202" s="480">
        <v>0</v>
      </c>
      <c r="P202" s="481">
        <v>0</v>
      </c>
      <c r="R202" s="461">
        <f t="shared" si="17"/>
        <v>21454</v>
      </c>
      <c r="S202" s="461" t="str">
        <f t="shared" si="20"/>
        <v>Electricidad</v>
      </c>
      <c r="T202" s="462" t="str">
        <f t="shared" si="20"/>
        <v>Jabalina lisa de Acero- Cobre 3/4 16M19</v>
      </c>
      <c r="U202" s="440">
        <v>1</v>
      </c>
      <c r="V202" s="440">
        <v>0</v>
      </c>
      <c r="W202" s="440">
        <v>0</v>
      </c>
      <c r="X202" s="440">
        <v>0</v>
      </c>
      <c r="Y202" s="440">
        <v>0</v>
      </c>
      <c r="Z202" s="440">
        <v>0</v>
      </c>
      <c r="AA202" s="440">
        <v>0</v>
      </c>
      <c r="AB202" s="440">
        <v>0</v>
      </c>
      <c r="AC202" s="440">
        <v>0</v>
      </c>
      <c r="AD202" s="440">
        <v>0</v>
      </c>
      <c r="AE202" s="440">
        <v>1</v>
      </c>
      <c r="AF202" s="440">
        <f t="shared" si="19"/>
        <v>0</v>
      </c>
      <c r="AG202" s="482">
        <f t="shared" si="19"/>
        <v>0</v>
      </c>
      <c r="AH202" s="455"/>
      <c r="AI202" s="440">
        <f t="shared" si="18"/>
        <v>2</v>
      </c>
      <c r="AJ202" s="463">
        <f>+VLOOKUP(R202,'Base Material'!B:D,3,FALSE)</f>
        <v>18089.12</v>
      </c>
      <c r="AK202" s="464">
        <f t="shared" si="21"/>
        <v>36178.24</v>
      </c>
    </row>
    <row r="203" spans="1:37" x14ac:dyDescent="0.25">
      <c r="A203" s="478">
        <v>21479</v>
      </c>
      <c r="B203" s="457" t="s">
        <v>40</v>
      </c>
      <c r="C203" s="479" t="s">
        <v>968</v>
      </c>
      <c r="D203" s="480">
        <v>1</v>
      </c>
      <c r="E203" s="480">
        <v>0</v>
      </c>
      <c r="F203" s="480">
        <v>0</v>
      </c>
      <c r="G203" s="480">
        <v>0</v>
      </c>
      <c r="H203" s="480">
        <v>0</v>
      </c>
      <c r="I203" s="480">
        <v>0</v>
      </c>
      <c r="J203" s="480">
        <v>0</v>
      </c>
      <c r="K203" s="480">
        <v>0</v>
      </c>
      <c r="L203" s="480">
        <v>0</v>
      </c>
      <c r="M203" s="480">
        <v>0</v>
      </c>
      <c r="N203" s="480">
        <v>0</v>
      </c>
      <c r="O203" s="480">
        <v>0</v>
      </c>
      <c r="P203" s="481">
        <v>0</v>
      </c>
      <c r="R203" s="461">
        <f t="shared" si="17"/>
        <v>21479</v>
      </c>
      <c r="S203" s="461" t="str">
        <f t="shared" si="20"/>
        <v>Electricidad</v>
      </c>
      <c r="T203" s="462" t="str">
        <f t="shared" si="20"/>
        <v>Mordaza para jabalina de PAT 3/4 16M19 M19</v>
      </c>
      <c r="U203" s="440">
        <v>1</v>
      </c>
      <c r="V203" s="440">
        <v>0</v>
      </c>
      <c r="W203" s="440">
        <v>0</v>
      </c>
      <c r="X203" s="440">
        <v>0</v>
      </c>
      <c r="Y203" s="440">
        <v>0</v>
      </c>
      <c r="Z203" s="440">
        <v>0</v>
      </c>
      <c r="AA203" s="440">
        <v>0</v>
      </c>
      <c r="AB203" s="440">
        <v>0</v>
      </c>
      <c r="AC203" s="440">
        <v>0</v>
      </c>
      <c r="AD203" s="440">
        <v>0</v>
      </c>
      <c r="AE203" s="440">
        <v>1</v>
      </c>
      <c r="AF203" s="440">
        <f t="shared" si="19"/>
        <v>0</v>
      </c>
      <c r="AG203" s="482">
        <f t="shared" si="19"/>
        <v>0</v>
      </c>
      <c r="AH203" s="455"/>
      <c r="AI203" s="440">
        <f t="shared" si="18"/>
        <v>2</v>
      </c>
      <c r="AJ203" s="463">
        <f>+VLOOKUP(R203,'Base Material'!B:D,3,FALSE)</f>
        <v>2521.46</v>
      </c>
      <c r="AK203" s="464">
        <f t="shared" si="21"/>
        <v>5042.92</v>
      </c>
    </row>
    <row r="204" spans="1:37" x14ac:dyDescent="0.25">
      <c r="A204" s="478">
        <v>22548</v>
      </c>
      <c r="B204" s="457" t="s">
        <v>40</v>
      </c>
      <c r="C204" s="479" t="s">
        <v>969</v>
      </c>
      <c r="D204" s="480">
        <v>3</v>
      </c>
      <c r="E204" s="480">
        <v>0</v>
      </c>
      <c r="F204" s="480">
        <v>0</v>
      </c>
      <c r="G204" s="480">
        <v>0</v>
      </c>
      <c r="H204" s="480">
        <v>0</v>
      </c>
      <c r="I204" s="480">
        <v>0</v>
      </c>
      <c r="J204" s="480">
        <v>0</v>
      </c>
      <c r="K204" s="480">
        <v>0</v>
      </c>
      <c r="L204" s="480">
        <v>0</v>
      </c>
      <c r="M204" s="480">
        <v>0</v>
      </c>
      <c r="N204" s="480">
        <v>0</v>
      </c>
      <c r="O204" s="480">
        <v>0</v>
      </c>
      <c r="P204" s="481">
        <v>0</v>
      </c>
      <c r="R204" s="461">
        <f t="shared" si="17"/>
        <v>22548</v>
      </c>
      <c r="S204" s="461" t="str">
        <f t="shared" si="20"/>
        <v>Electricidad</v>
      </c>
      <c r="T204" s="462" t="str">
        <f t="shared" si="20"/>
        <v>Bolsa de carbonilla de 12,5 kg</v>
      </c>
      <c r="U204" s="440">
        <v>3</v>
      </c>
      <c r="V204" s="440">
        <v>0</v>
      </c>
      <c r="W204" s="440">
        <v>0</v>
      </c>
      <c r="X204" s="440">
        <v>0</v>
      </c>
      <c r="Y204" s="440">
        <v>0</v>
      </c>
      <c r="Z204" s="440">
        <v>0</v>
      </c>
      <c r="AA204" s="440">
        <v>0</v>
      </c>
      <c r="AB204" s="440">
        <v>0</v>
      </c>
      <c r="AC204" s="440">
        <v>0</v>
      </c>
      <c r="AD204" s="440">
        <v>0</v>
      </c>
      <c r="AE204" s="440">
        <v>1</v>
      </c>
      <c r="AF204" s="440">
        <f t="shared" si="19"/>
        <v>0</v>
      </c>
      <c r="AG204" s="482">
        <f t="shared" si="19"/>
        <v>0</v>
      </c>
      <c r="AH204" s="455"/>
      <c r="AI204" s="440">
        <f t="shared" si="18"/>
        <v>4</v>
      </c>
      <c r="AJ204" s="463">
        <f>+VLOOKUP(R204,'Base Material'!B:D,3,FALSE)</f>
        <v>1259.58</v>
      </c>
      <c r="AK204" s="464">
        <f t="shared" si="21"/>
        <v>5038.32</v>
      </c>
    </row>
    <row r="205" spans="1:37" x14ac:dyDescent="0.25">
      <c r="A205" s="478">
        <v>18957</v>
      </c>
      <c r="B205" s="457" t="s">
        <v>40</v>
      </c>
      <c r="C205" s="479" t="s">
        <v>970</v>
      </c>
      <c r="D205" s="480">
        <v>1</v>
      </c>
      <c r="E205" s="480">
        <v>0</v>
      </c>
      <c r="F205" s="480">
        <v>0</v>
      </c>
      <c r="G205" s="480">
        <v>0</v>
      </c>
      <c r="H205" s="480">
        <v>0</v>
      </c>
      <c r="I205" s="480">
        <v>0</v>
      </c>
      <c r="J205" s="480">
        <v>0</v>
      </c>
      <c r="K205" s="480">
        <v>0</v>
      </c>
      <c r="L205" s="480">
        <v>0</v>
      </c>
      <c r="M205" s="480">
        <v>0</v>
      </c>
      <c r="N205" s="480">
        <v>0</v>
      </c>
      <c r="O205" s="480">
        <v>0</v>
      </c>
      <c r="P205" s="481">
        <v>0</v>
      </c>
      <c r="R205" s="461">
        <f t="shared" ref="R205:R223" si="22">+A205</f>
        <v>18957</v>
      </c>
      <c r="S205" s="461" t="str">
        <f t="shared" si="20"/>
        <v>Electricidad</v>
      </c>
      <c r="T205" s="462" t="str">
        <f t="shared" si="20"/>
        <v>Caja de inspeccion para jabalina PVC</v>
      </c>
      <c r="U205" s="440">
        <v>1</v>
      </c>
      <c r="V205" s="440">
        <v>0</v>
      </c>
      <c r="W205" s="440">
        <v>0</v>
      </c>
      <c r="X205" s="440">
        <v>0</v>
      </c>
      <c r="Y205" s="440">
        <v>0</v>
      </c>
      <c r="Z205" s="440">
        <v>0</v>
      </c>
      <c r="AA205" s="440">
        <v>0</v>
      </c>
      <c r="AB205" s="440">
        <v>0</v>
      </c>
      <c r="AC205" s="440">
        <v>0</v>
      </c>
      <c r="AD205" s="440">
        <v>0</v>
      </c>
      <c r="AE205" s="440">
        <v>1</v>
      </c>
      <c r="AF205" s="440">
        <f t="shared" si="19"/>
        <v>0</v>
      </c>
      <c r="AG205" s="482">
        <f t="shared" si="19"/>
        <v>0</v>
      </c>
      <c r="AH205" s="455"/>
      <c r="AI205" s="440">
        <f t="shared" ref="AI205:AI223" si="23">SUM(U205:AH205)</f>
        <v>2</v>
      </c>
      <c r="AJ205" s="463" t="e">
        <f>+VLOOKUP(R205,'Base Material'!B:D,3,FALSE)</f>
        <v>#N/A</v>
      </c>
      <c r="AK205" s="464" t="e">
        <f t="shared" si="21"/>
        <v>#N/A</v>
      </c>
    </row>
    <row r="206" spans="1:37" x14ac:dyDescent="0.25">
      <c r="A206" s="478">
        <v>18703</v>
      </c>
      <c r="B206" s="457" t="s">
        <v>40</v>
      </c>
      <c r="C206" s="479" t="s">
        <v>932</v>
      </c>
      <c r="D206" s="480">
        <v>6</v>
      </c>
      <c r="E206" s="480">
        <v>0</v>
      </c>
      <c r="F206" s="480">
        <v>0</v>
      </c>
      <c r="G206" s="480">
        <v>0</v>
      </c>
      <c r="H206" s="480">
        <v>0</v>
      </c>
      <c r="I206" s="480">
        <v>0</v>
      </c>
      <c r="J206" s="480">
        <v>0</v>
      </c>
      <c r="K206" s="480">
        <v>0</v>
      </c>
      <c r="L206" s="480">
        <v>0</v>
      </c>
      <c r="M206" s="480">
        <v>0</v>
      </c>
      <c r="N206" s="480">
        <v>0</v>
      </c>
      <c r="O206" s="480">
        <v>0</v>
      </c>
      <c r="P206" s="481">
        <v>0</v>
      </c>
      <c r="R206" s="461">
        <f t="shared" si="22"/>
        <v>18703</v>
      </c>
      <c r="S206" s="461" t="str">
        <f t="shared" si="20"/>
        <v>Electricidad</v>
      </c>
      <c r="T206" s="462" t="str">
        <f t="shared" si="20"/>
        <v>Tuboelectric tubo rig extrap. 32 mm</v>
      </c>
      <c r="U206" s="440">
        <v>6</v>
      </c>
      <c r="V206" s="440">
        <v>0</v>
      </c>
      <c r="W206" s="440">
        <v>0</v>
      </c>
      <c r="X206" s="440">
        <v>0</v>
      </c>
      <c r="Y206" s="440">
        <v>0</v>
      </c>
      <c r="Z206" s="440">
        <v>0</v>
      </c>
      <c r="AA206" s="440">
        <v>0</v>
      </c>
      <c r="AB206" s="440">
        <v>0</v>
      </c>
      <c r="AC206" s="440">
        <v>0</v>
      </c>
      <c r="AD206" s="440">
        <v>0</v>
      </c>
      <c r="AE206" s="440">
        <v>1</v>
      </c>
      <c r="AF206" s="440">
        <f t="shared" si="19"/>
        <v>0</v>
      </c>
      <c r="AG206" s="482">
        <f t="shared" si="19"/>
        <v>0</v>
      </c>
      <c r="AH206" s="455"/>
      <c r="AI206" s="440">
        <f t="shared" si="23"/>
        <v>7</v>
      </c>
      <c r="AJ206" s="463" t="e">
        <f>+VLOOKUP(R206,'Base Material'!B:D,3,FALSE)</f>
        <v>#N/A</v>
      </c>
      <c r="AK206" s="464" t="e">
        <f t="shared" si="21"/>
        <v>#N/A</v>
      </c>
    </row>
    <row r="207" spans="1:37" x14ac:dyDescent="0.25">
      <c r="A207" s="478">
        <v>18720</v>
      </c>
      <c r="B207" s="457" t="s">
        <v>40</v>
      </c>
      <c r="C207" s="479" t="s">
        <v>922</v>
      </c>
      <c r="D207" s="480">
        <v>2</v>
      </c>
      <c r="E207" s="480">
        <v>0</v>
      </c>
      <c r="F207" s="480">
        <v>0</v>
      </c>
      <c r="G207" s="480">
        <v>0</v>
      </c>
      <c r="H207" s="480">
        <v>0</v>
      </c>
      <c r="I207" s="480">
        <v>0</v>
      </c>
      <c r="J207" s="480">
        <v>0</v>
      </c>
      <c r="K207" s="480">
        <v>0</v>
      </c>
      <c r="L207" s="480">
        <v>0</v>
      </c>
      <c r="M207" s="480">
        <v>0</v>
      </c>
      <c r="N207" s="480">
        <v>0</v>
      </c>
      <c r="O207" s="480">
        <v>0</v>
      </c>
      <c r="P207" s="481">
        <v>0</v>
      </c>
      <c r="R207" s="461">
        <f t="shared" si="22"/>
        <v>18720</v>
      </c>
      <c r="S207" s="461" t="str">
        <f t="shared" si="20"/>
        <v>Electricidad</v>
      </c>
      <c r="T207" s="462" t="str">
        <f t="shared" si="20"/>
        <v>Conector para tubo de PVC 20 mm</v>
      </c>
      <c r="U207" s="440">
        <v>2</v>
      </c>
      <c r="V207" s="440">
        <v>0</v>
      </c>
      <c r="W207" s="440">
        <v>0</v>
      </c>
      <c r="X207" s="440">
        <v>0</v>
      </c>
      <c r="Y207" s="440">
        <v>0</v>
      </c>
      <c r="Z207" s="440">
        <v>0</v>
      </c>
      <c r="AA207" s="440">
        <v>0</v>
      </c>
      <c r="AB207" s="440">
        <v>0</v>
      </c>
      <c r="AC207" s="440">
        <v>0</v>
      </c>
      <c r="AD207" s="440">
        <v>0</v>
      </c>
      <c r="AE207" s="440">
        <v>1</v>
      </c>
      <c r="AF207" s="440">
        <f t="shared" si="19"/>
        <v>0</v>
      </c>
      <c r="AG207" s="482">
        <f t="shared" si="19"/>
        <v>0</v>
      </c>
      <c r="AH207" s="455"/>
      <c r="AI207" s="440">
        <f t="shared" si="23"/>
        <v>3</v>
      </c>
      <c r="AJ207" s="463">
        <f>+VLOOKUP(R207,'Base Material'!B:D,3,FALSE)</f>
        <v>80.88</v>
      </c>
      <c r="AK207" s="464">
        <f t="shared" si="21"/>
        <v>242.64</v>
      </c>
    </row>
    <row r="208" spans="1:37" x14ac:dyDescent="0.25">
      <c r="A208" s="478">
        <v>18703</v>
      </c>
      <c r="B208" s="457" t="s">
        <v>40</v>
      </c>
      <c r="C208" s="479" t="s">
        <v>932</v>
      </c>
      <c r="D208" s="480">
        <v>3</v>
      </c>
      <c r="E208" s="480">
        <v>0</v>
      </c>
      <c r="F208" s="480">
        <v>0</v>
      </c>
      <c r="G208" s="480">
        <v>0</v>
      </c>
      <c r="H208" s="480">
        <v>0</v>
      </c>
      <c r="I208" s="480">
        <v>0</v>
      </c>
      <c r="J208" s="480">
        <v>0</v>
      </c>
      <c r="K208" s="480">
        <v>0</v>
      </c>
      <c r="L208" s="480">
        <v>0</v>
      </c>
      <c r="M208" s="480">
        <v>0</v>
      </c>
      <c r="N208" s="480">
        <v>0</v>
      </c>
      <c r="O208" s="480">
        <v>0</v>
      </c>
      <c r="P208" s="481">
        <v>0</v>
      </c>
      <c r="R208" s="461">
        <f t="shared" si="22"/>
        <v>18703</v>
      </c>
      <c r="S208" s="461" t="str">
        <f t="shared" si="20"/>
        <v>Electricidad</v>
      </c>
      <c r="T208" s="462" t="str">
        <f t="shared" si="20"/>
        <v>Tuboelectric tubo rig extrap. 32 mm</v>
      </c>
      <c r="U208" s="440">
        <v>3</v>
      </c>
      <c r="V208" s="440">
        <v>0</v>
      </c>
      <c r="W208" s="440">
        <v>0</v>
      </c>
      <c r="X208" s="440">
        <v>0</v>
      </c>
      <c r="Y208" s="440">
        <v>0</v>
      </c>
      <c r="Z208" s="440">
        <v>0</v>
      </c>
      <c r="AA208" s="440">
        <v>0</v>
      </c>
      <c r="AB208" s="440">
        <v>0</v>
      </c>
      <c r="AC208" s="440">
        <v>0</v>
      </c>
      <c r="AD208" s="440">
        <v>0</v>
      </c>
      <c r="AE208" s="440">
        <v>1</v>
      </c>
      <c r="AF208" s="440">
        <f t="shared" si="19"/>
        <v>0</v>
      </c>
      <c r="AG208" s="482">
        <f t="shared" si="19"/>
        <v>0</v>
      </c>
      <c r="AH208" s="455"/>
      <c r="AI208" s="440">
        <f t="shared" si="23"/>
        <v>4</v>
      </c>
      <c r="AJ208" s="463" t="e">
        <f>+VLOOKUP(R208,'Base Material'!B:D,3,FALSE)</f>
        <v>#N/A</v>
      </c>
      <c r="AK208" s="464" t="e">
        <f t="shared" si="21"/>
        <v>#N/A</v>
      </c>
    </row>
    <row r="209" spans="1:37" x14ac:dyDescent="0.25">
      <c r="A209" s="478">
        <v>18723</v>
      </c>
      <c r="B209" s="457" t="s">
        <v>40</v>
      </c>
      <c r="C209" s="479" t="s">
        <v>938</v>
      </c>
      <c r="D209" s="480">
        <v>2</v>
      </c>
      <c r="E209" s="480">
        <v>0</v>
      </c>
      <c r="F209" s="480">
        <v>0</v>
      </c>
      <c r="G209" s="480">
        <v>0</v>
      </c>
      <c r="H209" s="480">
        <v>0</v>
      </c>
      <c r="I209" s="480">
        <v>0</v>
      </c>
      <c r="J209" s="480">
        <v>0</v>
      </c>
      <c r="K209" s="480">
        <v>0</v>
      </c>
      <c r="L209" s="480">
        <v>0</v>
      </c>
      <c r="M209" s="480">
        <v>0</v>
      </c>
      <c r="N209" s="480">
        <v>0</v>
      </c>
      <c r="O209" s="480">
        <v>0</v>
      </c>
      <c r="P209" s="481">
        <v>0</v>
      </c>
      <c r="R209" s="461">
        <f t="shared" si="22"/>
        <v>18723</v>
      </c>
      <c r="S209" s="461" t="str">
        <f t="shared" ref="S209:T223" si="24">B209</f>
        <v>Electricidad</v>
      </c>
      <c r="T209" s="462" t="str">
        <f t="shared" si="24"/>
        <v>Conector para tubo de PVC 32 mm</v>
      </c>
      <c r="U209" s="440">
        <v>2</v>
      </c>
      <c r="V209" s="440">
        <v>0</v>
      </c>
      <c r="W209" s="440">
        <v>0</v>
      </c>
      <c r="X209" s="440">
        <v>0</v>
      </c>
      <c r="Y209" s="440">
        <v>0</v>
      </c>
      <c r="Z209" s="440">
        <v>0</v>
      </c>
      <c r="AA209" s="440">
        <v>0</v>
      </c>
      <c r="AB209" s="440">
        <v>0</v>
      </c>
      <c r="AC209" s="440">
        <v>0</v>
      </c>
      <c r="AD209" s="440">
        <v>0</v>
      </c>
      <c r="AE209" s="440">
        <v>1</v>
      </c>
      <c r="AF209" s="440">
        <f t="shared" si="19"/>
        <v>0</v>
      </c>
      <c r="AG209" s="482">
        <f t="shared" si="19"/>
        <v>0</v>
      </c>
      <c r="AH209" s="455"/>
      <c r="AI209" s="440">
        <f t="shared" si="23"/>
        <v>3</v>
      </c>
      <c r="AJ209" s="463">
        <f>+VLOOKUP(R209,'Base Material'!B:D,3,FALSE)</f>
        <v>404.56</v>
      </c>
      <c r="AK209" s="464">
        <f t="shared" si="21"/>
        <v>1213.68</v>
      </c>
    </row>
    <row r="210" spans="1:37" x14ac:dyDescent="0.25">
      <c r="A210" s="478">
        <v>28148</v>
      </c>
      <c r="B210" s="457" t="s">
        <v>40</v>
      </c>
      <c r="C210" s="479" t="s">
        <v>910</v>
      </c>
      <c r="D210" s="480">
        <v>5</v>
      </c>
      <c r="E210" s="480">
        <v>0</v>
      </c>
      <c r="F210" s="480">
        <v>0</v>
      </c>
      <c r="G210" s="480">
        <v>0</v>
      </c>
      <c r="H210" s="480">
        <v>0</v>
      </c>
      <c r="I210" s="480">
        <v>0</v>
      </c>
      <c r="J210" s="480">
        <v>0</v>
      </c>
      <c r="K210" s="480">
        <v>0</v>
      </c>
      <c r="L210" s="480">
        <v>0</v>
      </c>
      <c r="M210" s="480">
        <v>0</v>
      </c>
      <c r="N210" s="480">
        <v>0</v>
      </c>
      <c r="O210" s="480">
        <v>0</v>
      </c>
      <c r="P210" s="481">
        <v>0</v>
      </c>
      <c r="R210" s="461">
        <f t="shared" si="22"/>
        <v>28148</v>
      </c>
      <c r="S210" s="461" t="str">
        <f t="shared" si="24"/>
        <v>Electricidad</v>
      </c>
      <c r="T210" s="462" t="str">
        <f t="shared" si="24"/>
        <v>Cable subterraneo 5x6</v>
      </c>
      <c r="U210" s="440">
        <v>5</v>
      </c>
      <c r="V210" s="440">
        <v>0</v>
      </c>
      <c r="W210" s="440">
        <v>0</v>
      </c>
      <c r="X210" s="440">
        <v>0</v>
      </c>
      <c r="Y210" s="440">
        <v>0</v>
      </c>
      <c r="Z210" s="440">
        <v>0</v>
      </c>
      <c r="AA210" s="440">
        <v>0</v>
      </c>
      <c r="AB210" s="440">
        <v>0</v>
      </c>
      <c r="AC210" s="440">
        <v>0</v>
      </c>
      <c r="AD210" s="440">
        <v>0</v>
      </c>
      <c r="AE210" s="440">
        <v>1</v>
      </c>
      <c r="AF210" s="440">
        <f t="shared" si="19"/>
        <v>0</v>
      </c>
      <c r="AG210" s="482">
        <f t="shared" si="19"/>
        <v>0</v>
      </c>
      <c r="AH210" s="455"/>
      <c r="AI210" s="440">
        <f t="shared" si="23"/>
        <v>6</v>
      </c>
      <c r="AJ210" s="463">
        <f>+VLOOKUP(R210,'Base Material'!B:D,3,FALSE)</f>
        <v>6199.78</v>
      </c>
      <c r="AK210" s="464">
        <f t="shared" ref="AK210:AK254" si="25">+AJ210*AI210</f>
        <v>37198.68</v>
      </c>
    </row>
    <row r="211" spans="1:37" x14ac:dyDescent="0.25">
      <c r="A211" s="478">
        <v>18557</v>
      </c>
      <c r="B211" s="457" t="s">
        <v>40</v>
      </c>
      <c r="C211" s="479" t="s">
        <v>971</v>
      </c>
      <c r="D211" s="480">
        <v>4</v>
      </c>
      <c r="E211" s="480">
        <v>0</v>
      </c>
      <c r="F211" s="480">
        <v>0</v>
      </c>
      <c r="G211" s="480">
        <v>0</v>
      </c>
      <c r="H211" s="480">
        <v>0</v>
      </c>
      <c r="I211" s="480">
        <v>0</v>
      </c>
      <c r="J211" s="480">
        <v>0</v>
      </c>
      <c r="K211" s="480">
        <v>0</v>
      </c>
      <c r="L211" s="480">
        <v>0</v>
      </c>
      <c r="M211" s="480">
        <v>0</v>
      </c>
      <c r="N211" s="480">
        <v>0</v>
      </c>
      <c r="O211" s="480">
        <v>0</v>
      </c>
      <c r="P211" s="481">
        <v>0</v>
      </c>
      <c r="R211" s="461">
        <f t="shared" si="22"/>
        <v>18557</v>
      </c>
      <c r="S211" s="461" t="str">
        <f t="shared" si="24"/>
        <v>Electricidad</v>
      </c>
      <c r="T211" s="462" t="str">
        <f t="shared" si="24"/>
        <v>Cable unipolar de 4mm verde/amarillo</v>
      </c>
      <c r="U211" s="440">
        <v>4</v>
      </c>
      <c r="V211" s="440">
        <v>0</v>
      </c>
      <c r="W211" s="440">
        <v>0</v>
      </c>
      <c r="X211" s="440">
        <v>0</v>
      </c>
      <c r="Y211" s="440">
        <v>0</v>
      </c>
      <c r="Z211" s="440">
        <v>0</v>
      </c>
      <c r="AA211" s="440">
        <v>0</v>
      </c>
      <c r="AB211" s="440">
        <v>0</v>
      </c>
      <c r="AC211" s="440">
        <v>0</v>
      </c>
      <c r="AD211" s="440">
        <v>0</v>
      </c>
      <c r="AE211" s="440">
        <v>1</v>
      </c>
      <c r="AF211" s="440">
        <f t="shared" si="19"/>
        <v>0</v>
      </c>
      <c r="AG211" s="482">
        <f t="shared" si="19"/>
        <v>0</v>
      </c>
      <c r="AH211" s="455"/>
      <c r="AI211" s="440">
        <f t="shared" si="23"/>
        <v>5</v>
      </c>
      <c r="AJ211" s="463" t="e">
        <f>+VLOOKUP(R211,'Base Material'!B:D,3,FALSE)</f>
        <v>#N/A</v>
      </c>
      <c r="AK211" s="464" t="e">
        <f t="shared" si="25"/>
        <v>#N/A</v>
      </c>
    </row>
    <row r="212" spans="1:37" x14ac:dyDescent="0.25">
      <c r="A212" s="478">
        <v>18556</v>
      </c>
      <c r="B212" s="457" t="s">
        <v>40</v>
      </c>
      <c r="C212" s="479" t="s">
        <v>972</v>
      </c>
      <c r="D212" s="480">
        <v>4</v>
      </c>
      <c r="E212" s="480">
        <v>0</v>
      </c>
      <c r="F212" s="480">
        <v>0</v>
      </c>
      <c r="G212" s="480">
        <v>0</v>
      </c>
      <c r="H212" s="480">
        <v>0</v>
      </c>
      <c r="I212" s="480">
        <v>0</v>
      </c>
      <c r="J212" s="480">
        <v>0</v>
      </c>
      <c r="K212" s="480">
        <v>0</v>
      </c>
      <c r="L212" s="480">
        <v>0</v>
      </c>
      <c r="M212" s="480">
        <v>0</v>
      </c>
      <c r="N212" s="480">
        <v>0</v>
      </c>
      <c r="O212" s="480">
        <v>0</v>
      </c>
      <c r="P212" s="481">
        <v>0</v>
      </c>
      <c r="R212" s="461">
        <f t="shared" si="22"/>
        <v>18556</v>
      </c>
      <c r="S212" s="461" t="str">
        <f t="shared" si="24"/>
        <v>Electricidad</v>
      </c>
      <c r="T212" s="462" t="str">
        <f t="shared" si="24"/>
        <v>Cable unipolar de 4mm negro</v>
      </c>
      <c r="U212" s="440">
        <v>4</v>
      </c>
      <c r="V212" s="440">
        <v>0</v>
      </c>
      <c r="W212" s="440">
        <v>0</v>
      </c>
      <c r="X212" s="440">
        <v>0</v>
      </c>
      <c r="Y212" s="440">
        <v>0</v>
      </c>
      <c r="Z212" s="440">
        <v>0</v>
      </c>
      <c r="AA212" s="440">
        <v>0</v>
      </c>
      <c r="AB212" s="440">
        <v>0</v>
      </c>
      <c r="AC212" s="440">
        <v>0</v>
      </c>
      <c r="AD212" s="440">
        <v>0</v>
      </c>
      <c r="AE212" s="440">
        <v>1</v>
      </c>
      <c r="AF212" s="440">
        <f t="shared" si="19"/>
        <v>0</v>
      </c>
      <c r="AG212" s="482">
        <f t="shared" si="19"/>
        <v>0</v>
      </c>
      <c r="AH212" s="455"/>
      <c r="AI212" s="440">
        <f t="shared" si="23"/>
        <v>5</v>
      </c>
      <c r="AJ212" s="463" t="e">
        <f>+VLOOKUP(R212,'Base Material'!B:D,3,FALSE)</f>
        <v>#N/A</v>
      </c>
      <c r="AK212" s="464" t="e">
        <f t="shared" si="25"/>
        <v>#N/A</v>
      </c>
    </row>
    <row r="213" spans="1:37" x14ac:dyDescent="0.25">
      <c r="A213" s="478">
        <v>26791</v>
      </c>
      <c r="B213" s="457" t="s">
        <v>40</v>
      </c>
      <c r="C213" s="479" t="s">
        <v>973</v>
      </c>
      <c r="D213" s="480">
        <v>4</v>
      </c>
      <c r="E213" s="480">
        <v>0</v>
      </c>
      <c r="F213" s="480">
        <v>0</v>
      </c>
      <c r="G213" s="480">
        <v>0</v>
      </c>
      <c r="H213" s="480">
        <v>0</v>
      </c>
      <c r="I213" s="480">
        <v>0</v>
      </c>
      <c r="J213" s="480">
        <v>0</v>
      </c>
      <c r="K213" s="480">
        <v>0</v>
      </c>
      <c r="L213" s="480">
        <v>0</v>
      </c>
      <c r="M213" s="480">
        <v>0</v>
      </c>
      <c r="N213" s="480">
        <v>0</v>
      </c>
      <c r="O213" s="480">
        <v>0</v>
      </c>
      <c r="P213" s="481">
        <v>0</v>
      </c>
      <c r="R213" s="461">
        <f t="shared" si="22"/>
        <v>26791</v>
      </c>
      <c r="S213" s="461" t="str">
        <f t="shared" si="24"/>
        <v>Electricidad</v>
      </c>
      <c r="T213" s="462" t="str">
        <f t="shared" si="24"/>
        <v>Cable unipolar de 4mm celeste</v>
      </c>
      <c r="U213" s="440">
        <v>4</v>
      </c>
      <c r="V213" s="440">
        <v>0</v>
      </c>
      <c r="W213" s="440">
        <v>0</v>
      </c>
      <c r="X213" s="440">
        <v>0</v>
      </c>
      <c r="Y213" s="440">
        <v>0</v>
      </c>
      <c r="Z213" s="440">
        <v>0</v>
      </c>
      <c r="AA213" s="440">
        <v>0</v>
      </c>
      <c r="AB213" s="440">
        <v>0</v>
      </c>
      <c r="AC213" s="440">
        <v>0</v>
      </c>
      <c r="AD213" s="440">
        <v>0</v>
      </c>
      <c r="AE213" s="440">
        <v>1</v>
      </c>
      <c r="AF213" s="440">
        <f t="shared" si="19"/>
        <v>0</v>
      </c>
      <c r="AG213" s="482">
        <f t="shared" si="19"/>
        <v>0</v>
      </c>
      <c r="AH213" s="455"/>
      <c r="AI213" s="440">
        <f t="shared" si="23"/>
        <v>5</v>
      </c>
      <c r="AJ213" s="463" t="e">
        <f>+VLOOKUP(R213,'Base Material'!B:D,3,FALSE)</f>
        <v>#N/A</v>
      </c>
      <c r="AK213" s="464" t="e">
        <f t="shared" si="25"/>
        <v>#N/A</v>
      </c>
    </row>
    <row r="214" spans="1:37" x14ac:dyDescent="0.25">
      <c r="A214" s="478">
        <v>18555</v>
      </c>
      <c r="B214" s="457" t="s">
        <v>40</v>
      </c>
      <c r="C214" s="479" t="s">
        <v>974</v>
      </c>
      <c r="D214" s="480">
        <v>4</v>
      </c>
      <c r="E214" s="480">
        <v>0</v>
      </c>
      <c r="F214" s="480">
        <v>0</v>
      </c>
      <c r="G214" s="480">
        <v>0</v>
      </c>
      <c r="H214" s="480">
        <v>0</v>
      </c>
      <c r="I214" s="480">
        <v>0</v>
      </c>
      <c r="J214" s="480">
        <v>0</v>
      </c>
      <c r="K214" s="480">
        <v>0</v>
      </c>
      <c r="L214" s="480">
        <v>0</v>
      </c>
      <c r="M214" s="480">
        <v>0</v>
      </c>
      <c r="N214" s="480">
        <v>0</v>
      </c>
      <c r="O214" s="480">
        <v>0</v>
      </c>
      <c r="P214" s="481">
        <v>0</v>
      </c>
      <c r="R214" s="461">
        <f t="shared" si="22"/>
        <v>18555</v>
      </c>
      <c r="S214" s="461" t="str">
        <f t="shared" si="24"/>
        <v>Electricidad</v>
      </c>
      <c r="T214" s="462" t="str">
        <f t="shared" si="24"/>
        <v>Cable unipolar de 4mm rojo</v>
      </c>
      <c r="U214" s="440">
        <v>4</v>
      </c>
      <c r="V214" s="440">
        <v>0</v>
      </c>
      <c r="W214" s="440">
        <v>0</v>
      </c>
      <c r="X214" s="440">
        <v>0</v>
      </c>
      <c r="Y214" s="440">
        <v>0</v>
      </c>
      <c r="Z214" s="440">
        <v>0</v>
      </c>
      <c r="AA214" s="440">
        <v>0</v>
      </c>
      <c r="AB214" s="440">
        <v>0</v>
      </c>
      <c r="AC214" s="440">
        <v>0</v>
      </c>
      <c r="AD214" s="440">
        <v>0</v>
      </c>
      <c r="AE214" s="440">
        <v>1</v>
      </c>
      <c r="AF214" s="440">
        <f t="shared" si="19"/>
        <v>0</v>
      </c>
      <c r="AG214" s="482">
        <f t="shared" si="19"/>
        <v>0</v>
      </c>
      <c r="AH214" s="455"/>
      <c r="AI214" s="440">
        <f t="shared" si="23"/>
        <v>5</v>
      </c>
      <c r="AJ214" s="463" t="e">
        <f>+VLOOKUP(R214,'Base Material'!B:D,3,FALSE)</f>
        <v>#N/A</v>
      </c>
      <c r="AK214" s="464" t="e">
        <f t="shared" si="25"/>
        <v>#N/A</v>
      </c>
    </row>
    <row r="215" spans="1:37" x14ac:dyDescent="0.25">
      <c r="A215" s="478">
        <v>18558</v>
      </c>
      <c r="B215" s="457" t="s">
        <v>40</v>
      </c>
      <c r="C215" s="479" t="s">
        <v>975</v>
      </c>
      <c r="D215" s="480">
        <v>3</v>
      </c>
      <c r="E215" s="480">
        <v>0</v>
      </c>
      <c r="F215" s="480">
        <v>0</v>
      </c>
      <c r="G215" s="480">
        <v>0</v>
      </c>
      <c r="H215" s="480">
        <v>0</v>
      </c>
      <c r="I215" s="480">
        <v>0</v>
      </c>
      <c r="J215" s="480">
        <v>0</v>
      </c>
      <c r="K215" s="480">
        <v>0</v>
      </c>
      <c r="L215" s="480">
        <v>0</v>
      </c>
      <c r="M215" s="480">
        <v>0</v>
      </c>
      <c r="N215" s="480">
        <v>0</v>
      </c>
      <c r="O215" s="480">
        <v>0</v>
      </c>
      <c r="P215" s="481">
        <v>0</v>
      </c>
      <c r="R215" s="461">
        <f t="shared" si="22"/>
        <v>18558</v>
      </c>
      <c r="S215" s="461" t="str">
        <f t="shared" si="24"/>
        <v>Electricidad</v>
      </c>
      <c r="T215" s="462" t="str">
        <f t="shared" si="24"/>
        <v>Cable unipolar de 6mm verde/amarillo</v>
      </c>
      <c r="U215" s="440">
        <v>3</v>
      </c>
      <c r="V215" s="440">
        <v>0</v>
      </c>
      <c r="W215" s="440">
        <v>0</v>
      </c>
      <c r="X215" s="440">
        <v>0</v>
      </c>
      <c r="Y215" s="440">
        <v>0</v>
      </c>
      <c r="Z215" s="440">
        <v>0</v>
      </c>
      <c r="AA215" s="440">
        <v>0</v>
      </c>
      <c r="AB215" s="440">
        <v>0</v>
      </c>
      <c r="AC215" s="440">
        <v>0</v>
      </c>
      <c r="AD215" s="440">
        <v>0</v>
      </c>
      <c r="AE215" s="440">
        <v>1</v>
      </c>
      <c r="AF215" s="440">
        <f t="shared" si="19"/>
        <v>0</v>
      </c>
      <c r="AG215" s="482">
        <f t="shared" si="19"/>
        <v>0</v>
      </c>
      <c r="AH215" s="455"/>
      <c r="AI215" s="440">
        <f t="shared" si="23"/>
        <v>4</v>
      </c>
      <c r="AJ215" s="463" t="e">
        <f>+VLOOKUP(R215,'Base Material'!B:D,3,FALSE)</f>
        <v>#N/A</v>
      </c>
      <c r="AK215" s="464" t="e">
        <f t="shared" si="25"/>
        <v>#N/A</v>
      </c>
    </row>
    <row r="216" spans="1:37" x14ac:dyDescent="0.25">
      <c r="A216" s="478">
        <v>32197</v>
      </c>
      <c r="B216" s="457" t="s">
        <v>40</v>
      </c>
      <c r="C216" s="479" t="s">
        <v>976</v>
      </c>
      <c r="D216" s="480">
        <v>1</v>
      </c>
      <c r="E216" s="480">
        <v>0</v>
      </c>
      <c r="F216" s="480">
        <v>0</v>
      </c>
      <c r="G216" s="480">
        <v>0</v>
      </c>
      <c r="H216" s="480">
        <v>0</v>
      </c>
      <c r="I216" s="480">
        <v>0</v>
      </c>
      <c r="J216" s="480">
        <v>0</v>
      </c>
      <c r="K216" s="480">
        <v>0</v>
      </c>
      <c r="L216" s="480">
        <v>0</v>
      </c>
      <c r="M216" s="480">
        <v>0</v>
      </c>
      <c r="N216" s="480">
        <v>0</v>
      </c>
      <c r="O216" s="480">
        <v>0</v>
      </c>
      <c r="P216" s="481">
        <v>0</v>
      </c>
      <c r="R216" s="461">
        <f t="shared" si="22"/>
        <v>32197</v>
      </c>
      <c r="S216" s="461" t="str">
        <f t="shared" si="24"/>
        <v>Electricidad</v>
      </c>
      <c r="T216" s="462" t="str">
        <f t="shared" si="24"/>
        <v>Inte. Term. Schneider E9 4x32A 4,5 KA</v>
      </c>
      <c r="U216" s="440">
        <v>1</v>
      </c>
      <c r="V216" s="440">
        <v>0</v>
      </c>
      <c r="W216" s="440">
        <v>0</v>
      </c>
      <c r="X216" s="440">
        <v>0</v>
      </c>
      <c r="Y216" s="440">
        <v>0</v>
      </c>
      <c r="Z216" s="440">
        <v>0</v>
      </c>
      <c r="AA216" s="440">
        <v>0</v>
      </c>
      <c r="AB216" s="440">
        <v>0</v>
      </c>
      <c r="AC216" s="440">
        <v>0</v>
      </c>
      <c r="AD216" s="440">
        <v>0</v>
      </c>
      <c r="AE216" s="440">
        <v>1</v>
      </c>
      <c r="AF216" s="440">
        <f t="shared" si="19"/>
        <v>0</v>
      </c>
      <c r="AG216" s="482">
        <f t="shared" si="19"/>
        <v>0</v>
      </c>
      <c r="AH216" s="455"/>
      <c r="AI216" s="440">
        <f t="shared" si="23"/>
        <v>2</v>
      </c>
      <c r="AJ216" s="463">
        <f>+VLOOKUP(R216,'Base Material'!B:D,3,FALSE)</f>
        <v>20223.49</v>
      </c>
      <c r="AK216" s="464">
        <f t="shared" si="25"/>
        <v>40446.98</v>
      </c>
    </row>
    <row r="217" spans="1:37" x14ac:dyDescent="0.25">
      <c r="A217" s="478">
        <v>23204</v>
      </c>
      <c r="B217" s="457" t="s">
        <v>40</v>
      </c>
      <c r="C217" s="479" t="s">
        <v>977</v>
      </c>
      <c r="D217" s="480">
        <v>1</v>
      </c>
      <c r="E217" s="480">
        <v>0</v>
      </c>
      <c r="F217" s="480">
        <v>0</v>
      </c>
      <c r="G217" s="480">
        <v>0</v>
      </c>
      <c r="H217" s="480">
        <v>0</v>
      </c>
      <c r="I217" s="480">
        <v>0</v>
      </c>
      <c r="J217" s="480">
        <v>0</v>
      </c>
      <c r="K217" s="480">
        <v>0</v>
      </c>
      <c r="L217" s="480">
        <v>0</v>
      </c>
      <c r="M217" s="480">
        <v>0</v>
      </c>
      <c r="N217" s="480">
        <v>0</v>
      </c>
      <c r="O217" s="480">
        <v>0</v>
      </c>
      <c r="P217" s="481">
        <v>0</v>
      </c>
      <c r="R217" s="461">
        <f t="shared" si="22"/>
        <v>23204</v>
      </c>
      <c r="S217" s="461" t="str">
        <f t="shared" si="24"/>
        <v>Electricidad</v>
      </c>
      <c r="T217" s="462" t="str">
        <f t="shared" si="24"/>
        <v>Interuptor diferencial DOMAE 3P 16 A 3 KA</v>
      </c>
      <c r="U217" s="440">
        <v>1</v>
      </c>
      <c r="V217" s="440">
        <v>0</v>
      </c>
      <c r="W217" s="440">
        <v>0</v>
      </c>
      <c r="X217" s="440">
        <v>0</v>
      </c>
      <c r="Y217" s="440">
        <v>0</v>
      </c>
      <c r="Z217" s="440">
        <v>0</v>
      </c>
      <c r="AA217" s="440">
        <v>0</v>
      </c>
      <c r="AB217" s="440">
        <v>0</v>
      </c>
      <c r="AC217" s="440">
        <v>0</v>
      </c>
      <c r="AD217" s="440">
        <v>0</v>
      </c>
      <c r="AE217" s="440">
        <v>1</v>
      </c>
      <c r="AF217" s="440">
        <f t="shared" si="19"/>
        <v>0</v>
      </c>
      <c r="AG217" s="482">
        <f t="shared" si="19"/>
        <v>0</v>
      </c>
      <c r="AH217" s="455"/>
      <c r="AI217" s="440">
        <f t="shared" si="23"/>
        <v>2</v>
      </c>
      <c r="AJ217" s="463" t="e">
        <f>+VLOOKUP(R217,'Base Material'!B:D,3,FALSE)</f>
        <v>#N/A</v>
      </c>
      <c r="AK217" s="464" t="e">
        <f t="shared" si="25"/>
        <v>#N/A</v>
      </c>
    </row>
    <row r="218" spans="1:37" x14ac:dyDescent="0.25">
      <c r="A218" s="478">
        <v>32179</v>
      </c>
      <c r="B218" s="457" t="s">
        <v>40</v>
      </c>
      <c r="C218" s="479" t="s">
        <v>978</v>
      </c>
      <c r="D218" s="480">
        <v>1</v>
      </c>
      <c r="E218" s="480">
        <v>0</v>
      </c>
      <c r="F218" s="480">
        <v>0</v>
      </c>
      <c r="G218" s="480">
        <v>0</v>
      </c>
      <c r="H218" s="480">
        <v>0</v>
      </c>
      <c r="I218" s="480">
        <v>0</v>
      </c>
      <c r="J218" s="480">
        <v>0</v>
      </c>
      <c r="K218" s="480">
        <v>0</v>
      </c>
      <c r="L218" s="480">
        <v>0</v>
      </c>
      <c r="M218" s="480">
        <v>0</v>
      </c>
      <c r="N218" s="480">
        <v>0</v>
      </c>
      <c r="O218" s="480">
        <v>0</v>
      </c>
      <c r="P218" s="481">
        <v>0</v>
      </c>
      <c r="R218" s="461">
        <f t="shared" si="22"/>
        <v>32179</v>
      </c>
      <c r="S218" s="461" t="str">
        <f t="shared" si="24"/>
        <v>Electricidad</v>
      </c>
      <c r="T218" s="462" t="str">
        <f t="shared" si="24"/>
        <v>Inte. Term. Schneider E9 4x16A 4,5 KA</v>
      </c>
      <c r="U218" s="440">
        <v>1</v>
      </c>
      <c r="V218" s="440">
        <v>0</v>
      </c>
      <c r="W218" s="440">
        <v>0</v>
      </c>
      <c r="X218" s="440">
        <v>0</v>
      </c>
      <c r="Y218" s="440">
        <v>0</v>
      </c>
      <c r="Z218" s="440">
        <v>0</v>
      </c>
      <c r="AA218" s="440">
        <v>0</v>
      </c>
      <c r="AB218" s="440">
        <v>0</v>
      </c>
      <c r="AC218" s="440">
        <v>0</v>
      </c>
      <c r="AD218" s="440">
        <v>0</v>
      </c>
      <c r="AE218" s="440">
        <v>1</v>
      </c>
      <c r="AF218" s="440">
        <f t="shared" si="19"/>
        <v>0</v>
      </c>
      <c r="AG218" s="482">
        <f t="shared" si="19"/>
        <v>0</v>
      </c>
      <c r="AH218" s="455"/>
      <c r="AI218" s="440">
        <f t="shared" si="23"/>
        <v>2</v>
      </c>
      <c r="AJ218" s="463" t="e">
        <f>+VLOOKUP(R218,'Base Material'!B:D,3,FALSE)</f>
        <v>#N/A</v>
      </c>
      <c r="AK218" s="464" t="e">
        <f t="shared" si="25"/>
        <v>#N/A</v>
      </c>
    </row>
    <row r="219" spans="1:37" x14ac:dyDescent="0.25">
      <c r="A219" s="478">
        <v>24533</v>
      </c>
      <c r="B219" s="457" t="s">
        <v>40</v>
      </c>
      <c r="C219" s="479" t="s">
        <v>979</v>
      </c>
      <c r="D219" s="480">
        <v>1</v>
      </c>
      <c r="E219" s="480">
        <v>0</v>
      </c>
      <c r="F219" s="480">
        <v>0</v>
      </c>
      <c r="G219" s="480">
        <v>0</v>
      </c>
      <c r="H219" s="480">
        <v>0</v>
      </c>
      <c r="I219" s="480">
        <v>0</v>
      </c>
      <c r="J219" s="480">
        <v>0</v>
      </c>
      <c r="K219" s="480">
        <v>0</v>
      </c>
      <c r="L219" s="480">
        <v>0</v>
      </c>
      <c r="M219" s="480">
        <v>0</v>
      </c>
      <c r="N219" s="480">
        <v>0</v>
      </c>
      <c r="O219" s="480">
        <v>0</v>
      </c>
      <c r="P219" s="481">
        <v>0</v>
      </c>
      <c r="R219" s="461">
        <f t="shared" si="22"/>
        <v>24533</v>
      </c>
      <c r="S219" s="461" t="str">
        <f t="shared" si="24"/>
        <v>Electricidad</v>
      </c>
      <c r="T219" s="462" t="str">
        <f t="shared" si="24"/>
        <v>Interuptor diferencial DOMAE 4x25A 30MA</v>
      </c>
      <c r="U219" s="440">
        <v>1</v>
      </c>
      <c r="V219" s="440">
        <v>0</v>
      </c>
      <c r="W219" s="440">
        <v>0</v>
      </c>
      <c r="X219" s="440">
        <v>0</v>
      </c>
      <c r="Y219" s="440">
        <v>0</v>
      </c>
      <c r="Z219" s="440">
        <v>0</v>
      </c>
      <c r="AA219" s="440">
        <v>0</v>
      </c>
      <c r="AB219" s="440">
        <v>0</v>
      </c>
      <c r="AC219" s="440">
        <v>0</v>
      </c>
      <c r="AD219" s="440">
        <v>0</v>
      </c>
      <c r="AE219" s="440">
        <v>1</v>
      </c>
      <c r="AF219" s="440">
        <f t="shared" si="19"/>
        <v>0</v>
      </c>
      <c r="AG219" s="482">
        <f t="shared" si="19"/>
        <v>0</v>
      </c>
      <c r="AH219" s="455"/>
      <c r="AI219" s="440">
        <f t="shared" si="23"/>
        <v>2</v>
      </c>
      <c r="AJ219" s="463">
        <f>+VLOOKUP(R219,'Base Material'!B:D,3,FALSE)</f>
        <v>37375.24</v>
      </c>
      <c r="AK219" s="464">
        <f t="shared" si="25"/>
        <v>74750.48</v>
      </c>
    </row>
    <row r="220" spans="1:37" x14ac:dyDescent="0.25">
      <c r="A220" s="478">
        <v>28280</v>
      </c>
      <c r="B220" s="457" t="s">
        <v>40</v>
      </c>
      <c r="C220" s="479" t="s">
        <v>961</v>
      </c>
      <c r="D220" s="480">
        <v>1</v>
      </c>
      <c r="E220" s="480">
        <v>0</v>
      </c>
      <c r="F220" s="480">
        <v>0</v>
      </c>
      <c r="G220" s="480">
        <v>0</v>
      </c>
      <c r="H220" s="480">
        <v>0</v>
      </c>
      <c r="I220" s="480">
        <v>0</v>
      </c>
      <c r="J220" s="480">
        <v>0</v>
      </c>
      <c r="K220" s="480">
        <v>0</v>
      </c>
      <c r="L220" s="480">
        <v>0</v>
      </c>
      <c r="M220" s="480">
        <v>0</v>
      </c>
      <c r="N220" s="480">
        <v>0</v>
      </c>
      <c r="O220" s="480">
        <v>0</v>
      </c>
      <c r="P220" s="481">
        <v>0</v>
      </c>
      <c r="R220" s="461">
        <f t="shared" si="22"/>
        <v>28280</v>
      </c>
      <c r="S220" s="461" t="str">
        <f t="shared" si="24"/>
        <v>Electricidad</v>
      </c>
      <c r="T220" s="462" t="str">
        <f t="shared" si="24"/>
        <v>Bornera 6mm Verde/amarillo</v>
      </c>
      <c r="U220" s="440">
        <v>1</v>
      </c>
      <c r="V220" s="440">
        <v>0</v>
      </c>
      <c r="W220" s="440">
        <v>0</v>
      </c>
      <c r="X220" s="440">
        <v>0</v>
      </c>
      <c r="Y220" s="440">
        <v>0</v>
      </c>
      <c r="Z220" s="440">
        <v>0</v>
      </c>
      <c r="AA220" s="440">
        <v>0</v>
      </c>
      <c r="AB220" s="440">
        <v>0</v>
      </c>
      <c r="AC220" s="440">
        <v>0</v>
      </c>
      <c r="AD220" s="440">
        <v>0</v>
      </c>
      <c r="AE220" s="440">
        <v>1</v>
      </c>
      <c r="AF220" s="440">
        <f t="shared" si="19"/>
        <v>0</v>
      </c>
      <c r="AG220" s="482">
        <f t="shared" si="19"/>
        <v>0</v>
      </c>
      <c r="AH220" s="455"/>
      <c r="AI220" s="440">
        <f t="shared" si="23"/>
        <v>2</v>
      </c>
      <c r="AJ220" s="463">
        <f>+VLOOKUP(R220,'Base Material'!B:D,3,FALSE)</f>
        <v>3167.35</v>
      </c>
      <c r="AK220" s="464">
        <f t="shared" si="25"/>
        <v>6334.7</v>
      </c>
    </row>
    <row r="221" spans="1:37" x14ac:dyDescent="0.25">
      <c r="A221" s="478">
        <v>23634</v>
      </c>
      <c r="B221" s="457" t="s">
        <v>40</v>
      </c>
      <c r="C221" s="479" t="s">
        <v>980</v>
      </c>
      <c r="D221" s="480">
        <v>1</v>
      </c>
      <c r="E221" s="480">
        <v>0</v>
      </c>
      <c r="F221" s="480">
        <v>0</v>
      </c>
      <c r="G221" s="480">
        <v>0</v>
      </c>
      <c r="H221" s="480">
        <v>0</v>
      </c>
      <c r="I221" s="480">
        <v>0</v>
      </c>
      <c r="J221" s="480">
        <v>0</v>
      </c>
      <c r="K221" s="480">
        <v>0</v>
      </c>
      <c r="L221" s="480">
        <v>0</v>
      </c>
      <c r="M221" s="480">
        <v>0</v>
      </c>
      <c r="N221" s="480">
        <v>0</v>
      </c>
      <c r="O221" s="480">
        <v>0</v>
      </c>
      <c r="P221" s="481">
        <v>0</v>
      </c>
      <c r="R221" s="461">
        <f t="shared" si="22"/>
        <v>23634</v>
      </c>
      <c r="S221" s="461" t="str">
        <f t="shared" si="24"/>
        <v>Electricidad</v>
      </c>
      <c r="T221" s="462" t="str">
        <f t="shared" si="24"/>
        <v>Ficha hembra Base Trifásica IND 3x32A C/N</v>
      </c>
      <c r="U221" s="440">
        <v>1</v>
      </c>
      <c r="V221" s="440">
        <v>0</v>
      </c>
      <c r="W221" s="440">
        <v>0</v>
      </c>
      <c r="X221" s="440">
        <v>0</v>
      </c>
      <c r="Y221" s="440">
        <v>0</v>
      </c>
      <c r="Z221" s="440">
        <v>0</v>
      </c>
      <c r="AA221" s="440">
        <v>0</v>
      </c>
      <c r="AB221" s="440">
        <v>0</v>
      </c>
      <c r="AC221" s="440">
        <v>0</v>
      </c>
      <c r="AD221" s="440">
        <v>0</v>
      </c>
      <c r="AE221" s="440">
        <v>1</v>
      </c>
      <c r="AF221" s="440">
        <f t="shared" ref="AF221:AG223" si="26">+O221</f>
        <v>0</v>
      </c>
      <c r="AG221" s="482">
        <f t="shared" si="26"/>
        <v>0</v>
      </c>
      <c r="AH221" s="455"/>
      <c r="AI221" s="440">
        <f t="shared" si="23"/>
        <v>2</v>
      </c>
      <c r="AJ221" s="463" t="e">
        <f>+VLOOKUP(R221,'Base Material'!B:D,3,FALSE)</f>
        <v>#N/A</v>
      </c>
      <c r="AK221" s="464" t="e">
        <f t="shared" si="25"/>
        <v>#N/A</v>
      </c>
    </row>
    <row r="222" spans="1:37" x14ac:dyDescent="0.25">
      <c r="A222" s="478">
        <v>19028</v>
      </c>
      <c r="B222" s="457" t="s">
        <v>40</v>
      </c>
      <c r="C222" s="479" t="s">
        <v>981</v>
      </c>
      <c r="D222" s="480">
        <v>2</v>
      </c>
      <c r="E222" s="480">
        <v>0</v>
      </c>
      <c r="F222" s="480">
        <v>0</v>
      </c>
      <c r="G222" s="480">
        <v>0</v>
      </c>
      <c r="H222" s="480">
        <v>0</v>
      </c>
      <c r="I222" s="480">
        <v>0</v>
      </c>
      <c r="J222" s="480">
        <v>0</v>
      </c>
      <c r="K222" s="480">
        <v>0</v>
      </c>
      <c r="L222" s="480">
        <v>0</v>
      </c>
      <c r="M222" s="480">
        <v>0</v>
      </c>
      <c r="N222" s="480">
        <v>0</v>
      </c>
      <c r="O222" s="480">
        <v>0</v>
      </c>
      <c r="P222" s="481">
        <v>0</v>
      </c>
      <c r="R222" s="461">
        <f t="shared" si="22"/>
        <v>19028</v>
      </c>
      <c r="S222" s="461" t="str">
        <f t="shared" si="24"/>
        <v>Electricidad</v>
      </c>
      <c r="T222" s="462" t="str">
        <f t="shared" si="24"/>
        <v>Adaptador Jeluz P/Riel DIN 1 MOD</v>
      </c>
      <c r="U222" s="440">
        <v>2</v>
      </c>
      <c r="V222" s="440">
        <v>0</v>
      </c>
      <c r="W222" s="440">
        <v>0</v>
      </c>
      <c r="X222" s="440">
        <v>0</v>
      </c>
      <c r="Y222" s="440">
        <v>0</v>
      </c>
      <c r="Z222" s="440">
        <v>0</v>
      </c>
      <c r="AA222" s="440">
        <v>0</v>
      </c>
      <c r="AB222" s="440">
        <v>0</v>
      </c>
      <c r="AC222" s="440">
        <v>0</v>
      </c>
      <c r="AD222" s="440">
        <v>0</v>
      </c>
      <c r="AE222" s="440">
        <v>1</v>
      </c>
      <c r="AF222" s="440">
        <f t="shared" si="26"/>
        <v>0</v>
      </c>
      <c r="AG222" s="482">
        <f t="shared" si="26"/>
        <v>0</v>
      </c>
      <c r="AH222" s="455"/>
      <c r="AI222" s="440">
        <f t="shared" si="23"/>
        <v>3</v>
      </c>
      <c r="AJ222" s="463">
        <f>+VLOOKUP(R222,'Base Material'!B:D,3,FALSE)</f>
        <v>205.33</v>
      </c>
      <c r="AK222" s="464">
        <f t="shared" si="25"/>
        <v>615.99</v>
      </c>
    </row>
    <row r="223" ht="12" customHeight="1" spans="1:37" x14ac:dyDescent="0.25">
      <c r="A223" s="484">
        <v>19026</v>
      </c>
      <c r="B223" s="457" t="s">
        <v>40</v>
      </c>
      <c r="C223" s="485" t="s">
        <v>982</v>
      </c>
      <c r="D223" s="486">
        <v>2</v>
      </c>
      <c r="E223" s="486">
        <v>0</v>
      </c>
      <c r="F223" s="486">
        <v>0</v>
      </c>
      <c r="G223" s="486">
        <v>0</v>
      </c>
      <c r="H223" s="486">
        <v>0</v>
      </c>
      <c r="I223" s="486">
        <v>0</v>
      </c>
      <c r="J223" s="486">
        <v>0</v>
      </c>
      <c r="K223" s="486">
        <v>0</v>
      </c>
      <c r="L223" s="486">
        <v>0</v>
      </c>
      <c r="M223" s="486">
        <v>0</v>
      </c>
      <c r="N223" s="486">
        <v>0</v>
      </c>
      <c r="O223" s="486">
        <v>0</v>
      </c>
      <c r="P223" s="487">
        <v>0</v>
      </c>
      <c r="R223" s="461">
        <f t="shared" si="22"/>
        <v>19026</v>
      </c>
      <c r="S223" s="461" t="str">
        <f t="shared" si="24"/>
        <v>Electricidad</v>
      </c>
      <c r="T223" s="462" t="str">
        <f t="shared" si="24"/>
        <v>Modulo Jeluz 1 Toma C/N Blanco</v>
      </c>
      <c r="U223" s="440">
        <v>2</v>
      </c>
      <c r="V223" s="440">
        <v>0</v>
      </c>
      <c r="W223" s="440">
        <v>0</v>
      </c>
      <c r="X223" s="440">
        <v>0</v>
      </c>
      <c r="Y223" s="440">
        <v>0</v>
      </c>
      <c r="Z223" s="440">
        <v>0</v>
      </c>
      <c r="AA223" s="440">
        <v>0</v>
      </c>
      <c r="AB223" s="440">
        <v>0</v>
      </c>
      <c r="AC223" s="440">
        <v>0</v>
      </c>
      <c r="AD223" s="440">
        <v>0</v>
      </c>
      <c r="AE223" s="440">
        <v>1</v>
      </c>
      <c r="AF223" s="440">
        <f t="shared" si="26"/>
        <v>0</v>
      </c>
      <c r="AG223" s="482">
        <f t="shared" si="26"/>
        <v>0</v>
      </c>
      <c r="AH223" s="455"/>
      <c r="AI223" s="440">
        <f t="shared" si="23"/>
        <v>3</v>
      </c>
      <c r="AJ223" s="463">
        <f>+VLOOKUP(R223,'Base Material'!B:D,3,FALSE)</f>
        <v>343.04</v>
      </c>
      <c r="AK223" s="464">
        <f t="shared" si="25"/>
        <v>1029.1200000000001</v>
      </c>
    </row>
    <row r="224" ht="22.5" customHeight="1" spans="1:37" x14ac:dyDescent="0.25">
      <c r="A224" s="435"/>
      <c r="C224" s="435"/>
      <c r="R224" s="455" t="s">
        <v>881</v>
      </c>
      <c r="S224" s="455"/>
      <c r="T224" s="455" t="s">
        <v>763</v>
      </c>
      <c r="U224" s="455" t="s">
        <v>983</v>
      </c>
      <c r="V224" s="455" t="s">
        <v>531</v>
      </c>
      <c r="W224" s="455"/>
      <c r="X224" s="455"/>
      <c r="Y224" s="455"/>
      <c r="Z224" s="455"/>
      <c r="AA224" s="455"/>
      <c r="AB224" s="455"/>
      <c r="AC224" s="455"/>
      <c r="AD224" s="455"/>
      <c r="AE224" s="455"/>
      <c r="AF224" s="455"/>
      <c r="AG224" s="455"/>
      <c r="AH224" s="455"/>
      <c r="AI224" s="455" t="s">
        <v>775</v>
      </c>
      <c r="AJ224" s="455" t="e">
        <f>+VLOOKUP(R224,'Base Material'!B:D,3,FALSE)</f>
        <v>#N/A</v>
      </c>
      <c r="AK224" s="455" t="e">
        <f t="shared" si="25"/>
        <v>#N/A</v>
      </c>
    </row>
    <row r="225" spans="1:37" x14ac:dyDescent="0.25">
      <c r="A225" s="435"/>
      <c r="C225" s="435"/>
      <c r="R225" s="488">
        <v>14696</v>
      </c>
      <c r="S225" s="461" t="s">
        <v>712</v>
      </c>
      <c r="T225" s="482" t="s">
        <v>984</v>
      </c>
      <c r="U225" s="482">
        <f>$D$9</f>
        <v>1</v>
      </c>
      <c r="V225" s="489">
        <v>1</v>
      </c>
      <c r="W225" s="490"/>
      <c r="X225" s="491"/>
      <c r="Y225" s="491"/>
      <c r="Z225" s="491"/>
      <c r="AA225" s="491"/>
      <c r="AB225" s="491"/>
      <c r="AC225" s="491"/>
      <c r="AD225" s="491"/>
      <c r="AE225" s="491"/>
      <c r="AF225" s="490"/>
      <c r="AG225" s="490"/>
      <c r="AH225" s="490"/>
      <c r="AI225" s="482">
        <f>V225*U225</f>
        <v>1</v>
      </c>
      <c r="AJ225" s="463">
        <f>+VLOOKUP(R225,'Base Material'!B:D,3,FALSE)</f>
        <v>16905.44</v>
      </c>
      <c r="AK225" s="464">
        <f t="shared" si="25"/>
        <v>16905.44</v>
      </c>
    </row>
    <row r="226" spans="1:37" x14ac:dyDescent="0.25">
      <c r="A226" s="435"/>
      <c r="C226" s="435"/>
      <c r="R226" s="488">
        <v>512</v>
      </c>
      <c r="S226" s="461" t="s">
        <v>712</v>
      </c>
      <c r="T226" s="482" t="s">
        <v>985</v>
      </c>
      <c r="U226" s="482">
        <f t="shared" ref="U226:U259" si="27">$D$9</f>
        <v>1</v>
      </c>
      <c r="V226" s="489">
        <v>2</v>
      </c>
      <c r="W226" s="490"/>
      <c r="X226" s="491"/>
      <c r="Y226" s="491"/>
      <c r="Z226" s="491"/>
      <c r="AA226" s="491"/>
      <c r="AB226" s="491"/>
      <c r="AC226" s="491"/>
      <c r="AD226" s="491"/>
      <c r="AE226" s="491"/>
      <c r="AF226" s="490"/>
      <c r="AG226" s="490"/>
      <c r="AH226" s="490"/>
      <c r="AI226" s="482">
        <f t="shared" ref="AI226:AI271" si="28">V226*U226</f>
        <v>2</v>
      </c>
      <c r="AJ226" s="463">
        <f>+VLOOKUP(R226,'Base Material'!B:D,3,FALSE)</f>
        <v>6544.19</v>
      </c>
      <c r="AK226" s="464">
        <f t="shared" si="25"/>
        <v>13088.38</v>
      </c>
    </row>
    <row r="227" spans="1:37" x14ac:dyDescent="0.25">
      <c r="A227" s="435"/>
      <c r="C227" s="435"/>
      <c r="R227" s="488">
        <v>1374</v>
      </c>
      <c r="S227" s="461" t="s">
        <v>712</v>
      </c>
      <c r="T227" s="482" t="s">
        <v>986</v>
      </c>
      <c r="U227" s="482">
        <f t="shared" si="27"/>
        <v>1</v>
      </c>
      <c r="V227" s="489">
        <v>1</v>
      </c>
      <c r="W227" s="490"/>
      <c r="X227" s="491"/>
      <c r="Y227" s="491"/>
      <c r="Z227" s="491"/>
      <c r="AA227" s="491"/>
      <c r="AB227" s="491"/>
      <c r="AC227" s="491"/>
      <c r="AD227" s="491"/>
      <c r="AE227" s="491"/>
      <c r="AF227" s="490"/>
      <c r="AG227" s="490"/>
      <c r="AH227" s="490"/>
      <c r="AI227" s="482">
        <f t="shared" si="28"/>
        <v>1</v>
      </c>
      <c r="AJ227" s="463" t="e">
        <f>+VLOOKUP(R227,'Base Material'!B:D,3,FALSE)</f>
        <v>#N/A</v>
      </c>
      <c r="AK227" s="464" t="e">
        <f t="shared" si="25"/>
        <v>#N/A</v>
      </c>
    </row>
    <row r="228" spans="1:37" x14ac:dyDescent="0.25">
      <c r="A228" s="435"/>
      <c r="C228" s="435"/>
      <c r="R228" s="488">
        <v>4491</v>
      </c>
      <c r="S228" s="461" t="s">
        <v>712</v>
      </c>
      <c r="T228" s="482" t="s">
        <v>987</v>
      </c>
      <c r="U228" s="482">
        <f t="shared" si="27"/>
        <v>1</v>
      </c>
      <c r="V228" s="489">
        <v>12</v>
      </c>
      <c r="W228" s="490"/>
      <c r="X228" s="491"/>
      <c r="Y228" s="491"/>
      <c r="Z228" s="491"/>
      <c r="AA228" s="491"/>
      <c r="AB228" s="491"/>
      <c r="AC228" s="491"/>
      <c r="AD228" s="491"/>
      <c r="AE228" s="491"/>
      <c r="AF228" s="490"/>
      <c r="AG228" s="490"/>
      <c r="AH228" s="490"/>
      <c r="AI228" s="482">
        <f t="shared" si="28"/>
        <v>12</v>
      </c>
      <c r="AJ228" s="463" t="e">
        <f>+VLOOKUP(R228,'Base Material'!B:D,3,FALSE)</f>
        <v>#N/A</v>
      </c>
      <c r="AK228" s="464" t="e">
        <f t="shared" si="25"/>
        <v>#N/A</v>
      </c>
    </row>
    <row r="229" spans="1:37" s="465" customFormat="1" x14ac:dyDescent="0.25">
      <c r="A229" s="435"/>
      <c r="B229" s="433"/>
      <c r="C229" s="435"/>
      <c r="D229" s="435"/>
      <c r="E229" s="435"/>
      <c r="F229" s="435"/>
      <c r="G229" s="435"/>
      <c r="H229" s="435"/>
      <c r="I229" s="435"/>
      <c r="J229" s="435"/>
      <c r="K229" s="435"/>
      <c r="L229" s="435"/>
      <c r="M229" s="435"/>
      <c r="N229" s="434"/>
      <c r="O229" s="434"/>
      <c r="P229" s="435"/>
      <c r="Q229" s="435"/>
      <c r="R229" s="488">
        <v>4490</v>
      </c>
      <c r="S229" s="461" t="s">
        <v>712</v>
      </c>
      <c r="T229" s="482" t="s">
        <v>988</v>
      </c>
      <c r="U229" s="482">
        <f t="shared" si="27"/>
        <v>1</v>
      </c>
      <c r="V229" s="489">
        <v>10</v>
      </c>
      <c r="W229" s="492"/>
      <c r="X229" s="492"/>
      <c r="Y229" s="493"/>
      <c r="Z229" s="493"/>
      <c r="AA229" s="493"/>
      <c r="AB229" s="493"/>
      <c r="AC229" s="493"/>
      <c r="AD229" s="493"/>
      <c r="AE229" s="493"/>
      <c r="AF229" s="492"/>
      <c r="AG229" s="492"/>
      <c r="AH229" s="492"/>
      <c r="AI229" s="482">
        <f t="shared" si="28"/>
        <v>10</v>
      </c>
      <c r="AJ229" s="463" t="e">
        <f>+VLOOKUP(R229,'Base Material'!B:D,3,FALSE)</f>
        <v>#N/A</v>
      </c>
      <c r="AK229" s="464" t="e">
        <f t="shared" si="25"/>
        <v>#N/A</v>
      </c>
    </row>
    <row r="230" spans="1:37" x14ac:dyDescent="0.25">
      <c r="A230" s="435"/>
      <c r="C230" s="435"/>
      <c r="R230" s="488">
        <v>4609</v>
      </c>
      <c r="S230" s="461" t="s">
        <v>712</v>
      </c>
      <c r="T230" s="482" t="s">
        <v>989</v>
      </c>
      <c r="U230" s="482">
        <f t="shared" si="27"/>
        <v>1</v>
      </c>
      <c r="V230" s="489">
        <v>2</v>
      </c>
      <c r="W230" s="490"/>
      <c r="X230" s="490"/>
      <c r="Y230" s="491"/>
      <c r="Z230" s="491"/>
      <c r="AA230" s="491"/>
      <c r="AB230" s="491"/>
      <c r="AC230" s="491"/>
      <c r="AD230" s="491"/>
      <c r="AE230" s="491"/>
      <c r="AF230" s="490"/>
      <c r="AG230" s="490"/>
      <c r="AH230" s="490"/>
      <c r="AI230" s="482">
        <f t="shared" si="28"/>
        <v>2</v>
      </c>
      <c r="AJ230" s="463" t="e">
        <f>+VLOOKUP(R230,'Base Material'!B:D,3,FALSE)</f>
        <v>#N/A</v>
      </c>
      <c r="AK230" s="464" t="e">
        <f t="shared" si="25"/>
        <v>#N/A</v>
      </c>
    </row>
    <row r="231" spans="1:37" x14ac:dyDescent="0.25">
      <c r="A231" s="435"/>
      <c r="C231" s="435"/>
      <c r="R231" s="488">
        <v>4482</v>
      </c>
      <c r="S231" s="461" t="s">
        <v>712</v>
      </c>
      <c r="T231" s="482" t="s">
        <v>990</v>
      </c>
      <c r="U231" s="482">
        <f t="shared" si="27"/>
        <v>1</v>
      </c>
      <c r="V231" s="489">
        <v>3</v>
      </c>
      <c r="W231" s="490"/>
      <c r="X231" s="490"/>
      <c r="Y231" s="491"/>
      <c r="Z231" s="491"/>
      <c r="AA231" s="491"/>
      <c r="AB231" s="491"/>
      <c r="AC231" s="491"/>
      <c r="AD231" s="491"/>
      <c r="AE231" s="491"/>
      <c r="AF231" s="490"/>
      <c r="AG231" s="490"/>
      <c r="AH231" s="490"/>
      <c r="AI231" s="482">
        <f t="shared" si="28"/>
        <v>3</v>
      </c>
      <c r="AJ231" s="463">
        <f>+VLOOKUP(R231,'Base Material'!B:D,3,FALSE)</f>
        <v>640.6</v>
      </c>
      <c r="AK231" s="464">
        <f t="shared" si="25"/>
        <v>1921.8000000000002</v>
      </c>
    </row>
    <row r="232" spans="1:37" x14ac:dyDescent="0.25">
      <c r="A232" s="435"/>
      <c r="C232" s="435"/>
      <c r="R232" s="488">
        <v>4626</v>
      </c>
      <c r="S232" s="461" t="s">
        <v>712</v>
      </c>
      <c r="T232" s="482" t="s">
        <v>991</v>
      </c>
      <c r="U232" s="482">
        <f t="shared" si="27"/>
        <v>1</v>
      </c>
      <c r="V232" s="489">
        <v>1</v>
      </c>
      <c r="W232" s="490"/>
      <c r="X232" s="490"/>
      <c r="Y232" s="491"/>
      <c r="Z232" s="491"/>
      <c r="AA232" s="491"/>
      <c r="AB232" s="491"/>
      <c r="AC232" s="491"/>
      <c r="AD232" s="491"/>
      <c r="AE232" s="491"/>
      <c r="AF232" s="490"/>
      <c r="AG232" s="490"/>
      <c r="AH232" s="490"/>
      <c r="AI232" s="482">
        <f t="shared" si="28"/>
        <v>1</v>
      </c>
      <c r="AJ232" s="463" t="e">
        <f>+VLOOKUP(R232,'Base Material'!B:D,3,FALSE)</f>
        <v>#N/A</v>
      </c>
      <c r="AK232" s="464" t="e">
        <f t="shared" si="25"/>
        <v>#N/A</v>
      </c>
    </row>
    <row r="233" spans="1:37" x14ac:dyDescent="0.25">
      <c r="A233" s="435"/>
      <c r="C233" s="435"/>
      <c r="R233" s="488">
        <v>17635</v>
      </c>
      <c r="S233" s="461" t="s">
        <v>712</v>
      </c>
      <c r="T233" s="482" t="s">
        <v>992</v>
      </c>
      <c r="U233" s="482">
        <f t="shared" si="27"/>
        <v>1</v>
      </c>
      <c r="V233" s="489">
        <v>3</v>
      </c>
      <c r="W233" s="490"/>
      <c r="X233" s="490"/>
      <c r="Y233" s="491"/>
      <c r="Z233" s="491"/>
      <c r="AA233" s="491"/>
      <c r="AB233" s="491"/>
      <c r="AC233" s="491"/>
      <c r="AD233" s="491"/>
      <c r="AE233" s="491"/>
      <c r="AF233" s="490"/>
      <c r="AG233" s="490"/>
      <c r="AH233" s="490"/>
      <c r="AI233" s="482">
        <f t="shared" si="28"/>
        <v>3</v>
      </c>
      <c r="AJ233" s="463" t="e">
        <f>+VLOOKUP(R233,'Base Material'!B:D,3,FALSE)</f>
        <v>#N/A</v>
      </c>
      <c r="AK233" s="464" t="e">
        <f t="shared" si="25"/>
        <v>#N/A</v>
      </c>
    </row>
    <row r="234" spans="1:37" x14ac:dyDescent="0.25">
      <c r="A234" s="435"/>
      <c r="C234" s="435"/>
      <c r="R234" s="488">
        <v>4528</v>
      </c>
      <c r="S234" s="461" t="s">
        <v>712</v>
      </c>
      <c r="T234" s="482" t="s">
        <v>993</v>
      </c>
      <c r="U234" s="482">
        <f t="shared" si="27"/>
        <v>1</v>
      </c>
      <c r="V234" s="489">
        <v>2</v>
      </c>
      <c r="W234" s="490"/>
      <c r="X234" s="490"/>
      <c r="Y234" s="491"/>
      <c r="Z234" s="491"/>
      <c r="AA234" s="491"/>
      <c r="AB234" s="491"/>
      <c r="AC234" s="491"/>
      <c r="AD234" s="491"/>
      <c r="AE234" s="491"/>
      <c r="AF234" s="490"/>
      <c r="AG234" s="490"/>
      <c r="AH234" s="490"/>
      <c r="AI234" s="482">
        <f t="shared" si="28"/>
        <v>2</v>
      </c>
      <c r="AJ234" s="463" t="e">
        <f>+VLOOKUP(R234,'Base Material'!B:D,3,FALSE)</f>
        <v>#N/A</v>
      </c>
      <c r="AK234" s="464" t="e">
        <f t="shared" si="25"/>
        <v>#N/A</v>
      </c>
    </row>
    <row r="235" spans="2:37" s="435" customFormat="1" x14ac:dyDescent="0.25">
      <c r="B235" s="433"/>
      <c r="N235" s="434"/>
      <c r="O235" s="434"/>
      <c r="R235" s="488">
        <v>4528</v>
      </c>
      <c r="S235" s="461" t="s">
        <v>712</v>
      </c>
      <c r="T235" s="482" t="s">
        <v>994</v>
      </c>
      <c r="U235" s="482">
        <f t="shared" si="27"/>
        <v>1</v>
      </c>
      <c r="V235" s="489">
        <v>2</v>
      </c>
      <c r="W235" s="491"/>
      <c r="X235" s="491"/>
      <c r="Y235" s="491"/>
      <c r="Z235" s="491"/>
      <c r="AA235" s="491"/>
      <c r="AB235" s="491"/>
      <c r="AC235" s="491"/>
      <c r="AD235" s="491"/>
      <c r="AE235" s="491"/>
      <c r="AF235" s="491"/>
      <c r="AG235" s="491"/>
      <c r="AH235" s="491"/>
      <c r="AI235" s="482">
        <f t="shared" si="28"/>
        <v>2</v>
      </c>
      <c r="AJ235" s="463" t="e">
        <f>+VLOOKUP(R235,'Base Material'!B:D,3,FALSE)</f>
        <v>#N/A</v>
      </c>
      <c r="AK235" s="464" t="e">
        <f t="shared" si="25"/>
        <v>#N/A</v>
      </c>
    </row>
    <row r="236" spans="2:37" s="435" customFormat="1" x14ac:dyDescent="0.25">
      <c r="B236" s="433"/>
      <c r="N236" s="434"/>
      <c r="O236" s="434"/>
      <c r="R236" s="488">
        <v>4600</v>
      </c>
      <c r="S236" s="461" t="s">
        <v>712</v>
      </c>
      <c r="T236" s="482" t="s">
        <v>995</v>
      </c>
      <c r="U236" s="482">
        <f t="shared" si="27"/>
        <v>1</v>
      </c>
      <c r="V236" s="489">
        <v>1</v>
      </c>
      <c r="W236" s="491"/>
      <c r="X236" s="491"/>
      <c r="Y236" s="491"/>
      <c r="Z236" s="491"/>
      <c r="AA236" s="491"/>
      <c r="AB236" s="491"/>
      <c r="AC236" s="491"/>
      <c r="AD236" s="491"/>
      <c r="AE236" s="491"/>
      <c r="AF236" s="491"/>
      <c r="AG236" s="491"/>
      <c r="AH236" s="491"/>
      <c r="AI236" s="482">
        <f t="shared" si="28"/>
        <v>1</v>
      </c>
      <c r="AJ236" s="463" t="e">
        <f>+VLOOKUP(R236,'Base Material'!B:D,3,FALSE)</f>
        <v>#N/A</v>
      </c>
      <c r="AK236" s="464" t="e">
        <f t="shared" si="25"/>
        <v>#N/A</v>
      </c>
    </row>
    <row r="237" spans="2:37" s="435" customFormat="1" x14ac:dyDescent="0.25">
      <c r="B237" s="433"/>
      <c r="N237" s="434"/>
      <c r="O237" s="434"/>
      <c r="R237" s="488">
        <v>4599</v>
      </c>
      <c r="S237" s="461" t="s">
        <v>712</v>
      </c>
      <c r="T237" s="482" t="s">
        <v>996</v>
      </c>
      <c r="U237" s="482">
        <f t="shared" si="27"/>
        <v>1</v>
      </c>
      <c r="V237" s="489">
        <v>4</v>
      </c>
      <c r="W237" s="491"/>
      <c r="X237" s="491"/>
      <c r="Y237" s="491"/>
      <c r="Z237" s="491"/>
      <c r="AA237" s="491"/>
      <c r="AB237" s="491"/>
      <c r="AC237" s="491"/>
      <c r="AD237" s="491"/>
      <c r="AE237" s="491"/>
      <c r="AF237" s="491"/>
      <c r="AG237" s="491"/>
      <c r="AH237" s="491"/>
      <c r="AI237" s="482">
        <f t="shared" si="28"/>
        <v>4</v>
      </c>
      <c r="AJ237" s="463" t="e">
        <f>+VLOOKUP(R237,'Base Material'!B:D,3,FALSE)</f>
        <v>#N/A</v>
      </c>
      <c r="AK237" s="464" t="e">
        <f t="shared" si="25"/>
        <v>#N/A</v>
      </c>
    </row>
    <row r="238" spans="2:37" s="435" customFormat="1" x14ac:dyDescent="0.25">
      <c r="B238" s="433"/>
      <c r="N238" s="434"/>
      <c r="O238" s="434"/>
      <c r="R238" s="488">
        <v>3336</v>
      </c>
      <c r="S238" s="461" t="s">
        <v>712</v>
      </c>
      <c r="T238" s="482" t="s">
        <v>997</v>
      </c>
      <c r="U238" s="482">
        <f t="shared" si="27"/>
        <v>1</v>
      </c>
      <c r="V238" s="489">
        <v>1</v>
      </c>
      <c r="W238" s="491"/>
      <c r="X238" s="491"/>
      <c r="Y238" s="491"/>
      <c r="Z238" s="491"/>
      <c r="AA238" s="491"/>
      <c r="AB238" s="491"/>
      <c r="AC238" s="491"/>
      <c r="AD238" s="491"/>
      <c r="AE238" s="491"/>
      <c r="AF238" s="491"/>
      <c r="AG238" s="491"/>
      <c r="AH238" s="491"/>
      <c r="AI238" s="482">
        <f t="shared" si="28"/>
        <v>1</v>
      </c>
      <c r="AJ238" s="463" t="e">
        <f>+VLOOKUP(R238,'Base Material'!B:D,3,FALSE)</f>
        <v>#N/A</v>
      </c>
      <c r="AK238" s="464" t="e">
        <f t="shared" si="25"/>
        <v>#N/A</v>
      </c>
    </row>
    <row r="239" spans="2:37" s="435" customFormat="1" x14ac:dyDescent="0.25">
      <c r="B239" s="433"/>
      <c r="N239" s="434"/>
      <c r="O239" s="434"/>
      <c r="R239" s="488">
        <v>3332</v>
      </c>
      <c r="S239" s="461" t="s">
        <v>712</v>
      </c>
      <c r="T239" s="482" t="s">
        <v>998</v>
      </c>
      <c r="U239" s="482">
        <f t="shared" si="27"/>
        <v>1</v>
      </c>
      <c r="V239" s="489">
        <v>1</v>
      </c>
      <c r="W239" s="491"/>
      <c r="X239" s="491"/>
      <c r="Y239" s="491"/>
      <c r="Z239" s="491"/>
      <c r="AA239" s="491"/>
      <c r="AB239" s="491"/>
      <c r="AC239" s="491"/>
      <c r="AD239" s="491"/>
      <c r="AE239" s="491"/>
      <c r="AF239" s="491"/>
      <c r="AG239" s="491"/>
      <c r="AH239" s="491"/>
      <c r="AI239" s="482">
        <f t="shared" si="28"/>
        <v>1</v>
      </c>
      <c r="AJ239" s="463">
        <f>+VLOOKUP(R239,'Base Material'!B:D,3,FALSE)</f>
        <v>2904.3</v>
      </c>
      <c r="AK239" s="464">
        <f t="shared" si="25"/>
        <v>2904.3</v>
      </c>
    </row>
    <row r="240" spans="2:37" s="435" customFormat="1" x14ac:dyDescent="0.25">
      <c r="B240" s="433"/>
      <c r="N240" s="434"/>
      <c r="O240" s="434"/>
      <c r="R240" s="488">
        <v>3334</v>
      </c>
      <c r="S240" s="461" t="s">
        <v>712</v>
      </c>
      <c r="T240" s="482" t="s">
        <v>999</v>
      </c>
      <c r="U240" s="482">
        <f t="shared" si="27"/>
        <v>1</v>
      </c>
      <c r="V240" s="489">
        <v>1</v>
      </c>
      <c r="W240" s="491"/>
      <c r="X240" s="491"/>
      <c r="Y240" s="491"/>
      <c r="Z240" s="491"/>
      <c r="AA240" s="491"/>
      <c r="AB240" s="491"/>
      <c r="AC240" s="491"/>
      <c r="AD240" s="491"/>
      <c r="AE240" s="491"/>
      <c r="AF240" s="491"/>
      <c r="AG240" s="491"/>
      <c r="AH240" s="491"/>
      <c r="AI240" s="482">
        <f t="shared" si="28"/>
        <v>1</v>
      </c>
      <c r="AJ240" s="463" t="e">
        <f>+VLOOKUP(R240,'Base Material'!B:D,3,FALSE)</f>
        <v>#N/A</v>
      </c>
      <c r="AK240" s="464" t="e">
        <f t="shared" si="25"/>
        <v>#N/A</v>
      </c>
    </row>
    <row r="241" spans="2:37" s="435" customFormat="1" x14ac:dyDescent="0.25">
      <c r="B241" s="433"/>
      <c r="N241" s="434"/>
      <c r="O241" s="434"/>
      <c r="R241" s="488">
        <v>4528</v>
      </c>
      <c r="S241" s="461" t="s">
        <v>712</v>
      </c>
      <c r="T241" s="482" t="s">
        <v>993</v>
      </c>
      <c r="U241" s="482">
        <f t="shared" si="27"/>
        <v>1</v>
      </c>
      <c r="V241" s="489">
        <v>2</v>
      </c>
      <c r="W241" s="491"/>
      <c r="X241" s="491"/>
      <c r="Y241" s="491"/>
      <c r="Z241" s="491"/>
      <c r="AA241" s="491"/>
      <c r="AB241" s="491"/>
      <c r="AC241" s="491"/>
      <c r="AD241" s="491"/>
      <c r="AE241" s="491"/>
      <c r="AF241" s="491"/>
      <c r="AG241" s="491"/>
      <c r="AH241" s="491"/>
      <c r="AI241" s="482">
        <f t="shared" si="28"/>
        <v>2</v>
      </c>
      <c r="AJ241" s="463" t="e">
        <f>+VLOOKUP(R241,'Base Material'!B:D,3,FALSE)</f>
        <v>#N/A</v>
      </c>
      <c r="AK241" s="464" t="e">
        <f t="shared" si="25"/>
        <v>#N/A</v>
      </c>
    </row>
    <row r="242" spans="2:37" s="435" customFormat="1" x14ac:dyDescent="0.25">
      <c r="B242" s="433"/>
      <c r="N242" s="434"/>
      <c r="O242" s="434"/>
      <c r="R242" s="488">
        <v>31901</v>
      </c>
      <c r="S242" s="461" t="s">
        <v>712</v>
      </c>
      <c r="T242" s="482" t="s">
        <v>1000</v>
      </c>
      <c r="U242" s="482">
        <f t="shared" si="27"/>
        <v>1</v>
      </c>
      <c r="V242" s="489">
        <v>1</v>
      </c>
      <c r="W242" s="491"/>
      <c r="X242" s="491"/>
      <c r="Y242" s="491"/>
      <c r="Z242" s="491"/>
      <c r="AA242" s="491"/>
      <c r="AB242" s="491"/>
      <c r="AC242" s="491"/>
      <c r="AD242" s="491"/>
      <c r="AE242" s="491"/>
      <c r="AF242" s="491"/>
      <c r="AG242" s="491"/>
      <c r="AH242" s="491"/>
      <c r="AI242" s="482">
        <f t="shared" si="28"/>
        <v>1</v>
      </c>
      <c r="AJ242" s="463" t="e">
        <f>+VLOOKUP(R242,'Base Material'!B:D,3,FALSE)</f>
        <v>#N/A</v>
      </c>
      <c r="AK242" s="464" t="e">
        <f t="shared" si="25"/>
        <v>#N/A</v>
      </c>
    </row>
    <row r="243" spans="2:37" s="435" customFormat="1" x14ac:dyDescent="0.25">
      <c r="B243" s="433"/>
      <c r="N243" s="434"/>
      <c r="O243" s="434"/>
      <c r="R243" s="488">
        <v>14697</v>
      </c>
      <c r="S243" s="461" t="s">
        <v>712</v>
      </c>
      <c r="T243" s="482" t="s">
        <v>1001</v>
      </c>
      <c r="U243" s="482">
        <f t="shared" si="27"/>
        <v>1</v>
      </c>
      <c r="V243" s="489">
        <v>8</v>
      </c>
      <c r="W243" s="491"/>
      <c r="X243" s="491"/>
      <c r="Y243" s="491"/>
      <c r="Z243" s="491"/>
      <c r="AA243" s="491"/>
      <c r="AB243" s="491"/>
      <c r="AC243" s="491"/>
      <c r="AD243" s="491"/>
      <c r="AE243" s="491"/>
      <c r="AF243" s="491"/>
      <c r="AG243" s="491"/>
      <c r="AH243" s="491"/>
      <c r="AI243" s="482">
        <f t="shared" si="28"/>
        <v>8</v>
      </c>
      <c r="AJ243" s="463" t="e">
        <f>+VLOOKUP(R243,'Base Material'!B:D,3,FALSE)</f>
        <v>#N/A</v>
      </c>
      <c r="AK243" s="464" t="e">
        <f t="shared" si="25"/>
        <v>#N/A</v>
      </c>
    </row>
    <row r="244" spans="2:37" s="435" customFormat="1" x14ac:dyDescent="0.25">
      <c r="B244" s="433"/>
      <c r="N244" s="434"/>
      <c r="O244" s="434"/>
      <c r="R244" s="488">
        <v>4240</v>
      </c>
      <c r="S244" s="461" t="s">
        <v>712</v>
      </c>
      <c r="T244" s="482" t="s">
        <v>1002</v>
      </c>
      <c r="U244" s="482">
        <f t="shared" si="27"/>
        <v>1</v>
      </c>
      <c r="V244" s="489">
        <v>5</v>
      </c>
      <c r="W244" s="491"/>
      <c r="X244" s="491"/>
      <c r="Y244" s="491"/>
      <c r="Z244" s="491"/>
      <c r="AA244" s="491"/>
      <c r="AB244" s="491"/>
      <c r="AC244" s="491"/>
      <c r="AD244" s="491"/>
      <c r="AE244" s="491"/>
      <c r="AF244" s="491"/>
      <c r="AG244" s="491"/>
      <c r="AH244" s="491"/>
      <c r="AI244" s="482">
        <f t="shared" si="28"/>
        <v>5</v>
      </c>
      <c r="AJ244" s="463">
        <f>+VLOOKUP(R244,'Base Material'!B:D,3,FALSE)</f>
        <v>1877.26</v>
      </c>
      <c r="AK244" s="464">
        <f t="shared" si="25"/>
        <v>9386.3</v>
      </c>
    </row>
    <row r="245" spans="2:37" s="435" customFormat="1" x14ac:dyDescent="0.25">
      <c r="B245" s="433"/>
      <c r="N245" s="434"/>
      <c r="O245" s="434"/>
      <c r="R245" s="488">
        <v>4241</v>
      </c>
      <c r="S245" s="461" t="s">
        <v>712</v>
      </c>
      <c r="T245" s="482" t="s">
        <v>1003</v>
      </c>
      <c r="U245" s="482">
        <f t="shared" si="27"/>
        <v>1</v>
      </c>
      <c r="V245" s="489">
        <v>5</v>
      </c>
      <c r="W245" s="491"/>
      <c r="X245" s="491"/>
      <c r="Y245" s="491"/>
      <c r="Z245" s="491"/>
      <c r="AA245" s="491"/>
      <c r="AB245" s="491"/>
      <c r="AC245" s="491"/>
      <c r="AD245" s="491"/>
      <c r="AE245" s="491"/>
      <c r="AF245" s="491"/>
      <c r="AG245" s="491"/>
      <c r="AH245" s="491"/>
      <c r="AI245" s="482">
        <f t="shared" si="28"/>
        <v>5</v>
      </c>
      <c r="AJ245" s="463">
        <f>+VLOOKUP(R245,'Base Material'!B:D,3,FALSE)</f>
        <v>2662.86</v>
      </c>
      <c r="AK245" s="464">
        <f t="shared" si="25"/>
        <v>13314.300000000001</v>
      </c>
    </row>
    <row r="246" spans="2:37" s="435" customFormat="1" x14ac:dyDescent="0.25">
      <c r="B246" s="433"/>
      <c r="N246" s="434"/>
      <c r="O246" s="434"/>
      <c r="R246" s="488">
        <v>4242</v>
      </c>
      <c r="S246" s="461" t="s">
        <v>712</v>
      </c>
      <c r="T246" s="482" t="s">
        <v>1004</v>
      </c>
      <c r="U246" s="482">
        <f t="shared" si="27"/>
        <v>1</v>
      </c>
      <c r="V246" s="489">
        <v>5</v>
      </c>
      <c r="W246" s="491"/>
      <c r="X246" s="491"/>
      <c r="Y246" s="491"/>
      <c r="Z246" s="491"/>
      <c r="AA246" s="491"/>
      <c r="AB246" s="491"/>
      <c r="AC246" s="491"/>
      <c r="AD246" s="491"/>
      <c r="AE246" s="491"/>
      <c r="AF246" s="491"/>
      <c r="AG246" s="491"/>
      <c r="AH246" s="491"/>
      <c r="AI246" s="482">
        <f t="shared" si="28"/>
        <v>5</v>
      </c>
      <c r="AJ246" s="463">
        <f>+VLOOKUP(R246,'Base Material'!B:D,3,FALSE)</f>
        <v>3132.17</v>
      </c>
      <c r="AK246" s="464">
        <f t="shared" si="25"/>
        <v>15660.85</v>
      </c>
    </row>
    <row r="247" spans="2:37" s="435" customFormat="1" x14ac:dyDescent="0.25">
      <c r="B247" s="433"/>
      <c r="N247" s="434"/>
      <c r="O247" s="434"/>
      <c r="R247" s="488">
        <v>4247</v>
      </c>
      <c r="S247" s="461" t="s">
        <v>712</v>
      </c>
      <c r="T247" s="482" t="s">
        <v>1005</v>
      </c>
      <c r="U247" s="482">
        <f t="shared" si="27"/>
        <v>1</v>
      </c>
      <c r="V247" s="489">
        <v>2</v>
      </c>
      <c r="W247" s="491"/>
      <c r="X247" s="491"/>
      <c r="Y247" s="491"/>
      <c r="Z247" s="491"/>
      <c r="AA247" s="491"/>
      <c r="AB247" s="491"/>
      <c r="AC247" s="491"/>
      <c r="AD247" s="491"/>
      <c r="AE247" s="491"/>
      <c r="AF247" s="491"/>
      <c r="AG247" s="491"/>
      <c r="AH247" s="491"/>
      <c r="AI247" s="482">
        <f t="shared" si="28"/>
        <v>2</v>
      </c>
      <c r="AJ247" s="463">
        <f>+VLOOKUP(R247,'Base Material'!B:D,3,FALSE)</f>
        <v>989.6</v>
      </c>
      <c r="AK247" s="464">
        <f t="shared" si="25"/>
        <v>1979.2</v>
      </c>
    </row>
    <row r="248" spans="2:37" s="435" customFormat="1" x14ac:dyDescent="0.25">
      <c r="B248" s="433"/>
      <c r="N248" s="434"/>
      <c r="O248" s="434"/>
      <c r="R248" s="488">
        <v>4248</v>
      </c>
      <c r="S248" s="461" t="s">
        <v>712</v>
      </c>
      <c r="T248" s="482" t="s">
        <v>1006</v>
      </c>
      <c r="U248" s="482">
        <f t="shared" si="27"/>
        <v>1</v>
      </c>
      <c r="V248" s="489">
        <v>2</v>
      </c>
      <c r="W248" s="491"/>
      <c r="X248" s="491"/>
      <c r="Y248" s="491"/>
      <c r="Z248" s="491"/>
      <c r="AA248" s="491"/>
      <c r="AB248" s="491"/>
      <c r="AC248" s="491"/>
      <c r="AD248" s="491"/>
      <c r="AE248" s="491"/>
      <c r="AF248" s="491"/>
      <c r="AG248" s="491"/>
      <c r="AH248" s="491"/>
      <c r="AI248" s="482">
        <f t="shared" si="28"/>
        <v>2</v>
      </c>
      <c r="AJ248" s="463">
        <f>+VLOOKUP(R248,'Base Material'!B:D,3,FALSE)</f>
        <v>1877.21</v>
      </c>
      <c r="AK248" s="464">
        <f t="shared" si="25"/>
        <v>3754.42</v>
      </c>
    </row>
    <row r="249" spans="2:37" s="435" customFormat="1" x14ac:dyDescent="0.25">
      <c r="B249" s="433"/>
      <c r="N249" s="434"/>
      <c r="O249" s="434"/>
      <c r="R249" s="488">
        <v>4692</v>
      </c>
      <c r="S249" s="461" t="s">
        <v>712</v>
      </c>
      <c r="T249" s="482" t="s">
        <v>1007</v>
      </c>
      <c r="U249" s="482">
        <f t="shared" si="27"/>
        <v>1</v>
      </c>
      <c r="V249" s="489">
        <v>2</v>
      </c>
      <c r="W249" s="491"/>
      <c r="X249" s="491"/>
      <c r="Y249" s="491"/>
      <c r="Z249" s="491"/>
      <c r="AA249" s="491"/>
      <c r="AB249" s="491"/>
      <c r="AC249" s="491"/>
      <c r="AD249" s="491"/>
      <c r="AE249" s="491"/>
      <c r="AF249" s="491"/>
      <c r="AG249" s="491"/>
      <c r="AH249" s="491"/>
      <c r="AI249" s="482">
        <f t="shared" si="28"/>
        <v>2</v>
      </c>
      <c r="AJ249" s="463">
        <f>+VLOOKUP(R249,'Base Material'!B:D,3,FALSE)</f>
        <v>2346.51</v>
      </c>
      <c r="AK249" s="464">
        <f t="shared" si="25"/>
        <v>4693.02</v>
      </c>
    </row>
    <row r="250" spans="2:37" s="435" customFormat="1" x14ac:dyDescent="0.25">
      <c r="B250" s="433"/>
      <c r="N250" s="434"/>
      <c r="O250" s="434"/>
      <c r="R250" s="488">
        <v>4244</v>
      </c>
      <c r="S250" s="461" t="s">
        <v>712</v>
      </c>
      <c r="T250" s="482" t="s">
        <v>1008</v>
      </c>
      <c r="U250" s="482">
        <f t="shared" si="27"/>
        <v>1</v>
      </c>
      <c r="V250" s="489">
        <v>1</v>
      </c>
      <c r="W250" s="491"/>
      <c r="X250" s="491"/>
      <c r="Y250" s="491"/>
      <c r="Z250" s="491"/>
      <c r="AA250" s="491"/>
      <c r="AB250" s="491"/>
      <c r="AC250" s="491"/>
      <c r="AD250" s="491"/>
      <c r="AE250" s="491"/>
      <c r="AF250" s="491"/>
      <c r="AG250" s="491"/>
      <c r="AH250" s="491"/>
      <c r="AI250" s="482">
        <f t="shared" si="28"/>
        <v>1</v>
      </c>
      <c r="AJ250" s="463" t="e">
        <f>+VLOOKUP(R250,'Base Material'!B:D,3,FALSE)</f>
        <v>#N/A</v>
      </c>
      <c r="AK250" s="464" t="e">
        <f t="shared" si="25"/>
        <v>#N/A</v>
      </c>
    </row>
    <row r="251" spans="2:37" s="435" customFormat="1" x14ac:dyDescent="0.25">
      <c r="B251" s="433"/>
      <c r="N251" s="434"/>
      <c r="O251" s="434"/>
      <c r="R251" s="488">
        <v>4245</v>
      </c>
      <c r="S251" s="461" t="s">
        <v>712</v>
      </c>
      <c r="T251" s="482" t="s">
        <v>1009</v>
      </c>
      <c r="U251" s="482">
        <f t="shared" si="27"/>
        <v>1</v>
      </c>
      <c r="V251" s="489">
        <v>1</v>
      </c>
      <c r="W251" s="491"/>
      <c r="X251" s="491"/>
      <c r="Y251" s="491"/>
      <c r="Z251" s="491"/>
      <c r="AA251" s="491"/>
      <c r="AB251" s="491"/>
      <c r="AC251" s="491"/>
      <c r="AD251" s="491"/>
      <c r="AE251" s="491"/>
      <c r="AF251" s="491"/>
      <c r="AG251" s="491"/>
      <c r="AH251" s="491"/>
      <c r="AI251" s="482">
        <f t="shared" si="28"/>
        <v>1</v>
      </c>
      <c r="AJ251" s="463" t="e">
        <f>+VLOOKUP(R251,'Base Material'!B:D,3,FALSE)</f>
        <v>#N/A</v>
      </c>
      <c r="AK251" s="464" t="e">
        <f t="shared" si="25"/>
        <v>#N/A</v>
      </c>
    </row>
    <row r="252" spans="2:37" s="435" customFormat="1" x14ac:dyDescent="0.25">
      <c r="B252" s="433"/>
      <c r="N252" s="434"/>
      <c r="O252" s="434"/>
      <c r="R252" s="488">
        <v>4683</v>
      </c>
      <c r="S252" s="461" t="s">
        <v>712</v>
      </c>
      <c r="T252" s="482" t="s">
        <v>1010</v>
      </c>
      <c r="U252" s="482">
        <f t="shared" si="27"/>
        <v>1</v>
      </c>
      <c r="V252" s="489">
        <v>1</v>
      </c>
      <c r="W252" s="491"/>
      <c r="X252" s="491"/>
      <c r="Y252" s="491"/>
      <c r="Z252" s="491"/>
      <c r="AA252" s="491"/>
      <c r="AB252" s="491"/>
      <c r="AC252" s="491"/>
      <c r="AD252" s="491"/>
      <c r="AE252" s="491"/>
      <c r="AF252" s="491"/>
      <c r="AG252" s="491"/>
      <c r="AH252" s="491"/>
      <c r="AI252" s="482">
        <f t="shared" si="28"/>
        <v>1</v>
      </c>
      <c r="AJ252" s="463" t="e">
        <f>+VLOOKUP(R252,'Base Material'!B:D,3,FALSE)</f>
        <v>#N/A</v>
      </c>
      <c r="AK252" s="464" t="e">
        <f t="shared" si="25"/>
        <v>#N/A</v>
      </c>
    </row>
    <row r="253" spans="2:37" s="435" customFormat="1" x14ac:dyDescent="0.25">
      <c r="B253" s="433"/>
      <c r="N253" s="434"/>
      <c r="O253" s="434"/>
      <c r="R253" s="488">
        <v>10545</v>
      </c>
      <c r="S253" s="461" t="s">
        <v>712</v>
      </c>
      <c r="T253" s="482" t="s">
        <v>1011</v>
      </c>
      <c r="U253" s="482">
        <f t="shared" si="27"/>
        <v>1</v>
      </c>
      <c r="V253" s="489">
        <v>4</v>
      </c>
      <c r="W253" s="491"/>
      <c r="X253" s="491"/>
      <c r="Y253" s="491"/>
      <c r="Z253" s="491"/>
      <c r="AA253" s="491"/>
      <c r="AB253" s="491"/>
      <c r="AC253" s="491"/>
      <c r="AD253" s="491"/>
      <c r="AE253" s="491"/>
      <c r="AF253" s="491"/>
      <c r="AG253" s="491"/>
      <c r="AH253" s="491"/>
      <c r="AI253" s="482">
        <f t="shared" si="28"/>
        <v>4</v>
      </c>
      <c r="AJ253" s="463" t="e">
        <f>+VLOOKUP(R253,'Base Material'!B:D,3,FALSE)</f>
        <v>#N/A</v>
      </c>
      <c r="AK253" s="464" t="e">
        <f t="shared" si="25"/>
        <v>#N/A</v>
      </c>
    </row>
    <row r="254" spans="2:54" s="435" customFormat="1" x14ac:dyDescent="0.25">
      <c r="B254" s="433"/>
      <c r="N254" s="434"/>
      <c r="O254" s="434"/>
      <c r="R254" s="488">
        <v>12239</v>
      </c>
      <c r="S254" s="461" t="s">
        <v>712</v>
      </c>
      <c r="T254" s="482" t="s">
        <v>942</v>
      </c>
      <c r="U254" s="482">
        <f t="shared" si="27"/>
        <v>1</v>
      </c>
      <c r="V254" s="489">
        <v>300</v>
      </c>
      <c r="W254" s="491"/>
      <c r="X254" s="491"/>
      <c r="Y254" s="491"/>
      <c r="Z254" s="491"/>
      <c r="AA254" s="491"/>
      <c r="AB254" s="491"/>
      <c r="AC254" s="491"/>
      <c r="AD254" s="491"/>
      <c r="AE254" s="491"/>
      <c r="AF254" s="491"/>
      <c r="AG254" s="491"/>
      <c r="AH254" s="491"/>
      <c r="AI254" s="482"/>
      <c r="AJ254" s="463" t="e">
        <f>+VLOOKUP(R254,'Base Material'!B:D,3,FALSE)</f>
        <v>#N/A</v>
      </c>
      <c r="AK254" s="464" t="e">
        <f t="shared" si="25"/>
        <v>#N/A</v>
      </c>
      <c r="AZ254" s="435">
        <v>1001</v>
      </c>
      <c r="BA254" s="435" t="e">
        <v>#N/A</v>
      </c>
      <c r="BB254" s="435" t="e">
        <v>#N/A</v>
      </c>
    </row>
    <row r="255" spans="2:37" s="435" customFormat="1" x14ac:dyDescent="0.25">
      <c r="B255" s="433"/>
      <c r="N255" s="434"/>
      <c r="O255" s="434"/>
      <c r="R255" s="488">
        <v>31629</v>
      </c>
      <c r="S255" s="461" t="s">
        <v>712</v>
      </c>
      <c r="T255" s="482" t="s">
        <v>1012</v>
      </c>
      <c r="U255" s="482">
        <f t="shared" si="27"/>
        <v>1</v>
      </c>
      <c r="V255" s="489">
        <v>1</v>
      </c>
      <c r="W255" s="491"/>
      <c r="X255" s="491"/>
      <c r="Y255" s="491"/>
      <c r="Z255" s="491"/>
      <c r="AA255" s="491"/>
      <c r="AB255" s="491"/>
      <c r="AC255" s="491"/>
      <c r="AD255" s="491"/>
      <c r="AE255" s="491"/>
      <c r="AF255" s="491"/>
      <c r="AG255" s="491"/>
      <c r="AH255" s="491"/>
      <c r="AI255" s="482">
        <f t="shared" si="28"/>
        <v>1</v>
      </c>
      <c r="AJ255" s="463" t="e">
        <f>+VLOOKUP(R255,'Base Material'!B:D,3,FALSE)</f>
        <v>#N/A</v>
      </c>
      <c r="AK255" s="464" t="e">
        <f t="shared" ref="AK255:AK271" si="29">+AJ255*AI255</f>
        <v>#N/A</v>
      </c>
    </row>
    <row r="256" spans="2:37" s="435" customFormat="1" x14ac:dyDescent="0.25">
      <c r="B256" s="433"/>
      <c r="N256" s="434"/>
      <c r="O256" s="434"/>
      <c r="R256" s="488">
        <v>27255</v>
      </c>
      <c r="S256" s="461" t="s">
        <v>712</v>
      </c>
      <c r="T256" s="482" t="s">
        <v>1013</v>
      </c>
      <c r="U256" s="482">
        <f t="shared" si="27"/>
        <v>1</v>
      </c>
      <c r="V256" s="489">
        <v>1</v>
      </c>
      <c r="W256" s="491"/>
      <c r="X256" s="491"/>
      <c r="Y256" s="491"/>
      <c r="Z256" s="491"/>
      <c r="AA256" s="491"/>
      <c r="AB256" s="491"/>
      <c r="AC256" s="491"/>
      <c r="AD256" s="491"/>
      <c r="AE256" s="491"/>
      <c r="AF256" s="491"/>
      <c r="AG256" s="491"/>
      <c r="AH256" s="491"/>
      <c r="AI256" s="482">
        <f t="shared" si="28"/>
        <v>1</v>
      </c>
      <c r="AJ256" s="463">
        <f>+VLOOKUP(R256,'Base Material'!B:D,3,FALSE)</f>
        <v>2755.38</v>
      </c>
      <c r="AK256" s="464">
        <f t="shared" si="29"/>
        <v>2755.38</v>
      </c>
    </row>
    <row r="257" spans="2:37" s="435" customFormat="1" x14ac:dyDescent="0.25">
      <c r="B257" s="433"/>
      <c r="N257" s="434"/>
      <c r="O257" s="434"/>
      <c r="R257" s="488">
        <v>801</v>
      </c>
      <c r="S257" s="461" t="s">
        <v>712</v>
      </c>
      <c r="T257" s="482" t="s">
        <v>1014</v>
      </c>
      <c r="U257" s="482">
        <f t="shared" si="27"/>
        <v>1</v>
      </c>
      <c r="V257" s="489">
        <v>2</v>
      </c>
      <c r="W257" s="491"/>
      <c r="X257" s="491"/>
      <c r="Y257" s="491"/>
      <c r="Z257" s="491"/>
      <c r="AA257" s="491"/>
      <c r="AB257" s="491"/>
      <c r="AC257" s="491"/>
      <c r="AD257" s="491"/>
      <c r="AE257" s="491"/>
      <c r="AF257" s="491"/>
      <c r="AG257" s="491"/>
      <c r="AH257" s="491"/>
      <c r="AI257" s="482">
        <f t="shared" si="28"/>
        <v>2</v>
      </c>
      <c r="AJ257" s="463">
        <f>+VLOOKUP(R257,'Base Material'!B:D,3,FALSE)</f>
        <v>6245.82</v>
      </c>
      <c r="AK257" s="464">
        <f t="shared" si="29"/>
        <v>12491.64</v>
      </c>
    </row>
    <row r="258" spans="2:37" s="435" customFormat="1" x14ac:dyDescent="0.25">
      <c r="B258" s="433"/>
      <c r="N258" s="434"/>
      <c r="O258" s="434"/>
      <c r="R258" s="488">
        <v>17512</v>
      </c>
      <c r="S258" s="461" t="s">
        <v>712</v>
      </c>
      <c r="T258" s="482" t="s">
        <v>1015</v>
      </c>
      <c r="U258" s="482">
        <f t="shared" si="27"/>
        <v>1</v>
      </c>
      <c r="V258" s="489">
        <v>1</v>
      </c>
      <c r="W258" s="491"/>
      <c r="X258" s="491"/>
      <c r="Y258" s="491"/>
      <c r="Z258" s="491"/>
      <c r="AA258" s="491"/>
      <c r="AB258" s="491"/>
      <c r="AC258" s="491"/>
      <c r="AD258" s="491"/>
      <c r="AE258" s="491"/>
      <c r="AF258" s="491"/>
      <c r="AG258" s="491"/>
      <c r="AH258" s="491"/>
      <c r="AI258" s="482">
        <f t="shared" si="28"/>
        <v>1</v>
      </c>
      <c r="AJ258" s="463" t="e">
        <f>+VLOOKUP(R258,'Base Material'!B:D,3,FALSE)</f>
        <v>#N/A</v>
      </c>
      <c r="AK258" s="464" t="e">
        <f t="shared" si="29"/>
        <v>#N/A</v>
      </c>
    </row>
    <row r="259" spans="2:37" s="435" customFormat="1" x14ac:dyDescent="0.25">
      <c r="B259" s="433"/>
      <c r="N259" s="434"/>
      <c r="O259" s="434"/>
      <c r="R259" s="488">
        <v>14789</v>
      </c>
      <c r="S259" s="461" t="s">
        <v>712</v>
      </c>
      <c r="T259" s="482" t="s">
        <v>1016</v>
      </c>
      <c r="U259" s="482">
        <f t="shared" si="27"/>
        <v>1</v>
      </c>
      <c r="V259" s="489">
        <v>4</v>
      </c>
      <c r="W259" s="491"/>
      <c r="X259" s="491"/>
      <c r="Y259" s="491"/>
      <c r="Z259" s="491"/>
      <c r="AA259" s="491"/>
      <c r="AB259" s="491"/>
      <c r="AC259" s="491"/>
      <c r="AD259" s="491"/>
      <c r="AE259" s="491"/>
      <c r="AF259" s="491"/>
      <c r="AG259" s="491"/>
      <c r="AH259" s="491"/>
      <c r="AI259" s="482">
        <f t="shared" si="28"/>
        <v>4</v>
      </c>
      <c r="AJ259" s="463" t="e">
        <f>+VLOOKUP(R259,'Base Material'!B:D,3,FALSE)</f>
        <v>#N/A</v>
      </c>
      <c r="AK259" s="464" t="e">
        <f t="shared" si="29"/>
        <v>#N/A</v>
      </c>
    </row>
    <row r="260" spans="2:37" s="435" customFormat="1" x14ac:dyDescent="0.25">
      <c r="B260" s="433"/>
      <c r="N260" s="434"/>
      <c r="O260" s="434"/>
      <c r="R260" s="488">
        <v>18501</v>
      </c>
      <c r="S260" s="461" t="s">
        <v>712</v>
      </c>
      <c r="T260" s="482" t="s">
        <v>1017</v>
      </c>
      <c r="U260" s="482">
        <v>1</v>
      </c>
      <c r="V260" s="489">
        <v>2</v>
      </c>
      <c r="W260" s="491"/>
      <c r="X260" s="491"/>
      <c r="Y260" s="491"/>
      <c r="Z260" s="491"/>
      <c r="AA260" s="491"/>
      <c r="AB260" s="491"/>
      <c r="AC260" s="491"/>
      <c r="AD260" s="491"/>
      <c r="AE260" s="491"/>
      <c r="AF260" s="491"/>
      <c r="AG260" s="491"/>
      <c r="AH260" s="491"/>
      <c r="AI260" s="482">
        <f t="shared" si="28"/>
        <v>2</v>
      </c>
      <c r="AJ260" s="463" t="e">
        <f>+VLOOKUP(R260,'Base Material'!B:D,3,FALSE)</f>
        <v>#N/A</v>
      </c>
      <c r="AK260" s="464" t="e">
        <f t="shared" si="29"/>
        <v>#N/A</v>
      </c>
    </row>
    <row r="261" spans="2:37" s="435" customFormat="1" x14ac:dyDescent="0.25">
      <c r="B261" s="433"/>
      <c r="N261" s="434"/>
      <c r="O261" s="434"/>
      <c r="R261" s="488">
        <v>14780</v>
      </c>
      <c r="S261" s="461" t="s">
        <v>712</v>
      </c>
      <c r="T261" s="482" t="s">
        <v>1018</v>
      </c>
      <c r="U261" s="482">
        <v>1</v>
      </c>
      <c r="V261" s="489">
        <v>4</v>
      </c>
      <c r="W261" s="491"/>
      <c r="X261" s="491"/>
      <c r="Y261" s="491"/>
      <c r="Z261" s="491"/>
      <c r="AA261" s="491"/>
      <c r="AB261" s="491"/>
      <c r="AC261" s="491"/>
      <c r="AD261" s="491"/>
      <c r="AE261" s="491"/>
      <c r="AF261" s="491"/>
      <c r="AG261" s="491"/>
      <c r="AH261" s="491"/>
      <c r="AI261" s="482">
        <f t="shared" si="28"/>
        <v>4</v>
      </c>
      <c r="AJ261" s="463" t="e">
        <f>+VLOOKUP(R261,'Base Material'!B:D,3,FALSE)</f>
        <v>#N/A</v>
      </c>
      <c r="AK261" s="464" t="e">
        <f t="shared" si="29"/>
        <v>#N/A</v>
      </c>
    </row>
    <row r="262" spans="2:37" s="435" customFormat="1" x14ac:dyDescent="0.25">
      <c r="B262" s="433"/>
      <c r="N262" s="434"/>
      <c r="O262" s="434"/>
      <c r="R262" s="488">
        <v>18439</v>
      </c>
      <c r="S262" s="461" t="s">
        <v>712</v>
      </c>
      <c r="T262" s="482" t="s">
        <v>1019</v>
      </c>
      <c r="U262" s="482">
        <v>1</v>
      </c>
      <c r="V262" s="489">
        <v>12</v>
      </c>
      <c r="W262" s="491"/>
      <c r="X262" s="491"/>
      <c r="Y262" s="491"/>
      <c r="Z262" s="491"/>
      <c r="AA262" s="491"/>
      <c r="AB262" s="491"/>
      <c r="AC262" s="491"/>
      <c r="AD262" s="491"/>
      <c r="AE262" s="491"/>
      <c r="AF262" s="491"/>
      <c r="AG262" s="491"/>
      <c r="AH262" s="491"/>
      <c r="AI262" s="482">
        <f t="shared" si="28"/>
        <v>12</v>
      </c>
      <c r="AJ262" s="463" t="e">
        <f>+VLOOKUP(R262,'Base Material'!B:D,3,FALSE)</f>
        <v>#N/A</v>
      </c>
      <c r="AK262" s="464" t="e">
        <f t="shared" si="29"/>
        <v>#N/A</v>
      </c>
    </row>
    <row r="263" spans="2:37" s="435" customFormat="1" x14ac:dyDescent="0.25">
      <c r="B263" s="433"/>
      <c r="N263" s="434"/>
      <c r="O263" s="434"/>
      <c r="R263" s="488">
        <v>18441</v>
      </c>
      <c r="S263" s="461" t="s">
        <v>712</v>
      </c>
      <c r="T263" s="482" t="s">
        <v>1020</v>
      </c>
      <c r="U263" s="482">
        <v>1</v>
      </c>
      <c r="V263" s="489">
        <v>5</v>
      </c>
      <c r="W263" s="491"/>
      <c r="X263" s="491"/>
      <c r="Y263" s="491"/>
      <c r="Z263" s="491"/>
      <c r="AA263" s="491"/>
      <c r="AB263" s="491"/>
      <c r="AC263" s="491"/>
      <c r="AD263" s="491"/>
      <c r="AE263" s="491"/>
      <c r="AF263" s="491"/>
      <c r="AG263" s="491"/>
      <c r="AH263" s="491"/>
      <c r="AI263" s="482">
        <f t="shared" si="28"/>
        <v>5</v>
      </c>
      <c r="AJ263" s="463" t="e">
        <f>+VLOOKUP(R263,'Base Material'!B:D,3,FALSE)</f>
        <v>#N/A</v>
      </c>
      <c r="AK263" s="464" t="e">
        <f t="shared" si="29"/>
        <v>#N/A</v>
      </c>
    </row>
    <row r="264" spans="2:37" s="435" customFormat="1" x14ac:dyDescent="0.25">
      <c r="B264" s="433"/>
      <c r="N264" s="434"/>
      <c r="O264" s="434"/>
      <c r="R264" s="488">
        <v>14807</v>
      </c>
      <c r="S264" s="461" t="s">
        <v>712</v>
      </c>
      <c r="T264" s="482" t="s">
        <v>1021</v>
      </c>
      <c r="U264" s="482">
        <v>1</v>
      </c>
      <c r="V264" s="489">
        <v>2</v>
      </c>
      <c r="W264" s="491"/>
      <c r="X264" s="491"/>
      <c r="Y264" s="491"/>
      <c r="Z264" s="491"/>
      <c r="AA264" s="491"/>
      <c r="AB264" s="491"/>
      <c r="AC264" s="491"/>
      <c r="AD264" s="491"/>
      <c r="AE264" s="491"/>
      <c r="AF264" s="491"/>
      <c r="AG264" s="491"/>
      <c r="AH264" s="491"/>
      <c r="AI264" s="482">
        <f t="shared" si="28"/>
        <v>2</v>
      </c>
      <c r="AJ264" s="463" t="e">
        <f>+VLOOKUP(R264,'Base Material'!B:D,3,FALSE)</f>
        <v>#N/A</v>
      </c>
      <c r="AK264" s="464" t="e">
        <f t="shared" si="29"/>
        <v>#N/A</v>
      </c>
    </row>
    <row r="265" spans="18:37" x14ac:dyDescent="0.25">
      <c r="R265" s="488">
        <v>1799</v>
      </c>
      <c r="S265" s="461" t="s">
        <v>712</v>
      </c>
      <c r="T265" s="482" t="s">
        <v>1022</v>
      </c>
      <c r="U265" s="482">
        <v>1</v>
      </c>
      <c r="V265" s="489">
        <v>3</v>
      </c>
      <c r="W265" s="491"/>
      <c r="X265" s="491"/>
      <c r="Y265" s="491"/>
      <c r="Z265" s="491"/>
      <c r="AA265" s="491"/>
      <c r="AB265" s="491"/>
      <c r="AC265" s="491"/>
      <c r="AD265" s="491"/>
      <c r="AE265" s="491"/>
      <c r="AF265" s="490"/>
      <c r="AG265" s="490"/>
      <c r="AH265" s="490"/>
      <c r="AI265" s="482">
        <f t="shared" si="28"/>
        <v>3</v>
      </c>
      <c r="AJ265" s="463" t="e">
        <f>+VLOOKUP(R265,'Base Material'!B:D,3,FALSE)</f>
        <v>#N/A</v>
      </c>
      <c r="AK265" s="464" t="e">
        <f t="shared" si="29"/>
        <v>#N/A</v>
      </c>
    </row>
    <row r="266" spans="18:37" x14ac:dyDescent="0.25">
      <c r="R266" s="488">
        <v>18527</v>
      </c>
      <c r="S266" s="461" t="s">
        <v>712</v>
      </c>
      <c r="T266" s="482" t="s">
        <v>1023</v>
      </c>
      <c r="U266" s="482">
        <v>1</v>
      </c>
      <c r="V266" s="489">
        <v>1</v>
      </c>
      <c r="W266" s="491"/>
      <c r="X266" s="491"/>
      <c r="Y266" s="491"/>
      <c r="Z266" s="491"/>
      <c r="AA266" s="491"/>
      <c r="AB266" s="491"/>
      <c r="AC266" s="491"/>
      <c r="AD266" s="491"/>
      <c r="AE266" s="491"/>
      <c r="AF266" s="490"/>
      <c r="AG266" s="490"/>
      <c r="AH266" s="490"/>
      <c r="AI266" s="482">
        <f t="shared" si="28"/>
        <v>1</v>
      </c>
      <c r="AJ266" s="463" t="e">
        <f>+VLOOKUP(R266,'Base Material'!B:D,3,FALSE)</f>
        <v>#N/A</v>
      </c>
      <c r="AK266" s="464" t="e">
        <f t="shared" si="29"/>
        <v>#N/A</v>
      </c>
    </row>
    <row r="267" spans="18:37" x14ac:dyDescent="0.25">
      <c r="R267" s="488">
        <v>4483</v>
      </c>
      <c r="S267" s="461" t="s">
        <v>712</v>
      </c>
      <c r="T267" s="482" t="s">
        <v>1024</v>
      </c>
      <c r="U267" s="482">
        <v>1</v>
      </c>
      <c r="V267" s="489">
        <v>1</v>
      </c>
      <c r="W267" s="491"/>
      <c r="X267" s="491"/>
      <c r="Y267" s="491"/>
      <c r="Z267" s="491"/>
      <c r="AA267" s="491"/>
      <c r="AB267" s="491"/>
      <c r="AC267" s="491"/>
      <c r="AD267" s="491"/>
      <c r="AE267" s="491"/>
      <c r="AF267" s="490"/>
      <c r="AG267" s="490"/>
      <c r="AH267" s="490"/>
      <c r="AI267" s="482">
        <f t="shared" si="28"/>
        <v>1</v>
      </c>
      <c r="AJ267" s="463" t="e">
        <f>+VLOOKUP(R267,'Base Material'!B:D,3,FALSE)</f>
        <v>#N/A</v>
      </c>
      <c r="AK267" s="464" t="e">
        <f t="shared" si="29"/>
        <v>#N/A</v>
      </c>
    </row>
    <row r="268" spans="18:37" x14ac:dyDescent="0.25">
      <c r="R268" s="488">
        <v>14819</v>
      </c>
      <c r="S268" s="461" t="s">
        <v>712</v>
      </c>
      <c r="T268" s="482" t="s">
        <v>1025</v>
      </c>
      <c r="U268" s="482">
        <v>1</v>
      </c>
      <c r="V268" s="489">
        <v>4</v>
      </c>
      <c r="W268" s="491"/>
      <c r="X268" s="491"/>
      <c r="Y268" s="491"/>
      <c r="Z268" s="491"/>
      <c r="AA268" s="491"/>
      <c r="AB268" s="491"/>
      <c r="AC268" s="491"/>
      <c r="AD268" s="491"/>
      <c r="AE268" s="491"/>
      <c r="AF268" s="490"/>
      <c r="AG268" s="490"/>
      <c r="AH268" s="490"/>
      <c r="AI268" s="482">
        <f t="shared" si="28"/>
        <v>4</v>
      </c>
      <c r="AJ268" s="463" t="e">
        <f>+VLOOKUP(R268,'Base Material'!B:D,3,FALSE)</f>
        <v>#N/A</v>
      </c>
      <c r="AK268" s="464" t="e">
        <f t="shared" si="29"/>
        <v>#N/A</v>
      </c>
    </row>
    <row r="269" spans="18:37" x14ac:dyDescent="0.25">
      <c r="R269" s="488">
        <v>18438</v>
      </c>
      <c r="S269" s="461" t="s">
        <v>712</v>
      </c>
      <c r="T269" s="482" t="s">
        <v>1026</v>
      </c>
      <c r="U269" s="482">
        <v>1</v>
      </c>
      <c r="V269" s="489">
        <v>4</v>
      </c>
      <c r="W269" s="491"/>
      <c r="X269" s="491"/>
      <c r="Y269" s="491"/>
      <c r="Z269" s="491"/>
      <c r="AA269" s="491"/>
      <c r="AB269" s="491"/>
      <c r="AC269" s="491"/>
      <c r="AD269" s="491"/>
      <c r="AE269" s="491"/>
      <c r="AF269" s="490"/>
      <c r="AG269" s="490"/>
      <c r="AH269" s="490"/>
      <c r="AI269" s="482">
        <f t="shared" si="28"/>
        <v>4</v>
      </c>
      <c r="AJ269" s="463" t="e">
        <f>+VLOOKUP(R269,'Base Material'!B:D,3,FALSE)</f>
        <v>#N/A</v>
      </c>
      <c r="AK269" s="464" t="e">
        <f t="shared" si="29"/>
        <v>#N/A</v>
      </c>
    </row>
    <row r="270" spans="18:37" x14ac:dyDescent="0.25">
      <c r="R270" s="488">
        <v>17563</v>
      </c>
      <c r="S270" s="461" t="s">
        <v>712</v>
      </c>
      <c r="T270" s="482" t="s">
        <v>1027</v>
      </c>
      <c r="U270" s="482">
        <v>1</v>
      </c>
      <c r="V270" s="489">
        <v>1</v>
      </c>
      <c r="W270" s="491"/>
      <c r="X270" s="491"/>
      <c r="Y270" s="491"/>
      <c r="Z270" s="491"/>
      <c r="AA270" s="491"/>
      <c r="AB270" s="491"/>
      <c r="AC270" s="491"/>
      <c r="AD270" s="491"/>
      <c r="AE270" s="491"/>
      <c r="AF270" s="490"/>
      <c r="AG270" s="490"/>
      <c r="AH270" s="490"/>
      <c r="AI270" s="482">
        <f t="shared" si="28"/>
        <v>1</v>
      </c>
      <c r="AJ270" s="463" t="e">
        <f>+VLOOKUP(R270,'Base Material'!B:D,3,FALSE)</f>
        <v>#N/A</v>
      </c>
      <c r="AK270" s="464" t="e">
        <f t="shared" si="29"/>
        <v>#N/A</v>
      </c>
    </row>
    <row r="271" spans="18:37" x14ac:dyDescent="0.25">
      <c r="R271" s="488">
        <v>14799</v>
      </c>
      <c r="S271" s="461" t="s">
        <v>712</v>
      </c>
      <c r="T271" s="482" t="s">
        <v>1028</v>
      </c>
      <c r="U271" s="482">
        <v>1</v>
      </c>
      <c r="V271" s="489">
        <v>1</v>
      </c>
      <c r="W271" s="491"/>
      <c r="X271" s="491"/>
      <c r="Y271" s="491"/>
      <c r="Z271" s="491"/>
      <c r="AA271" s="491"/>
      <c r="AB271" s="491"/>
      <c r="AC271" s="491"/>
      <c r="AD271" s="491"/>
      <c r="AE271" s="491"/>
      <c r="AF271" s="490"/>
      <c r="AG271" s="490"/>
      <c r="AH271" s="490"/>
      <c r="AI271" s="482">
        <f t="shared" si="28"/>
        <v>1</v>
      </c>
      <c r="AJ271" s="463" t="e">
        <f>+VLOOKUP(R271,'Base Material'!B:D,3,FALSE)</f>
        <v>#N/A</v>
      </c>
      <c r="AK271" s="464" t="e">
        <f t="shared" si="29"/>
        <v>#N/A</v>
      </c>
    </row>
  </sheetData>
  <sheetProtection sheet="1" algorithmName="SHA-512" hashValue="ouYtk5Yi+n9XR/y1//JINvjMTlGiUmLmJaK26/fZAKIIKW5hhpL3ZBjWGv5ZFrOcepYqlzSQN13UNyBHOpveag==" saltValue="wvWHUvbRVIzfnlrxmzDewA==" spinCount="100000" objects="1" scenarios="1"/>
  <pageMargins left="0.75" right="0" top="0.5" bottom="0.5" header="0.3" footer="0.3"/>
  <pageSetup paperSize="9" orientation="portrait" horizontalDpi="0" verticalDpi="0" scale="85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 zoomScale="167" zoomScaleNormal="100">
      <selection activeCell="G7" sqref="G7"/>
    </sheetView>
  </sheetViews>
  <sheetFormatPr defaultRowHeight="14.25" outlineLevelRow="0" outlineLevelCol="0" x14ac:dyDescent="0" customHeight="1"/>
  <cols>
    <col min="1" max="1" width="29" customWidth="1"/>
    <col min="2" max="2" width="9.875" customWidth="1"/>
    <col min="3" max="3" width="10.125" customWidth="1"/>
    <col min="4" max="4" width="10.5" customWidth="1"/>
    <col min="5" max="5" width="12.375" customWidth="1"/>
    <col min="6" max="6" width="20.875" customWidth="1"/>
    <col min="7" max="7" width="7.875" customWidth="1"/>
  </cols>
  <sheetData>
    <row r="2" ht="15" customHeight="1" spans="1:7" x14ac:dyDescent="0.25">
      <c r="A2" s="578" t="s">
        <v>1316</v>
      </c>
      <c r="B2" s="578" t="s">
        <v>1317</v>
      </c>
      <c r="C2" s="578" t="s">
        <v>1318</v>
      </c>
      <c r="D2" s="578" t="s">
        <v>1319</v>
      </c>
      <c r="E2" s="578" t="s">
        <v>1320</v>
      </c>
      <c r="F2" s="578" t="s">
        <v>1321</v>
      </c>
      <c r="G2" s="578" t="s">
        <v>534</v>
      </c>
    </row>
    <row r="3" ht="15.75" customHeight="1" spans="1:7" x14ac:dyDescent="0.25">
      <c r="A3" s="579" t="str">
        <f>'Informacion de Cotización'!P1</f>
        <v>CASSAFORMA+  LTN</v>
      </c>
      <c r="B3" s="580" t="s">
        <v>1322</v>
      </c>
      <c r="C3" s="580" t="s">
        <v>1322</v>
      </c>
      <c r="D3" s="581" t="s">
        <v>1323</v>
      </c>
      <c r="E3" s="581" t="s">
        <v>1323</v>
      </c>
      <c r="F3" s="582">
        <f>'Informacion de Cotización'!P12</f>
        <v>314.53600379733507</v>
      </c>
      <c r="G3" s="583">
        <f>F3*G4/F4</f>
        <v>0.9076765015954732</v>
      </c>
    </row>
    <row r="4" ht="15.75" customHeight="1" spans="1:7" x14ac:dyDescent="0.25">
      <c r="A4" s="579" t="str">
        <f>'Informacion de Cotización'!X1</f>
        <v>Ladrillo</v>
      </c>
      <c r="B4" s="580" t="s">
        <v>1322</v>
      </c>
      <c r="C4" s="580" t="s">
        <v>1322</v>
      </c>
      <c r="D4" s="581" t="s">
        <v>1323</v>
      </c>
      <c r="E4" s="581" t="s">
        <v>1323</v>
      </c>
      <c r="F4" s="582">
        <f>'Informacion de Cotización'!X12</f>
        <v>315.0280675877525</v>
      </c>
      <c r="G4" s="583">
        <f>F4*G5/F5</f>
        <v>0.9090964812939998</v>
      </c>
    </row>
    <row r="5" ht="15.75" customHeight="1" spans="1:7" x14ac:dyDescent="0.25">
      <c r="A5" s="579" t="str">
        <f>'Informacion de Cotización'!N1</f>
        <v>CASSAFORMA</v>
      </c>
      <c r="B5" s="580" t="s">
        <v>1322</v>
      </c>
      <c r="C5" s="580" t="s">
        <v>1322</v>
      </c>
      <c r="D5" s="581" t="s">
        <v>1323</v>
      </c>
      <c r="E5" s="581" t="s">
        <v>1323</v>
      </c>
      <c r="F5" s="582">
        <f>'Informacion de Cotización'!N12</f>
        <v>346.52875032509684</v>
      </c>
      <c r="G5" s="584">
        <v>1</v>
      </c>
    </row>
    <row r="6" ht="15.75" customHeight="1" spans="1:7" x14ac:dyDescent="0.25">
      <c r="A6" s="579" t="str">
        <f>'Informacion de Cotización'!R1</f>
        <v>Cassaforma (2P) + LTN</v>
      </c>
      <c r="B6" s="580" t="s">
        <v>1322</v>
      </c>
      <c r="C6" s="580" t="s">
        <v>1322</v>
      </c>
      <c r="D6" s="581" t="s">
        <v>1323</v>
      </c>
      <c r="E6" s="581" t="s">
        <v>1323</v>
      </c>
      <c r="F6" s="582">
        <f>'Informacion de Cotización'!R12</f>
        <v>337.3683115139616</v>
      </c>
      <c r="G6" s="583">
        <f>F6*G5/F5</f>
        <v>0.9735651405473822</v>
      </c>
    </row>
    <row r="7" ht="15.75" customHeight="1" spans="1:7" x14ac:dyDescent="0.25">
      <c r="A7" s="579" t="str">
        <f>'Informacion de Cotización'!T1</f>
        <v>CASSASIP</v>
      </c>
      <c r="B7" s="580" t="s">
        <v>1322</v>
      </c>
      <c r="C7" s="580" t="s">
        <v>1322</v>
      </c>
      <c r="D7" s="581" t="s">
        <v>1323</v>
      </c>
      <c r="E7" s="581" t="s">
        <v>1323</v>
      </c>
      <c r="F7" s="582">
        <f>'Informacion de Cotización'!T12</f>
        <v>318.11620280171473</v>
      </c>
      <c r="G7" s="583">
        <f>F7*G6/F6</f>
        <v>0.9180081090047311</v>
      </c>
    </row>
    <row r="9" spans="1:1" x14ac:dyDescent="0.25">
      <c r="A9" s="503"/>
    </row>
    <row r="16" spans="1:1" x14ac:dyDescent="0.25">
      <c r="A16" s="585"/>
    </row>
  </sheetData>
  <sheetProtection sheet="1" algorithmName="SHA-512" hashValue="vDp/eF/xZpB5HdrQ3Nu4KaEXVcc+nmqC2qoCC80ZCv0sTP7+GvsLv6g7I3naBNO2uWnRlkGU937/aToRVU1q+w==" saltValue="/bI4cHf0cao0yP2n4vk6Xw==" spinCount="100000" objects="1" scenarios="1"/>
  <autoFilter ref="A2:H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 zoomScale="100" zoomScaleNormal="100">
      <selection activeCell="D52" sqref="D52"/>
    </sheetView>
  </sheetViews>
  <sheetFormatPr defaultRowHeight="14.25" outlineLevelRow="0" outlineLevelCol="0" x14ac:dyDescent="0" customHeight="1"/>
  <cols>
    <col min="1" max="1" width="20" customWidth="1"/>
    <col min="2" max="2" width="51.625" customWidth="1"/>
    <col min="3" max="3" width="7.375" customWidth="1"/>
    <col min="4" max="5" width="11.625" customWidth="1"/>
  </cols>
  <sheetData>
    <row r="1" ht="15.75" customHeight="1" spans="1:5" x14ac:dyDescent="0.25">
      <c r="A1" s="514" t="s">
        <v>1247</v>
      </c>
      <c r="B1" s="515"/>
      <c r="C1" s="515"/>
      <c r="D1" s="515"/>
      <c r="E1" s="516"/>
    </row>
    <row r="2" ht="15" customHeight="1" spans="5:5" x14ac:dyDescent="0.25">
      <c r="E2" s="517"/>
    </row>
    <row r="3" ht="15.75" customHeight="1" spans="1:5" x14ac:dyDescent="0.25">
      <c r="A3" s="518" t="s">
        <v>1248</v>
      </c>
      <c r="B3" s="519"/>
      <c r="C3" s="519"/>
      <c r="D3" s="520"/>
      <c r="E3" s="521">
        <v>45352</v>
      </c>
    </row>
    <row r="4" ht="15.75" customHeight="1" spans="1:5" x14ac:dyDescent="0.25">
      <c r="A4" s="522" t="s">
        <v>1249</v>
      </c>
      <c r="B4" s="523" t="s">
        <v>1250</v>
      </c>
      <c r="C4" s="523" t="s">
        <v>252</v>
      </c>
      <c r="D4" s="524" t="s">
        <v>1251</v>
      </c>
      <c r="E4" s="524" t="s">
        <v>1251</v>
      </c>
    </row>
    <row r="5" ht="15.75" customHeight="1" spans="1:5" x14ac:dyDescent="0.25">
      <c r="A5" s="525" t="s">
        <v>552</v>
      </c>
      <c r="B5" s="526" t="s">
        <v>1252</v>
      </c>
      <c r="C5" s="526" t="s">
        <v>545</v>
      </c>
      <c r="D5" s="527">
        <v>420000</v>
      </c>
      <c r="E5" s="527"/>
    </row>
    <row r="6" ht="15.75" customHeight="1" spans="1:5" x14ac:dyDescent="0.25">
      <c r="A6" s="528" t="s">
        <v>552</v>
      </c>
      <c r="B6" s="529" t="s">
        <v>553</v>
      </c>
      <c r="C6" s="529" t="s">
        <v>545</v>
      </c>
      <c r="D6" s="530">
        <v>420000</v>
      </c>
      <c r="E6" s="527"/>
    </row>
    <row r="7" ht="15.75" customHeight="1" spans="1:5" x14ac:dyDescent="0.25">
      <c r="A7" s="528" t="s">
        <v>552</v>
      </c>
      <c r="B7" s="529" t="s">
        <v>556</v>
      </c>
      <c r="C7" s="529" t="s">
        <v>545</v>
      </c>
      <c r="D7" s="530">
        <v>224000</v>
      </c>
      <c r="E7" s="527"/>
    </row>
    <row r="8" ht="15.75" customHeight="1" spans="1:5" x14ac:dyDescent="0.25">
      <c r="A8" s="528" t="s">
        <v>552</v>
      </c>
      <c r="B8" s="531" t="s">
        <v>627</v>
      </c>
      <c r="C8" s="529" t="s">
        <v>545</v>
      </c>
      <c r="D8" s="530">
        <v>140000</v>
      </c>
      <c r="E8" s="527"/>
    </row>
    <row r="9" ht="15.75" customHeight="1" spans="1:5" x14ac:dyDescent="0.25">
      <c r="A9" s="528" t="s">
        <v>552</v>
      </c>
      <c r="B9" s="531" t="s">
        <v>626</v>
      </c>
      <c r="C9" s="529" t="s">
        <v>545</v>
      </c>
      <c r="D9" s="530">
        <v>294000</v>
      </c>
      <c r="E9" s="527"/>
    </row>
    <row r="10" ht="15.75" customHeight="1" spans="1:5" x14ac:dyDescent="0.25">
      <c r="A10" s="528" t="s">
        <v>552</v>
      </c>
      <c r="B10" s="529" t="s">
        <v>1253</v>
      </c>
      <c r="C10" s="529" t="s">
        <v>1254</v>
      </c>
      <c r="D10" s="530">
        <v>210000</v>
      </c>
      <c r="E10" s="527"/>
    </row>
    <row r="11" ht="15.75" customHeight="1" spans="1:5" x14ac:dyDescent="0.25">
      <c r="A11" s="528" t="s">
        <v>552</v>
      </c>
      <c r="B11" s="529" t="s">
        <v>558</v>
      </c>
      <c r="C11" s="529" t="s">
        <v>1255</v>
      </c>
      <c r="D11" s="530">
        <v>196000</v>
      </c>
      <c r="E11" s="527"/>
    </row>
    <row r="12" ht="15.75" customHeight="1" spans="1:5" x14ac:dyDescent="0.25">
      <c r="A12" s="528" t="s">
        <v>552</v>
      </c>
      <c r="B12" s="529" t="s">
        <v>561</v>
      </c>
      <c r="C12" s="529" t="s">
        <v>1255</v>
      </c>
      <c r="D12" s="530">
        <v>350000</v>
      </c>
      <c r="E12" s="527"/>
    </row>
    <row r="13" ht="16.5" customHeight="1" spans="1:5" x14ac:dyDescent="0.25">
      <c r="A13" s="532" t="s">
        <v>547</v>
      </c>
      <c r="B13" s="526" t="s">
        <v>40</v>
      </c>
      <c r="C13" s="526" t="s">
        <v>1256</v>
      </c>
      <c r="D13" s="527">
        <v>12000</v>
      </c>
      <c r="E13" s="527"/>
    </row>
    <row r="14" ht="16.5" customHeight="1" spans="1:5" x14ac:dyDescent="0.25">
      <c r="A14" s="533" t="s">
        <v>547</v>
      </c>
      <c r="B14" s="529" t="s">
        <v>1257</v>
      </c>
      <c r="C14" s="529" t="s">
        <v>1256</v>
      </c>
      <c r="D14" s="530">
        <v>77000</v>
      </c>
      <c r="E14" s="527"/>
    </row>
    <row r="15" ht="16.5" customHeight="1" spans="1:5" x14ac:dyDescent="0.25">
      <c r="A15" s="534" t="s">
        <v>547</v>
      </c>
      <c r="B15" s="535" t="s">
        <v>1258</v>
      </c>
      <c r="C15" s="535" t="s">
        <v>545</v>
      </c>
      <c r="D15" s="536">
        <v>1820</v>
      </c>
      <c r="E15" s="527"/>
    </row>
    <row r="16" ht="15.75" customHeight="1" spans="1:5" x14ac:dyDescent="0.25">
      <c r="A16" s="537" t="s">
        <v>565</v>
      </c>
      <c r="B16" s="538" t="s">
        <v>1259</v>
      </c>
      <c r="C16" s="538" t="s">
        <v>39</v>
      </c>
      <c r="D16" s="539">
        <v>7700</v>
      </c>
      <c r="E16" s="540"/>
    </row>
    <row r="17" ht="15.75" customHeight="1" spans="1:5" x14ac:dyDescent="0.25">
      <c r="A17" s="541" t="s">
        <v>565</v>
      </c>
      <c r="B17" s="542" t="s">
        <v>1260</v>
      </c>
      <c r="C17" s="542" t="s">
        <v>39</v>
      </c>
      <c r="D17" s="543">
        <v>9000</v>
      </c>
      <c r="E17" s="540"/>
    </row>
    <row r="18" ht="15.75" customHeight="1" spans="1:5" x14ac:dyDescent="0.25">
      <c r="A18" s="541" t="s">
        <v>565</v>
      </c>
      <c r="B18" s="544" t="s">
        <v>1261</v>
      </c>
      <c r="C18" s="544" t="s">
        <v>545</v>
      </c>
      <c r="D18" s="545">
        <v>56000</v>
      </c>
      <c r="E18" s="540"/>
    </row>
    <row r="19" ht="15.75" customHeight="1" spans="1:5" x14ac:dyDescent="0.25">
      <c r="A19" s="541" t="s">
        <v>565</v>
      </c>
      <c r="B19" s="544" t="s">
        <v>1262</v>
      </c>
      <c r="C19" s="544" t="s">
        <v>252</v>
      </c>
      <c r="D19" s="545">
        <v>12600</v>
      </c>
      <c r="E19" s="540"/>
    </row>
    <row r="20" ht="15.75" customHeight="1" spans="1:5" x14ac:dyDescent="0.25">
      <c r="A20" s="541" t="s">
        <v>565</v>
      </c>
      <c r="B20" s="544" t="s">
        <v>1263</v>
      </c>
      <c r="C20" s="544" t="s">
        <v>32</v>
      </c>
      <c r="D20" s="545">
        <v>8400</v>
      </c>
      <c r="E20" s="540"/>
    </row>
    <row r="21" ht="15.75" customHeight="1" spans="1:5" x14ac:dyDescent="0.25">
      <c r="A21" s="546" t="s">
        <v>565</v>
      </c>
      <c r="B21" s="544" t="s">
        <v>1264</v>
      </c>
      <c r="C21" s="544" t="s">
        <v>385</v>
      </c>
      <c r="D21" s="545">
        <v>6000</v>
      </c>
      <c r="E21" s="540"/>
    </row>
    <row r="22" ht="15.75" customHeight="1" spans="1:5" x14ac:dyDescent="0.25">
      <c r="A22" s="541" t="s">
        <v>565</v>
      </c>
      <c r="B22" s="544" t="s">
        <v>1265</v>
      </c>
      <c r="C22" s="544" t="s">
        <v>32</v>
      </c>
      <c r="D22" s="545">
        <v>9100</v>
      </c>
      <c r="E22" s="540"/>
    </row>
    <row r="23" ht="15.75" customHeight="1" spans="1:5" x14ac:dyDescent="0.25">
      <c r="A23" s="541" t="s">
        <v>565</v>
      </c>
      <c r="B23" s="544" t="s">
        <v>1266</v>
      </c>
      <c r="C23" s="544" t="s">
        <v>545</v>
      </c>
      <c r="D23" s="545">
        <v>252000</v>
      </c>
      <c r="E23" s="540"/>
    </row>
    <row r="24" ht="15.75" customHeight="1" spans="1:5" x14ac:dyDescent="0.25">
      <c r="A24" s="547" t="s">
        <v>565</v>
      </c>
      <c r="B24" s="548" t="s">
        <v>581</v>
      </c>
      <c r="C24" s="548" t="s">
        <v>545</v>
      </c>
      <c r="D24" s="549">
        <v>224000</v>
      </c>
      <c r="E24" s="540"/>
    </row>
    <row r="25" ht="15.75" customHeight="1" spans="1:5" x14ac:dyDescent="0.25">
      <c r="A25" s="550" t="s">
        <v>565</v>
      </c>
      <c r="B25" s="551" t="s">
        <v>1267</v>
      </c>
      <c r="C25" s="551" t="s">
        <v>39</v>
      </c>
      <c r="D25" s="552">
        <v>5320</v>
      </c>
      <c r="E25" s="527"/>
    </row>
    <row r="26" ht="15.75" customHeight="1" spans="1:5" x14ac:dyDescent="0.25">
      <c r="A26" s="553" t="s">
        <v>565</v>
      </c>
      <c r="B26" s="529" t="s">
        <v>1268</v>
      </c>
      <c r="C26" s="529" t="s">
        <v>39</v>
      </c>
      <c r="D26" s="530">
        <v>5880</v>
      </c>
      <c r="E26" s="527"/>
    </row>
    <row r="27" ht="15.75" customHeight="1" spans="1:5" x14ac:dyDescent="0.25">
      <c r="A27" s="553" t="s">
        <v>565</v>
      </c>
      <c r="B27" s="529" t="s">
        <v>1269</v>
      </c>
      <c r="C27" s="529" t="s">
        <v>39</v>
      </c>
      <c r="D27" s="530">
        <v>3200</v>
      </c>
      <c r="E27" s="527"/>
    </row>
    <row r="28" ht="15.75" customHeight="1" spans="1:5" x14ac:dyDescent="0.25">
      <c r="A28" s="554" t="s">
        <v>565</v>
      </c>
      <c r="B28" s="555" t="s">
        <v>1270</v>
      </c>
      <c r="C28" s="555" t="s">
        <v>39</v>
      </c>
      <c r="D28" s="556">
        <v>2800</v>
      </c>
      <c r="E28" s="527"/>
    </row>
    <row r="29" ht="15.75" customHeight="1" spans="1:5" x14ac:dyDescent="0.25">
      <c r="A29" s="550" t="s">
        <v>565</v>
      </c>
      <c r="B29" s="551" t="s">
        <v>1271</v>
      </c>
      <c r="C29" s="551" t="s">
        <v>39</v>
      </c>
      <c r="D29" s="552">
        <v>3640</v>
      </c>
      <c r="E29" s="527"/>
    </row>
    <row r="30" ht="15.75" customHeight="1" spans="1:5" x14ac:dyDescent="0.25">
      <c r="A30" s="553" t="s">
        <v>565</v>
      </c>
      <c r="B30" s="529" t="s">
        <v>1272</v>
      </c>
      <c r="C30" s="529" t="s">
        <v>39</v>
      </c>
      <c r="D30" s="530">
        <v>2800</v>
      </c>
      <c r="E30" s="527"/>
    </row>
    <row r="31" ht="15.75" customHeight="1" spans="1:5" x14ac:dyDescent="0.25">
      <c r="A31" s="553" t="s">
        <v>565</v>
      </c>
      <c r="B31" s="529" t="s">
        <v>1273</v>
      </c>
      <c r="C31" s="529" t="s">
        <v>39</v>
      </c>
      <c r="D31" s="530">
        <v>12600</v>
      </c>
      <c r="E31" s="527"/>
    </row>
    <row r="32" ht="15.75" customHeight="1" spans="1:5" x14ac:dyDescent="0.25">
      <c r="A32" s="553" t="s">
        <v>565</v>
      </c>
      <c r="B32" s="529" t="s">
        <v>1274</v>
      </c>
      <c r="C32" s="529" t="s">
        <v>39</v>
      </c>
      <c r="D32" s="530">
        <v>12600</v>
      </c>
      <c r="E32" s="527"/>
    </row>
    <row r="33" ht="15.75" customHeight="1" spans="1:5" x14ac:dyDescent="0.25">
      <c r="A33" s="553" t="s">
        <v>565</v>
      </c>
      <c r="B33" s="529" t="s">
        <v>1275</v>
      </c>
      <c r="C33" s="529" t="s">
        <v>32</v>
      </c>
      <c r="D33" s="530">
        <v>12600</v>
      </c>
      <c r="E33" s="527"/>
    </row>
    <row r="34" ht="15.75" customHeight="1" spans="1:5" x14ac:dyDescent="0.25">
      <c r="A34" s="553" t="s">
        <v>565</v>
      </c>
      <c r="B34" s="529" t="s">
        <v>1276</v>
      </c>
      <c r="C34" s="529" t="s">
        <v>32</v>
      </c>
      <c r="D34" s="530">
        <v>5600</v>
      </c>
      <c r="E34" s="527"/>
    </row>
    <row r="35" ht="15.75" customHeight="1" spans="1:5" x14ac:dyDescent="0.25">
      <c r="A35" s="553" t="s">
        <v>565</v>
      </c>
      <c r="B35" s="529" t="s">
        <v>643</v>
      </c>
      <c r="C35" s="529" t="s">
        <v>32</v>
      </c>
      <c r="D35" s="530">
        <v>1400</v>
      </c>
      <c r="E35" s="527"/>
    </row>
    <row r="36" ht="15.75" customHeight="1" spans="1:5" x14ac:dyDescent="0.25">
      <c r="A36" s="553" t="s">
        <v>565</v>
      </c>
      <c r="B36" s="529" t="s">
        <v>1277</v>
      </c>
      <c r="C36" s="529" t="s">
        <v>32</v>
      </c>
      <c r="D36" s="530">
        <v>6000</v>
      </c>
      <c r="E36" s="527"/>
    </row>
    <row r="37" ht="15.75" customHeight="1" spans="1:5" x14ac:dyDescent="0.25">
      <c r="A37" s="553" t="s">
        <v>565</v>
      </c>
      <c r="B37" s="529" t="s">
        <v>1278</v>
      </c>
      <c r="C37" s="529" t="s">
        <v>32</v>
      </c>
      <c r="D37" s="530">
        <v>2500</v>
      </c>
      <c r="E37" s="527"/>
    </row>
    <row r="38" ht="15.75" customHeight="1" spans="1:5" x14ac:dyDescent="0.25">
      <c r="A38" s="553" t="s">
        <v>565</v>
      </c>
      <c r="B38" s="529" t="s">
        <v>1279</v>
      </c>
      <c r="C38" s="529" t="s">
        <v>32</v>
      </c>
      <c r="D38" s="530">
        <v>3640</v>
      </c>
      <c r="E38" s="527"/>
    </row>
    <row r="39" ht="15.75" customHeight="1" spans="1:5" x14ac:dyDescent="0.25">
      <c r="A39" s="553" t="s">
        <v>565</v>
      </c>
      <c r="B39" s="529" t="s">
        <v>1280</v>
      </c>
      <c r="C39" s="529" t="s">
        <v>32</v>
      </c>
      <c r="D39" s="530">
        <v>1680</v>
      </c>
      <c r="E39" s="527"/>
    </row>
    <row r="40" ht="15.75" customHeight="1" spans="1:5" x14ac:dyDescent="0.25">
      <c r="A40" s="553" t="s">
        <v>565</v>
      </c>
      <c r="B40" s="529" t="s">
        <v>222</v>
      </c>
      <c r="C40" s="529" t="s">
        <v>32</v>
      </c>
      <c r="D40" s="530">
        <v>3640</v>
      </c>
      <c r="E40" s="527"/>
    </row>
    <row r="41" ht="15.75" customHeight="1" spans="1:5" x14ac:dyDescent="0.25">
      <c r="A41" s="553" t="s">
        <v>565</v>
      </c>
      <c r="B41" s="529" t="s">
        <v>1281</v>
      </c>
      <c r="C41" s="529" t="s">
        <v>32</v>
      </c>
      <c r="D41" s="530">
        <v>5600</v>
      </c>
      <c r="E41" s="527"/>
    </row>
    <row r="42" ht="15.75" customHeight="1" spans="1:5" x14ac:dyDescent="0.25">
      <c r="A42" s="553" t="s">
        <v>565</v>
      </c>
      <c r="B42" s="535" t="s">
        <v>1282</v>
      </c>
      <c r="C42" s="535" t="s">
        <v>32</v>
      </c>
      <c r="D42" s="536">
        <v>5400</v>
      </c>
      <c r="E42" s="527"/>
    </row>
    <row r="43" ht="15.75" customHeight="1" spans="1:5" x14ac:dyDescent="0.25">
      <c r="A43" s="553" t="s">
        <v>565</v>
      </c>
      <c r="B43" s="535" t="s">
        <v>1283</v>
      </c>
      <c r="C43" s="535" t="s">
        <v>32</v>
      </c>
      <c r="D43" s="536">
        <v>3000</v>
      </c>
      <c r="E43" s="527"/>
    </row>
    <row r="44" ht="15.75" customHeight="1" spans="1:5" x14ac:dyDescent="0.25">
      <c r="A44" s="557" t="s">
        <v>565</v>
      </c>
      <c r="B44" s="535" t="s">
        <v>122</v>
      </c>
      <c r="C44" s="535" t="s">
        <v>32</v>
      </c>
      <c r="D44" s="536">
        <v>6020</v>
      </c>
      <c r="E44" s="558"/>
    </row>
    <row r="45" ht="15.75" customHeight="1" spans="1:5" x14ac:dyDescent="0.25">
      <c r="A45" s="559" t="s">
        <v>1284</v>
      </c>
      <c r="B45" s="526" t="s">
        <v>1285</v>
      </c>
      <c r="C45" s="526" t="s">
        <v>39</v>
      </c>
      <c r="D45" s="527">
        <v>3080</v>
      </c>
      <c r="E45" s="527"/>
    </row>
    <row r="46" ht="15.75" customHeight="1" spans="1:5" x14ac:dyDescent="0.25">
      <c r="A46" s="560" t="s">
        <v>1286</v>
      </c>
      <c r="B46" s="529" t="s">
        <v>1287</v>
      </c>
      <c r="C46" s="529" t="s">
        <v>32</v>
      </c>
      <c r="D46" s="530">
        <v>3080</v>
      </c>
      <c r="E46" s="527"/>
    </row>
    <row r="47" ht="15.75" customHeight="1" spans="1:5" x14ac:dyDescent="0.25">
      <c r="A47" s="560" t="s">
        <v>1286</v>
      </c>
      <c r="B47" s="529" t="s">
        <v>1288</v>
      </c>
      <c r="C47" s="529" t="s">
        <v>39</v>
      </c>
      <c r="D47" s="530">
        <v>2800</v>
      </c>
      <c r="E47" s="527"/>
    </row>
    <row r="48" ht="15.75" customHeight="1" spans="1:5" x14ac:dyDescent="0.25">
      <c r="A48" s="560" t="s">
        <v>1286</v>
      </c>
      <c r="B48" s="529" t="s">
        <v>1289</v>
      </c>
      <c r="C48" s="529" t="s">
        <v>39</v>
      </c>
      <c r="D48" s="530">
        <v>3640</v>
      </c>
      <c r="E48" s="527"/>
    </row>
    <row r="49" ht="15.75" customHeight="1" spans="1:5" x14ac:dyDescent="0.25">
      <c r="A49" s="561" t="s">
        <v>1286</v>
      </c>
      <c r="B49" s="535" t="s">
        <v>1290</v>
      </c>
      <c r="C49" s="535" t="s">
        <v>32</v>
      </c>
      <c r="D49" s="536">
        <v>4200</v>
      </c>
      <c r="E49" s="558"/>
    </row>
    <row r="50" ht="16.5" customHeight="1" spans="1:5" x14ac:dyDescent="0.25">
      <c r="A50" s="562" t="s">
        <v>8</v>
      </c>
      <c r="B50" s="535" t="s">
        <v>1263</v>
      </c>
      <c r="C50" s="535" t="s">
        <v>32</v>
      </c>
      <c r="D50" s="536">
        <v>9100</v>
      </c>
      <c r="E50" s="558"/>
    </row>
    <row r="51" ht="16.5" customHeight="1" spans="1:5" x14ac:dyDescent="0.25">
      <c r="A51" s="562" t="s">
        <v>8</v>
      </c>
      <c r="B51" s="535" t="s">
        <v>1291</v>
      </c>
      <c r="C51" s="535" t="s">
        <v>39</v>
      </c>
      <c r="D51" s="536">
        <v>6000</v>
      </c>
      <c r="E51" s="558"/>
    </row>
    <row r="52" ht="16.5" customHeight="1" spans="1:5" x14ac:dyDescent="0.25">
      <c r="A52" s="562" t="s">
        <v>617</v>
      </c>
      <c r="B52" s="535" t="s">
        <v>1292</v>
      </c>
      <c r="C52" s="535" t="s">
        <v>39</v>
      </c>
      <c r="D52" s="536">
        <v>7700</v>
      </c>
      <c r="E52" s="558"/>
    </row>
    <row r="53" ht="15.75" customHeight="1" spans="1:5" x14ac:dyDescent="0.25">
      <c r="A53" s="561" t="s">
        <v>721</v>
      </c>
      <c r="B53" s="535" t="s">
        <v>138</v>
      </c>
      <c r="C53" s="535" t="s">
        <v>39</v>
      </c>
      <c r="D53" s="536">
        <v>7000</v>
      </c>
      <c r="E53" s="558"/>
    </row>
    <row r="54" ht="15.75" customHeight="1" spans="1:5" x14ac:dyDescent="0.25">
      <c r="A54" s="561" t="s">
        <v>721</v>
      </c>
      <c r="B54" s="535" t="s">
        <v>1293</v>
      </c>
      <c r="C54" s="535" t="s">
        <v>39</v>
      </c>
      <c r="D54" s="536">
        <v>6300</v>
      </c>
      <c r="E54" s="558"/>
    </row>
    <row r="55" ht="15.75" customHeight="1" spans="1:5" x14ac:dyDescent="0.25">
      <c r="A55" s="563" t="s">
        <v>721</v>
      </c>
      <c r="B55" s="529" t="s">
        <v>223</v>
      </c>
      <c r="C55" s="529" t="s">
        <v>32</v>
      </c>
      <c r="D55" s="530">
        <v>1120</v>
      </c>
      <c r="E55" s="527"/>
    </row>
    <row r="56" ht="15.75" customHeight="1" spans="1:5" x14ac:dyDescent="0.25">
      <c r="A56" s="564" t="s">
        <v>721</v>
      </c>
      <c r="B56" s="555" t="s">
        <v>1294</v>
      </c>
      <c r="C56" s="555" t="s">
        <v>545</v>
      </c>
      <c r="D56" s="556">
        <v>210000</v>
      </c>
      <c r="E56" s="527"/>
    </row>
    <row r="57" ht="15.75" customHeight="1" spans="1:5" x14ac:dyDescent="0.25">
      <c r="A57" s="565" t="s">
        <v>584</v>
      </c>
      <c r="B57" s="526" t="s">
        <v>1295</v>
      </c>
      <c r="C57" s="526" t="s">
        <v>39</v>
      </c>
      <c r="D57" s="527">
        <v>8000</v>
      </c>
      <c r="E57" s="527"/>
    </row>
    <row r="58" ht="15.75" customHeight="1" spans="1:5" x14ac:dyDescent="0.25">
      <c r="A58" s="566" t="s">
        <v>584</v>
      </c>
      <c r="B58" s="529" t="s">
        <v>1296</v>
      </c>
      <c r="C58" s="529" t="s">
        <v>39</v>
      </c>
      <c r="D58" s="530">
        <v>8000</v>
      </c>
      <c r="E58" s="527"/>
    </row>
    <row r="59" ht="15.75" customHeight="1" spans="1:5" x14ac:dyDescent="0.25">
      <c r="A59" s="566" t="s">
        <v>584</v>
      </c>
      <c r="B59" s="529" t="s">
        <v>1297</v>
      </c>
      <c r="C59" s="529" t="s">
        <v>39</v>
      </c>
      <c r="D59" s="530">
        <v>1960</v>
      </c>
      <c r="E59" s="527"/>
    </row>
    <row r="60" ht="15.75" customHeight="1" spans="1:5" x14ac:dyDescent="0.25">
      <c r="A60" s="566" t="s">
        <v>584</v>
      </c>
      <c r="B60" s="529" t="s">
        <v>1298</v>
      </c>
      <c r="C60" s="529" t="s">
        <v>39</v>
      </c>
      <c r="D60" s="530">
        <v>2660</v>
      </c>
      <c r="E60" s="527"/>
    </row>
    <row r="61" ht="15.75" customHeight="1" spans="1:5" x14ac:dyDescent="0.25">
      <c r="A61" s="566" t="s">
        <v>584</v>
      </c>
      <c r="B61" s="529" t="s">
        <v>1299</v>
      </c>
      <c r="C61" s="529" t="s">
        <v>32</v>
      </c>
      <c r="D61" s="530">
        <v>2100</v>
      </c>
      <c r="E61" s="527"/>
    </row>
    <row r="62" ht="15.75" customHeight="1" spans="1:5" x14ac:dyDescent="0.25">
      <c r="A62" s="567" t="s">
        <v>584</v>
      </c>
      <c r="B62" s="555" t="s">
        <v>1300</v>
      </c>
      <c r="C62" s="555" t="s">
        <v>1301</v>
      </c>
      <c r="D62" s="556">
        <v>8400</v>
      </c>
      <c r="E62" s="527"/>
    </row>
    <row r="63" ht="15.75" customHeight="1" spans="1:5" x14ac:dyDescent="0.25">
      <c r="A63" s="568" t="s">
        <v>707</v>
      </c>
      <c r="B63" s="526" t="s">
        <v>1302</v>
      </c>
      <c r="C63" s="526" t="s">
        <v>39</v>
      </c>
      <c r="D63" s="527">
        <v>5600</v>
      </c>
      <c r="E63" s="527"/>
    </row>
    <row r="64" ht="15.75" customHeight="1" spans="1:5" x14ac:dyDescent="0.25">
      <c r="A64" s="569" t="s">
        <v>707</v>
      </c>
      <c r="B64" s="529" t="s">
        <v>1303</v>
      </c>
      <c r="C64" s="529" t="s">
        <v>39</v>
      </c>
      <c r="D64" s="530">
        <v>6300</v>
      </c>
      <c r="E64" s="527"/>
    </row>
    <row r="65" ht="15.75" customHeight="1" spans="1:5" x14ac:dyDescent="0.25">
      <c r="A65" s="569" t="s">
        <v>707</v>
      </c>
      <c r="B65" s="529" t="s">
        <v>1304</v>
      </c>
      <c r="C65" s="529" t="s">
        <v>32</v>
      </c>
      <c r="D65" s="530">
        <v>7000</v>
      </c>
      <c r="E65" s="527"/>
    </row>
    <row r="66" ht="15.75" customHeight="1" spans="1:5" x14ac:dyDescent="0.25">
      <c r="A66" s="570" t="s">
        <v>707</v>
      </c>
      <c r="B66" s="555" t="s">
        <v>1305</v>
      </c>
      <c r="C66" s="555" t="s">
        <v>32</v>
      </c>
      <c r="D66" s="556">
        <v>7700</v>
      </c>
      <c r="E66" s="527"/>
    </row>
    <row r="67" ht="15.75" customHeight="1" spans="1:5" x14ac:dyDescent="0.25">
      <c r="A67" s="571" t="s">
        <v>701</v>
      </c>
      <c r="B67" s="551" t="s">
        <v>1306</v>
      </c>
      <c r="C67" s="551" t="s">
        <v>252</v>
      </c>
      <c r="D67" s="552">
        <v>1260</v>
      </c>
      <c r="E67" s="527"/>
    </row>
    <row r="68" ht="15.75" customHeight="1" spans="1:5" x14ac:dyDescent="0.25">
      <c r="A68" s="569" t="s">
        <v>701</v>
      </c>
      <c r="B68" s="529" t="s">
        <v>1307</v>
      </c>
      <c r="C68" s="529" t="s">
        <v>39</v>
      </c>
      <c r="D68" s="530">
        <v>3360</v>
      </c>
      <c r="E68" s="527"/>
    </row>
    <row r="69" ht="15.75" customHeight="1" spans="1:5" x14ac:dyDescent="0.25">
      <c r="A69" s="569" t="s">
        <v>701</v>
      </c>
      <c r="B69" s="529" t="s">
        <v>1308</v>
      </c>
      <c r="C69" s="529" t="s">
        <v>545</v>
      </c>
      <c r="D69" s="530">
        <v>5600</v>
      </c>
      <c r="E69" s="527"/>
    </row>
    <row r="70" ht="15.75" customHeight="1" spans="1:5" x14ac:dyDescent="0.25">
      <c r="A70" s="570" t="s">
        <v>701</v>
      </c>
      <c r="B70" s="555" t="s">
        <v>1309</v>
      </c>
      <c r="C70" s="555" t="s">
        <v>39</v>
      </c>
      <c r="D70" s="556">
        <v>3920</v>
      </c>
      <c r="E70" s="527"/>
    </row>
    <row r="72" ht="15" customHeight="1" spans="1:5" x14ac:dyDescent="0.25">
      <c r="A72" s="572" t="s">
        <v>1310</v>
      </c>
      <c r="B72" s="573" t="s">
        <v>1311</v>
      </c>
      <c r="C72" s="573"/>
      <c r="D72" s="573"/>
      <c r="E72" s="573"/>
    </row>
    <row r="73" ht="15" customHeight="1" spans="1:5" x14ac:dyDescent="0.25">
      <c r="A73" s="572" t="s">
        <v>1312</v>
      </c>
      <c r="B73" s="573" t="s">
        <v>1313</v>
      </c>
      <c r="C73" s="573"/>
      <c r="D73" s="573"/>
      <c r="E73" s="573"/>
    </row>
    <row r="74" ht="15" customHeight="1" spans="1:5" x14ac:dyDescent="0.25">
      <c r="A74" s="574" t="s">
        <v>1314</v>
      </c>
      <c r="B74" s="575" t="s">
        <v>1315</v>
      </c>
      <c r="C74" s="576"/>
      <c r="D74" s="576"/>
      <c r="E74" s="577"/>
    </row>
  </sheetData>
  <sheetProtection sheet="1" algorithmName="SHA-512" hashValue="YRLhYtfZ5XVsWLNEnCJtps4OSyzT33B113HOPujYQ8scxWQwH6HTsyO/5S2oIJ/EzxN6hxsta60qIV5MzyLFOw==" saltValue="ryZ8BniZw4c+Wrxp8S3Psg==" spinCount="100000" objects="1" scenarios="1"/>
  <mergeCells count="5">
    <mergeCell ref="A1:E1"/>
    <mergeCell ref="A3:D3"/>
    <mergeCell ref="B72:E72"/>
    <mergeCell ref="B73:E73"/>
    <mergeCell ref="B74:E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2"/>
  <sheetViews>
    <sheetView workbookViewId="0" showGridLines="0" zoomScale="75" zoomScaleNormal="60" view="pageBreakPreview">
      <pane xSplit="2" topLeftCell="H1" activePane="topRight" state="frozen"/>
      <selection pane="topRight" activeCell="L2" sqref="L2"/>
    </sheetView>
  </sheetViews>
  <sheetFormatPr defaultRowHeight="15" outlineLevelRow="0" outlineLevelCol="0" x14ac:dyDescent="0" defaultColWidth="12.625"/>
  <cols>
    <col min="1" max="1" width="29" style="152" customWidth="1"/>
    <col min="2" max="2" width="36.875" style="153" customWidth="1"/>
    <col min="3" max="3" width="27" style="153" customWidth="1"/>
    <col min="4" max="9" width="7.375" style="153" customWidth="1"/>
    <col min="10" max="10" width="10.375" style="153" customWidth="1"/>
    <col min="11" max="11" width="11.375" style="154" customWidth="1"/>
    <col min="12" max="17" width="23.125" style="153" customWidth="1"/>
    <col min="18" max="16384" width="12.625" style="153" customWidth="1"/>
  </cols>
  <sheetData>
    <row r="1" ht="15" customHeight="1" spans="3:17" x14ac:dyDescent="0.25">
      <c r="C1" s="153"/>
      <c r="D1" s="153"/>
      <c r="E1" s="153"/>
      <c r="F1" s="153"/>
      <c r="G1" s="153"/>
      <c r="H1" s="153"/>
      <c r="I1" s="153"/>
      <c r="J1" s="153"/>
      <c r="K1" s="154"/>
      <c r="L1" s="155">
        <f t="shared" ref="L1:Q1" si="0">SUM(L3:L317)</f>
        <v>51071036.79395295</v>
      </c>
      <c r="M1" s="156">
        <f t="shared" si="0"/>
        <v>47549761.94343735</v>
      </c>
      <c r="N1" s="156">
        <f t="shared" si="0"/>
        <v>51105801.10524671</v>
      </c>
      <c r="O1" s="156">
        <f t="shared" si="0"/>
        <v>42791228.083975255</v>
      </c>
      <c r="P1" s="156">
        <f t="shared" si="0"/>
        <v>47373907.34416334</v>
      </c>
      <c r="Q1" s="157">
        <f t="shared" si="0"/>
        <v>47834662.23160953</v>
      </c>
    </row>
    <row r="2" ht="12" customHeight="1" spans="1:17" s="158" customFormat="1" x14ac:dyDescent="0.25">
      <c r="A2" s="159" t="s">
        <v>226</v>
      </c>
      <c r="B2" s="159" t="s">
        <v>227</v>
      </c>
      <c r="C2" s="160" t="s">
        <v>228</v>
      </c>
      <c r="D2" s="161" t="s">
        <v>229</v>
      </c>
      <c r="E2" s="162" t="s">
        <v>230</v>
      </c>
      <c r="F2" s="160" t="s">
        <v>231</v>
      </c>
      <c r="G2" s="163" t="s">
        <v>232</v>
      </c>
      <c r="H2" s="164" t="s">
        <v>233</v>
      </c>
      <c r="I2" s="165" t="s">
        <v>8</v>
      </c>
      <c r="J2" s="166" t="s">
        <v>234</v>
      </c>
      <c r="K2" s="167" t="s">
        <v>235</v>
      </c>
      <c r="L2" s="161" t="s">
        <v>3</v>
      </c>
      <c r="M2" s="162" t="s">
        <v>236</v>
      </c>
      <c r="N2" s="160" t="s">
        <v>237</v>
      </c>
      <c r="O2" s="163" t="s">
        <v>6</v>
      </c>
      <c r="P2" s="164" t="s">
        <v>238</v>
      </c>
      <c r="Q2" s="165" t="s">
        <v>239</v>
      </c>
    </row>
    <row r="3" ht="11.25" customHeight="1" spans="1:17" x14ac:dyDescent="0.25">
      <c r="A3" s="168" t="s">
        <v>240</v>
      </c>
      <c r="B3" s="169" t="s">
        <v>241</v>
      </c>
      <c r="C3" s="170" t="s">
        <v>242</v>
      </c>
      <c r="D3" s="171">
        <f>+'Informacion de Cotización'!B$7*1.1</f>
        <v>0</v>
      </c>
      <c r="E3" s="172">
        <f>D3</f>
        <v>0</v>
      </c>
      <c r="F3" s="172">
        <f>D3</f>
        <v>0</v>
      </c>
      <c r="G3" s="172">
        <f>F3</f>
        <v>0</v>
      </c>
      <c r="H3" s="172">
        <f t="shared" ref="H3:I3" si="1">G3</f>
        <v>0</v>
      </c>
      <c r="I3" s="173">
        <f t="shared" si="1"/>
        <v>0</v>
      </c>
      <c r="J3" s="174" t="s">
        <v>243</v>
      </c>
      <c r="K3" s="175">
        <f>VLOOKUP(C3,'Base Material'!B:D,3,FALSE)</f>
        <v>1551</v>
      </c>
      <c r="L3" s="155">
        <f>K3*D3</f>
        <v>0</v>
      </c>
      <c r="M3" s="156">
        <f>K3*E3</f>
        <v>0</v>
      </c>
      <c r="N3" s="156">
        <f>K3*F3</f>
        <v>0</v>
      </c>
      <c r="O3" s="156">
        <f>+$K$3*$G$3</f>
        <v>0</v>
      </c>
      <c r="P3" s="156">
        <f>K3*H3</f>
        <v>0</v>
      </c>
      <c r="Q3" s="157">
        <f>+K3*I3</f>
        <v>0</v>
      </c>
    </row>
    <row r="4" ht="11.25" customHeight="1" spans="1:17" x14ac:dyDescent="0.25">
      <c r="A4" s="176" t="s">
        <v>240</v>
      </c>
      <c r="B4" s="177" t="s">
        <v>244</v>
      </c>
      <c r="C4" s="178" t="s">
        <v>245</v>
      </c>
      <c r="D4" s="179">
        <f>+('Informacion de Cotización'!B15)*0.3/6</f>
        <v>15.75</v>
      </c>
      <c r="E4" s="180">
        <f t="shared" ref="E4:F68" si="2">D4</f>
        <v>15.75</v>
      </c>
      <c r="F4" s="180">
        <f t="shared" ref="F4" si="3">D4</f>
        <v>15.75</v>
      </c>
      <c r="G4" s="180">
        <f>F4</f>
        <v>15.75</v>
      </c>
      <c r="H4" s="180">
        <f t="shared" ref="H4:I11" si="4">G4</f>
        <v>15.75</v>
      </c>
      <c r="I4" s="181">
        <f t="shared" si="4"/>
        <v>15.75</v>
      </c>
      <c r="J4" s="182" t="s">
        <v>246</v>
      </c>
      <c r="K4" s="183">
        <f>VLOOKUP(C4,'Base Material'!B:D,3,FALSE)</f>
        <v>92629</v>
      </c>
      <c r="L4" s="184">
        <f t="shared" ref="L4:L109" si="5">K4*D4</f>
        <v>1458906.75</v>
      </c>
      <c r="M4" s="185">
        <f t="shared" ref="M4:M68" si="6">K4*E4</f>
        <v>1458906.75</v>
      </c>
      <c r="N4" s="185">
        <f t="shared" ref="N4:N109" si="7">K4*F4</f>
        <v>1458906.75</v>
      </c>
      <c r="O4" s="185">
        <f t="shared" ref="O4:O109" si="8">+K4*G4</f>
        <v>1458906.75</v>
      </c>
      <c r="P4" s="185">
        <f t="shared" ref="P4:P68" si="9">K4*H4</f>
        <v>1458906.75</v>
      </c>
      <c r="Q4" s="186">
        <f t="shared" ref="Q4:Q68" si="10">+K4*I4</f>
        <v>1458906.75</v>
      </c>
    </row>
    <row r="5" ht="11.25" customHeight="1" spans="1:17" x14ac:dyDescent="0.25">
      <c r="A5" s="176" t="s">
        <v>240</v>
      </c>
      <c r="B5" s="153" t="s">
        <v>247</v>
      </c>
      <c r="C5" s="153" t="s">
        <v>248</v>
      </c>
      <c r="D5" s="179">
        <f>+'Informacion de Cotización'!B7/3</f>
        <v>0</v>
      </c>
      <c r="E5" s="180">
        <f t="shared" si="2"/>
        <v>0</v>
      </c>
      <c r="F5" s="180">
        <f t="shared" ref="F5:F11" si="11">D5</f>
        <v>0</v>
      </c>
      <c r="G5" s="180">
        <f t="shared" ref="G5" si="12">F5</f>
        <v>0</v>
      </c>
      <c r="H5" s="180">
        <f t="shared" si="4"/>
        <v>0</v>
      </c>
      <c r="I5" s="181">
        <f t="shared" si="4"/>
        <v>0</v>
      </c>
      <c r="J5" s="182" t="s">
        <v>249</v>
      </c>
      <c r="K5" s="183">
        <f>VLOOKUP(C5,'Base Material'!B:D,3,FALSE)</f>
        <v>2918</v>
      </c>
      <c r="L5" s="184">
        <f t="shared" si="5"/>
        <v>0</v>
      </c>
      <c r="M5" s="185">
        <f t="shared" si="6"/>
        <v>0</v>
      </c>
      <c r="N5" s="185">
        <f t="shared" si="7"/>
        <v>0</v>
      </c>
      <c r="O5" s="185">
        <f t="shared" si="8"/>
        <v>0</v>
      </c>
      <c r="P5" s="185">
        <f t="shared" si="9"/>
        <v>0</v>
      </c>
      <c r="Q5" s="186">
        <f t="shared" si="10"/>
        <v>0</v>
      </c>
    </row>
    <row r="6" ht="11.25" customHeight="1" spans="1:17" x14ac:dyDescent="0.25">
      <c r="A6" s="176" t="s">
        <v>240</v>
      </c>
      <c r="B6" s="153" t="s">
        <v>250</v>
      </c>
      <c r="C6" s="178" t="s">
        <v>251</v>
      </c>
      <c r="D6" s="179">
        <f>D5</f>
        <v>0</v>
      </c>
      <c r="E6" s="180">
        <f t="shared" si="2"/>
        <v>0</v>
      </c>
      <c r="F6" s="180">
        <f t="shared" si="11"/>
        <v>0</v>
      </c>
      <c r="G6" s="180">
        <f t="shared" ref="G6" si="13">F6</f>
        <v>0</v>
      </c>
      <c r="H6" s="180">
        <f t="shared" si="4"/>
        <v>0</v>
      </c>
      <c r="I6" s="181">
        <f t="shared" si="4"/>
        <v>0</v>
      </c>
      <c r="J6" s="182" t="s">
        <v>252</v>
      </c>
      <c r="K6" s="183">
        <f>K8/1.8</f>
        <v>976.3333333333334</v>
      </c>
      <c r="L6" s="184">
        <f t="shared" si="5"/>
        <v>0</v>
      </c>
      <c r="M6" s="185">
        <f t="shared" si="6"/>
        <v>0</v>
      </c>
      <c r="N6" s="185">
        <f t="shared" si="7"/>
        <v>0</v>
      </c>
      <c r="O6" s="185">
        <f t="shared" si="8"/>
        <v>0</v>
      </c>
      <c r="P6" s="185">
        <f t="shared" si="9"/>
        <v>0</v>
      </c>
      <c r="Q6" s="186">
        <f t="shared" si="10"/>
        <v>0</v>
      </c>
    </row>
    <row r="7" ht="11.25" customHeight="1" spans="1:17" x14ac:dyDescent="0.25">
      <c r="A7" s="176" t="s">
        <v>240</v>
      </c>
      <c r="B7" s="177" t="s">
        <v>253</v>
      </c>
      <c r="C7" s="178" t="s">
        <v>254</v>
      </c>
      <c r="D7" s="179">
        <f>D6/10</f>
        <v>0</v>
      </c>
      <c r="E7" s="180">
        <f t="shared" si="2"/>
        <v>0</v>
      </c>
      <c r="F7" s="180">
        <f t="shared" si="11"/>
        <v>0</v>
      </c>
      <c r="G7" s="180">
        <f t="shared" ref="G7" si="14">F7</f>
        <v>0</v>
      </c>
      <c r="H7" s="180">
        <f t="shared" si="4"/>
        <v>0</v>
      </c>
      <c r="I7" s="181">
        <f t="shared" si="4"/>
        <v>0</v>
      </c>
      <c r="J7" s="182" t="s">
        <v>255</v>
      </c>
      <c r="K7" s="183">
        <f>VLOOKUP(C7,'Base Material'!B:D,3,FALSE)</f>
        <v>2925</v>
      </c>
      <c r="L7" s="184">
        <f t="shared" si="5"/>
        <v>0</v>
      </c>
      <c r="M7" s="185">
        <f t="shared" si="6"/>
        <v>0</v>
      </c>
      <c r="N7" s="185">
        <f t="shared" si="7"/>
        <v>0</v>
      </c>
      <c r="O7" s="185">
        <f t="shared" si="8"/>
        <v>0</v>
      </c>
      <c r="P7" s="185">
        <f t="shared" si="9"/>
        <v>0</v>
      </c>
      <c r="Q7" s="186">
        <f t="shared" si="10"/>
        <v>0</v>
      </c>
    </row>
    <row r="8" ht="11.25" customHeight="1" spans="1:17" x14ac:dyDescent="0.25">
      <c r="A8" s="176" t="s">
        <v>256</v>
      </c>
      <c r="B8" s="177" t="s">
        <v>257</v>
      </c>
      <c r="C8" s="178" t="s">
        <v>258</v>
      </c>
      <c r="D8" s="179">
        <f>D5*3</f>
        <v>0</v>
      </c>
      <c r="E8" s="180">
        <f t="shared" si="2"/>
        <v>0</v>
      </c>
      <c r="F8" s="180">
        <f t="shared" si="11"/>
        <v>0</v>
      </c>
      <c r="G8" s="180">
        <f t="shared" ref="G8" si="15">F8</f>
        <v>0</v>
      </c>
      <c r="H8" s="180">
        <f t="shared" si="4"/>
        <v>0</v>
      </c>
      <c r="I8" s="181">
        <f t="shared" si="4"/>
        <v>0</v>
      </c>
      <c r="J8" s="182" t="s">
        <v>252</v>
      </c>
      <c r="K8" s="183">
        <f>VLOOKUP(C8,'Base Material'!B:D,3,FALSE)</f>
        <v>1757.4</v>
      </c>
      <c r="L8" s="184">
        <f t="shared" si="5"/>
        <v>0</v>
      </c>
      <c r="M8" s="185">
        <f t="shared" si="6"/>
        <v>0</v>
      </c>
      <c r="N8" s="185">
        <f t="shared" si="7"/>
        <v>0</v>
      </c>
      <c r="O8" s="185">
        <f t="shared" si="8"/>
        <v>0</v>
      </c>
      <c r="P8" s="185">
        <f t="shared" si="9"/>
        <v>0</v>
      </c>
      <c r="Q8" s="186">
        <f t="shared" si="10"/>
        <v>0</v>
      </c>
    </row>
    <row r="9" ht="11.25" customHeight="1" spans="1:17" x14ac:dyDescent="0.25">
      <c r="A9" s="176" t="s">
        <v>256</v>
      </c>
      <c r="B9" s="177" t="s">
        <v>253</v>
      </c>
      <c r="C9" s="178" t="s">
        <v>254</v>
      </c>
      <c r="D9" s="179">
        <f>D10/15</f>
        <v>0</v>
      </c>
      <c r="E9" s="180">
        <f t="shared" si="2"/>
        <v>0</v>
      </c>
      <c r="F9" s="180">
        <f t="shared" si="11"/>
        <v>0</v>
      </c>
      <c r="G9" s="180">
        <f t="shared" ref="G9" si="16">F9</f>
        <v>0</v>
      </c>
      <c r="H9" s="180">
        <f t="shared" si="4"/>
        <v>0</v>
      </c>
      <c r="I9" s="181">
        <f t="shared" si="4"/>
        <v>0</v>
      </c>
      <c r="J9" s="182" t="s">
        <v>255</v>
      </c>
      <c r="K9" s="183">
        <f>VLOOKUP(C9,'Base Material'!B:D,3,FALSE)</f>
        <v>2925</v>
      </c>
      <c r="L9" s="184">
        <f t="shared" si="5"/>
        <v>0</v>
      </c>
      <c r="M9" s="185">
        <f t="shared" si="6"/>
        <v>0</v>
      </c>
      <c r="N9" s="185">
        <f t="shared" si="7"/>
        <v>0</v>
      </c>
      <c r="O9" s="185">
        <f t="shared" si="8"/>
        <v>0</v>
      </c>
      <c r="P9" s="185">
        <f t="shared" si="9"/>
        <v>0</v>
      </c>
      <c r="Q9" s="186">
        <f t="shared" si="10"/>
        <v>0</v>
      </c>
    </row>
    <row r="10" ht="11.25" customHeight="1" spans="1:17" x14ac:dyDescent="0.25">
      <c r="A10" s="176" t="s">
        <v>256</v>
      </c>
      <c r="B10" s="153" t="s">
        <v>259</v>
      </c>
      <c r="C10" s="153" t="s">
        <v>260</v>
      </c>
      <c r="D10" s="179">
        <f>D3/2.2</f>
        <v>0</v>
      </c>
      <c r="E10" s="180">
        <f t="shared" si="2"/>
        <v>0</v>
      </c>
      <c r="F10" s="180">
        <f t="shared" si="11"/>
        <v>0</v>
      </c>
      <c r="G10" s="180">
        <f t="shared" ref="G10" si="17">F10</f>
        <v>0</v>
      </c>
      <c r="H10" s="180">
        <f t="shared" si="4"/>
        <v>0</v>
      </c>
      <c r="I10" s="181">
        <f t="shared" si="4"/>
        <v>0</v>
      </c>
      <c r="J10" s="182" t="s">
        <v>261</v>
      </c>
      <c r="K10" s="183">
        <f>VLOOKUP(C10,'Base Material'!B:D,3,FALSE)</f>
        <v>2061</v>
      </c>
      <c r="L10" s="184">
        <f t="shared" si="5"/>
        <v>0</v>
      </c>
      <c r="M10" s="185">
        <f t="shared" si="6"/>
        <v>0</v>
      </c>
      <c r="N10" s="185">
        <f t="shared" si="7"/>
        <v>0</v>
      </c>
      <c r="O10" s="185">
        <f t="shared" si="8"/>
        <v>0</v>
      </c>
      <c r="P10" s="185">
        <f t="shared" si="9"/>
        <v>0</v>
      </c>
      <c r="Q10" s="186">
        <f t="shared" si="10"/>
        <v>0</v>
      </c>
    </row>
    <row r="11" ht="12" customHeight="1" spans="1:17" x14ac:dyDescent="0.25">
      <c r="A11" s="187" t="s">
        <v>262</v>
      </c>
      <c r="B11" s="188" t="s">
        <v>263</v>
      </c>
      <c r="C11" s="189" t="s">
        <v>264</v>
      </c>
      <c r="D11" s="190">
        <f>+IF('Informacion de Cotización'!B49="SI",1,"0")</f>
        <v>1</v>
      </c>
      <c r="E11" s="191">
        <f t="shared" si="2"/>
        <v>1</v>
      </c>
      <c r="F11" s="191">
        <f t="shared" si="11"/>
        <v>1</v>
      </c>
      <c r="G11" s="191">
        <f t="shared" ref="G11" si="18">F11</f>
        <v>1</v>
      </c>
      <c r="H11" s="191">
        <f t="shared" si="4"/>
        <v>1</v>
      </c>
      <c r="I11" s="192">
        <f t="shared" si="4"/>
        <v>1</v>
      </c>
      <c r="J11" s="193" t="s">
        <v>246</v>
      </c>
      <c r="K11" s="194">
        <f>VLOOKUP(C11,'Base Material'!B:D,3,FALSE)</f>
        <v>157085</v>
      </c>
      <c r="L11" s="195">
        <f t="shared" si="5"/>
        <v>157085</v>
      </c>
      <c r="M11" s="196">
        <f t="shared" si="6"/>
        <v>157085</v>
      </c>
      <c r="N11" s="196">
        <f t="shared" si="7"/>
        <v>157085</v>
      </c>
      <c r="O11" s="196">
        <f t="shared" si="8"/>
        <v>157085</v>
      </c>
      <c r="P11" s="196">
        <f t="shared" si="9"/>
        <v>157085</v>
      </c>
      <c r="Q11" s="197">
        <f t="shared" si="10"/>
        <v>157085</v>
      </c>
    </row>
    <row r="12" ht="11.25" customHeight="1" spans="1:17" x14ac:dyDescent="0.25">
      <c r="A12" s="198" t="s">
        <v>265</v>
      </c>
      <c r="B12" s="199" t="s">
        <v>266</v>
      </c>
      <c r="C12" s="200" t="s">
        <v>267</v>
      </c>
      <c r="D12" s="201">
        <f>+('Informacion de Cotización'!B9)*2.2/(2.2*5.8)</f>
        <v>34.48275862068966</v>
      </c>
      <c r="E12" s="202">
        <f t="shared" si="2"/>
        <v>34.48275862068966</v>
      </c>
      <c r="F12" s="202">
        <f t="shared" ref="F12" si="19">D12</f>
        <v>34.48275862068966</v>
      </c>
      <c r="G12" s="202">
        <f>+('Informacion de Cotización'!B9)*1.2/(2.2*5.8)</f>
        <v>18.808777429467085</v>
      </c>
      <c r="H12" s="202">
        <f>D12</f>
        <v>34.48275862068966</v>
      </c>
      <c r="I12" s="203"/>
      <c r="J12" s="204" t="s">
        <v>268</v>
      </c>
      <c r="K12" s="205">
        <f>VLOOKUP(C12,'Base Material'!B:D,3,FALSE)</f>
        <v>88034</v>
      </c>
      <c r="L12" s="206">
        <f t="shared" si="5"/>
        <v>3035655.1724137934</v>
      </c>
      <c r="M12" s="207">
        <f t="shared" si="6"/>
        <v>3035655.1724137934</v>
      </c>
      <c r="N12" s="207">
        <f t="shared" si="7"/>
        <v>3035655.1724137934</v>
      </c>
      <c r="O12" s="207">
        <f t="shared" si="8"/>
        <v>1655811.9122257053</v>
      </c>
      <c r="P12" s="207">
        <f t="shared" si="9"/>
        <v>3035655.1724137934</v>
      </c>
      <c r="Q12" s="208">
        <f t="shared" si="10"/>
        <v>0</v>
      </c>
    </row>
    <row r="13" ht="11.25" customHeight="1" spans="1:17" x14ac:dyDescent="0.25">
      <c r="A13" s="209" t="s">
        <v>265</v>
      </c>
      <c r="B13" s="177" t="s">
        <v>269</v>
      </c>
      <c r="C13" s="178" t="s">
        <v>270</v>
      </c>
      <c r="D13" s="179">
        <f>('Informacion de Cotización'!B19+'Informacion de Cotización'!B20)*4*1.2/12</f>
        <v>0</v>
      </c>
      <c r="E13" s="180">
        <f t="shared" si="2"/>
        <v>0</v>
      </c>
      <c r="F13" s="180">
        <f t="shared" ref="F13:F21" si="20">D13</f>
        <v>0</v>
      </c>
      <c r="G13" s="180">
        <f t="shared" ref="G13" si="21">F13</f>
        <v>0</v>
      </c>
      <c r="H13" s="180">
        <f>D13</f>
        <v>0</v>
      </c>
      <c r="I13" s="181">
        <f>('Informacion de Cotización'!B19+'Informacion de Cotización'!B20)*6*1.2/12</f>
        <v>0</v>
      </c>
      <c r="J13" s="182" t="s">
        <v>271</v>
      </c>
      <c r="K13" s="183">
        <f>VLOOKUP(C13,'Base Material'!B:D,3,FALSE)</f>
        <v>11542.09</v>
      </c>
      <c r="L13" s="184">
        <f t="shared" si="5"/>
        <v>0</v>
      </c>
      <c r="M13" s="185">
        <f t="shared" si="6"/>
        <v>0</v>
      </c>
      <c r="N13" s="185">
        <f t="shared" si="7"/>
        <v>0</v>
      </c>
      <c r="O13" s="185">
        <f t="shared" si="8"/>
        <v>0</v>
      </c>
      <c r="P13" s="185">
        <f t="shared" si="9"/>
        <v>0</v>
      </c>
      <c r="Q13" s="186">
        <f t="shared" si="10"/>
        <v>0</v>
      </c>
    </row>
    <row r="14" ht="11.25" customHeight="1" spans="1:17" x14ac:dyDescent="0.25">
      <c r="A14" s="209" t="s">
        <v>265</v>
      </c>
      <c r="B14" s="177" t="s">
        <v>272</v>
      </c>
      <c r="C14" s="178" t="s">
        <v>273</v>
      </c>
      <c r="D14" s="179">
        <f>+(('Informacion de Cotización'!B19+'Informacion de Cotización'!B20)/0.15)*(0.25*2+0.3*2+0.1)/12</f>
        <v>0</v>
      </c>
      <c r="E14" s="180">
        <f t="shared" si="2"/>
        <v>0</v>
      </c>
      <c r="F14" s="180">
        <f t="shared" si="20"/>
        <v>0</v>
      </c>
      <c r="G14" s="180">
        <f t="shared" ref="G14" si="22">F14</f>
        <v>0</v>
      </c>
      <c r="H14" s="180">
        <f t="shared" ref="H14:H24" si="23">D14</f>
        <v>0</v>
      </c>
      <c r="I14" s="181">
        <f>+(('Informacion de Cotización'!B19+'Informacion de Cotización'!B20)/0.15)*(0.25*2+0.5*2+0.1)/12</f>
        <v>0</v>
      </c>
      <c r="J14" s="182" t="s">
        <v>271</v>
      </c>
      <c r="K14" s="183">
        <f>VLOOKUP(C14,'Base Material'!B:D,3,FALSE)</f>
        <v>4320</v>
      </c>
      <c r="L14" s="184">
        <f t="shared" si="5"/>
        <v>0</v>
      </c>
      <c r="M14" s="185">
        <f t="shared" si="6"/>
        <v>0</v>
      </c>
      <c r="N14" s="185">
        <f t="shared" si="7"/>
        <v>0</v>
      </c>
      <c r="O14" s="185">
        <f t="shared" si="8"/>
        <v>0</v>
      </c>
      <c r="P14" s="185">
        <f t="shared" si="9"/>
        <v>0</v>
      </c>
      <c r="Q14" s="186">
        <f t="shared" si="10"/>
        <v>0</v>
      </c>
    </row>
    <row r="15" ht="11.25" customHeight="1" spans="1:17" x14ac:dyDescent="0.25">
      <c r="A15" s="209" t="s">
        <v>274</v>
      </c>
      <c r="B15" s="177" t="s">
        <v>275</v>
      </c>
      <c r="C15" s="178" t="s">
        <v>267</v>
      </c>
      <c r="D15" s="179">
        <f>+('Informacion de Cotización'!B11+'Informacion de Cotización'!B12+'Informacion de Cotización'!B13+'Informacion de Cotización'!B14)*1.2/(2.2*5.8)</f>
        <v>6.112852664576803</v>
      </c>
      <c r="E15" s="180">
        <f t="shared" si="2"/>
        <v>6.112852664576803</v>
      </c>
      <c r="F15" s="180">
        <f t="shared" si="20"/>
        <v>6.112852664576803</v>
      </c>
      <c r="G15" s="180">
        <f t="shared" ref="G15" si="24">F15</f>
        <v>6.112852664576803</v>
      </c>
      <c r="H15" s="180">
        <f t="shared" si="23"/>
        <v>6.112852664576803</v>
      </c>
      <c r="I15" s="181"/>
      <c r="J15" s="182" t="s">
        <v>268</v>
      </c>
      <c r="K15" s="183">
        <f>VLOOKUP(C15,'Base Material'!B:D,3,FALSE)</f>
        <v>88034</v>
      </c>
      <c r="L15" s="184">
        <f t="shared" si="5"/>
        <v>538138.8714733543</v>
      </c>
      <c r="M15" s="185">
        <f t="shared" si="6"/>
        <v>538138.8714733543</v>
      </c>
      <c r="N15" s="185">
        <f t="shared" si="7"/>
        <v>538138.8714733543</v>
      </c>
      <c r="O15" s="185">
        <f t="shared" si="8"/>
        <v>538138.8714733543</v>
      </c>
      <c r="P15" s="185">
        <f t="shared" si="9"/>
        <v>538138.8714733543</v>
      </c>
      <c r="Q15" s="186">
        <f t="shared" si="10"/>
        <v>0</v>
      </c>
    </row>
    <row r="16" ht="11.25" customHeight="1" spans="1:17" x14ac:dyDescent="0.25">
      <c r="A16" s="209" t="s">
        <v>274</v>
      </c>
      <c r="B16" s="177" t="s">
        <v>269</v>
      </c>
      <c r="C16" s="178" t="s">
        <v>270</v>
      </c>
      <c r="D16" s="179">
        <f>+IF(('Informacion de Cotización'!B11+'Informacion de Cotización'!B12+'Informacion de Cotización'!B13+'Informacion de Cotización'!B14)&gt;0,18*6*1.2/12,0)</f>
        <v>10.799999999999999</v>
      </c>
      <c r="E16" s="180">
        <f t="shared" si="2"/>
        <v>10.799999999999999</v>
      </c>
      <c r="F16" s="180">
        <f t="shared" si="20"/>
        <v>10.799999999999999</v>
      </c>
      <c r="G16" s="180">
        <f t="shared" ref="G16" si="25">F16</f>
        <v>10.799999999999999</v>
      </c>
      <c r="H16" s="180">
        <f t="shared" si="23"/>
        <v>10.799999999999999</v>
      </c>
      <c r="I16" s="181">
        <f>D16*2.5</f>
        <v>26.999999999999996</v>
      </c>
      <c r="J16" s="182" t="s">
        <v>271</v>
      </c>
      <c r="K16" s="183">
        <f>VLOOKUP(C16,'Base Material'!B:D,3,FALSE)</f>
        <v>11542.09</v>
      </c>
      <c r="L16" s="184">
        <f t="shared" si="5"/>
        <v>124654.57199999999</v>
      </c>
      <c r="M16" s="185">
        <f t="shared" si="6"/>
        <v>124654.57199999999</v>
      </c>
      <c r="N16" s="185">
        <f t="shared" si="7"/>
        <v>124654.57199999999</v>
      </c>
      <c r="O16" s="185">
        <f t="shared" si="8"/>
        <v>124654.57199999999</v>
      </c>
      <c r="P16" s="185">
        <f t="shared" si="9"/>
        <v>124654.57199999999</v>
      </c>
      <c r="Q16" s="186">
        <f t="shared" si="10"/>
        <v>311636.42999999993</v>
      </c>
    </row>
    <row r="17" ht="11.25" customHeight="1" spans="1:17" x14ac:dyDescent="0.25">
      <c r="A17" s="209" t="s">
        <v>274</v>
      </c>
      <c r="B17" s="177" t="s">
        <v>272</v>
      </c>
      <c r="C17" s="178" t="s">
        <v>273</v>
      </c>
      <c r="D17" s="179">
        <f>+IF(('Informacion de Cotización'!B13+'Informacion de Cotización'!B14+'Informacion de Cotización'!B11+'Informacion de Cotización'!B12)&gt;0,+(18/0.15)*(0.25*2+0.4*2+0.1)/12,0)</f>
        <v>14.000000000000002</v>
      </c>
      <c r="E17" s="180">
        <f t="shared" si="2"/>
        <v>14.000000000000002</v>
      </c>
      <c r="F17" s="180">
        <f t="shared" si="20"/>
        <v>14.000000000000002</v>
      </c>
      <c r="G17" s="180">
        <f t="shared" ref="G17" si="26">F17</f>
        <v>14.000000000000002</v>
      </c>
      <c r="H17" s="180">
        <f t="shared" si="23"/>
        <v>14.000000000000002</v>
      </c>
      <c r="I17" s="181">
        <f>D17*2.5</f>
        <v>35.00000000000001</v>
      </c>
      <c r="J17" s="182" t="s">
        <v>271</v>
      </c>
      <c r="K17" s="183">
        <f>VLOOKUP(C17,'Base Material'!B:D,3,FALSE)</f>
        <v>4320</v>
      </c>
      <c r="L17" s="184">
        <f t="shared" si="5"/>
        <v>60480.00000000001</v>
      </c>
      <c r="M17" s="185">
        <f t="shared" si="6"/>
        <v>60480.00000000001</v>
      </c>
      <c r="N17" s="185">
        <f t="shared" si="7"/>
        <v>60480.00000000001</v>
      </c>
      <c r="O17" s="185">
        <f t="shared" si="8"/>
        <v>60480.00000000001</v>
      </c>
      <c r="P17" s="185">
        <f t="shared" si="9"/>
        <v>60480.00000000001</v>
      </c>
      <c r="Q17" s="186">
        <f t="shared" si="10"/>
        <v>151200.00000000003</v>
      </c>
    </row>
    <row r="18" ht="11.25" customHeight="1" spans="1:17" x14ac:dyDescent="0.25">
      <c r="A18" s="209" t="s">
        <v>276</v>
      </c>
      <c r="B18" s="177" t="s">
        <v>257</v>
      </c>
      <c r="C18" s="210" t="s">
        <v>258</v>
      </c>
      <c r="D18" s="179">
        <f>'Informacion de Cotización'!B19/4</f>
        <v>0</v>
      </c>
      <c r="E18" s="180">
        <f t="shared" si="2"/>
        <v>0</v>
      </c>
      <c r="F18" s="180">
        <f t="shared" si="20"/>
        <v>0</v>
      </c>
      <c r="G18" s="180">
        <f t="shared" ref="G18" si="27">F18</f>
        <v>0</v>
      </c>
      <c r="H18" s="180">
        <f t="shared" si="23"/>
        <v>0</v>
      </c>
      <c r="I18" s="181">
        <f>D18*3</f>
        <v>0</v>
      </c>
      <c r="J18" s="182" t="s">
        <v>277</v>
      </c>
      <c r="K18" s="183">
        <f>VLOOKUP(C18,'Base Material'!B:D,3,FALSE)</f>
        <v>1757.4</v>
      </c>
      <c r="L18" s="184">
        <f t="shared" si="5"/>
        <v>0</v>
      </c>
      <c r="M18" s="185">
        <f t="shared" si="6"/>
        <v>0</v>
      </c>
      <c r="N18" s="185">
        <f t="shared" si="7"/>
        <v>0</v>
      </c>
      <c r="O18" s="185">
        <f t="shared" si="8"/>
        <v>0</v>
      </c>
      <c r="P18" s="185">
        <f t="shared" si="9"/>
        <v>0</v>
      </c>
      <c r="Q18" s="186">
        <f t="shared" si="10"/>
        <v>0</v>
      </c>
    </row>
    <row r="19" ht="11.25" customHeight="1" spans="1:17" x14ac:dyDescent="0.25">
      <c r="A19" s="209" t="s">
        <v>276</v>
      </c>
      <c r="B19" s="177" t="s">
        <v>278</v>
      </c>
      <c r="C19" s="153" t="s">
        <v>260</v>
      </c>
      <c r="D19" s="179">
        <f>('Informacion de Cotización'!B19)*2/2.2</f>
        <v>0</v>
      </c>
      <c r="E19" s="180">
        <f t="shared" si="2"/>
        <v>0</v>
      </c>
      <c r="F19" s="180">
        <f t="shared" si="20"/>
        <v>0</v>
      </c>
      <c r="G19" s="180">
        <f t="shared" ref="G19" si="28">F19</f>
        <v>0</v>
      </c>
      <c r="H19" s="180">
        <f t="shared" si="23"/>
        <v>0</v>
      </c>
      <c r="I19" s="181">
        <f>D19*3</f>
        <v>0</v>
      </c>
      <c r="J19" s="182" t="s">
        <v>252</v>
      </c>
      <c r="K19" s="183">
        <f>VLOOKUP(C19,'Base Material'!B:D,3,FALSE)</f>
        <v>2061</v>
      </c>
      <c r="L19" s="184">
        <f t="shared" si="5"/>
        <v>0</v>
      </c>
      <c r="M19" s="185">
        <f t="shared" si="6"/>
        <v>0</v>
      </c>
      <c r="N19" s="185">
        <f t="shared" si="7"/>
        <v>0</v>
      </c>
      <c r="O19" s="185">
        <f t="shared" si="8"/>
        <v>0</v>
      </c>
      <c r="P19" s="185">
        <f t="shared" si="9"/>
        <v>0</v>
      </c>
      <c r="Q19" s="186">
        <f t="shared" si="10"/>
        <v>0</v>
      </c>
    </row>
    <row r="20" ht="11.25" customHeight="1" spans="1:17" x14ac:dyDescent="0.25">
      <c r="A20" s="209" t="s">
        <v>276</v>
      </c>
      <c r="B20" s="177" t="s">
        <v>279</v>
      </c>
      <c r="C20" s="178" t="s">
        <v>280</v>
      </c>
      <c r="D20" s="179">
        <f>0.006005*4*('Informacion de Cotización'!B19)/0.15</f>
        <v>0</v>
      </c>
      <c r="E20" s="180">
        <f t="shared" si="2"/>
        <v>0</v>
      </c>
      <c r="F20" s="180">
        <f t="shared" si="20"/>
        <v>0</v>
      </c>
      <c r="G20" s="180">
        <f t="shared" ref="G20" si="29">F20</f>
        <v>0</v>
      </c>
      <c r="H20" s="180">
        <f t="shared" si="23"/>
        <v>0</v>
      </c>
      <c r="I20" s="181">
        <f>D20*3</f>
        <v>0</v>
      </c>
      <c r="J20" s="182" t="s">
        <v>255</v>
      </c>
      <c r="K20" s="183">
        <f>VLOOKUP(C20,'Base Material'!B:D,3,FALSE)</f>
        <v>2909</v>
      </c>
      <c r="L20" s="184">
        <f t="shared" si="5"/>
        <v>0</v>
      </c>
      <c r="M20" s="185">
        <f t="shared" si="6"/>
        <v>0</v>
      </c>
      <c r="N20" s="185">
        <f t="shared" si="7"/>
        <v>0</v>
      </c>
      <c r="O20" s="185">
        <f t="shared" si="8"/>
        <v>0</v>
      </c>
      <c r="P20" s="185">
        <f t="shared" si="9"/>
        <v>0</v>
      </c>
      <c r="Q20" s="186">
        <f t="shared" si="10"/>
        <v>0</v>
      </c>
    </row>
    <row r="21" ht="11.25" customHeight="1" spans="1:17" x14ac:dyDescent="0.25">
      <c r="A21" s="209" t="s">
        <v>276</v>
      </c>
      <c r="B21" s="177" t="s">
        <v>281</v>
      </c>
      <c r="C21" s="178" t="s">
        <v>282</v>
      </c>
      <c r="D21" s="179">
        <f>D20*1.2</f>
        <v>0</v>
      </c>
      <c r="E21" s="180">
        <f t="shared" si="2"/>
        <v>0</v>
      </c>
      <c r="F21" s="180">
        <f t="shared" si="20"/>
        <v>0</v>
      </c>
      <c r="G21" s="180">
        <f t="shared" ref="G21" si="30">F21</f>
        <v>0</v>
      </c>
      <c r="H21" s="180">
        <f t="shared" si="23"/>
        <v>0</v>
      </c>
      <c r="I21" s="181">
        <f>D21*3</f>
        <v>0</v>
      </c>
      <c r="J21" s="182" t="s">
        <v>255</v>
      </c>
      <c r="K21" s="183">
        <f>VLOOKUP(C21,'Base Material'!B:D,3,FALSE)</f>
        <v>2769</v>
      </c>
      <c r="L21" s="184">
        <f t="shared" si="5"/>
        <v>0</v>
      </c>
      <c r="M21" s="185">
        <f t="shared" si="6"/>
        <v>0</v>
      </c>
      <c r="N21" s="185">
        <f t="shared" si="7"/>
        <v>0</v>
      </c>
      <c r="O21" s="185">
        <f t="shared" si="8"/>
        <v>0</v>
      </c>
      <c r="P21" s="185">
        <f t="shared" si="9"/>
        <v>0</v>
      </c>
      <c r="Q21" s="186">
        <f t="shared" si="10"/>
        <v>0</v>
      </c>
    </row>
    <row r="22" ht="11.25" customHeight="1" spans="1:17" x14ac:dyDescent="0.25">
      <c r="A22" s="209" t="s">
        <v>276</v>
      </c>
      <c r="B22" s="177" t="s">
        <v>283</v>
      </c>
      <c r="C22" s="178" t="s">
        <v>284</v>
      </c>
      <c r="D22" s="179"/>
      <c r="E22" s="180"/>
      <c r="F22" s="180"/>
      <c r="G22" s="180"/>
      <c r="H22" s="180"/>
      <c r="I22" s="181">
        <f>('Informacion de Cotización'!B19/3.5)*(4/6)</f>
        <v>0</v>
      </c>
      <c r="J22" s="182" t="s">
        <v>271</v>
      </c>
      <c r="K22" s="183">
        <f>VLOOKUP(C22,'Base Material'!B:D,3,FALSE)</f>
        <v>7386</v>
      </c>
      <c r="L22" s="184">
        <f t="shared" ref="L22" si="31">K22*D22</f>
        <v>0</v>
      </c>
      <c r="M22" s="185">
        <f t="shared" ref="M22" si="32">K22*E22</f>
        <v>0</v>
      </c>
      <c r="N22" s="185">
        <f t="shared" ref="N22" si="33">K22*F22</f>
        <v>0</v>
      </c>
      <c r="O22" s="185">
        <f t="shared" ref="O22" si="34">+K22*G22</f>
        <v>0</v>
      </c>
      <c r="P22" s="185">
        <f t="shared" ref="P22" si="35">K22*H22</f>
        <v>0</v>
      </c>
      <c r="Q22" s="186">
        <f t="shared" ref="Q22" si="36">+K22*I22</f>
        <v>0</v>
      </c>
    </row>
    <row r="23" ht="11.25" customHeight="1" spans="1:17" x14ac:dyDescent="0.25">
      <c r="A23" s="209" t="s">
        <v>276</v>
      </c>
      <c r="B23" s="177" t="s">
        <v>285</v>
      </c>
      <c r="C23" s="178" t="s">
        <v>286</v>
      </c>
      <c r="D23" s="179">
        <f>+IF(D24=0,0,1)</f>
        <v>1</v>
      </c>
      <c r="E23" s="180">
        <f t="shared" si="2"/>
        <v>1</v>
      </c>
      <c r="F23" s="180">
        <f t="shared" si="2"/>
        <v>1</v>
      </c>
      <c r="G23" s="180">
        <f>F23</f>
        <v>1</v>
      </c>
      <c r="H23" s="180">
        <f t="shared" si="23"/>
        <v>1</v>
      </c>
      <c r="I23" s="181">
        <f>D23</f>
        <v>1</v>
      </c>
      <c r="J23" s="182" t="s">
        <v>287</v>
      </c>
      <c r="K23" s="183">
        <f>VLOOKUP(C23,'Base Material'!B:D,3,FALSE)</f>
        <v>289800</v>
      </c>
      <c r="L23" s="184">
        <f t="shared" ref="L23" si="37">K23*D23</f>
        <v>289800</v>
      </c>
      <c r="M23" s="185">
        <f t="shared" si="6"/>
        <v>289800</v>
      </c>
      <c r="N23" s="185">
        <f t="shared" ref="N23" si="38">K23*F23</f>
        <v>289800</v>
      </c>
      <c r="O23" s="185">
        <f t="shared" ref="O23" si="39">+K23*G23</f>
        <v>289800</v>
      </c>
      <c r="P23" s="185">
        <f t="shared" si="9"/>
        <v>289800</v>
      </c>
      <c r="Q23" s="186">
        <f t="shared" si="10"/>
        <v>289800</v>
      </c>
    </row>
    <row r="24" ht="12" customHeight="1" spans="1:17" x14ac:dyDescent="0.25">
      <c r="A24" s="211" t="s">
        <v>276</v>
      </c>
      <c r="B24" s="212" t="s">
        <v>288</v>
      </c>
      <c r="C24" s="213" t="s">
        <v>289</v>
      </c>
      <c r="D24" s="214">
        <f>'Informacion de Cotización'!B16*0.2</f>
        <v>59</v>
      </c>
      <c r="E24" s="215">
        <f t="shared" si="2"/>
        <v>59</v>
      </c>
      <c r="F24" s="215">
        <f t="shared" ref="F24" si="40">D24</f>
        <v>59</v>
      </c>
      <c r="G24" s="215">
        <f>'Informacion de Cotización'!B16*0.15</f>
        <v>44.25</v>
      </c>
      <c r="H24" s="215">
        <f t="shared" si="23"/>
        <v>59</v>
      </c>
      <c r="I24" s="216">
        <f>(0.4*0.9)*('Informacion de Cotización'!B19+'Informacion de Cotización'!B20)+('Informacion de Cotización'!B9+'Informacion de Cotización'!B11+'Informacion de Cotización'!B12+'Informacion de Cotización'!B13+'Informacion de Cotización'!B14)*0.1+'Informacion de Cotización'!B19/3.5</f>
        <v>26.5</v>
      </c>
      <c r="J24" s="217" t="s">
        <v>290</v>
      </c>
      <c r="K24" s="218">
        <f>VLOOKUP(C24,'Base Material'!B:D,3,FALSE)</f>
        <v>90090</v>
      </c>
      <c r="L24" s="219">
        <f t="shared" si="5"/>
        <v>5315310</v>
      </c>
      <c r="M24" s="220">
        <f t="shared" si="6"/>
        <v>5315310</v>
      </c>
      <c r="N24" s="220">
        <f t="shared" si="7"/>
        <v>5315310</v>
      </c>
      <c r="O24" s="220">
        <f t="shared" si="8"/>
        <v>3986482.5</v>
      </c>
      <c r="P24" s="220">
        <f t="shared" si="9"/>
        <v>5315310</v>
      </c>
      <c r="Q24" s="221">
        <f t="shared" si="10"/>
        <v>2387385</v>
      </c>
    </row>
    <row r="25" ht="11.25" customHeight="1" spans="1:17" x14ac:dyDescent="0.25">
      <c r="A25" s="222" t="s">
        <v>291</v>
      </c>
      <c r="B25" s="169" t="s">
        <v>292</v>
      </c>
      <c r="C25" s="170" t="s">
        <v>293</v>
      </c>
      <c r="D25" s="171"/>
      <c r="E25" s="172"/>
      <c r="F25" s="172">
        <f>+('Informacion de Cotización'!B19/2+'Informacion de Cotización'!B20/2)*1.4</f>
        <v>0</v>
      </c>
      <c r="G25" s="172">
        <f t="shared" ref="G25:H31" si="41">F25</f>
        <v>0</v>
      </c>
      <c r="H25" s="172"/>
      <c r="I25" s="173"/>
      <c r="J25" s="174" t="s">
        <v>294</v>
      </c>
      <c r="K25" s="175">
        <f>VLOOKUP(C25,'Base Material'!B:D,3,FALSE)</f>
        <v>6142</v>
      </c>
      <c r="L25" s="155">
        <f t="shared" si="5"/>
        <v>0</v>
      </c>
      <c r="M25" s="156">
        <f t="shared" si="6"/>
        <v>0</v>
      </c>
      <c r="N25" s="156">
        <f t="shared" si="7"/>
        <v>0</v>
      </c>
      <c r="O25" s="156">
        <f t="shared" si="8"/>
        <v>0</v>
      </c>
      <c r="P25" s="156">
        <f t="shared" si="9"/>
        <v>0</v>
      </c>
      <c r="Q25" s="157">
        <f t="shared" si="10"/>
        <v>0</v>
      </c>
    </row>
    <row r="26" ht="11.25" customHeight="1" spans="1:17" x14ac:dyDescent="0.25">
      <c r="A26" s="223" t="s">
        <v>291</v>
      </c>
      <c r="B26" s="177" t="s">
        <v>295</v>
      </c>
      <c r="C26" s="178" t="s">
        <v>296</v>
      </c>
      <c r="D26" s="179"/>
      <c r="E26" s="180"/>
      <c r="F26" s="180">
        <f>+('Informacion de Cotización'!B19+'Informacion de Cotización'!B20)*(2)/6*1.3</f>
        <v>0</v>
      </c>
      <c r="G26" s="180">
        <f t="shared" si="41"/>
        <v>0</v>
      </c>
      <c r="H26" s="180"/>
      <c r="I26" s="181"/>
      <c r="J26" s="182" t="s">
        <v>297</v>
      </c>
      <c r="K26" s="183">
        <f>VLOOKUP(C26,'Base Material'!B:D,3,FALSE)</f>
        <v>114047</v>
      </c>
      <c r="L26" s="184">
        <f t="shared" si="5"/>
        <v>0</v>
      </c>
      <c r="M26" s="185">
        <f t="shared" si="6"/>
        <v>0</v>
      </c>
      <c r="N26" s="185">
        <f t="shared" si="7"/>
        <v>0</v>
      </c>
      <c r="O26" s="185">
        <f t="shared" si="8"/>
        <v>0</v>
      </c>
      <c r="P26" s="185">
        <f t="shared" si="9"/>
        <v>0</v>
      </c>
      <c r="Q26" s="186">
        <f t="shared" si="10"/>
        <v>0</v>
      </c>
    </row>
    <row r="27" ht="11.25" customHeight="1" spans="1:17" x14ac:dyDescent="0.25">
      <c r="A27" s="223" t="s">
        <v>291</v>
      </c>
      <c r="B27" s="177" t="s">
        <v>295</v>
      </c>
      <c r="C27" s="178" t="s">
        <v>296</v>
      </c>
      <c r="D27" s="179"/>
      <c r="E27" s="180"/>
      <c r="F27" s="180">
        <f>+(('Informacion de Cotización'!B19+'Informacion de Cotización'!B20)*0.5)*1.3</f>
        <v>0</v>
      </c>
      <c r="G27" s="180">
        <f t="shared" si="41"/>
        <v>0</v>
      </c>
      <c r="H27" s="180"/>
      <c r="I27" s="181"/>
      <c r="J27" s="182" t="s">
        <v>297</v>
      </c>
      <c r="K27" s="183">
        <f>VLOOKUP(C27,'Base Material'!B:D,3,FALSE)</f>
        <v>114047</v>
      </c>
      <c r="L27" s="184">
        <f t="shared" si="5"/>
        <v>0</v>
      </c>
      <c r="M27" s="185">
        <f t="shared" si="6"/>
        <v>0</v>
      </c>
      <c r="N27" s="185">
        <f t="shared" si="7"/>
        <v>0</v>
      </c>
      <c r="O27" s="185">
        <f t="shared" si="8"/>
        <v>0</v>
      </c>
      <c r="P27" s="185">
        <f t="shared" si="9"/>
        <v>0</v>
      </c>
      <c r="Q27" s="186">
        <f t="shared" si="10"/>
        <v>0</v>
      </c>
    </row>
    <row r="28" ht="11.25" customHeight="1" spans="1:17" x14ac:dyDescent="0.25">
      <c r="A28" s="223" t="s">
        <v>291</v>
      </c>
      <c r="B28" s="177" t="s">
        <v>298</v>
      </c>
      <c r="C28" s="178" t="s">
        <v>299</v>
      </c>
      <c r="D28" s="179"/>
      <c r="E28" s="180">
        <f>F28</f>
        <v>46</v>
      </c>
      <c r="F28" s="180">
        <f>+'Informacion de Cotización'!B9*0.23</f>
        <v>46</v>
      </c>
      <c r="G28" s="180">
        <f t="shared" si="41"/>
        <v>46</v>
      </c>
      <c r="H28" s="180">
        <f t="shared" si="41"/>
        <v>46</v>
      </c>
      <c r="I28" s="181">
        <f>G28</f>
        <v>46</v>
      </c>
      <c r="J28" s="182" t="s">
        <v>300</v>
      </c>
      <c r="K28" s="183">
        <f>VLOOKUP(C28,'Base Material'!B:D,3,FALSE)</f>
        <v>133016</v>
      </c>
      <c r="L28" s="184">
        <f t="shared" si="5"/>
        <v>0</v>
      </c>
      <c r="M28" s="185">
        <f t="shared" si="6"/>
        <v>6118736</v>
      </c>
      <c r="N28" s="185">
        <f t="shared" si="7"/>
        <v>6118736</v>
      </c>
      <c r="O28" s="185">
        <f t="shared" si="8"/>
        <v>6118736</v>
      </c>
      <c r="P28" s="185">
        <f t="shared" si="9"/>
        <v>6118736</v>
      </c>
      <c r="Q28" s="186">
        <f t="shared" si="10"/>
        <v>6118736</v>
      </c>
    </row>
    <row r="29" ht="11.25" customHeight="1" spans="1:17" x14ac:dyDescent="0.25">
      <c r="A29" s="223" t="s">
        <v>291</v>
      </c>
      <c r="B29" s="177" t="s">
        <v>301</v>
      </c>
      <c r="C29" s="178" t="s">
        <v>302</v>
      </c>
      <c r="D29" s="179"/>
      <c r="E29" s="180"/>
      <c r="F29" s="180">
        <f>+'Informacion de Cotización'!B10/(1.2*2.44)</f>
        <v>17.07650273224044</v>
      </c>
      <c r="G29" s="180">
        <f t="shared" si="41"/>
        <v>17.07650273224044</v>
      </c>
      <c r="H29" s="180">
        <f t="shared" ref="H29:H60" si="42">G29</f>
        <v>17.07650273224044</v>
      </c>
      <c r="I29" s="181">
        <f t="shared" ref="I29:I60" si="43">H29</f>
        <v>17.07650273224044</v>
      </c>
      <c r="J29" s="182" t="s">
        <v>303</v>
      </c>
      <c r="K29" s="183">
        <f>VLOOKUP(C29,'Base Material'!B:D,3,FALSE)</f>
        <v>31282</v>
      </c>
      <c r="L29" s="184">
        <f t="shared" si="5"/>
        <v>0</v>
      </c>
      <c r="M29" s="185">
        <f t="shared" si="6"/>
        <v>0</v>
      </c>
      <c r="N29" s="185">
        <f t="shared" si="7"/>
        <v>534187.1584699454</v>
      </c>
      <c r="O29" s="185">
        <f t="shared" si="8"/>
        <v>534187.1584699454</v>
      </c>
      <c r="P29" s="185">
        <f t="shared" si="9"/>
        <v>534187.1584699454</v>
      </c>
      <c r="Q29" s="186">
        <f t="shared" si="10"/>
        <v>534187.1584699454</v>
      </c>
    </row>
    <row r="30" ht="11.25" customHeight="1" spans="1:17" x14ac:dyDescent="0.25">
      <c r="A30" s="223" t="s">
        <v>291</v>
      </c>
      <c r="B30" s="177" t="s">
        <v>304</v>
      </c>
      <c r="C30" s="178" t="s">
        <v>305</v>
      </c>
      <c r="D30" s="179"/>
      <c r="E30" s="180"/>
      <c r="F30" s="180">
        <f>F29/15</f>
        <v>1.138433515482696</v>
      </c>
      <c r="G30" s="180">
        <f t="shared" si="41"/>
        <v>1.138433515482696</v>
      </c>
      <c r="H30" s="180">
        <f t="shared" si="42"/>
        <v>1.138433515482696</v>
      </c>
      <c r="I30" s="181">
        <f t="shared" si="43"/>
        <v>1.138433515482696</v>
      </c>
      <c r="J30" s="182" t="s">
        <v>306</v>
      </c>
      <c r="K30" s="183">
        <f>VLOOKUP(C30,'Base Material'!B:D,3,FALSE)</f>
        <v>46854</v>
      </c>
      <c r="L30" s="184">
        <f t="shared" si="5"/>
        <v>0</v>
      </c>
      <c r="M30" s="185">
        <f>K30*E30</f>
        <v>0</v>
      </c>
      <c r="N30" s="185">
        <f t="shared" si="7"/>
        <v>53340.16393442624</v>
      </c>
      <c r="O30" s="185">
        <f t="shared" si="8"/>
        <v>53340.16393442624</v>
      </c>
      <c r="P30" s="185">
        <f t="shared" si="9"/>
        <v>53340.16393442624</v>
      </c>
      <c r="Q30" s="186">
        <f t="shared" si="10"/>
        <v>53340.16393442624</v>
      </c>
    </row>
    <row r="31" ht="11.25" customHeight="1" spans="1:17" x14ac:dyDescent="0.25">
      <c r="A31" s="223" t="s">
        <v>291</v>
      </c>
      <c r="B31" s="177" t="s">
        <v>307</v>
      </c>
      <c r="C31" s="178" t="s">
        <v>308</v>
      </c>
      <c r="D31" s="179"/>
      <c r="E31" s="180"/>
      <c r="F31" s="180">
        <f>+F29/5</f>
        <v>3.415300546448088</v>
      </c>
      <c r="G31" s="180">
        <f t="shared" si="41"/>
        <v>3.415300546448088</v>
      </c>
      <c r="H31" s="180">
        <f t="shared" si="42"/>
        <v>3.415300546448088</v>
      </c>
      <c r="I31" s="181">
        <f t="shared" si="43"/>
        <v>3.415300546448088</v>
      </c>
      <c r="J31" s="182" t="s">
        <v>309</v>
      </c>
      <c r="K31" s="183">
        <f>VLOOKUP(C31,'Base Material'!B:D,3,FALSE)</f>
        <v>10840</v>
      </c>
      <c r="L31" s="184">
        <f t="shared" si="5"/>
        <v>0</v>
      </c>
      <c r="M31" s="185">
        <f t="shared" si="6"/>
        <v>0</v>
      </c>
      <c r="N31" s="185">
        <f t="shared" si="7"/>
        <v>37021.85792349727</v>
      </c>
      <c r="O31" s="185">
        <f t="shared" si="8"/>
        <v>37021.85792349727</v>
      </c>
      <c r="P31" s="185">
        <f t="shared" si="9"/>
        <v>37021.85792349727</v>
      </c>
      <c r="Q31" s="186">
        <f t="shared" si="10"/>
        <v>37021.85792349727</v>
      </c>
    </row>
    <row r="32" ht="11.25" customHeight="1" spans="1:17" x14ac:dyDescent="0.25">
      <c r="A32" s="224" t="s">
        <v>310</v>
      </c>
      <c r="B32" s="177" t="s">
        <v>295</v>
      </c>
      <c r="C32" s="178" t="s">
        <v>296</v>
      </c>
      <c r="D32" s="179"/>
      <c r="E32" s="180"/>
      <c r="F32" s="180">
        <f>+('Informacion de Cotización'!B21+'Informacion de Cotización'!B22)*2/(6)</f>
        <v>0</v>
      </c>
      <c r="G32" s="180">
        <f>F32</f>
        <v>0</v>
      </c>
      <c r="H32" s="180"/>
      <c r="I32" s="181"/>
      <c r="J32" s="182" t="s">
        <v>297</v>
      </c>
      <c r="K32" s="183">
        <f>VLOOKUP(C32,'Base Material'!B:D,3,FALSE)</f>
        <v>114047</v>
      </c>
      <c r="L32" s="184">
        <f t="shared" si="5"/>
        <v>0</v>
      </c>
      <c r="M32" s="185">
        <f t="shared" si="6"/>
        <v>0</v>
      </c>
      <c r="N32" s="185">
        <f t="shared" si="7"/>
        <v>0</v>
      </c>
      <c r="O32" s="185">
        <f t="shared" si="8"/>
        <v>0</v>
      </c>
      <c r="P32" s="185">
        <f t="shared" si="9"/>
        <v>0</v>
      </c>
      <c r="Q32" s="186">
        <f t="shared" si="10"/>
        <v>0</v>
      </c>
    </row>
    <row r="33" ht="11.25" customHeight="1" spans="1:17" x14ac:dyDescent="0.25">
      <c r="A33" s="224" t="s">
        <v>310</v>
      </c>
      <c r="B33" s="177" t="s">
        <v>295</v>
      </c>
      <c r="C33" s="178" t="s">
        <v>296</v>
      </c>
      <c r="D33" s="179"/>
      <c r="E33" s="180"/>
      <c r="F33" s="180">
        <f>+('Informacion de Cotización'!B21+'Informacion de Cotización'!B22)*0.5</f>
        <v>0</v>
      </c>
      <c r="G33" s="180">
        <f t="shared" ref="G33:H136" si="44">F33</f>
        <v>0</v>
      </c>
      <c r="H33" s="180"/>
      <c r="I33" s="181"/>
      <c r="J33" s="182" t="s">
        <v>297</v>
      </c>
      <c r="K33" s="183">
        <f>VLOOKUP(C33,'Base Material'!B:D,3,FALSE)</f>
        <v>114047</v>
      </c>
      <c r="L33" s="184">
        <f t="shared" si="5"/>
        <v>0</v>
      </c>
      <c r="M33" s="185">
        <f t="shared" si="6"/>
        <v>0</v>
      </c>
      <c r="N33" s="185">
        <f t="shared" si="7"/>
        <v>0</v>
      </c>
      <c r="O33" s="185">
        <f t="shared" si="8"/>
        <v>0</v>
      </c>
      <c r="P33" s="185">
        <f t="shared" si="9"/>
        <v>0</v>
      </c>
      <c r="Q33" s="186">
        <f t="shared" si="10"/>
        <v>0</v>
      </c>
    </row>
    <row r="34" ht="11.25" customHeight="1" spans="1:17" x14ac:dyDescent="0.25">
      <c r="A34" s="224" t="s">
        <v>310</v>
      </c>
      <c r="B34" s="177" t="s">
        <v>311</v>
      </c>
      <c r="C34" s="178" t="s">
        <v>312</v>
      </c>
      <c r="D34" s="179"/>
      <c r="E34" s="180"/>
      <c r="F34" s="180">
        <f>+'Informacion de Cotización'!B10/5.4</f>
        <v>9.25925925925926</v>
      </c>
      <c r="G34" s="180">
        <f t="shared" si="44"/>
        <v>9.25925925925926</v>
      </c>
      <c r="H34" s="180">
        <f t="shared" si="44"/>
        <v>9.25925925925926</v>
      </c>
      <c r="I34" s="181">
        <f>G34</f>
        <v>9.25925925925926</v>
      </c>
      <c r="J34" s="182" t="s">
        <v>297</v>
      </c>
      <c r="K34" s="183">
        <f>VLOOKUP(C34,'Base Material'!B:D,3,FALSE)</f>
        <v>124981</v>
      </c>
      <c r="L34" s="184">
        <f t="shared" si="5"/>
        <v>0</v>
      </c>
      <c r="M34" s="185">
        <f t="shared" si="6"/>
        <v>0</v>
      </c>
      <c r="N34" s="185">
        <f t="shared" si="7"/>
        <v>1157231.4814814816</v>
      </c>
      <c r="O34" s="185">
        <f t="shared" si="8"/>
        <v>1157231.4814814816</v>
      </c>
      <c r="P34" s="185">
        <f t="shared" si="9"/>
        <v>1157231.4814814816</v>
      </c>
      <c r="Q34" s="186">
        <f t="shared" si="10"/>
        <v>1157231.4814814816</v>
      </c>
    </row>
    <row r="35" ht="11.25" customHeight="1" spans="1:17" x14ac:dyDescent="0.25">
      <c r="A35" s="224" t="s">
        <v>310</v>
      </c>
      <c r="B35" s="177" t="s">
        <v>313</v>
      </c>
      <c r="C35" s="178" t="s">
        <v>314</v>
      </c>
      <c r="D35" s="179"/>
      <c r="E35" s="180">
        <f t="shared" ref="E35:E42" si="45">F35</f>
        <v>220.00000000000003</v>
      </c>
      <c r="F35" s="180">
        <f>+'Informacion de Cotización'!B9*1.1</f>
        <v>220.00000000000003</v>
      </c>
      <c r="G35" s="180">
        <f t="shared" si="44"/>
        <v>220.00000000000003</v>
      </c>
      <c r="H35" s="180">
        <f t="shared" si="42"/>
        <v>220.00000000000003</v>
      </c>
      <c r="I35" s="181">
        <f t="shared" si="43"/>
        <v>220.00000000000003</v>
      </c>
      <c r="J35" s="182" t="s">
        <v>39</v>
      </c>
      <c r="K35" s="183">
        <f>VLOOKUP(C35,'Base Material'!B:D,3,FALSE)</f>
        <v>39400.9275</v>
      </c>
      <c r="L35" s="184">
        <f t="shared" si="5"/>
        <v>0</v>
      </c>
      <c r="M35" s="185">
        <f t="shared" si="6"/>
        <v>8668204.05</v>
      </c>
      <c r="N35" s="185">
        <f t="shared" si="7"/>
        <v>8668204.05</v>
      </c>
      <c r="O35" s="185">
        <f t="shared" si="8"/>
        <v>8668204.05</v>
      </c>
      <c r="P35" s="185">
        <f t="shared" si="9"/>
        <v>8668204.05</v>
      </c>
      <c r="Q35" s="186">
        <f t="shared" si="10"/>
        <v>8668204.05</v>
      </c>
    </row>
    <row r="36" ht="11.25" customHeight="1" spans="1:17" x14ac:dyDescent="0.25">
      <c r="A36" s="224" t="s">
        <v>310</v>
      </c>
      <c r="B36" s="177" t="s">
        <v>315</v>
      </c>
      <c r="C36" s="178" t="s">
        <v>316</v>
      </c>
      <c r="D36" s="179"/>
      <c r="E36" s="180">
        <f t="shared" si="45"/>
        <v>72.60000000000001</v>
      </c>
      <c r="F36" s="180">
        <f>F35*0.33</f>
        <v>72.60000000000001</v>
      </c>
      <c r="G36" s="180">
        <f t="shared" si="44"/>
        <v>72.60000000000001</v>
      </c>
      <c r="H36" s="180">
        <f t="shared" si="42"/>
        <v>72.60000000000001</v>
      </c>
      <c r="I36" s="181">
        <f t="shared" si="43"/>
        <v>72.60000000000001</v>
      </c>
      <c r="J36" s="182" t="s">
        <v>39</v>
      </c>
      <c r="K36" s="183">
        <f>VLOOKUP(C36,'Base Material'!B:D,3,FALSE)</f>
        <v>938.355</v>
      </c>
      <c r="L36" s="184">
        <f t="shared" si="5"/>
        <v>0</v>
      </c>
      <c r="M36" s="185">
        <f t="shared" si="6"/>
        <v>68124.573</v>
      </c>
      <c r="N36" s="185">
        <f t="shared" si="7"/>
        <v>68124.573</v>
      </c>
      <c r="O36" s="185">
        <f t="shared" si="8"/>
        <v>68124.573</v>
      </c>
      <c r="P36" s="185">
        <f t="shared" si="9"/>
        <v>68124.573</v>
      </c>
      <c r="Q36" s="186">
        <f t="shared" si="10"/>
        <v>68124.573</v>
      </c>
    </row>
    <row r="37" ht="11.25" customHeight="1" spans="1:17" x14ac:dyDescent="0.25">
      <c r="A37" s="224" t="s">
        <v>310</v>
      </c>
      <c r="B37" s="177" t="s">
        <v>317</v>
      </c>
      <c r="C37" s="225" t="s">
        <v>318</v>
      </c>
      <c r="D37" s="179"/>
      <c r="E37" s="180">
        <f t="shared" si="45"/>
        <v>17.17408274785324</v>
      </c>
      <c r="F37" s="180">
        <f>F35/12.81</f>
        <v>17.17408274785324</v>
      </c>
      <c r="G37" s="180">
        <f t="shared" si="44"/>
        <v>17.17408274785324</v>
      </c>
      <c r="H37" s="180">
        <f t="shared" si="42"/>
        <v>17.17408274785324</v>
      </c>
      <c r="I37" s="181">
        <f t="shared" si="43"/>
        <v>17.17408274785324</v>
      </c>
      <c r="J37" s="182" t="s">
        <v>39</v>
      </c>
      <c r="K37" s="183">
        <f>VLOOKUP(C37,'Base Material'!B:D,3,FALSE)</f>
        <v>15165</v>
      </c>
      <c r="L37" s="184">
        <f t="shared" si="5"/>
        <v>0</v>
      </c>
      <c r="M37" s="185">
        <f t="shared" si="6"/>
        <v>260444.9648711944</v>
      </c>
      <c r="N37" s="185">
        <f t="shared" si="7"/>
        <v>260444.9648711944</v>
      </c>
      <c r="O37" s="185">
        <f t="shared" si="8"/>
        <v>260444.9648711944</v>
      </c>
      <c r="P37" s="185">
        <f t="shared" si="9"/>
        <v>260444.9648711944</v>
      </c>
      <c r="Q37" s="186">
        <f t="shared" si="10"/>
        <v>260444.9648711944</v>
      </c>
    </row>
    <row r="38" ht="11.25" customHeight="1" spans="1:17" x14ac:dyDescent="0.25">
      <c r="A38" s="224" t="s">
        <v>319</v>
      </c>
      <c r="B38" s="177" t="s">
        <v>320</v>
      </c>
      <c r="C38" s="178" t="s">
        <v>321</v>
      </c>
      <c r="D38" s="179"/>
      <c r="E38" s="180">
        <f t="shared" si="45"/>
        <v>0</v>
      </c>
      <c r="F38" s="180">
        <f>F25</f>
        <v>0</v>
      </c>
      <c r="G38" s="180">
        <f t="shared" si="44"/>
        <v>0</v>
      </c>
      <c r="H38" s="180">
        <f t="shared" si="42"/>
        <v>0</v>
      </c>
      <c r="I38" s="181">
        <f t="shared" si="43"/>
        <v>0</v>
      </c>
      <c r="J38" s="182" t="s">
        <v>255</v>
      </c>
      <c r="K38" s="183">
        <f>VLOOKUP(C38,'Base Material'!B:D,3,FALSE)</f>
        <v>10452</v>
      </c>
      <c r="L38" s="184">
        <f t="shared" si="5"/>
        <v>0</v>
      </c>
      <c r="M38" s="185">
        <f t="shared" si="6"/>
        <v>0</v>
      </c>
      <c r="N38" s="185">
        <f t="shared" si="7"/>
        <v>0</v>
      </c>
      <c r="O38" s="185">
        <f t="shared" si="8"/>
        <v>0</v>
      </c>
      <c r="P38" s="185">
        <f t="shared" si="9"/>
        <v>0</v>
      </c>
      <c r="Q38" s="186">
        <f t="shared" si="10"/>
        <v>0</v>
      </c>
    </row>
    <row r="39" ht="11.25" customHeight="1" spans="1:17" x14ac:dyDescent="0.25">
      <c r="A39" s="224" t="s">
        <v>319</v>
      </c>
      <c r="B39" s="177" t="s">
        <v>322</v>
      </c>
      <c r="C39" s="178" t="s">
        <v>323</v>
      </c>
      <c r="D39" s="179"/>
      <c r="E39" s="180">
        <f t="shared" si="45"/>
        <v>0</v>
      </c>
      <c r="F39" s="180">
        <f>F38/2</f>
        <v>0</v>
      </c>
      <c r="G39" s="180">
        <f t="shared" si="44"/>
        <v>0</v>
      </c>
      <c r="H39" s="180">
        <f t="shared" si="42"/>
        <v>0</v>
      </c>
      <c r="I39" s="181">
        <f t="shared" si="43"/>
        <v>0</v>
      </c>
      <c r="J39" s="182" t="s">
        <v>324</v>
      </c>
      <c r="K39" s="183">
        <f>VLOOKUP(C39,'Base Material'!B:D,3,FALSE)</f>
        <v>2907</v>
      </c>
      <c r="L39" s="184">
        <f t="shared" si="5"/>
        <v>0</v>
      </c>
      <c r="M39" s="185">
        <f t="shared" si="6"/>
        <v>0</v>
      </c>
      <c r="N39" s="185">
        <f t="shared" si="7"/>
        <v>0</v>
      </c>
      <c r="O39" s="185">
        <f t="shared" si="8"/>
        <v>0</v>
      </c>
      <c r="P39" s="185">
        <f t="shared" si="9"/>
        <v>0</v>
      </c>
      <c r="Q39" s="186">
        <f t="shared" si="10"/>
        <v>0</v>
      </c>
    </row>
    <row r="40" ht="11.25" customHeight="1" spans="1:17" x14ac:dyDescent="0.25">
      <c r="A40" s="224" t="s">
        <v>319</v>
      </c>
      <c r="B40" s="177" t="s">
        <v>325</v>
      </c>
      <c r="C40" s="178" t="s">
        <v>326</v>
      </c>
      <c r="D40" s="179"/>
      <c r="E40" s="180">
        <f t="shared" si="45"/>
        <v>6.63111111111111</v>
      </c>
      <c r="F40" s="180">
        <f>((F26+F27+F28+F32+F33+F34)*6*4/10)/20</f>
        <v>6.63111111111111</v>
      </c>
      <c r="G40" s="180">
        <f t="shared" si="44"/>
        <v>6.63111111111111</v>
      </c>
      <c r="H40" s="180">
        <f t="shared" si="42"/>
        <v>6.63111111111111</v>
      </c>
      <c r="I40" s="181">
        <f t="shared" si="43"/>
        <v>6.63111111111111</v>
      </c>
      <c r="J40" s="182" t="s">
        <v>306</v>
      </c>
      <c r="K40" s="183">
        <f>VLOOKUP(C40,'Base Material'!B:D,3,FALSE)</f>
        <v>26457</v>
      </c>
      <c r="L40" s="184">
        <f t="shared" si="5"/>
        <v>0</v>
      </c>
      <c r="M40" s="185">
        <f t="shared" si="6"/>
        <v>175439.30666666664</v>
      </c>
      <c r="N40" s="185">
        <f t="shared" si="7"/>
        <v>175439.30666666664</v>
      </c>
      <c r="O40" s="185">
        <f t="shared" si="8"/>
        <v>175439.30666666664</v>
      </c>
      <c r="P40" s="185">
        <f t="shared" si="9"/>
        <v>175439.30666666664</v>
      </c>
      <c r="Q40" s="186">
        <f t="shared" si="10"/>
        <v>175439.30666666664</v>
      </c>
    </row>
    <row r="41" ht="11.25" customHeight="1" spans="1:17" x14ac:dyDescent="0.25">
      <c r="A41" s="224" t="s">
        <v>319</v>
      </c>
      <c r="B41" s="177" t="s">
        <v>327</v>
      </c>
      <c r="C41" s="178" t="s">
        <v>328</v>
      </c>
      <c r="D41" s="179"/>
      <c r="E41" s="180">
        <f t="shared" si="45"/>
        <v>55.25925925925926</v>
      </c>
      <c r="F41" s="180">
        <f>(F26+F27+F28+F32+F33+F34)</f>
        <v>55.25925925925926</v>
      </c>
      <c r="G41" s="180">
        <f t="shared" si="44"/>
        <v>55.25925925925926</v>
      </c>
      <c r="H41" s="180">
        <f t="shared" si="42"/>
        <v>55.25925925925926</v>
      </c>
      <c r="I41" s="181">
        <f t="shared" si="43"/>
        <v>55.25925925925926</v>
      </c>
      <c r="J41" s="182" t="s">
        <v>329</v>
      </c>
      <c r="K41" s="183">
        <f>VLOOKUP(C41,'Base Material'!B:D,3,FALSE)</f>
        <v>1778</v>
      </c>
      <c r="L41" s="184">
        <f t="shared" si="5"/>
        <v>0</v>
      </c>
      <c r="M41" s="185">
        <f t="shared" si="6"/>
        <v>98250.96296296296</v>
      </c>
      <c r="N41" s="185">
        <f t="shared" si="7"/>
        <v>98250.96296296296</v>
      </c>
      <c r="O41" s="185">
        <f t="shared" si="8"/>
        <v>98250.96296296296</v>
      </c>
      <c r="P41" s="185">
        <f t="shared" si="9"/>
        <v>98250.96296296296</v>
      </c>
      <c r="Q41" s="186">
        <f t="shared" si="10"/>
        <v>98250.96296296296</v>
      </c>
    </row>
    <row r="42" ht="12" customHeight="1" spans="1:17" x14ac:dyDescent="0.25">
      <c r="A42" s="226" t="s">
        <v>319</v>
      </c>
      <c r="B42" s="188" t="s">
        <v>330</v>
      </c>
      <c r="C42" s="189" t="s">
        <v>331</v>
      </c>
      <c r="D42" s="190"/>
      <c r="E42" s="191">
        <f t="shared" si="45"/>
        <v>13.814814814814815</v>
      </c>
      <c r="F42" s="191">
        <f>F41/4</f>
        <v>13.814814814814815</v>
      </c>
      <c r="G42" s="191">
        <f t="shared" si="44"/>
        <v>13.814814814814815</v>
      </c>
      <c r="H42" s="191">
        <f t="shared" si="42"/>
        <v>13.814814814814815</v>
      </c>
      <c r="I42" s="192">
        <f t="shared" si="43"/>
        <v>13.814814814814815</v>
      </c>
      <c r="J42" s="193" t="s">
        <v>329</v>
      </c>
      <c r="K42" s="194">
        <f>VLOOKUP(C42,'Base Material'!B:D,3,FALSE)</f>
        <v>4801</v>
      </c>
      <c r="L42" s="195">
        <f t="shared" si="5"/>
        <v>0</v>
      </c>
      <c r="M42" s="196">
        <f t="shared" si="6"/>
        <v>66324.92592592593</v>
      </c>
      <c r="N42" s="196">
        <f t="shared" si="7"/>
        <v>66324.92592592593</v>
      </c>
      <c r="O42" s="196">
        <f t="shared" si="8"/>
        <v>66324.92592592593</v>
      </c>
      <c r="P42" s="196">
        <f t="shared" si="9"/>
        <v>66324.92592592593</v>
      </c>
      <c r="Q42" s="197">
        <f t="shared" si="10"/>
        <v>66324.92592592593</v>
      </c>
    </row>
    <row r="43" ht="11.25" customHeight="1" spans="1:17" x14ac:dyDescent="0.25">
      <c r="A43" s="227" t="s">
        <v>332</v>
      </c>
      <c r="B43" s="199" t="s">
        <v>269</v>
      </c>
      <c r="C43" s="200" t="s">
        <v>270</v>
      </c>
      <c r="D43" s="201"/>
      <c r="E43" s="202"/>
      <c r="F43" s="202"/>
      <c r="G43" s="202"/>
      <c r="H43" s="202"/>
      <c r="I43" s="203">
        <f>('Informacion de Cotización'!B19+'Informacion de Cotización'!B20+'Informacion de Cotización'!B21+'Informacion de Cotización'!B22)*6/12</f>
        <v>0</v>
      </c>
      <c r="J43" s="204" t="s">
        <v>333</v>
      </c>
      <c r="K43" s="205">
        <v>200</v>
      </c>
      <c r="L43" s="206">
        <f t="shared" ref="L43:L44" si="46">K43*D43</f>
        <v>0</v>
      </c>
      <c r="M43" s="207">
        <f t="shared" ref="M43:M44" si="47">K43*E43</f>
        <v>0</v>
      </c>
      <c r="N43" s="207">
        <f t="shared" ref="N43:N44" si="48">K43*F43</f>
        <v>0</v>
      </c>
      <c r="O43" s="207">
        <f t="shared" ref="O43:O44" si="49">+K43*G43</f>
        <v>0</v>
      </c>
      <c r="P43" s="207">
        <f t="shared" ref="P43:P44" si="50">K43*H43</f>
        <v>0</v>
      </c>
      <c r="Q43" s="208">
        <f t="shared" ref="Q43:Q44" si="51">+K43*I43</f>
        <v>0</v>
      </c>
    </row>
    <row r="44" ht="11.25" customHeight="1" spans="1:17" x14ac:dyDescent="0.25">
      <c r="A44" s="227" t="s">
        <v>332</v>
      </c>
      <c r="B44" s="177" t="s">
        <v>272</v>
      </c>
      <c r="C44" s="178" t="s">
        <v>273</v>
      </c>
      <c r="D44" s="179"/>
      <c r="E44" s="180"/>
      <c r="F44" s="180"/>
      <c r="G44" s="180"/>
      <c r="H44" s="180"/>
      <c r="I44" s="181">
        <f>('Informacion de Cotización'!B19+'Informacion de Cotización'!B20+'Informacion de Cotización'!B21+'Informacion de Cotización'!B22)*(0.2+0.2+0.3+0.3+0.1)/(0.15*12)</f>
        <v>0</v>
      </c>
      <c r="J44" s="182" t="s">
        <v>333</v>
      </c>
      <c r="K44" s="183">
        <f>VLOOKUP(C44,'Base Material'!B:D,3,FALSE)</f>
        <v>4320</v>
      </c>
      <c r="L44" s="184">
        <f t="shared" si="46"/>
        <v>0</v>
      </c>
      <c r="M44" s="185">
        <f t="shared" si="47"/>
        <v>0</v>
      </c>
      <c r="N44" s="185">
        <f t="shared" si="48"/>
        <v>0</v>
      </c>
      <c r="O44" s="185">
        <f t="shared" si="49"/>
        <v>0</v>
      </c>
      <c r="P44" s="185">
        <f t="shared" si="50"/>
        <v>0</v>
      </c>
      <c r="Q44" s="186">
        <f t="shared" si="51"/>
        <v>0</v>
      </c>
    </row>
    <row r="45" ht="11.25" customHeight="1" spans="1:17" x14ac:dyDescent="0.25">
      <c r="A45" s="227" t="s">
        <v>334</v>
      </c>
      <c r="B45" s="177" t="s">
        <v>269</v>
      </c>
      <c r="C45" s="178" t="s">
        <v>270</v>
      </c>
      <c r="D45" s="179"/>
      <c r="E45" s="180"/>
      <c r="F45" s="180"/>
      <c r="G45" s="180"/>
      <c r="H45" s="180"/>
      <c r="I45" s="181">
        <f>('Informacion de Cotización'!B19+'Informacion de Cotización'!B20+'Informacion de Cotización'!B21+'Informacion de Cotización'!B22)*(3/5)*4/12</f>
        <v>0</v>
      </c>
      <c r="J45" s="182" t="s">
        <v>333</v>
      </c>
      <c r="K45" s="183">
        <f>VLOOKUP(C45,'Base Material'!B:D,3,FALSE)</f>
        <v>11542.09</v>
      </c>
      <c r="L45" s="184">
        <f t="shared" ref="L45:L50" si="52">K45*D45</f>
        <v>0</v>
      </c>
      <c r="M45" s="185">
        <f t="shared" ref="M45:M50" si="53">K45*E45</f>
        <v>0</v>
      </c>
      <c r="N45" s="185">
        <f t="shared" ref="N45:N50" si="54">K45*F45</f>
        <v>0</v>
      </c>
      <c r="O45" s="185">
        <f t="shared" ref="O45:O50" si="55">+K45*G45</f>
        <v>0</v>
      </c>
      <c r="P45" s="185">
        <f t="shared" ref="P45:P50" si="56">K45*H45</f>
        <v>0</v>
      </c>
      <c r="Q45" s="186">
        <f t="shared" ref="Q45:Q50" si="57">+K45*I45</f>
        <v>0</v>
      </c>
    </row>
    <row r="46" ht="11.25" customHeight="1" spans="1:17" x14ac:dyDescent="0.25">
      <c r="A46" s="227" t="s">
        <v>334</v>
      </c>
      <c r="B46" s="177" t="s">
        <v>272</v>
      </c>
      <c r="C46" s="178" t="s">
        <v>273</v>
      </c>
      <c r="D46" s="179"/>
      <c r="E46" s="180"/>
      <c r="F46" s="180"/>
      <c r="G46" s="180"/>
      <c r="H46" s="180"/>
      <c r="I46" s="181">
        <f>('Informacion de Cotización'!B19+'Informacion de Cotización'!B20+'Informacion de Cotización'!B21+'Informacion de Cotización'!B22)*(3/5)*(0.2+0.2+0.3+0.3+0.1)/(0.15*12)</f>
        <v>0</v>
      </c>
      <c r="J46" s="182" t="s">
        <v>333</v>
      </c>
      <c r="K46" s="183">
        <f>VLOOKUP(C46,'Base Material'!B:D,3,FALSE)</f>
        <v>4320</v>
      </c>
      <c r="L46" s="184">
        <f t="shared" si="52"/>
        <v>0</v>
      </c>
      <c r="M46" s="185">
        <f t="shared" si="53"/>
        <v>0</v>
      </c>
      <c r="N46" s="185">
        <f t="shared" si="54"/>
        <v>0</v>
      </c>
      <c r="O46" s="185">
        <f t="shared" si="55"/>
        <v>0</v>
      </c>
      <c r="P46" s="185">
        <f t="shared" si="56"/>
        <v>0</v>
      </c>
      <c r="Q46" s="186">
        <f t="shared" si="57"/>
        <v>0</v>
      </c>
    </row>
    <row r="47" ht="11.25" customHeight="1" spans="1:17" x14ac:dyDescent="0.25">
      <c r="A47" s="227" t="s">
        <v>335</v>
      </c>
      <c r="B47" s="177" t="s">
        <v>279</v>
      </c>
      <c r="C47" s="178" t="s">
        <v>280</v>
      </c>
      <c r="D47" s="179"/>
      <c r="E47" s="180"/>
      <c r="F47" s="180"/>
      <c r="G47" s="180"/>
      <c r="H47" s="180"/>
      <c r="I47" s="181">
        <f>I46</f>
        <v>0</v>
      </c>
      <c r="J47" s="182" t="s">
        <v>255</v>
      </c>
      <c r="K47" s="183">
        <f>VLOOKUP(C47,'Base Material'!B:D,3,FALSE)</f>
        <v>2909</v>
      </c>
      <c r="L47" s="184">
        <f t="shared" si="52"/>
        <v>0</v>
      </c>
      <c r="M47" s="185">
        <f t="shared" si="53"/>
        <v>0</v>
      </c>
      <c r="N47" s="185">
        <f t="shared" si="54"/>
        <v>0</v>
      </c>
      <c r="O47" s="185">
        <f t="shared" si="55"/>
        <v>0</v>
      </c>
      <c r="P47" s="185">
        <f t="shared" si="56"/>
        <v>0</v>
      </c>
      <c r="Q47" s="186">
        <f t="shared" si="57"/>
        <v>0</v>
      </c>
    </row>
    <row r="48" ht="11.25" customHeight="1" spans="1:17" x14ac:dyDescent="0.25">
      <c r="A48" s="227" t="s">
        <v>335</v>
      </c>
      <c r="B48" s="177" t="s">
        <v>281</v>
      </c>
      <c r="C48" s="178" t="s">
        <v>282</v>
      </c>
      <c r="D48" s="179"/>
      <c r="E48" s="180"/>
      <c r="F48" s="180"/>
      <c r="G48" s="180"/>
      <c r="H48" s="180"/>
      <c r="I48" s="181">
        <f>I45</f>
        <v>0</v>
      </c>
      <c r="J48" s="182" t="s">
        <v>255</v>
      </c>
      <c r="K48" s="183">
        <f>VLOOKUP(C48,'Base Material'!B:D,3,FALSE)</f>
        <v>2769</v>
      </c>
      <c r="L48" s="184">
        <f t="shared" si="52"/>
        <v>0</v>
      </c>
      <c r="M48" s="185">
        <f t="shared" si="53"/>
        <v>0</v>
      </c>
      <c r="N48" s="185">
        <f t="shared" si="54"/>
        <v>0</v>
      </c>
      <c r="O48" s="185">
        <f t="shared" si="55"/>
        <v>0</v>
      </c>
      <c r="P48" s="185">
        <f t="shared" si="56"/>
        <v>0</v>
      </c>
      <c r="Q48" s="186">
        <f t="shared" si="57"/>
        <v>0</v>
      </c>
    </row>
    <row r="49" ht="11.25" customHeight="1" spans="1:17" x14ac:dyDescent="0.25">
      <c r="A49" s="227" t="s">
        <v>335</v>
      </c>
      <c r="B49" s="212" t="s">
        <v>285</v>
      </c>
      <c r="C49" s="213" t="s">
        <v>286</v>
      </c>
      <c r="D49" s="214"/>
      <c r="E49" s="215"/>
      <c r="F49" s="215"/>
      <c r="G49" s="215"/>
      <c r="H49" s="215"/>
      <c r="I49" s="216">
        <f>IF(I50=0,0,1)</f>
        <v>0</v>
      </c>
      <c r="J49" s="217" t="s">
        <v>287</v>
      </c>
      <c r="K49" s="183">
        <f>VLOOKUP(C49,'Base Material'!B:D,3,FALSE)</f>
        <v>289800</v>
      </c>
      <c r="L49" s="219"/>
      <c r="M49" s="220"/>
      <c r="N49" s="220"/>
      <c r="O49" s="220"/>
      <c r="P49" s="220"/>
      <c r="Q49" s="186">
        <f t="shared" si="57"/>
        <v>0</v>
      </c>
    </row>
    <row r="50" ht="12" customHeight="1" spans="1:17" x14ac:dyDescent="0.25">
      <c r="A50" s="227" t="s">
        <v>335</v>
      </c>
      <c r="B50" s="212" t="s">
        <v>288</v>
      </c>
      <c r="C50" s="213" t="s">
        <v>289</v>
      </c>
      <c r="D50" s="214"/>
      <c r="E50" s="215"/>
      <c r="F50" s="215"/>
      <c r="G50" s="215"/>
      <c r="H50" s="215"/>
      <c r="I50" s="216">
        <f>(('Informacion de Cotización'!B19+'Informacion de Cotización'!B20+'Informacion de Cotización'!B21+'Informacion de Cotización'!B22)*2*(0.2*0.4)+('Informacion de Cotización'!B19*'Informacion de Cotización'!B23)*0.2*0.3*0.8+('Informacion de Cotización'!B21*'Informacion de Cotización'!B24)*0.2*0.3*0.8+('Informacion de Cotización'!B19+'Informacion de Cotización'!B20+'Informacion de Cotización'!B21+'Informacion de Cotización'!B22)*(3/5))*(0.3*0.2)</f>
        <v>0</v>
      </c>
      <c r="J50" s="217" t="s">
        <v>290</v>
      </c>
      <c r="K50" s="218">
        <f>VLOOKUP(C50,'Base Material'!B:D,3,FALSE)</f>
        <v>90090</v>
      </c>
      <c r="L50" s="219">
        <f t="shared" si="52"/>
        <v>0</v>
      </c>
      <c r="M50" s="220">
        <f t="shared" si="53"/>
        <v>0</v>
      </c>
      <c r="N50" s="220">
        <f t="shared" si="54"/>
        <v>0</v>
      </c>
      <c r="O50" s="220">
        <f t="shared" si="55"/>
        <v>0</v>
      </c>
      <c r="P50" s="220">
        <f t="shared" si="56"/>
        <v>0</v>
      </c>
      <c r="Q50" s="221">
        <f t="shared" si="57"/>
        <v>0</v>
      </c>
    </row>
    <row r="51" ht="11.25" customHeight="1" spans="1:17" x14ac:dyDescent="0.25">
      <c r="A51" s="228" t="s">
        <v>336</v>
      </c>
      <c r="B51" s="169" t="s">
        <v>295</v>
      </c>
      <c r="C51" s="170" t="s">
        <v>296</v>
      </c>
      <c r="D51" s="171">
        <f>+IF(('Informacion de Cotización'!B11+'Informacion de Cotización'!B12)&gt;0,5,0)</f>
        <v>5</v>
      </c>
      <c r="E51" s="172">
        <f t="shared" si="2"/>
        <v>5</v>
      </c>
      <c r="F51" s="172">
        <f t="shared" ref="F51" si="58">D51</f>
        <v>5</v>
      </c>
      <c r="G51" s="172">
        <f t="shared" si="44"/>
        <v>5</v>
      </c>
      <c r="H51" s="172">
        <f t="shared" si="42"/>
        <v>5</v>
      </c>
      <c r="I51" s="173">
        <f t="shared" si="43"/>
        <v>5</v>
      </c>
      <c r="J51" s="174" t="s">
        <v>297</v>
      </c>
      <c r="K51" s="175">
        <v>200</v>
      </c>
      <c r="L51" s="155">
        <f t="shared" si="5"/>
        <v>1000</v>
      </c>
      <c r="M51" s="156">
        <f t="shared" si="6"/>
        <v>1000</v>
      </c>
      <c r="N51" s="156">
        <f t="shared" si="7"/>
        <v>1000</v>
      </c>
      <c r="O51" s="156">
        <f t="shared" si="8"/>
        <v>1000</v>
      </c>
      <c r="P51" s="156">
        <f t="shared" si="9"/>
        <v>1000</v>
      </c>
      <c r="Q51" s="157">
        <f t="shared" si="10"/>
        <v>1000</v>
      </c>
    </row>
    <row r="52" ht="11.25" customHeight="1" spans="1:17" x14ac:dyDescent="0.25">
      <c r="A52" s="224" t="s">
        <v>336</v>
      </c>
      <c r="B52" s="177" t="s">
        <v>292</v>
      </c>
      <c r="C52" s="178" t="s">
        <v>293</v>
      </c>
      <c r="D52" s="179">
        <f>+IF(('Informacion de Cotización'!B11+'Informacion de Cotización'!B12)&gt;0,4,0)</f>
        <v>4</v>
      </c>
      <c r="E52" s="180">
        <f t="shared" si="2"/>
        <v>4</v>
      </c>
      <c r="F52" s="180">
        <f t="shared" ref="F52" si="59">D52</f>
        <v>4</v>
      </c>
      <c r="G52" s="180">
        <f t="shared" si="44"/>
        <v>4</v>
      </c>
      <c r="H52" s="180">
        <f t="shared" si="42"/>
        <v>4</v>
      </c>
      <c r="I52" s="181">
        <f t="shared" si="43"/>
        <v>4</v>
      </c>
      <c r="J52" s="182" t="s">
        <v>294</v>
      </c>
      <c r="K52" s="183">
        <f>VLOOKUP(C52,'Base Material'!B:D,3,FALSE)</f>
        <v>6142</v>
      </c>
      <c r="L52" s="184">
        <f t="shared" si="5"/>
        <v>24568</v>
      </c>
      <c r="M52" s="185">
        <f t="shared" si="6"/>
        <v>24568</v>
      </c>
      <c r="N52" s="185">
        <f t="shared" si="7"/>
        <v>24568</v>
      </c>
      <c r="O52" s="185">
        <f t="shared" si="8"/>
        <v>24568</v>
      </c>
      <c r="P52" s="185">
        <f t="shared" si="9"/>
        <v>24568</v>
      </c>
      <c r="Q52" s="186">
        <f t="shared" si="10"/>
        <v>24568</v>
      </c>
    </row>
    <row r="53" ht="11.25" customHeight="1" spans="1:17" x14ac:dyDescent="0.25">
      <c r="A53" s="224" t="s">
        <v>336</v>
      </c>
      <c r="B53" s="153" t="s">
        <v>337</v>
      </c>
      <c r="C53" s="153" t="s">
        <v>338</v>
      </c>
      <c r="D53" s="179">
        <f>+IF(('Informacion de Cotización'!B11+'Informacion de Cotización'!B12)&gt;0,6,0)</f>
        <v>6</v>
      </c>
      <c r="E53" s="180">
        <f t="shared" si="2"/>
        <v>6</v>
      </c>
      <c r="F53" s="180">
        <f t="shared" ref="F53" si="60">D53</f>
        <v>6</v>
      </c>
      <c r="G53" s="180">
        <f t="shared" si="44"/>
        <v>6</v>
      </c>
      <c r="H53" s="180">
        <f t="shared" si="42"/>
        <v>6</v>
      </c>
      <c r="I53" s="181">
        <f t="shared" si="43"/>
        <v>6</v>
      </c>
      <c r="J53" s="182" t="s">
        <v>297</v>
      </c>
      <c r="K53" s="183">
        <f>VLOOKUP(C53,'Base Material'!B:D,3,FALSE)</f>
        <v>64993</v>
      </c>
      <c r="L53" s="184">
        <f t="shared" si="5"/>
        <v>389958</v>
      </c>
      <c r="M53" s="185">
        <f t="shared" si="6"/>
        <v>389958</v>
      </c>
      <c r="N53" s="185">
        <f t="shared" si="7"/>
        <v>389958</v>
      </c>
      <c r="O53" s="185">
        <f t="shared" si="8"/>
        <v>389958</v>
      </c>
      <c r="P53" s="185">
        <f t="shared" si="9"/>
        <v>389958</v>
      </c>
      <c r="Q53" s="186">
        <f t="shared" si="10"/>
        <v>389958</v>
      </c>
    </row>
    <row r="54" ht="11.25" customHeight="1" spans="1:17" x14ac:dyDescent="0.25">
      <c r="A54" s="224" t="s">
        <v>336</v>
      </c>
      <c r="B54" s="177" t="s">
        <v>325</v>
      </c>
      <c r="C54" s="178" t="s">
        <v>326</v>
      </c>
      <c r="D54" s="179">
        <f>D51/9</f>
        <v>0.5555555555555556</v>
      </c>
      <c r="E54" s="180">
        <f t="shared" si="2"/>
        <v>0.5555555555555556</v>
      </c>
      <c r="F54" s="180">
        <f t="shared" ref="F54" si="61">D54</f>
        <v>0.5555555555555556</v>
      </c>
      <c r="G54" s="180">
        <f t="shared" si="44"/>
        <v>0.5555555555555556</v>
      </c>
      <c r="H54" s="180">
        <f t="shared" si="42"/>
        <v>0.5555555555555556</v>
      </c>
      <c r="I54" s="181">
        <f t="shared" si="43"/>
        <v>0.5555555555555556</v>
      </c>
      <c r="J54" s="182" t="s">
        <v>306</v>
      </c>
      <c r="K54" s="183">
        <f>VLOOKUP(C54,'Base Material'!B:D,3,FALSE)</f>
        <v>26457</v>
      </c>
      <c r="L54" s="184">
        <f t="shared" si="5"/>
        <v>14698.333333333334</v>
      </c>
      <c r="M54" s="185">
        <f t="shared" si="6"/>
        <v>14698.333333333334</v>
      </c>
      <c r="N54" s="185">
        <f t="shared" si="7"/>
        <v>14698.333333333334</v>
      </c>
      <c r="O54" s="185">
        <f t="shared" si="8"/>
        <v>14698.333333333334</v>
      </c>
      <c r="P54" s="185">
        <f t="shared" si="9"/>
        <v>14698.333333333334</v>
      </c>
      <c r="Q54" s="186">
        <f t="shared" si="10"/>
        <v>14698.333333333334</v>
      </c>
    </row>
    <row r="55" ht="11.25" customHeight="1" spans="1:17" x14ac:dyDescent="0.25">
      <c r="A55" s="224" t="s">
        <v>336</v>
      </c>
      <c r="B55" s="177" t="s">
        <v>320</v>
      </c>
      <c r="C55" s="178" t="s">
        <v>321</v>
      </c>
      <c r="D55" s="179">
        <f>D51</f>
        <v>5</v>
      </c>
      <c r="E55" s="180">
        <f t="shared" si="2"/>
        <v>5</v>
      </c>
      <c r="F55" s="180">
        <f t="shared" ref="F55" si="62">D55</f>
        <v>5</v>
      </c>
      <c r="G55" s="180">
        <f t="shared" si="44"/>
        <v>5</v>
      </c>
      <c r="H55" s="180">
        <f t="shared" si="42"/>
        <v>5</v>
      </c>
      <c r="I55" s="181">
        <f t="shared" si="43"/>
        <v>5</v>
      </c>
      <c r="J55" s="182" t="s">
        <v>255</v>
      </c>
      <c r="K55" s="183">
        <f>VLOOKUP(C55,'Base Material'!B:D,3,FALSE)</f>
        <v>10452</v>
      </c>
      <c r="L55" s="184">
        <f t="shared" si="5"/>
        <v>52260</v>
      </c>
      <c r="M55" s="185">
        <f t="shared" si="6"/>
        <v>52260</v>
      </c>
      <c r="N55" s="185">
        <f t="shared" si="7"/>
        <v>52260</v>
      </c>
      <c r="O55" s="185">
        <f t="shared" si="8"/>
        <v>52260</v>
      </c>
      <c r="P55" s="185">
        <f t="shared" si="9"/>
        <v>52260</v>
      </c>
      <c r="Q55" s="186">
        <f t="shared" si="10"/>
        <v>52260</v>
      </c>
    </row>
    <row r="56" ht="11.25" customHeight="1" spans="1:17" x14ac:dyDescent="0.25">
      <c r="A56" s="224" t="s">
        <v>339</v>
      </c>
      <c r="B56" s="177" t="s">
        <v>295</v>
      </c>
      <c r="C56" s="178" t="s">
        <v>299</v>
      </c>
      <c r="D56" s="179">
        <f>+IF(('Informacion de Cotización'!B13+'Informacion de Cotización'!B14)&gt;0,5,0)</f>
        <v>5</v>
      </c>
      <c r="E56" s="180">
        <f t="shared" si="2"/>
        <v>5</v>
      </c>
      <c r="F56" s="180">
        <f t="shared" ref="F56" si="63">D56</f>
        <v>5</v>
      </c>
      <c r="G56" s="180">
        <f t="shared" si="44"/>
        <v>5</v>
      </c>
      <c r="H56" s="180">
        <f t="shared" si="42"/>
        <v>5</v>
      </c>
      <c r="I56" s="181">
        <f t="shared" si="43"/>
        <v>5</v>
      </c>
      <c r="J56" s="182" t="s">
        <v>297</v>
      </c>
      <c r="K56" s="183">
        <f>VLOOKUP(C56,'Base Material'!B:D,3,FALSE)</f>
        <v>133016</v>
      </c>
      <c r="L56" s="184">
        <f t="shared" si="5"/>
        <v>665080</v>
      </c>
      <c r="M56" s="185">
        <f t="shared" si="6"/>
        <v>665080</v>
      </c>
      <c r="N56" s="185">
        <f t="shared" si="7"/>
        <v>665080</v>
      </c>
      <c r="O56" s="185">
        <f t="shared" si="8"/>
        <v>665080</v>
      </c>
      <c r="P56" s="185">
        <f t="shared" si="9"/>
        <v>665080</v>
      </c>
      <c r="Q56" s="186">
        <f t="shared" si="10"/>
        <v>665080</v>
      </c>
    </row>
    <row r="57" ht="11.25" customHeight="1" spans="1:17" x14ac:dyDescent="0.25">
      <c r="A57" s="224" t="s">
        <v>339</v>
      </c>
      <c r="B57" s="177" t="s">
        <v>292</v>
      </c>
      <c r="C57" s="178" t="s">
        <v>293</v>
      </c>
      <c r="D57" s="179">
        <f>+IF(('Informacion de Cotización'!B13+'Informacion de Cotización'!B14)&gt;0,4,0)</f>
        <v>4</v>
      </c>
      <c r="E57" s="180">
        <f t="shared" si="2"/>
        <v>4</v>
      </c>
      <c r="F57" s="180">
        <f t="shared" ref="F57" si="64">D57</f>
        <v>4</v>
      </c>
      <c r="G57" s="180">
        <f t="shared" si="44"/>
        <v>4</v>
      </c>
      <c r="H57" s="180">
        <f t="shared" si="42"/>
        <v>4</v>
      </c>
      <c r="I57" s="181">
        <f t="shared" si="43"/>
        <v>4</v>
      </c>
      <c r="J57" s="182" t="s">
        <v>294</v>
      </c>
      <c r="K57" s="183">
        <f>VLOOKUP(C57,'Base Material'!B:D,3,FALSE)</f>
        <v>6142</v>
      </c>
      <c r="L57" s="184">
        <f t="shared" si="5"/>
        <v>24568</v>
      </c>
      <c r="M57" s="185">
        <f t="shared" si="6"/>
        <v>24568</v>
      </c>
      <c r="N57" s="185">
        <f t="shared" si="7"/>
        <v>24568</v>
      </c>
      <c r="O57" s="185">
        <f t="shared" si="8"/>
        <v>24568</v>
      </c>
      <c r="P57" s="185">
        <f t="shared" si="9"/>
        <v>24568</v>
      </c>
      <c r="Q57" s="186">
        <f t="shared" si="10"/>
        <v>24568</v>
      </c>
    </row>
    <row r="58" ht="11.25" customHeight="1" spans="1:17" x14ac:dyDescent="0.25">
      <c r="A58" s="224" t="s">
        <v>339</v>
      </c>
      <c r="B58" s="153" t="s">
        <v>337</v>
      </c>
      <c r="C58" s="153" t="s">
        <v>338</v>
      </c>
      <c r="D58" s="179">
        <f>+IF(('Informacion de Cotización'!B13+'Informacion de Cotización'!B14)&gt;0,7,0)</f>
        <v>7</v>
      </c>
      <c r="E58" s="180">
        <f t="shared" si="2"/>
        <v>7</v>
      </c>
      <c r="F58" s="180">
        <f t="shared" ref="F58" si="65">D58</f>
        <v>7</v>
      </c>
      <c r="G58" s="180">
        <f t="shared" si="44"/>
        <v>7</v>
      </c>
      <c r="H58" s="180">
        <f t="shared" si="42"/>
        <v>7</v>
      </c>
      <c r="I58" s="181">
        <f t="shared" si="43"/>
        <v>7</v>
      </c>
      <c r="J58" s="182" t="s">
        <v>297</v>
      </c>
      <c r="K58" s="183">
        <f>VLOOKUP(C58,'Base Material'!B:D,3,FALSE)</f>
        <v>64993</v>
      </c>
      <c r="L58" s="184">
        <f t="shared" si="5"/>
        <v>454951</v>
      </c>
      <c r="M58" s="185">
        <f t="shared" si="6"/>
        <v>454951</v>
      </c>
      <c r="N58" s="185">
        <f t="shared" si="7"/>
        <v>454951</v>
      </c>
      <c r="O58" s="185">
        <f t="shared" si="8"/>
        <v>454951</v>
      </c>
      <c r="P58" s="185">
        <f t="shared" si="9"/>
        <v>454951</v>
      </c>
      <c r="Q58" s="186">
        <f t="shared" si="10"/>
        <v>454951</v>
      </c>
    </row>
    <row r="59" ht="11.25" customHeight="1" spans="1:17" x14ac:dyDescent="0.25">
      <c r="A59" s="224" t="s">
        <v>339</v>
      </c>
      <c r="B59" s="177" t="s">
        <v>325</v>
      </c>
      <c r="C59" s="178" t="s">
        <v>326</v>
      </c>
      <c r="D59" s="179">
        <f>D56/11</f>
        <v>0.45454545454545453</v>
      </c>
      <c r="E59" s="180">
        <f t="shared" si="2"/>
        <v>0.45454545454545453</v>
      </c>
      <c r="F59" s="180">
        <f t="shared" ref="F59" si="66">D59</f>
        <v>0.45454545454545453</v>
      </c>
      <c r="G59" s="180">
        <f t="shared" si="44"/>
        <v>0.45454545454545453</v>
      </c>
      <c r="H59" s="180">
        <f t="shared" si="42"/>
        <v>0.45454545454545453</v>
      </c>
      <c r="I59" s="181">
        <f t="shared" si="43"/>
        <v>0.45454545454545453</v>
      </c>
      <c r="J59" s="182" t="s">
        <v>306</v>
      </c>
      <c r="K59" s="183">
        <f>VLOOKUP(C59,'Base Material'!B:D,3,FALSE)</f>
        <v>26457</v>
      </c>
      <c r="L59" s="184">
        <f t="shared" si="5"/>
        <v>12025.90909090909</v>
      </c>
      <c r="M59" s="185">
        <f t="shared" si="6"/>
        <v>12025.90909090909</v>
      </c>
      <c r="N59" s="185">
        <f t="shared" si="7"/>
        <v>12025.90909090909</v>
      </c>
      <c r="O59" s="185">
        <f t="shared" si="8"/>
        <v>12025.90909090909</v>
      </c>
      <c r="P59" s="185">
        <f t="shared" si="9"/>
        <v>12025.90909090909</v>
      </c>
      <c r="Q59" s="186">
        <f t="shared" si="10"/>
        <v>12025.90909090909</v>
      </c>
    </row>
    <row r="60" ht="12" customHeight="1" spans="1:17" x14ac:dyDescent="0.25">
      <c r="A60" s="226" t="s">
        <v>339</v>
      </c>
      <c r="B60" s="188" t="s">
        <v>320</v>
      </c>
      <c r="C60" s="189" t="s">
        <v>321</v>
      </c>
      <c r="D60" s="190">
        <f>D56</f>
        <v>5</v>
      </c>
      <c r="E60" s="191">
        <f t="shared" si="2"/>
        <v>5</v>
      </c>
      <c r="F60" s="191">
        <f t="shared" ref="F60" si="67">D60</f>
        <v>5</v>
      </c>
      <c r="G60" s="191">
        <f t="shared" si="44"/>
        <v>5</v>
      </c>
      <c r="H60" s="191">
        <f t="shared" si="42"/>
        <v>5</v>
      </c>
      <c r="I60" s="192">
        <f t="shared" si="43"/>
        <v>5</v>
      </c>
      <c r="J60" s="193" t="s">
        <v>255</v>
      </c>
      <c r="K60" s="194">
        <f>VLOOKUP(C60,'Base Material'!B:D,3,FALSE)</f>
        <v>10452</v>
      </c>
      <c r="L60" s="195">
        <f t="shared" si="5"/>
        <v>52260</v>
      </c>
      <c r="M60" s="196">
        <f t="shared" si="6"/>
        <v>52260</v>
      </c>
      <c r="N60" s="196">
        <f t="shared" si="7"/>
        <v>52260</v>
      </c>
      <c r="O60" s="196">
        <f t="shared" si="8"/>
        <v>52260</v>
      </c>
      <c r="P60" s="196">
        <f t="shared" si="9"/>
        <v>52260</v>
      </c>
      <c r="Q60" s="197">
        <f t="shared" si="10"/>
        <v>52260</v>
      </c>
    </row>
    <row r="61" ht="11.25" customHeight="1" spans="1:17" x14ac:dyDescent="0.25">
      <c r="A61" s="229" t="s">
        <v>340</v>
      </c>
      <c r="B61" s="199" t="s">
        <v>275</v>
      </c>
      <c r="C61" s="200" t="s">
        <v>267</v>
      </c>
      <c r="D61" s="201">
        <f>IF('Informacion de Cotización'!B10&gt;0,2,0)</f>
        <v>2</v>
      </c>
      <c r="E61" s="202">
        <f t="shared" si="2"/>
        <v>2</v>
      </c>
      <c r="F61" s="202">
        <f t="shared" ref="F61" si="68">D61</f>
        <v>2</v>
      </c>
      <c r="G61" s="202"/>
      <c r="H61" s="202"/>
      <c r="I61" s="203">
        <f>D61</f>
        <v>2</v>
      </c>
      <c r="J61" s="204" t="s">
        <v>268</v>
      </c>
      <c r="K61" s="205">
        <f>VLOOKUP(C61,'Base Material'!B:D,3,FALSE)</f>
        <v>88034</v>
      </c>
      <c r="L61" s="206">
        <f t="shared" ref="L61:L68" si="69">K61*D61</f>
        <v>176068</v>
      </c>
      <c r="M61" s="207">
        <f t="shared" si="6"/>
        <v>176068</v>
      </c>
      <c r="N61" s="207">
        <f t="shared" ref="N61:N68" si="70">K61*F61</f>
        <v>176068</v>
      </c>
      <c r="O61" s="207">
        <f t="shared" ref="O61:O68" si="71">+K61*G61</f>
        <v>0</v>
      </c>
      <c r="P61" s="207">
        <f t="shared" si="9"/>
        <v>0</v>
      </c>
      <c r="Q61" s="208">
        <f t="shared" si="10"/>
        <v>176068</v>
      </c>
    </row>
    <row r="62" ht="11.25" customHeight="1" spans="1:17" x14ac:dyDescent="0.25">
      <c r="A62" s="224" t="s">
        <v>340</v>
      </c>
      <c r="B62" s="177" t="s">
        <v>341</v>
      </c>
      <c r="C62" s="178" t="s">
        <v>342</v>
      </c>
      <c r="D62" s="179">
        <f>IF('Informacion de Cotización'!B10&gt;0,1,0)</f>
        <v>1</v>
      </c>
      <c r="E62" s="180">
        <f t="shared" si="2"/>
        <v>1</v>
      </c>
      <c r="F62" s="180">
        <f t="shared" ref="F62" si="72">D62</f>
        <v>1</v>
      </c>
      <c r="G62" s="180"/>
      <c r="H62" s="180"/>
      <c r="I62" s="181">
        <f>D62</f>
        <v>1</v>
      </c>
      <c r="J62" s="182" t="s">
        <v>246</v>
      </c>
      <c r="K62" s="183">
        <f>VLOOKUP(C62,'Base Material'!B:D,3,FALSE)</f>
        <v>111154</v>
      </c>
      <c r="L62" s="184">
        <f t="shared" si="69"/>
        <v>111154</v>
      </c>
      <c r="M62" s="185">
        <f t="shared" si="6"/>
        <v>111154</v>
      </c>
      <c r="N62" s="185">
        <f t="shared" si="70"/>
        <v>111154</v>
      </c>
      <c r="O62" s="185">
        <f t="shared" si="71"/>
        <v>0</v>
      </c>
      <c r="P62" s="185">
        <f t="shared" si="9"/>
        <v>0</v>
      </c>
      <c r="Q62" s="186">
        <f t="shared" si="10"/>
        <v>111154</v>
      </c>
    </row>
    <row r="63" ht="11.25" customHeight="1" spans="1:17" x14ac:dyDescent="0.25">
      <c r="A63" s="224" t="s">
        <v>340</v>
      </c>
      <c r="B63" s="177" t="s">
        <v>343</v>
      </c>
      <c r="C63" s="178" t="s">
        <v>344</v>
      </c>
      <c r="D63" s="179">
        <f>D62</f>
        <v>1</v>
      </c>
      <c r="E63" s="180">
        <f t="shared" si="2"/>
        <v>1</v>
      </c>
      <c r="F63" s="180">
        <f t="shared" ref="F63" si="73">D63</f>
        <v>1</v>
      </c>
      <c r="G63" s="180"/>
      <c r="H63" s="180"/>
      <c r="I63" s="181">
        <f t="shared" ref="I63:I68" si="74">D63</f>
        <v>1</v>
      </c>
      <c r="J63" s="182" t="s">
        <v>246</v>
      </c>
      <c r="K63" s="183">
        <f>K62</f>
        <v>111154</v>
      </c>
      <c r="L63" s="184">
        <f t="shared" si="69"/>
        <v>111154</v>
      </c>
      <c r="M63" s="185">
        <f t="shared" si="6"/>
        <v>111154</v>
      </c>
      <c r="N63" s="185">
        <f t="shared" si="70"/>
        <v>111154</v>
      </c>
      <c r="O63" s="185">
        <f t="shared" si="71"/>
        <v>0</v>
      </c>
      <c r="P63" s="185">
        <f t="shared" si="9"/>
        <v>0</v>
      </c>
      <c r="Q63" s="186">
        <f t="shared" si="10"/>
        <v>111154</v>
      </c>
    </row>
    <row r="64" ht="11.25" customHeight="1" spans="1:17" x14ac:dyDescent="0.25">
      <c r="A64" s="224" t="s">
        <v>340</v>
      </c>
      <c r="B64" s="177" t="s">
        <v>345</v>
      </c>
      <c r="C64" s="178" t="s">
        <v>346</v>
      </c>
      <c r="D64" s="179">
        <f>(D62+D63)*6*6</f>
        <v>72</v>
      </c>
      <c r="E64" s="180">
        <f t="shared" si="2"/>
        <v>72</v>
      </c>
      <c r="F64" s="180">
        <f t="shared" ref="F64" si="75">D64</f>
        <v>72</v>
      </c>
      <c r="G64" s="180"/>
      <c r="H64" s="180"/>
      <c r="I64" s="181">
        <f t="shared" si="74"/>
        <v>72</v>
      </c>
      <c r="J64" s="182" t="s">
        <v>347</v>
      </c>
      <c r="K64" s="183">
        <f>VLOOKUP(C64,'Base Material'!B:D,3,FALSE)</f>
        <v>5400</v>
      </c>
      <c r="L64" s="184">
        <f t="shared" si="69"/>
        <v>388800</v>
      </c>
      <c r="M64" s="185">
        <f t="shared" si="6"/>
        <v>388800</v>
      </c>
      <c r="N64" s="185">
        <f t="shared" si="70"/>
        <v>388800</v>
      </c>
      <c r="O64" s="185">
        <f t="shared" si="71"/>
        <v>0</v>
      </c>
      <c r="P64" s="185">
        <f t="shared" si="9"/>
        <v>0</v>
      </c>
      <c r="Q64" s="186">
        <f t="shared" si="10"/>
        <v>388800</v>
      </c>
    </row>
    <row r="65" ht="11.25" customHeight="1" spans="1:17" x14ac:dyDescent="0.25">
      <c r="A65" s="224" t="s">
        <v>340</v>
      </c>
      <c r="B65" s="177" t="s">
        <v>301</v>
      </c>
      <c r="C65" s="178" t="s">
        <v>302</v>
      </c>
      <c r="D65" s="179">
        <f>IF('Informacion de Cotización'!B10&gt;0,6,0)</f>
        <v>6</v>
      </c>
      <c r="E65" s="180">
        <f t="shared" si="2"/>
        <v>6</v>
      </c>
      <c r="F65" s="180">
        <f t="shared" ref="F65" si="76">D65</f>
        <v>6</v>
      </c>
      <c r="G65" s="180"/>
      <c r="H65" s="180"/>
      <c r="I65" s="181">
        <f t="shared" si="74"/>
        <v>6</v>
      </c>
      <c r="J65" s="182" t="s">
        <v>303</v>
      </c>
      <c r="K65" s="183">
        <f>VLOOKUP(C65,'Base Material'!B:D,3,FALSE)</f>
        <v>31282</v>
      </c>
      <c r="L65" s="184">
        <f t="shared" si="69"/>
        <v>187692</v>
      </c>
      <c r="M65" s="185">
        <f t="shared" si="6"/>
        <v>187692</v>
      </c>
      <c r="N65" s="185">
        <f t="shared" si="70"/>
        <v>187692</v>
      </c>
      <c r="O65" s="185">
        <f t="shared" si="71"/>
        <v>0</v>
      </c>
      <c r="P65" s="185">
        <f t="shared" si="9"/>
        <v>0</v>
      </c>
      <c r="Q65" s="186">
        <f t="shared" si="10"/>
        <v>187692</v>
      </c>
    </row>
    <row r="66" ht="11.25" customHeight="1" spans="1:17" x14ac:dyDescent="0.25">
      <c r="A66" s="224" t="s">
        <v>340</v>
      </c>
      <c r="B66" s="177" t="s">
        <v>348</v>
      </c>
      <c r="C66" s="153" t="s">
        <v>349</v>
      </c>
      <c r="D66" s="179">
        <f>D65*5</f>
        <v>30</v>
      </c>
      <c r="E66" s="180">
        <f t="shared" si="2"/>
        <v>30</v>
      </c>
      <c r="F66" s="180">
        <f t="shared" ref="F66" si="77">D66</f>
        <v>30</v>
      </c>
      <c r="G66" s="180"/>
      <c r="H66" s="180"/>
      <c r="I66" s="181">
        <f t="shared" si="74"/>
        <v>30</v>
      </c>
      <c r="J66" s="182" t="s">
        <v>277</v>
      </c>
      <c r="K66" s="183">
        <v>700</v>
      </c>
      <c r="L66" s="184">
        <f t="shared" si="69"/>
        <v>21000</v>
      </c>
      <c r="M66" s="185">
        <f t="shared" si="6"/>
        <v>21000</v>
      </c>
      <c r="N66" s="185">
        <f t="shared" si="70"/>
        <v>21000</v>
      </c>
      <c r="O66" s="185">
        <f t="shared" si="71"/>
        <v>0</v>
      </c>
      <c r="P66" s="185">
        <f t="shared" si="9"/>
        <v>0</v>
      </c>
      <c r="Q66" s="186">
        <f t="shared" si="10"/>
        <v>21000</v>
      </c>
    </row>
    <row r="67" ht="11.25" customHeight="1" spans="1:17" x14ac:dyDescent="0.25">
      <c r="A67" s="224" t="s">
        <v>350</v>
      </c>
      <c r="B67" s="177" t="s">
        <v>351</v>
      </c>
      <c r="C67" s="178" t="s">
        <v>352</v>
      </c>
      <c r="D67" s="179">
        <f>+IF('Informacion de Cotización'!B62="SI",+'Informacion de Cotización'!B40*150,"0")</f>
        <v>150</v>
      </c>
      <c r="E67" s="180">
        <f t="shared" si="2"/>
        <v>150</v>
      </c>
      <c r="F67" s="180">
        <f t="shared" ref="F67" si="78">D67</f>
        <v>150</v>
      </c>
      <c r="G67" s="180">
        <f>F67</f>
        <v>150</v>
      </c>
      <c r="H67" s="180">
        <f t="shared" ref="H67" si="79">G67</f>
        <v>150</v>
      </c>
      <c r="I67" s="181">
        <f t="shared" si="74"/>
        <v>150</v>
      </c>
      <c r="J67" s="182" t="s">
        <v>353</v>
      </c>
      <c r="K67" s="183">
        <v>200</v>
      </c>
      <c r="L67" s="184">
        <f t="shared" si="69"/>
        <v>30000</v>
      </c>
      <c r="M67" s="185">
        <f t="shared" si="6"/>
        <v>30000</v>
      </c>
      <c r="N67" s="185">
        <f t="shared" si="70"/>
        <v>30000</v>
      </c>
      <c r="O67" s="185">
        <f t="shared" si="71"/>
        <v>30000</v>
      </c>
      <c r="P67" s="185">
        <f t="shared" si="9"/>
        <v>30000</v>
      </c>
      <c r="Q67" s="186">
        <f t="shared" si="10"/>
        <v>30000</v>
      </c>
    </row>
    <row r="68" ht="12" customHeight="1" spans="1:17" x14ac:dyDescent="0.25">
      <c r="A68" s="230" t="s">
        <v>350</v>
      </c>
      <c r="B68" s="212" t="s">
        <v>354</v>
      </c>
      <c r="C68" s="213" t="s">
        <v>355</v>
      </c>
      <c r="D68" s="214">
        <f>+IF('Informacion de Cotización'!B62="SI",6*'Informacion de Cotización'!B40,"0")</f>
        <v>6</v>
      </c>
      <c r="E68" s="215">
        <f t="shared" si="2"/>
        <v>6</v>
      </c>
      <c r="F68" s="215">
        <f t="shared" ref="F68" si="80">D68</f>
        <v>6</v>
      </c>
      <c r="G68" s="215">
        <f>F68</f>
        <v>6</v>
      </c>
      <c r="H68" s="215">
        <f t="shared" ref="H68" si="81">G68</f>
        <v>6</v>
      </c>
      <c r="I68" s="216">
        <f t="shared" si="74"/>
        <v>6</v>
      </c>
      <c r="J68" s="217" t="s">
        <v>356</v>
      </c>
      <c r="K68" s="218">
        <f>VLOOKUP(C68,'Base Material'!B:D,3,FALSE)</f>
        <v>33021.64</v>
      </c>
      <c r="L68" s="219">
        <f t="shared" si="69"/>
        <v>198129.84</v>
      </c>
      <c r="M68" s="220">
        <f t="shared" si="6"/>
        <v>198129.84</v>
      </c>
      <c r="N68" s="220">
        <f t="shared" si="70"/>
        <v>198129.84</v>
      </c>
      <c r="O68" s="220">
        <f t="shared" si="71"/>
        <v>198129.84</v>
      </c>
      <c r="P68" s="220">
        <f t="shared" si="9"/>
        <v>198129.84</v>
      </c>
      <c r="Q68" s="221">
        <f t="shared" si="10"/>
        <v>198129.84</v>
      </c>
    </row>
    <row r="69" ht="11.25" customHeight="1" spans="1:17" x14ac:dyDescent="0.25">
      <c r="A69" s="231" t="s">
        <v>6</v>
      </c>
      <c r="B69" s="153" t="s">
        <v>259</v>
      </c>
      <c r="C69" s="153" t="s">
        <v>260</v>
      </c>
      <c r="D69" s="171">
        <v>0</v>
      </c>
      <c r="E69" s="172"/>
      <c r="F69" s="172"/>
      <c r="G69" s="172">
        <f>('Informacion de Cotización'!B19+'Informacion de Cotización'!B20+'Informacion de Cotización'!B21+'Informacion de Cotización'!B22)/2.2</f>
        <v>0</v>
      </c>
      <c r="H69" s="172"/>
      <c r="I69" s="173"/>
      <c r="J69" s="174" t="s">
        <v>277</v>
      </c>
      <c r="K69" s="175">
        <f>VLOOKUP(C69,'Base Material'!B:D,3,FALSE)</f>
        <v>2061</v>
      </c>
      <c r="L69" s="155"/>
      <c r="M69" s="156"/>
      <c r="N69" s="156"/>
      <c r="O69" s="156">
        <f t="shared" ref="O69:O71" si="82">+K69*G69</f>
        <v>0</v>
      </c>
      <c r="P69" s="156"/>
      <c r="Q69" s="157"/>
    </row>
    <row r="70" ht="11.25" customHeight="1" spans="1:17" x14ac:dyDescent="0.25">
      <c r="A70" s="232" t="s">
        <v>6</v>
      </c>
      <c r="B70" s="177" t="s">
        <v>357</v>
      </c>
      <c r="C70" s="178" t="s">
        <v>358</v>
      </c>
      <c r="D70" s="179">
        <v>0</v>
      </c>
      <c r="E70" s="180"/>
      <c r="F70" s="180"/>
      <c r="G70" s="215">
        <f>G69</f>
        <v>0</v>
      </c>
      <c r="H70" s="180"/>
      <c r="I70" s="181"/>
      <c r="J70" s="182" t="s">
        <v>359</v>
      </c>
      <c r="K70" s="205">
        <f>K69</f>
        <v>2061</v>
      </c>
      <c r="L70" s="184"/>
      <c r="M70" s="185"/>
      <c r="N70" s="185"/>
      <c r="O70" s="185">
        <f t="shared" si="82"/>
        <v>0</v>
      </c>
      <c r="P70" s="185"/>
      <c r="Q70" s="186"/>
    </row>
    <row r="71" ht="11.25" customHeight="1" spans="1:17" x14ac:dyDescent="0.25">
      <c r="A71" s="232" t="s">
        <v>6</v>
      </c>
      <c r="B71" s="177" t="s">
        <v>360</v>
      </c>
      <c r="C71" s="177" t="s">
        <v>360</v>
      </c>
      <c r="D71" s="179">
        <v>0</v>
      </c>
      <c r="E71" s="180"/>
      <c r="F71" s="180"/>
      <c r="G71" s="215">
        <f>G72</f>
        <v>0</v>
      </c>
      <c r="H71" s="180"/>
      <c r="I71" s="181"/>
      <c r="J71" s="182" t="s">
        <v>361</v>
      </c>
      <c r="K71" s="205">
        <f>VLOOKUP(C71,'Base Material'!B:D,3,FALSE)</f>
        <v>30</v>
      </c>
      <c r="L71" s="184"/>
      <c r="M71" s="185"/>
      <c r="N71" s="185"/>
      <c r="O71" s="185">
        <f t="shared" si="82"/>
        <v>0</v>
      </c>
      <c r="P71" s="185"/>
      <c r="Q71" s="186"/>
    </row>
    <row r="72" ht="11.25" customHeight="1" spans="1:17" x14ac:dyDescent="0.25">
      <c r="A72" s="232" t="s">
        <v>6</v>
      </c>
      <c r="B72" s="177" t="s">
        <v>362</v>
      </c>
      <c r="C72" s="210" t="s">
        <v>363</v>
      </c>
      <c r="D72" s="179">
        <v>0</v>
      </c>
      <c r="E72" s="180"/>
      <c r="F72" s="180"/>
      <c r="G72" s="215">
        <f>+('Informacion de Cotización'!B19+'Informacion de Cotización'!B20)*'Informacion de Cotización'!B23+('Informacion de Cotización'!B21+'Informacion de Cotización'!B22)*'Informacion de Cotización'!B24</f>
        <v>0</v>
      </c>
      <c r="H72" s="180"/>
      <c r="I72" s="181"/>
      <c r="J72" s="182" t="s">
        <v>364</v>
      </c>
      <c r="K72" s="205">
        <f>VLOOKUP(C72,'Base Material'!B:D,3,FALSE)</f>
        <v>79000</v>
      </c>
      <c r="L72" s="184"/>
      <c r="M72" s="185"/>
      <c r="N72" s="185"/>
      <c r="O72" s="185">
        <f t="shared" ref="O72:O78" si="83">+K72*G72</f>
        <v>0</v>
      </c>
      <c r="P72" s="185"/>
      <c r="Q72" s="186"/>
    </row>
    <row r="73" ht="11.25" customHeight="1" spans="1:17" x14ac:dyDescent="0.25">
      <c r="A73" s="232" t="s">
        <v>6</v>
      </c>
      <c r="B73" s="177" t="s">
        <v>365</v>
      </c>
      <c r="C73" s="177" t="s">
        <v>365</v>
      </c>
      <c r="D73" s="179">
        <v>0</v>
      </c>
      <c r="E73" s="180"/>
      <c r="F73" s="180"/>
      <c r="G73" s="215">
        <f>(+G72)*100</f>
        <v>0</v>
      </c>
      <c r="H73" s="180"/>
      <c r="I73" s="181"/>
      <c r="J73" s="182" t="s">
        <v>361</v>
      </c>
      <c r="K73" s="205">
        <f>VLOOKUP(C73,'Base Material'!B:D,3,FALSE)</f>
        <v>40</v>
      </c>
      <c r="L73" s="184"/>
      <c r="M73" s="185"/>
      <c r="N73" s="185"/>
      <c r="O73" s="185">
        <f t="shared" si="83"/>
        <v>0</v>
      </c>
      <c r="P73" s="185"/>
      <c r="Q73" s="186"/>
    </row>
    <row r="74" ht="11.25" customHeight="1" spans="1:17" x14ac:dyDescent="0.25">
      <c r="A74" s="232" t="s">
        <v>6</v>
      </c>
      <c r="B74" s="177" t="s">
        <v>357</v>
      </c>
      <c r="C74" s="178" t="s">
        <v>358</v>
      </c>
      <c r="D74" s="179">
        <v>0</v>
      </c>
      <c r="E74" s="180"/>
      <c r="F74" s="180"/>
      <c r="G74" s="215">
        <f>+G72*(1.2+1.2+2.4+2.4)/2.2</f>
        <v>0</v>
      </c>
      <c r="H74" s="180"/>
      <c r="I74" s="181"/>
      <c r="J74" s="182" t="s">
        <v>359</v>
      </c>
      <c r="K74" s="205">
        <f>K70</f>
        <v>2061</v>
      </c>
      <c r="L74" s="184"/>
      <c r="M74" s="185"/>
      <c r="N74" s="185"/>
      <c r="O74" s="185">
        <f t="shared" si="83"/>
        <v>0</v>
      </c>
      <c r="P74" s="185"/>
      <c r="Q74" s="186"/>
    </row>
    <row r="75" ht="11.25" customHeight="1" spans="1:17" x14ac:dyDescent="0.25">
      <c r="A75" s="232" t="s">
        <v>6</v>
      </c>
      <c r="B75" s="177" t="s">
        <v>366</v>
      </c>
      <c r="C75" s="177" t="s">
        <v>366</v>
      </c>
      <c r="D75" s="214">
        <v>0</v>
      </c>
      <c r="E75" s="215"/>
      <c r="F75" s="215"/>
      <c r="G75" s="215">
        <f>H89</f>
        <v>0</v>
      </c>
      <c r="H75" s="215"/>
      <c r="I75" s="216"/>
      <c r="J75" s="182" t="s">
        <v>359</v>
      </c>
      <c r="K75" s="205">
        <f>VLOOKUP(C75,'Base Material'!B:D,3,FALSE)</f>
        <v>24500</v>
      </c>
      <c r="L75" s="184"/>
      <c r="M75" s="185"/>
      <c r="N75" s="185"/>
      <c r="O75" s="185"/>
      <c r="P75" s="185"/>
      <c r="Q75" s="186"/>
    </row>
    <row r="76" ht="11.25" customHeight="1" spans="1:17" x14ac:dyDescent="0.25">
      <c r="A76" s="232" t="s">
        <v>6</v>
      </c>
      <c r="B76" s="177" t="s">
        <v>367</v>
      </c>
      <c r="C76" s="177" t="s">
        <v>367</v>
      </c>
      <c r="D76" s="214">
        <v>0</v>
      </c>
      <c r="E76" s="215"/>
      <c r="F76" s="215"/>
      <c r="G76" s="215">
        <f>H88</f>
        <v>0</v>
      </c>
      <c r="H76" s="215"/>
      <c r="I76" s="216"/>
      <c r="J76" s="182" t="s">
        <v>359</v>
      </c>
      <c r="K76" s="205">
        <f>VLOOKUP(C76,'Base Material'!B:D,3,FALSE)</f>
        <v>19000</v>
      </c>
      <c r="L76" s="184"/>
      <c r="M76" s="185"/>
      <c r="N76" s="185"/>
      <c r="O76" s="185"/>
      <c r="P76" s="185"/>
      <c r="Q76" s="186"/>
    </row>
    <row r="77" ht="11.25" customHeight="1" spans="1:17" x14ac:dyDescent="0.25">
      <c r="A77" s="232" t="s">
        <v>6</v>
      </c>
      <c r="B77" s="177" t="s">
        <v>368</v>
      </c>
      <c r="C77" s="177" t="s">
        <v>368</v>
      </c>
      <c r="D77" s="214">
        <v>0</v>
      </c>
      <c r="E77" s="215"/>
      <c r="F77" s="215"/>
      <c r="G77" s="215">
        <f>H86</f>
        <v>0</v>
      </c>
      <c r="H77" s="215"/>
      <c r="I77" s="216"/>
      <c r="J77" s="182" t="s">
        <v>359</v>
      </c>
      <c r="K77" s="205">
        <f>VLOOKUP(C77,'Base Material'!B:D,3,FALSE)</f>
        <v>3200</v>
      </c>
      <c r="L77" s="184"/>
      <c r="M77" s="185"/>
      <c r="N77" s="185"/>
      <c r="O77" s="185"/>
      <c r="P77" s="185"/>
      <c r="Q77" s="186"/>
    </row>
    <row r="78" ht="12" customHeight="1" spans="1:17" x14ac:dyDescent="0.25">
      <c r="A78" s="233" t="s">
        <v>6</v>
      </c>
      <c r="B78" s="188" t="s">
        <v>369</v>
      </c>
      <c r="C78" s="188" t="s">
        <v>369</v>
      </c>
      <c r="D78" s="190">
        <v>0</v>
      </c>
      <c r="E78" s="191"/>
      <c r="F78" s="191"/>
      <c r="G78" s="191">
        <f>H96</f>
        <v>0</v>
      </c>
      <c r="H78" s="191"/>
      <c r="I78" s="192"/>
      <c r="J78" s="217" t="s">
        <v>359</v>
      </c>
      <c r="K78" s="234">
        <f>VLOOKUP(C78,'Base Material'!B:D,3,FALSE)</f>
        <v>21</v>
      </c>
      <c r="L78" s="195"/>
      <c r="M78" s="196"/>
      <c r="N78" s="196"/>
      <c r="O78" s="196">
        <f t="shared" si="83"/>
        <v>0</v>
      </c>
      <c r="P78" s="196"/>
      <c r="Q78" s="197"/>
    </row>
    <row r="79" ht="11.25" customHeight="1" spans="1:17" x14ac:dyDescent="0.25">
      <c r="A79" s="235" t="s">
        <v>370</v>
      </c>
      <c r="B79" s="169" t="s">
        <v>371</v>
      </c>
      <c r="C79" s="169" t="s">
        <v>371</v>
      </c>
      <c r="D79" s="171">
        <v>0</v>
      </c>
      <c r="E79" s="172"/>
      <c r="F79" s="172"/>
      <c r="G79" s="172"/>
      <c r="H79" s="172">
        <f>((('Informacion de Cotización'!B19+'Informacion de Cotización'!B20)*'Informacion de Cotización'!B23)+(('Informacion de Cotización'!B21+'Informacion de Cotización'!B22)*'Informacion de Cotización'!B24))/(1.2*2.44)</f>
        <v>0</v>
      </c>
      <c r="I79" s="236"/>
      <c r="J79" s="237" t="s">
        <v>252</v>
      </c>
      <c r="K79" s="238">
        <f>VLOOKUP(C79,'Base Material'!B:D,3,FALSE)</f>
        <v>19000</v>
      </c>
      <c r="L79" s="239"/>
      <c r="M79" s="156"/>
      <c r="N79" s="156"/>
      <c r="O79" s="156"/>
      <c r="P79" s="156">
        <f>K79*H79</f>
        <v>0</v>
      </c>
      <c r="Q79" s="157"/>
    </row>
    <row r="80" ht="11.25" customHeight="1" spans="1:17" x14ac:dyDescent="0.25">
      <c r="A80" s="240" t="s">
        <v>370</v>
      </c>
      <c r="B80" s="177" t="s">
        <v>372</v>
      </c>
      <c r="C80" s="177" t="s">
        <v>372</v>
      </c>
      <c r="D80" s="179">
        <v>0</v>
      </c>
      <c r="E80" s="180"/>
      <c r="F80" s="180"/>
      <c r="G80" s="180"/>
      <c r="H80" s="180">
        <f>((('Informacion de Cotización'!B19+2*'Informacion de Cotización'!B20)*'Informacion de Cotización'!B23+('Informacion de Cotización'!B21+2*'Informacion de Cotización'!B22)*'Informacion de Cotización'!B24))/(1.2*2.44)</f>
        <v>0</v>
      </c>
      <c r="I80" s="241"/>
      <c r="J80" s="242" t="s">
        <v>252</v>
      </c>
      <c r="K80" s="243">
        <f>VLOOKUP(C80,'Base Material'!B:D,3,FALSE)</f>
        <v>37000</v>
      </c>
      <c r="L80" s="244"/>
      <c r="M80" s="185"/>
      <c r="N80" s="185"/>
      <c r="O80" s="185"/>
      <c r="P80" s="185">
        <f t="shared" ref="P80:P99" si="84">K80*H80</f>
        <v>0</v>
      </c>
      <c r="Q80" s="186"/>
    </row>
    <row r="81" ht="11.25" customHeight="1" spans="1:17" x14ac:dyDescent="0.25">
      <c r="A81" s="240" t="s">
        <v>370</v>
      </c>
      <c r="B81" s="177" t="s">
        <v>373</v>
      </c>
      <c r="C81" s="177" t="s">
        <v>373</v>
      </c>
      <c r="D81" s="179">
        <v>0</v>
      </c>
      <c r="E81" s="180"/>
      <c r="F81" s="180"/>
      <c r="G81" s="180"/>
      <c r="H81" s="180">
        <f>+H80*(1.2*2+2.44*2)/75</f>
        <v>0</v>
      </c>
      <c r="I81" s="241"/>
      <c r="J81" s="242" t="s">
        <v>252</v>
      </c>
      <c r="K81" s="243">
        <f>VLOOKUP(C81,'Base Material'!B:D,3,FALSE)</f>
        <v>2700</v>
      </c>
      <c r="L81" s="244"/>
      <c r="M81" s="185"/>
      <c r="N81" s="185"/>
      <c r="O81" s="185"/>
      <c r="P81" s="185">
        <f t="shared" si="84"/>
        <v>0</v>
      </c>
      <c r="Q81" s="186"/>
    </row>
    <row r="82" ht="11.25" customHeight="1" spans="1:17" x14ac:dyDescent="0.25">
      <c r="A82" s="240" t="s">
        <v>370</v>
      </c>
      <c r="B82" s="177" t="s">
        <v>374</v>
      </c>
      <c r="C82" s="177" t="s">
        <v>374</v>
      </c>
      <c r="D82" s="179">
        <v>0</v>
      </c>
      <c r="E82" s="180"/>
      <c r="F82" s="180"/>
      <c r="G82" s="180"/>
      <c r="H82" s="180">
        <f>((('Informacion de Cotización'!B19+'Informacion de Cotización'!B20)+('Informacion de Cotización'!B21+'Informacion de Cotización'!B22))/0.3)/1.5</f>
        <v>0</v>
      </c>
      <c r="I82" s="241"/>
      <c r="J82" s="242" t="s">
        <v>252</v>
      </c>
      <c r="K82" s="243">
        <f>VLOOKUP(C82,'Base Material'!B:D,3,FALSE)</f>
        <v>24000</v>
      </c>
      <c r="L82" s="244"/>
      <c r="M82" s="185"/>
      <c r="N82" s="185"/>
      <c r="O82" s="185"/>
      <c r="P82" s="185">
        <f t="shared" si="84"/>
        <v>0</v>
      </c>
      <c r="Q82" s="186"/>
    </row>
    <row r="83" ht="11.25" customHeight="1" spans="1:17" x14ac:dyDescent="0.25">
      <c r="A83" s="240" t="s">
        <v>370</v>
      </c>
      <c r="B83" s="177" t="s">
        <v>375</v>
      </c>
      <c r="C83" s="177" t="s">
        <v>375</v>
      </c>
      <c r="D83" s="179">
        <v>0</v>
      </c>
      <c r="E83" s="180"/>
      <c r="F83" s="180"/>
      <c r="G83" s="180"/>
      <c r="H83" s="180">
        <f>('Informacion de Cotización'!B19+'Informacion de Cotización'!B20+'Informacion de Cotización'!B21+'Informacion de Cotización'!B22)*2/7</f>
        <v>0</v>
      </c>
      <c r="I83" s="241"/>
      <c r="J83" s="242" t="s">
        <v>252</v>
      </c>
      <c r="K83" s="243">
        <f>VLOOKUP(C83,'Base Material'!B:D,3,FALSE)</f>
        <v>20000</v>
      </c>
      <c r="L83" s="244"/>
      <c r="M83" s="185"/>
      <c r="N83" s="185"/>
      <c r="O83" s="185"/>
      <c r="P83" s="185">
        <f t="shared" si="84"/>
        <v>0</v>
      </c>
      <c r="Q83" s="186"/>
    </row>
    <row r="84" ht="11.25" customHeight="1" spans="1:17" x14ac:dyDescent="0.25">
      <c r="A84" s="240" t="s">
        <v>370</v>
      </c>
      <c r="B84" s="177" t="s">
        <v>376</v>
      </c>
      <c r="C84" s="177" t="s">
        <v>376</v>
      </c>
      <c r="D84" s="179">
        <v>0</v>
      </c>
      <c r="E84" s="180"/>
      <c r="F84" s="180"/>
      <c r="G84" s="180"/>
      <c r="H84" s="180">
        <f>+'Informacion de Cotización'!B15/6</f>
        <v>52.5</v>
      </c>
      <c r="I84" s="241"/>
      <c r="J84" s="242" t="s">
        <v>252</v>
      </c>
      <c r="K84" s="243">
        <f>VLOOKUP(C84,'Base Material'!B:D,3,FALSE)</f>
        <v>1900</v>
      </c>
      <c r="L84" s="244"/>
      <c r="M84" s="185"/>
      <c r="N84" s="185"/>
      <c r="O84" s="185"/>
      <c r="P84" s="185">
        <f t="shared" si="84"/>
        <v>99750</v>
      </c>
      <c r="Q84" s="186"/>
    </row>
    <row r="85" ht="11.25" customHeight="1" spans="1:17" x14ac:dyDescent="0.25">
      <c r="A85" s="240" t="s">
        <v>370</v>
      </c>
      <c r="B85" s="177" t="s">
        <v>377</v>
      </c>
      <c r="C85" s="177" t="s">
        <v>377</v>
      </c>
      <c r="D85" s="179">
        <v>0</v>
      </c>
      <c r="E85" s="180"/>
      <c r="F85" s="180"/>
      <c r="G85" s="180"/>
      <c r="H85" s="180">
        <f>(H80/0.6)/28</f>
        <v>0</v>
      </c>
      <c r="I85" s="241"/>
      <c r="J85" s="242" t="s">
        <v>252</v>
      </c>
      <c r="K85" s="243">
        <f>VLOOKUP(C85,'Base Material'!B:D,3,FALSE)</f>
        <v>21000</v>
      </c>
      <c r="L85" s="244"/>
      <c r="M85" s="185"/>
      <c r="N85" s="185"/>
      <c r="O85" s="185"/>
      <c r="P85" s="185">
        <f t="shared" si="84"/>
        <v>0</v>
      </c>
      <c r="Q85" s="186"/>
    </row>
    <row r="86" ht="11.25" customHeight="1" spans="1:17" x14ac:dyDescent="0.25">
      <c r="A86" s="240" t="s">
        <v>370</v>
      </c>
      <c r="B86" s="177" t="s">
        <v>368</v>
      </c>
      <c r="C86" s="177" t="s">
        <v>368</v>
      </c>
      <c r="D86" s="179">
        <v>0</v>
      </c>
      <c r="E86" s="180"/>
      <c r="F86" s="180"/>
      <c r="G86" s="180"/>
      <c r="H86" s="180">
        <f>H79/2</f>
        <v>0</v>
      </c>
      <c r="I86" s="241"/>
      <c r="J86" s="242" t="s">
        <v>252</v>
      </c>
      <c r="K86" s="243">
        <f>VLOOKUP(C86,'Base Material'!B:D,3,FALSE)</f>
        <v>3200</v>
      </c>
      <c r="L86" s="244"/>
      <c r="M86" s="185"/>
      <c r="N86" s="185"/>
      <c r="O86" s="185"/>
      <c r="P86" s="185">
        <f t="shared" si="84"/>
        <v>0</v>
      </c>
      <c r="Q86" s="186"/>
    </row>
    <row r="87" ht="11.25" customHeight="1" spans="1:17" x14ac:dyDescent="0.25">
      <c r="A87" s="240" t="s">
        <v>370</v>
      </c>
      <c r="B87" s="177" t="s">
        <v>378</v>
      </c>
      <c r="C87" s="177" t="s">
        <v>378</v>
      </c>
      <c r="D87" s="179">
        <v>0</v>
      </c>
      <c r="E87" s="180"/>
      <c r="F87" s="180"/>
      <c r="G87" s="180"/>
      <c r="H87" s="180">
        <f>H79/50</f>
        <v>0</v>
      </c>
      <c r="I87" s="241"/>
      <c r="J87" s="242" t="s">
        <v>252</v>
      </c>
      <c r="K87" s="243">
        <f>VLOOKUP(C87,'Base Material'!B:D,3,FALSE)</f>
        <v>19000</v>
      </c>
      <c r="L87" s="244"/>
      <c r="M87" s="185"/>
      <c r="N87" s="185"/>
      <c r="O87" s="185"/>
      <c r="P87" s="185">
        <f t="shared" si="84"/>
        <v>0</v>
      </c>
      <c r="Q87" s="186"/>
    </row>
    <row r="88" ht="11.25" customHeight="1" spans="1:17" x14ac:dyDescent="0.25">
      <c r="A88" s="240" t="s">
        <v>370</v>
      </c>
      <c r="B88" s="177" t="s">
        <v>367</v>
      </c>
      <c r="C88" s="177" t="s">
        <v>367</v>
      </c>
      <c r="D88" s="179">
        <v>0</v>
      </c>
      <c r="E88" s="180"/>
      <c r="F88" s="180"/>
      <c r="G88" s="180"/>
      <c r="H88" s="180">
        <f>H79/(30)</f>
        <v>0</v>
      </c>
      <c r="I88" s="241"/>
      <c r="J88" s="242" t="s">
        <v>252</v>
      </c>
      <c r="K88" s="243">
        <f>VLOOKUP(C88,'Base Material'!B:D,3,FALSE)</f>
        <v>19000</v>
      </c>
      <c r="L88" s="244"/>
      <c r="M88" s="185"/>
      <c r="N88" s="185"/>
      <c r="O88" s="185"/>
      <c r="P88" s="185">
        <f t="shared" si="84"/>
        <v>0</v>
      </c>
      <c r="Q88" s="186"/>
    </row>
    <row r="89" ht="11.25" customHeight="1" spans="1:17" x14ac:dyDescent="0.25">
      <c r="A89" s="240" t="s">
        <v>370</v>
      </c>
      <c r="B89" s="177" t="s">
        <v>366</v>
      </c>
      <c r="C89" s="177" t="s">
        <v>366</v>
      </c>
      <c r="D89" s="179">
        <v>0</v>
      </c>
      <c r="E89" s="180"/>
      <c r="F89" s="180"/>
      <c r="G89" s="180"/>
      <c r="H89" s="180">
        <f>H88*10</f>
        <v>0</v>
      </c>
      <c r="I89" s="241"/>
      <c r="J89" s="242" t="s">
        <v>252</v>
      </c>
      <c r="K89" s="243">
        <f>VLOOKUP(C89,'Base Material'!B:D,3,FALSE)</f>
        <v>24500</v>
      </c>
      <c r="L89" s="244"/>
      <c r="M89" s="185"/>
      <c r="N89" s="185"/>
      <c r="O89" s="185"/>
      <c r="P89" s="185">
        <f t="shared" si="84"/>
        <v>0</v>
      </c>
      <c r="Q89" s="186"/>
    </row>
    <row r="90" ht="11.25" customHeight="1" spans="1:17" x14ac:dyDescent="0.25">
      <c r="A90" s="240" t="s">
        <v>370</v>
      </c>
      <c r="B90" s="177" t="s">
        <v>379</v>
      </c>
      <c r="C90" s="177" t="s">
        <v>379</v>
      </c>
      <c r="D90" s="179">
        <v>0</v>
      </c>
      <c r="E90" s="180"/>
      <c r="F90" s="180"/>
      <c r="G90" s="180"/>
      <c r="H90" s="180">
        <f>H88</f>
        <v>0</v>
      </c>
      <c r="I90" s="241"/>
      <c r="J90" s="242" t="s">
        <v>252</v>
      </c>
      <c r="K90" s="243">
        <f>VLOOKUP(C90,'Base Material'!B:D,3,FALSE)</f>
        <v>9800</v>
      </c>
      <c r="L90" s="244"/>
      <c r="M90" s="185"/>
      <c r="N90" s="185"/>
      <c r="O90" s="185"/>
      <c r="P90" s="185">
        <f t="shared" si="84"/>
        <v>0</v>
      </c>
      <c r="Q90" s="186"/>
    </row>
    <row r="91" ht="11.25" customHeight="1" spans="1:17" x14ac:dyDescent="0.25">
      <c r="A91" s="240" t="s">
        <v>370</v>
      </c>
      <c r="B91" s="177" t="s">
        <v>380</v>
      </c>
      <c r="C91" s="177" t="s">
        <v>380</v>
      </c>
      <c r="D91" s="179">
        <v>0</v>
      </c>
      <c r="E91" s="180"/>
      <c r="F91" s="180"/>
      <c r="G91" s="180"/>
      <c r="H91" s="180">
        <f>H95/0.4</f>
        <v>0</v>
      </c>
      <c r="I91" s="241"/>
      <c r="J91" s="242" t="s">
        <v>252</v>
      </c>
      <c r="K91" s="243">
        <f>VLOOKUP(C91,'Base Material'!B:D,3,FALSE)</f>
        <v>20</v>
      </c>
      <c r="L91" s="244"/>
      <c r="M91" s="185"/>
      <c r="N91" s="185"/>
      <c r="O91" s="185"/>
      <c r="P91" s="185">
        <f t="shared" si="84"/>
        <v>0</v>
      </c>
      <c r="Q91" s="186"/>
    </row>
    <row r="92" ht="11.25" customHeight="1" spans="1:17" x14ac:dyDescent="0.25">
      <c r="A92" s="240" t="s">
        <v>370</v>
      </c>
      <c r="B92" s="177" t="s">
        <v>381</v>
      </c>
      <c r="C92" s="177" t="s">
        <v>381</v>
      </c>
      <c r="D92" s="179">
        <v>0</v>
      </c>
      <c r="E92" s="180"/>
      <c r="F92" s="180"/>
      <c r="G92" s="180"/>
      <c r="H92" s="180">
        <f>H91</f>
        <v>0</v>
      </c>
      <c r="I92" s="241"/>
      <c r="J92" s="242" t="s">
        <v>252</v>
      </c>
      <c r="K92" s="243">
        <f>VLOOKUP(C92,'Base Material'!B:D,3,FALSE)</f>
        <v>20</v>
      </c>
      <c r="L92" s="244"/>
      <c r="M92" s="185"/>
      <c r="N92" s="185"/>
      <c r="O92" s="185"/>
      <c r="P92" s="185">
        <f t="shared" si="84"/>
        <v>0</v>
      </c>
      <c r="Q92" s="186"/>
    </row>
    <row r="93" ht="11.25" customHeight="1" spans="1:17" x14ac:dyDescent="0.25">
      <c r="A93" s="240" t="s">
        <v>370</v>
      </c>
      <c r="B93" s="177" t="s">
        <v>382</v>
      </c>
      <c r="C93" s="177" t="s">
        <v>382</v>
      </c>
      <c r="D93" s="179">
        <v>0</v>
      </c>
      <c r="E93" s="180"/>
      <c r="F93" s="180"/>
      <c r="G93" s="180"/>
      <c r="H93" s="180">
        <f>H92</f>
        <v>0</v>
      </c>
      <c r="I93" s="241"/>
      <c r="J93" s="242" t="s">
        <v>252</v>
      </c>
      <c r="K93" s="243">
        <f>VLOOKUP(C93,'Base Material'!B:D,3,FALSE)</f>
        <v>20</v>
      </c>
      <c r="L93" s="244"/>
      <c r="M93" s="185"/>
      <c r="N93" s="185"/>
      <c r="O93" s="185"/>
      <c r="P93" s="185">
        <f t="shared" si="84"/>
        <v>0</v>
      </c>
      <c r="Q93" s="186"/>
    </row>
    <row r="94" ht="11.25" customHeight="1" spans="1:17" x14ac:dyDescent="0.25">
      <c r="A94" s="240" t="s">
        <v>370</v>
      </c>
      <c r="B94" s="177" t="s">
        <v>383</v>
      </c>
      <c r="C94" s="177" t="s">
        <v>383</v>
      </c>
      <c r="D94" s="179">
        <v>0</v>
      </c>
      <c r="E94" s="180"/>
      <c r="F94" s="180"/>
      <c r="G94" s="180"/>
      <c r="H94" s="180">
        <f>H93</f>
        <v>0</v>
      </c>
      <c r="I94" s="241"/>
      <c r="J94" s="242" t="s">
        <v>252</v>
      </c>
      <c r="K94" s="243">
        <f>VLOOKUP(C94,'Base Material'!B:D,3,FALSE)</f>
        <v>11</v>
      </c>
      <c r="L94" s="244"/>
      <c r="M94" s="185"/>
      <c r="N94" s="185"/>
      <c r="O94" s="185"/>
      <c r="P94" s="185">
        <f t="shared" si="84"/>
        <v>0</v>
      </c>
      <c r="Q94" s="186"/>
    </row>
    <row r="95" ht="11.25" customHeight="1" spans="1:17" x14ac:dyDescent="0.25">
      <c r="A95" s="240" t="s">
        <v>370</v>
      </c>
      <c r="B95" s="177" t="s">
        <v>384</v>
      </c>
      <c r="C95" s="177" t="s">
        <v>384</v>
      </c>
      <c r="D95" s="179">
        <v>0</v>
      </c>
      <c r="E95" s="180"/>
      <c r="F95" s="180"/>
      <c r="G95" s="180"/>
      <c r="H95" s="180">
        <f>('Informacion de Cotización'!B19+'Informacion de Cotización'!B20)/10</f>
        <v>0</v>
      </c>
      <c r="I95" s="241"/>
      <c r="J95" s="242" t="s">
        <v>385</v>
      </c>
      <c r="K95" s="243">
        <f>VLOOKUP(C95,'Base Material'!B:D,3,FALSE)</f>
        <v>12000</v>
      </c>
      <c r="L95" s="244"/>
      <c r="M95" s="185"/>
      <c r="N95" s="185"/>
      <c r="O95" s="185"/>
      <c r="P95" s="185">
        <f t="shared" si="84"/>
        <v>0</v>
      </c>
      <c r="Q95" s="186"/>
    </row>
    <row r="96" ht="11.25" customHeight="1" spans="1:17" x14ac:dyDescent="0.25">
      <c r="A96" s="240" t="s">
        <v>370</v>
      </c>
      <c r="B96" s="177" t="s">
        <v>369</v>
      </c>
      <c r="C96" s="177" t="s">
        <v>369</v>
      </c>
      <c r="D96" s="179">
        <v>0</v>
      </c>
      <c r="E96" s="180"/>
      <c r="F96" s="180"/>
      <c r="G96" s="180"/>
      <c r="H96" s="180">
        <f>6*H86</f>
        <v>0</v>
      </c>
      <c r="I96" s="241"/>
      <c r="J96" s="242" t="s">
        <v>252</v>
      </c>
      <c r="K96" s="243">
        <f>VLOOKUP(C96,'Base Material'!B:D,3,FALSE)</f>
        <v>21</v>
      </c>
      <c r="L96" s="244"/>
      <c r="M96" s="185"/>
      <c r="N96" s="185"/>
      <c r="O96" s="185"/>
      <c r="P96" s="185">
        <f t="shared" si="84"/>
        <v>0</v>
      </c>
      <c r="Q96" s="186"/>
    </row>
    <row r="97" ht="11.25" customHeight="1" spans="1:17" x14ac:dyDescent="0.25">
      <c r="A97" s="240" t="s">
        <v>370</v>
      </c>
      <c r="B97" s="177" t="s">
        <v>386</v>
      </c>
      <c r="C97" s="177" t="s">
        <v>386</v>
      </c>
      <c r="D97" s="179">
        <v>0</v>
      </c>
      <c r="E97" s="180"/>
      <c r="F97" s="180"/>
      <c r="G97" s="180"/>
      <c r="H97" s="180">
        <f>H79/21</f>
        <v>0</v>
      </c>
      <c r="I97" s="241"/>
      <c r="J97" s="242" t="s">
        <v>252</v>
      </c>
      <c r="K97" s="243">
        <f>VLOOKUP(C97,'Base Material'!B:D,3,FALSE)</f>
        <v>96000</v>
      </c>
      <c r="L97" s="244"/>
      <c r="M97" s="185"/>
      <c r="N97" s="185"/>
      <c r="O97" s="185"/>
      <c r="P97" s="185">
        <f t="shared" si="84"/>
        <v>0</v>
      </c>
      <c r="Q97" s="186"/>
    </row>
    <row r="98" ht="11.25" customHeight="1" spans="1:17" x14ac:dyDescent="0.25">
      <c r="A98" s="240" t="s">
        <v>370</v>
      </c>
      <c r="B98" s="177" t="s">
        <v>387</v>
      </c>
      <c r="C98" s="177" t="s">
        <v>387</v>
      </c>
      <c r="D98" s="179">
        <v>0</v>
      </c>
      <c r="E98" s="180"/>
      <c r="F98" s="180"/>
      <c r="G98" s="180"/>
      <c r="H98" s="180">
        <f>H96*4</f>
        <v>0</v>
      </c>
      <c r="I98" s="241"/>
      <c r="J98" s="242" t="s">
        <v>252</v>
      </c>
      <c r="K98" s="243">
        <f>VLOOKUP(C98,'Base Material'!B:D,3,FALSE)</f>
        <v>20</v>
      </c>
      <c r="L98" s="244"/>
      <c r="M98" s="185"/>
      <c r="N98" s="185"/>
      <c r="O98" s="185"/>
      <c r="P98" s="185">
        <f t="shared" si="84"/>
        <v>0</v>
      </c>
      <c r="Q98" s="186"/>
    </row>
    <row r="99" ht="12" customHeight="1" spans="1:17" x14ac:dyDescent="0.25">
      <c r="A99" s="245" t="s">
        <v>370</v>
      </c>
      <c r="B99" s="188" t="s">
        <v>388</v>
      </c>
      <c r="C99" s="188" t="s">
        <v>388</v>
      </c>
      <c r="D99" s="190">
        <v>0</v>
      </c>
      <c r="E99" s="191"/>
      <c r="F99" s="191"/>
      <c r="G99" s="191"/>
      <c r="H99" s="191">
        <f>H98</f>
        <v>0</v>
      </c>
      <c r="I99" s="246"/>
      <c r="J99" s="247" t="s">
        <v>252</v>
      </c>
      <c r="K99" s="248">
        <f>VLOOKUP(C99,'Base Material'!B:D,3,FALSE)</f>
        <v>20</v>
      </c>
      <c r="L99" s="249"/>
      <c r="M99" s="196"/>
      <c r="N99" s="196"/>
      <c r="O99" s="196"/>
      <c r="P99" s="196">
        <f t="shared" si="84"/>
        <v>0</v>
      </c>
      <c r="Q99" s="197"/>
    </row>
    <row r="100" ht="11.25" customHeight="1" spans="1:17" x14ac:dyDescent="0.25">
      <c r="A100" s="250" t="s">
        <v>389</v>
      </c>
      <c r="B100" s="199" t="s">
        <v>390</v>
      </c>
      <c r="C100" s="200" t="s">
        <v>391</v>
      </c>
      <c r="D100" s="201">
        <f>+('Informacion de Cotización'!B19+'Informacion de Cotización'!B20)*'Informacion de Cotización'!B23/(1.2*3)+('Informacion de Cotización'!B21+'Informacion de Cotización'!B22)*'Informacion de Cotización'!B24/(1.2*3)+(-'Informacion de Cotización'!B31*(1.5*1.8)-'Informacion de Cotización'!B32*(2.5*2.2)-'Informacion de Cotización'!B30*(1*2.1))/(1.2*3)</f>
        <v>0</v>
      </c>
      <c r="E100" s="202">
        <f>F100</f>
        <v>0</v>
      </c>
      <c r="F100" s="202">
        <f t="shared" ref="F100" si="85">D100</f>
        <v>0</v>
      </c>
      <c r="G100" s="202"/>
      <c r="H100" s="202"/>
      <c r="I100" s="203"/>
      <c r="J100" s="204" t="s">
        <v>392</v>
      </c>
      <c r="K100" s="205">
        <f>VLOOKUP(C100,'Base Material'!B:D,3,FALSE)</f>
        <v>110962.79999999999</v>
      </c>
      <c r="L100" s="206">
        <f t="shared" si="5"/>
        <v>0</v>
      </c>
      <c r="M100" s="207">
        <f t="shared" ref="M100:M164" si="86">K100*E100</f>
        <v>0</v>
      </c>
      <c r="N100" s="207">
        <f t="shared" si="7"/>
        <v>0</v>
      </c>
      <c r="O100" s="207">
        <f t="shared" si="8"/>
        <v>0</v>
      </c>
      <c r="P100" s="207">
        <f t="shared" ref="P100:P162" si="87">K100*H100</f>
        <v>0</v>
      </c>
      <c r="Q100" s="208">
        <f t="shared" ref="Q100:Q162" si="88">+K100*I100</f>
        <v>0</v>
      </c>
    </row>
    <row r="101" ht="11.25" customHeight="1" spans="1:17" x14ac:dyDescent="0.25">
      <c r="A101" s="251" t="s">
        <v>389</v>
      </c>
      <c r="B101" s="177" t="s">
        <v>393</v>
      </c>
      <c r="C101" s="178" t="s">
        <v>394</v>
      </c>
      <c r="D101" s="179">
        <f>+('Informacion de Cotización'!B9+'Informacion de Cotización'!B10)/(1.2*3)</f>
        <v>69.44444444444446</v>
      </c>
      <c r="E101" s="180"/>
      <c r="F101" s="180"/>
      <c r="G101" s="180"/>
      <c r="H101" s="180"/>
      <c r="I101" s="181"/>
      <c r="J101" s="182" t="s">
        <v>392</v>
      </c>
      <c r="K101" s="183">
        <f>VLOOKUP(C101,'Base Material'!B:D,3,FALSE)</f>
        <v>143122.54623276967</v>
      </c>
      <c r="L101" s="184">
        <f t="shared" si="5"/>
        <v>9939065.710609008</v>
      </c>
      <c r="M101" s="185">
        <f t="shared" si="86"/>
        <v>0</v>
      </c>
      <c r="N101" s="185">
        <f t="shared" si="7"/>
        <v>0</v>
      </c>
      <c r="O101" s="185">
        <f t="shared" si="8"/>
        <v>0</v>
      </c>
      <c r="P101" s="185">
        <f t="shared" si="87"/>
        <v>0</v>
      </c>
      <c r="Q101" s="186">
        <f t="shared" si="88"/>
        <v>0</v>
      </c>
    </row>
    <row r="102" ht="11.25" customHeight="1" spans="1:17" x14ac:dyDescent="0.25">
      <c r="A102" s="251" t="s">
        <v>395</v>
      </c>
      <c r="B102" s="177" t="s">
        <v>396</v>
      </c>
      <c r="C102" s="178" t="s">
        <v>397</v>
      </c>
      <c r="D102" s="179">
        <f>+IF('Informacion de Cotización'!B3="San Juan",Materiales!D100*6,0)</f>
        <v>0</v>
      </c>
      <c r="E102" s="180">
        <f>F102</f>
        <v>0</v>
      </c>
      <c r="F102" s="180">
        <f t="shared" ref="F102" si="89">D102</f>
        <v>0</v>
      </c>
      <c r="G102" s="180"/>
      <c r="H102" s="180"/>
      <c r="I102" s="181"/>
      <c r="J102" s="182" t="s">
        <v>268</v>
      </c>
      <c r="K102" s="183">
        <f>VLOOKUP(C102,'Base Material'!B:D,3,FALSE)</f>
        <v>4044</v>
      </c>
      <c r="L102" s="184">
        <f t="shared" ref="L102" si="90">K102*D102</f>
        <v>0</v>
      </c>
      <c r="M102" s="185">
        <f t="shared" si="86"/>
        <v>0</v>
      </c>
      <c r="N102" s="185">
        <f t="shared" ref="N102" si="91">K102*F102</f>
        <v>0</v>
      </c>
      <c r="O102" s="185">
        <f t="shared" ref="O102" si="92">+K102*G102</f>
        <v>0</v>
      </c>
      <c r="P102" s="185">
        <f t="shared" si="87"/>
        <v>0</v>
      </c>
      <c r="Q102" s="186">
        <f t="shared" si="88"/>
        <v>0</v>
      </c>
    </row>
    <row r="103" ht="11.25" customHeight="1" spans="1:17" x14ac:dyDescent="0.25">
      <c r="A103" s="251" t="s">
        <v>389</v>
      </c>
      <c r="B103" s="177" t="s">
        <v>398</v>
      </c>
      <c r="C103" s="178" t="s">
        <v>399</v>
      </c>
      <c r="D103" s="179">
        <f>('Informacion de Cotización'!B19+'Informacion de Cotización'!B21)/1+'Informacion de Cotización'!B30*5+'Informacion de Cotización'!B31*6+'Informacion de Cotización'!B32*8</f>
        <v>0</v>
      </c>
      <c r="E103" s="180">
        <f t="shared" ref="E103:E168" si="93">F103</f>
        <v>0</v>
      </c>
      <c r="F103" s="180">
        <f t="shared" ref="F103" si="94">D103</f>
        <v>0</v>
      </c>
      <c r="G103" s="180"/>
      <c r="H103" s="180"/>
      <c r="I103" s="181"/>
      <c r="J103" s="182" t="s">
        <v>268</v>
      </c>
      <c r="K103" s="183">
        <f>VLOOKUP(C103,'Base Material'!B:D,3,FALSE)</f>
        <v>4941.346076499014</v>
      </c>
      <c r="L103" s="184">
        <f t="shared" si="5"/>
        <v>0</v>
      </c>
      <c r="M103" s="185">
        <f t="shared" si="86"/>
        <v>0</v>
      </c>
      <c r="N103" s="185">
        <f t="shared" si="7"/>
        <v>0</v>
      </c>
      <c r="O103" s="185">
        <f t="shared" si="8"/>
        <v>0</v>
      </c>
      <c r="P103" s="185">
        <f t="shared" si="87"/>
        <v>0</v>
      </c>
      <c r="Q103" s="186">
        <f t="shared" si="88"/>
        <v>0</v>
      </c>
    </row>
    <row r="104" ht="11.25" customHeight="1" spans="1:17" x14ac:dyDescent="0.25">
      <c r="A104" s="251" t="s">
        <v>389</v>
      </c>
      <c r="B104" s="177" t="s">
        <v>396</v>
      </c>
      <c r="C104" s="178" t="s">
        <v>397</v>
      </c>
      <c r="D104" s="179">
        <f>('Informacion de Cotización'!B30+'Informacion de Cotización'!B31+'Informacion de Cotización'!B32)*7</f>
        <v>0</v>
      </c>
      <c r="E104" s="180">
        <f t="shared" si="93"/>
        <v>0</v>
      </c>
      <c r="F104" s="180">
        <f t="shared" ref="F104" si="95">D104</f>
        <v>0</v>
      </c>
      <c r="G104" s="180"/>
      <c r="H104" s="180"/>
      <c r="I104" s="181"/>
      <c r="J104" s="182" t="s">
        <v>268</v>
      </c>
      <c r="K104" s="183">
        <f>VLOOKUP(C104,'Base Material'!B:D,3,FALSE)</f>
        <v>4044</v>
      </c>
      <c r="L104" s="184">
        <f t="shared" si="5"/>
        <v>0</v>
      </c>
      <c r="M104" s="185">
        <f t="shared" si="86"/>
        <v>0</v>
      </c>
      <c r="N104" s="185">
        <f t="shared" si="7"/>
        <v>0</v>
      </c>
      <c r="O104" s="185">
        <f t="shared" si="8"/>
        <v>0</v>
      </c>
      <c r="P104" s="185">
        <f t="shared" si="87"/>
        <v>0</v>
      </c>
      <c r="Q104" s="186">
        <f t="shared" si="88"/>
        <v>0</v>
      </c>
    </row>
    <row r="105" ht="11.25" customHeight="1" spans="1:17" x14ac:dyDescent="0.25">
      <c r="A105" s="251" t="s">
        <v>389</v>
      </c>
      <c r="B105" s="177" t="s">
        <v>400</v>
      </c>
      <c r="C105" s="178" t="s">
        <v>401</v>
      </c>
      <c r="D105" s="179">
        <f>'Informacion de Cotización'!B16/20*18+('Informacion de Cotización'!B19+'Informacion de Cotización'!B20+'Informacion de Cotización'!B21+'Informacion de Cotización'!B22)*2/1.2</f>
        <v>265.5</v>
      </c>
      <c r="E105" s="180">
        <f t="shared" si="93"/>
        <v>265.5</v>
      </c>
      <c r="F105" s="180">
        <f t="shared" ref="F105" si="96">D105</f>
        <v>265.5</v>
      </c>
      <c r="G105" s="180"/>
      <c r="H105" s="180"/>
      <c r="I105" s="181"/>
      <c r="J105" s="182" t="s">
        <v>268</v>
      </c>
      <c r="K105" s="183">
        <f>VLOOKUP(C105,'Base Material'!B:D,3,FALSE)</f>
        <v>4259.3618445407155</v>
      </c>
      <c r="L105" s="184">
        <f t="shared" si="5"/>
        <v>1130860.56972556</v>
      </c>
      <c r="M105" s="185">
        <f t="shared" si="86"/>
        <v>1130860.56972556</v>
      </c>
      <c r="N105" s="185">
        <f t="shared" si="7"/>
        <v>1130860.56972556</v>
      </c>
      <c r="O105" s="185">
        <f t="shared" si="8"/>
        <v>0</v>
      </c>
      <c r="P105" s="185">
        <f t="shared" si="87"/>
        <v>0</v>
      </c>
      <c r="Q105" s="186">
        <f t="shared" si="88"/>
        <v>0</v>
      </c>
    </row>
    <row r="106" ht="11.25" customHeight="1" spans="1:17" x14ac:dyDescent="0.25">
      <c r="A106" s="251" t="s">
        <v>389</v>
      </c>
      <c r="B106" s="177" t="s">
        <v>402</v>
      </c>
      <c r="C106" s="225" t="s">
        <v>403</v>
      </c>
      <c r="D106" s="179">
        <f>'Informacion de Cotización'!B15/20</f>
        <v>15.75</v>
      </c>
      <c r="E106" s="180">
        <f t="shared" ref="E106" si="97">F106</f>
        <v>15.75</v>
      </c>
      <c r="F106" s="180">
        <f t="shared" ref="F106" si="98">D106</f>
        <v>15.75</v>
      </c>
      <c r="G106" s="180"/>
      <c r="H106" s="180"/>
      <c r="I106" s="181"/>
      <c r="J106" s="182" t="s">
        <v>268</v>
      </c>
      <c r="K106" s="183">
        <f>VLOOKUP(C106,'Base Material'!B:D,3,FALSE)</f>
        <v>17767.296541236028</v>
      </c>
      <c r="L106" s="184">
        <f t="shared" si="5"/>
        <v>279834.9205244674</v>
      </c>
      <c r="M106" s="185">
        <f t="shared" si="86"/>
        <v>279834.9205244674</v>
      </c>
      <c r="N106" s="185">
        <f t="shared" si="7"/>
        <v>279834.9205244674</v>
      </c>
      <c r="O106" s="185">
        <f t="shared" si="8"/>
        <v>0</v>
      </c>
      <c r="P106" s="185">
        <f t="shared" si="87"/>
        <v>0</v>
      </c>
      <c r="Q106" s="186">
        <f t="shared" si="88"/>
        <v>0</v>
      </c>
    </row>
    <row r="107" ht="11.25" customHeight="1" spans="1:17" x14ac:dyDescent="0.25">
      <c r="A107" s="251" t="s">
        <v>389</v>
      </c>
      <c r="B107" s="177" t="s">
        <v>327</v>
      </c>
      <c r="C107" s="178" t="s">
        <v>328</v>
      </c>
      <c r="D107" s="179">
        <f>D100+D101</f>
        <v>69.44444444444446</v>
      </c>
      <c r="E107" s="180">
        <f t="shared" si="93"/>
        <v>69.44444444444446</v>
      </c>
      <c r="F107" s="180">
        <f t="shared" ref="F107" si="99">D107</f>
        <v>69.44444444444446</v>
      </c>
      <c r="G107" s="180"/>
      <c r="H107" s="180"/>
      <c r="I107" s="181"/>
      <c r="J107" s="182" t="s">
        <v>329</v>
      </c>
      <c r="K107" s="183">
        <f>VLOOKUP(C107,'Base Material'!B:D,3,FALSE)</f>
        <v>1778</v>
      </c>
      <c r="L107" s="184">
        <f t="shared" si="5"/>
        <v>123472.22222222225</v>
      </c>
      <c r="M107" s="185">
        <f t="shared" si="86"/>
        <v>123472.22222222225</v>
      </c>
      <c r="N107" s="185">
        <f t="shared" si="7"/>
        <v>123472.22222222225</v>
      </c>
      <c r="O107" s="185">
        <f t="shared" si="8"/>
        <v>0</v>
      </c>
      <c r="P107" s="185">
        <f t="shared" si="87"/>
        <v>0</v>
      </c>
      <c r="Q107" s="186">
        <f t="shared" si="88"/>
        <v>0</v>
      </c>
    </row>
    <row r="108" ht="11.25" customHeight="1" spans="1:17" x14ac:dyDescent="0.25">
      <c r="A108" s="251" t="s">
        <v>389</v>
      </c>
      <c r="B108" s="177" t="s">
        <v>404</v>
      </c>
      <c r="C108" s="178" t="s">
        <v>405</v>
      </c>
      <c r="D108" s="179">
        <f>D101/20+D100/10</f>
        <v>3.4722222222222228</v>
      </c>
      <c r="E108" s="180">
        <f t="shared" si="93"/>
        <v>3.4722222222222228</v>
      </c>
      <c r="F108" s="180">
        <f t="shared" ref="F108" si="100">D108</f>
        <v>3.4722222222222228</v>
      </c>
      <c r="G108" s="180"/>
      <c r="H108" s="180"/>
      <c r="I108" s="181"/>
      <c r="J108" s="182" t="s">
        <v>306</v>
      </c>
      <c r="K108" s="183">
        <f>VLOOKUP(C108,'Base Material'!B:D,3,FALSE)</f>
        <v>155527.35</v>
      </c>
      <c r="L108" s="184">
        <f t="shared" si="5"/>
        <v>540025.5208333335</v>
      </c>
      <c r="M108" s="185">
        <f t="shared" si="86"/>
        <v>540025.5208333335</v>
      </c>
      <c r="N108" s="185">
        <f t="shared" si="7"/>
        <v>540025.5208333335</v>
      </c>
      <c r="O108" s="185">
        <f t="shared" si="8"/>
        <v>0</v>
      </c>
      <c r="P108" s="185">
        <f t="shared" si="87"/>
        <v>0</v>
      </c>
      <c r="Q108" s="186">
        <f t="shared" si="88"/>
        <v>0</v>
      </c>
    </row>
    <row r="109" ht="11.25" customHeight="1" spans="1:17" x14ac:dyDescent="0.25">
      <c r="A109" s="251" t="s">
        <v>389</v>
      </c>
      <c r="B109" s="177" t="s">
        <v>406</v>
      </c>
      <c r="C109" s="178" t="s">
        <v>407</v>
      </c>
      <c r="D109" s="179">
        <f>D108*2.5</f>
        <v>8.680555555555557</v>
      </c>
      <c r="E109" s="180">
        <f t="shared" si="93"/>
        <v>8.680555555555557</v>
      </c>
      <c r="F109" s="180">
        <f t="shared" ref="F109" si="101">D109</f>
        <v>8.680555555555557</v>
      </c>
      <c r="G109" s="180"/>
      <c r="H109" s="180"/>
      <c r="I109" s="181"/>
      <c r="J109" s="182" t="s">
        <v>408</v>
      </c>
      <c r="K109" s="183">
        <f>VLOOKUP(C109,'Base Material'!B:D,3,FALSE)</f>
        <v>11870</v>
      </c>
      <c r="L109" s="184">
        <f t="shared" si="5"/>
        <v>103038.19444444447</v>
      </c>
      <c r="M109" s="185">
        <f t="shared" si="86"/>
        <v>103038.19444444447</v>
      </c>
      <c r="N109" s="185">
        <f t="shared" si="7"/>
        <v>103038.19444444447</v>
      </c>
      <c r="O109" s="185">
        <f t="shared" si="8"/>
        <v>0</v>
      </c>
      <c r="P109" s="185">
        <f t="shared" si="87"/>
        <v>0</v>
      </c>
      <c r="Q109" s="186">
        <f t="shared" si="88"/>
        <v>0</v>
      </c>
    </row>
    <row r="110" ht="11.25" customHeight="1" spans="1:17" x14ac:dyDescent="0.25">
      <c r="A110" s="251" t="s">
        <v>389</v>
      </c>
      <c r="B110" s="177" t="s">
        <v>409</v>
      </c>
      <c r="C110" s="225" t="s">
        <v>410</v>
      </c>
      <c r="D110" s="179">
        <f>(D100)/10</f>
        <v>0</v>
      </c>
      <c r="E110" s="180">
        <f t="shared" si="93"/>
        <v>0</v>
      </c>
      <c r="F110" s="180">
        <f t="shared" ref="F110" si="102">D110</f>
        <v>0</v>
      </c>
      <c r="G110" s="180"/>
      <c r="H110" s="180"/>
      <c r="I110" s="181"/>
      <c r="J110" s="182" t="s">
        <v>411</v>
      </c>
      <c r="K110" s="183">
        <f>VLOOKUP(C110,'Base Material'!B:D,3,FALSE)</f>
        <v>38862.45</v>
      </c>
      <c r="L110" s="184">
        <f t="shared" ref="L110:L176" si="103">K110*D110</f>
        <v>0</v>
      </c>
      <c r="M110" s="185">
        <f t="shared" si="86"/>
        <v>0</v>
      </c>
      <c r="N110" s="185">
        <f t="shared" ref="N110:N176" si="104">K110*F110</f>
        <v>0</v>
      </c>
      <c r="O110" s="185">
        <f t="shared" ref="O110:O176" si="105">+K110*G110</f>
        <v>0</v>
      </c>
      <c r="P110" s="185">
        <f t="shared" si="87"/>
        <v>0</v>
      </c>
      <c r="Q110" s="186">
        <f t="shared" si="88"/>
        <v>0</v>
      </c>
    </row>
    <row r="111" ht="12" customHeight="1" spans="1:17" x14ac:dyDescent="0.25">
      <c r="A111" s="252" t="s">
        <v>389</v>
      </c>
      <c r="B111" s="212" t="s">
        <v>283</v>
      </c>
      <c r="C111" s="213" t="s">
        <v>284</v>
      </c>
      <c r="D111" s="214">
        <f>('Informacion de Cotización'!B19+'Informacion de Cotización'!B20+'Informacion de Cotización'!B21+'Informacion de Cotización'!B22)*2*0.5/12</f>
        <v>0</v>
      </c>
      <c r="E111" s="215">
        <f t="shared" si="93"/>
        <v>0</v>
      </c>
      <c r="F111" s="215">
        <f t="shared" ref="F111" si="106">D111</f>
        <v>0</v>
      </c>
      <c r="G111" s="215"/>
      <c r="H111" s="215"/>
      <c r="I111" s="216"/>
      <c r="J111" s="217" t="s">
        <v>333</v>
      </c>
      <c r="K111" s="218">
        <f>VLOOKUP(C111,'Base Material'!B:D,3,FALSE)</f>
        <v>7386</v>
      </c>
      <c r="L111" s="219">
        <f t="shared" si="103"/>
        <v>0</v>
      </c>
      <c r="M111" s="220">
        <f t="shared" si="86"/>
        <v>0</v>
      </c>
      <c r="N111" s="220">
        <f t="shared" si="104"/>
        <v>0</v>
      </c>
      <c r="O111" s="220">
        <f t="shared" si="105"/>
        <v>0</v>
      </c>
      <c r="P111" s="220">
        <f t="shared" si="87"/>
        <v>0</v>
      </c>
      <c r="Q111" s="221">
        <f t="shared" si="88"/>
        <v>0</v>
      </c>
    </row>
    <row r="112" ht="11.25" customHeight="1" spans="1:17" x14ac:dyDescent="0.25">
      <c r="A112" s="253" t="s">
        <v>412</v>
      </c>
      <c r="B112" s="169" t="s">
        <v>345</v>
      </c>
      <c r="C112" s="170" t="s">
        <v>346</v>
      </c>
      <c r="D112" s="171">
        <f>(D100*2+D101)*1.2*3/4</f>
        <v>62.50000000000001</v>
      </c>
      <c r="E112" s="172">
        <f t="shared" si="93"/>
        <v>62.50000000000001</v>
      </c>
      <c r="F112" s="172">
        <f t="shared" ref="F112" si="107">D112</f>
        <v>62.50000000000001</v>
      </c>
      <c r="G112" s="172"/>
      <c r="H112" s="172"/>
      <c r="I112" s="173">
        <f>D112</f>
        <v>62.50000000000001</v>
      </c>
      <c r="J112" s="174" t="s">
        <v>347</v>
      </c>
      <c r="K112" s="175">
        <f>VLOOKUP(C112,'Base Material'!B:D,3,FALSE)</f>
        <v>5400</v>
      </c>
      <c r="L112" s="155">
        <f t="shared" si="103"/>
        <v>337500.00000000006</v>
      </c>
      <c r="M112" s="156">
        <f t="shared" si="86"/>
        <v>337500.00000000006</v>
      </c>
      <c r="N112" s="156">
        <f t="shared" si="104"/>
        <v>337500.00000000006</v>
      </c>
      <c r="O112" s="156">
        <f t="shared" si="105"/>
        <v>0</v>
      </c>
      <c r="P112" s="156">
        <f t="shared" si="87"/>
        <v>0</v>
      </c>
      <c r="Q112" s="157">
        <f t="shared" si="88"/>
        <v>337500.00000000006</v>
      </c>
    </row>
    <row r="113" ht="11.25" customHeight="1" spans="1:17" x14ac:dyDescent="0.25">
      <c r="A113" s="227" t="s">
        <v>412</v>
      </c>
      <c r="B113" s="153" t="s">
        <v>413</v>
      </c>
      <c r="C113" s="178" t="s">
        <v>342</v>
      </c>
      <c r="D113" s="179">
        <f>((D100*2+D101)*1.2*3)*0.05/6</f>
        <v>2.0833333333333335</v>
      </c>
      <c r="E113" s="180">
        <f t="shared" si="93"/>
        <v>2.0833333333333335</v>
      </c>
      <c r="F113" s="180">
        <f t="shared" ref="F113" si="108">D113</f>
        <v>2.0833333333333335</v>
      </c>
      <c r="G113" s="180"/>
      <c r="H113" s="180"/>
      <c r="I113" s="181">
        <f>D113</f>
        <v>2.0833333333333335</v>
      </c>
      <c r="J113" s="182" t="s">
        <v>246</v>
      </c>
      <c r="K113" s="183">
        <f>VLOOKUP(C113,'Base Material'!B:D,3,FALSE)</f>
        <v>111154</v>
      </c>
      <c r="L113" s="184">
        <f t="shared" si="103"/>
        <v>231570.83333333334</v>
      </c>
      <c r="M113" s="185">
        <f t="shared" si="86"/>
        <v>231570.83333333334</v>
      </c>
      <c r="N113" s="185">
        <f t="shared" si="104"/>
        <v>231570.83333333334</v>
      </c>
      <c r="O113" s="185">
        <f t="shared" si="105"/>
        <v>0</v>
      </c>
      <c r="P113" s="185">
        <f t="shared" si="87"/>
        <v>0</v>
      </c>
      <c r="Q113" s="186">
        <f t="shared" si="88"/>
        <v>231570.83333333334</v>
      </c>
    </row>
    <row r="114" ht="11.25" customHeight="1" spans="1:17" x14ac:dyDescent="0.25">
      <c r="A114" s="227" t="s">
        <v>412</v>
      </c>
      <c r="B114" s="177" t="s">
        <v>241</v>
      </c>
      <c r="C114" s="178" t="s">
        <v>242</v>
      </c>
      <c r="D114" s="179">
        <f>D3</f>
        <v>0</v>
      </c>
      <c r="E114" s="180">
        <f t="shared" si="93"/>
        <v>0</v>
      </c>
      <c r="F114" s="180">
        <f t="shared" ref="F114" si="109">D114</f>
        <v>0</v>
      </c>
      <c r="G114" s="180"/>
      <c r="H114" s="180"/>
      <c r="I114" s="181">
        <f t="shared" ref="I114:I115" si="110">D114</f>
        <v>0</v>
      </c>
      <c r="J114" s="182" t="s">
        <v>243</v>
      </c>
      <c r="K114" s="183">
        <f>VLOOKUP(C114,'Base Material'!B:D,3,FALSE)</f>
        <v>1551</v>
      </c>
      <c r="L114" s="184">
        <f t="shared" si="103"/>
        <v>0</v>
      </c>
      <c r="M114" s="185">
        <f t="shared" si="86"/>
        <v>0</v>
      </c>
      <c r="N114" s="185">
        <f t="shared" si="104"/>
        <v>0</v>
      </c>
      <c r="O114" s="185">
        <f t="shared" si="105"/>
        <v>0</v>
      </c>
      <c r="P114" s="185">
        <f t="shared" si="87"/>
        <v>0</v>
      </c>
      <c r="Q114" s="186">
        <f t="shared" si="88"/>
        <v>0</v>
      </c>
    </row>
    <row r="115" ht="11.25" customHeight="1" spans="1:17" x14ac:dyDescent="0.25">
      <c r="A115" s="227" t="s">
        <v>412</v>
      </c>
      <c r="B115" s="210" t="s">
        <v>414</v>
      </c>
      <c r="C115" s="225" t="s">
        <v>318</v>
      </c>
      <c r="D115" s="179">
        <f>+'Informacion de Cotización'!$B$16*2/100</f>
        <v>5.9</v>
      </c>
      <c r="E115" s="180">
        <f t="shared" si="93"/>
        <v>5.9</v>
      </c>
      <c r="F115" s="180">
        <f t="shared" ref="F115" si="111">D115</f>
        <v>5.9</v>
      </c>
      <c r="G115" s="180"/>
      <c r="H115" s="180"/>
      <c r="I115" s="181">
        <f t="shared" si="110"/>
        <v>5.9</v>
      </c>
      <c r="J115" s="182" t="s">
        <v>415</v>
      </c>
      <c r="K115" s="183">
        <f>VLOOKUP(C115,'Base Material'!B:D,3,FALSE)</f>
        <v>15165</v>
      </c>
      <c r="L115" s="184">
        <f t="shared" si="103"/>
        <v>89473.5</v>
      </c>
      <c r="M115" s="185">
        <f t="shared" si="86"/>
        <v>89473.5</v>
      </c>
      <c r="N115" s="185">
        <f t="shared" si="104"/>
        <v>89473.5</v>
      </c>
      <c r="O115" s="185">
        <f t="shared" si="105"/>
        <v>0</v>
      </c>
      <c r="P115" s="185">
        <f t="shared" si="87"/>
        <v>0</v>
      </c>
      <c r="Q115" s="186">
        <f t="shared" si="88"/>
        <v>89473.5</v>
      </c>
    </row>
    <row r="116" ht="11.25" customHeight="1" spans="1:17" x14ac:dyDescent="0.25">
      <c r="A116" s="227" t="s">
        <v>239</v>
      </c>
      <c r="B116" s="210" t="s">
        <v>8</v>
      </c>
      <c r="C116" s="225" t="s">
        <v>416</v>
      </c>
      <c r="D116" s="179"/>
      <c r="E116" s="180"/>
      <c r="F116" s="180"/>
      <c r="G116" s="180"/>
      <c r="H116" s="180"/>
      <c r="I116" s="181">
        <f>(('Informacion de Cotización'!B19+'Informacion de Cotización'!B20)*'Informacion de Cotización'!B23+('Informacion de Cotización'!B21+'Informacion de Cotización'!B22)*'Informacion de Cotización'!B24)*60</f>
        <v>0</v>
      </c>
      <c r="J116" s="182" t="s">
        <v>353</v>
      </c>
      <c r="K116" s="183">
        <v>200</v>
      </c>
      <c r="L116" s="184"/>
      <c r="M116" s="185"/>
      <c r="N116" s="185"/>
      <c r="O116" s="185"/>
      <c r="P116" s="185">
        <f t="shared" si="87"/>
        <v>0</v>
      </c>
      <c r="Q116" s="186">
        <f t="shared" si="88"/>
        <v>0</v>
      </c>
    </row>
    <row r="117" ht="11.25" customHeight="1" spans="1:17" x14ac:dyDescent="0.25">
      <c r="A117" s="227" t="s">
        <v>417</v>
      </c>
      <c r="B117" s="177" t="s">
        <v>285</v>
      </c>
      <c r="C117" s="178" t="s">
        <v>286</v>
      </c>
      <c r="D117" s="179">
        <f>IF(D118&gt;0,1,0)</f>
        <v>1</v>
      </c>
      <c r="E117" s="180"/>
      <c r="F117" s="180"/>
      <c r="G117" s="180"/>
      <c r="H117" s="180"/>
      <c r="I117" s="181">
        <f>D117</f>
        <v>1</v>
      </c>
      <c r="J117" s="182" t="s">
        <v>287</v>
      </c>
      <c r="K117" s="183">
        <f>VLOOKUP(C117,'Base Material'!B:D,3,FALSE)</f>
        <v>289800</v>
      </c>
      <c r="L117" s="184">
        <f t="shared" si="103"/>
        <v>289800</v>
      </c>
      <c r="M117" s="185">
        <f t="shared" si="86"/>
        <v>0</v>
      </c>
      <c r="N117" s="185">
        <f t="shared" si="104"/>
        <v>0</v>
      </c>
      <c r="O117" s="185">
        <f t="shared" si="105"/>
        <v>0</v>
      </c>
      <c r="P117" s="185">
        <f t="shared" si="87"/>
        <v>0</v>
      </c>
      <c r="Q117" s="186">
        <f t="shared" si="88"/>
        <v>289800</v>
      </c>
    </row>
    <row r="118" ht="11.25" customHeight="1" spans="1:17" x14ac:dyDescent="0.25">
      <c r="A118" s="227" t="s">
        <v>417</v>
      </c>
      <c r="B118" s="177" t="s">
        <v>288</v>
      </c>
      <c r="C118" s="178" t="s">
        <v>289</v>
      </c>
      <c r="D118" s="179">
        <f>'Informacion de Cotización'!B15*0.05</f>
        <v>15.75</v>
      </c>
      <c r="E118" s="180"/>
      <c r="F118" s="180"/>
      <c r="G118" s="180"/>
      <c r="H118" s="180"/>
      <c r="I118" s="181">
        <f>D118</f>
        <v>15.75</v>
      </c>
      <c r="J118" s="182" t="s">
        <v>290</v>
      </c>
      <c r="K118" s="183">
        <f>VLOOKUP(C118,'Base Material'!B:D,3,FALSE)</f>
        <v>90090</v>
      </c>
      <c r="L118" s="184">
        <f t="shared" si="103"/>
        <v>1418917.5</v>
      </c>
      <c r="M118" s="185">
        <f t="shared" si="86"/>
        <v>0</v>
      </c>
      <c r="N118" s="185">
        <f t="shared" si="104"/>
        <v>0</v>
      </c>
      <c r="O118" s="185">
        <f t="shared" si="105"/>
        <v>0</v>
      </c>
      <c r="P118" s="185">
        <f t="shared" si="87"/>
        <v>0</v>
      </c>
      <c r="Q118" s="186">
        <f t="shared" si="88"/>
        <v>1418917.5</v>
      </c>
    </row>
    <row r="119" ht="11.25" customHeight="1" spans="1:17" x14ac:dyDescent="0.25">
      <c r="A119" s="227" t="s">
        <v>418</v>
      </c>
      <c r="B119" s="153" t="s">
        <v>413</v>
      </c>
      <c r="C119" s="178" t="s">
        <v>342</v>
      </c>
      <c r="D119" s="179">
        <f>'Informacion de Cotización'!B15*0.1/6</f>
        <v>5.25</v>
      </c>
      <c r="E119" s="180">
        <f>IF('Informacion de Cotización'!B9=0,'Informacion de Cotización'!B10*0.1/6,0)</f>
        <v>0</v>
      </c>
      <c r="F119" s="180">
        <f t="shared" ref="F119:G119" si="112">D119</f>
        <v>5.25</v>
      </c>
      <c r="G119" s="180">
        <f t="shared" si="112"/>
        <v>0</v>
      </c>
      <c r="H119" s="180">
        <f t="shared" ref="H119" si="113">F119</f>
        <v>5.25</v>
      </c>
      <c r="I119" s="181">
        <f>D119*1.4</f>
        <v>7.35</v>
      </c>
      <c r="J119" s="182" t="s">
        <v>246</v>
      </c>
      <c r="K119" s="183">
        <f>VLOOKUP(C119,'Base Material'!B:D,3,FALSE)</f>
        <v>111154</v>
      </c>
      <c r="L119" s="184">
        <f t="shared" si="103"/>
        <v>583558.5</v>
      </c>
      <c r="M119" s="185">
        <f t="shared" si="86"/>
        <v>0</v>
      </c>
      <c r="N119" s="185">
        <f t="shared" si="104"/>
        <v>583558.5</v>
      </c>
      <c r="O119" s="185">
        <f t="shared" si="105"/>
        <v>0</v>
      </c>
      <c r="P119" s="185">
        <f t="shared" si="87"/>
        <v>583558.5</v>
      </c>
      <c r="Q119" s="186">
        <f t="shared" si="88"/>
        <v>816981.8999999999</v>
      </c>
    </row>
    <row r="120" ht="11.25" customHeight="1" spans="1:17" x14ac:dyDescent="0.25">
      <c r="A120" s="227" t="s">
        <v>418</v>
      </c>
      <c r="B120" s="177" t="s">
        <v>419</v>
      </c>
      <c r="C120" s="178" t="s">
        <v>420</v>
      </c>
      <c r="D120" s="179">
        <f>D119*8</f>
        <v>42</v>
      </c>
      <c r="E120" s="180"/>
      <c r="F120" s="180"/>
      <c r="G120" s="180"/>
      <c r="H120" s="180"/>
      <c r="I120" s="181">
        <f>D120</f>
        <v>42</v>
      </c>
      <c r="J120" s="182" t="s">
        <v>347</v>
      </c>
      <c r="K120" s="183">
        <f>VLOOKUP(C120,'Base Material'!B:D,3,FALSE)</f>
        <v>5632.02</v>
      </c>
      <c r="L120" s="184">
        <f t="shared" si="103"/>
        <v>236544.84000000003</v>
      </c>
      <c r="M120" s="185">
        <f t="shared" si="86"/>
        <v>0</v>
      </c>
      <c r="N120" s="185">
        <f t="shared" si="104"/>
        <v>0</v>
      </c>
      <c r="O120" s="185">
        <f t="shared" si="105"/>
        <v>0</v>
      </c>
      <c r="P120" s="185">
        <f t="shared" si="87"/>
        <v>0</v>
      </c>
      <c r="Q120" s="186">
        <f t="shared" si="88"/>
        <v>236544.84000000003</v>
      </c>
    </row>
    <row r="121" ht="11.25" customHeight="1" spans="1:17" x14ac:dyDescent="0.25">
      <c r="A121" s="227" t="s">
        <v>418</v>
      </c>
      <c r="B121" s="177" t="s">
        <v>345</v>
      </c>
      <c r="C121" s="178" t="s">
        <v>346</v>
      </c>
      <c r="D121" s="179">
        <f>D119*7*6</f>
        <v>220.5</v>
      </c>
      <c r="E121" s="180">
        <f>E119*7*6</f>
        <v>0</v>
      </c>
      <c r="F121" s="180">
        <f>F119*7*6</f>
        <v>220.5</v>
      </c>
      <c r="G121" s="180">
        <f>G119*7*6</f>
        <v>0</v>
      </c>
      <c r="H121" s="180">
        <f t="shared" ref="H121" si="114">H119*7*6</f>
        <v>220.5</v>
      </c>
      <c r="I121" s="181">
        <f>D121*1.2</f>
        <v>264.59999999999997</v>
      </c>
      <c r="J121" s="182" t="s">
        <v>347</v>
      </c>
      <c r="K121" s="183">
        <f>VLOOKUP(C121,'Base Material'!B:D,3,FALSE)</f>
        <v>5400</v>
      </c>
      <c r="L121" s="184">
        <f t="shared" si="103"/>
        <v>1190700</v>
      </c>
      <c r="M121" s="185">
        <f t="shared" si="86"/>
        <v>0</v>
      </c>
      <c r="N121" s="185">
        <f t="shared" si="104"/>
        <v>1190700</v>
      </c>
      <c r="O121" s="185">
        <f t="shared" si="105"/>
        <v>0</v>
      </c>
      <c r="P121" s="185">
        <f t="shared" si="87"/>
        <v>1190700</v>
      </c>
      <c r="Q121" s="186">
        <f t="shared" si="88"/>
        <v>1428839.9999999998</v>
      </c>
    </row>
    <row r="122" ht="11.25" customHeight="1" spans="1:17" x14ac:dyDescent="0.25">
      <c r="A122" s="227" t="s">
        <v>421</v>
      </c>
      <c r="B122" s="177" t="s">
        <v>345</v>
      </c>
      <c r="C122" s="178" t="s">
        <v>346</v>
      </c>
      <c r="D122" s="179">
        <f>D124*7*6</f>
        <v>0</v>
      </c>
      <c r="E122" s="180">
        <f t="shared" si="93"/>
        <v>0</v>
      </c>
      <c r="F122" s="180">
        <f t="shared" ref="F122" si="115">D122</f>
        <v>0</v>
      </c>
      <c r="G122" s="180"/>
      <c r="H122" s="180"/>
      <c r="I122" s="181">
        <f>D122*1.2</f>
        <v>0</v>
      </c>
      <c r="J122" s="182" t="s">
        <v>252</v>
      </c>
      <c r="K122" s="183">
        <f>VLOOKUP(C122,'Base Material'!B:D,3,FALSE)</f>
        <v>5400</v>
      </c>
      <c r="L122" s="184">
        <f t="shared" si="103"/>
        <v>0</v>
      </c>
      <c r="M122" s="185">
        <f t="shared" si="86"/>
        <v>0</v>
      </c>
      <c r="N122" s="185">
        <f t="shared" si="104"/>
        <v>0</v>
      </c>
      <c r="O122" s="185">
        <f t="shared" si="105"/>
        <v>0</v>
      </c>
      <c r="P122" s="185">
        <f t="shared" si="87"/>
        <v>0</v>
      </c>
      <c r="Q122" s="186">
        <f t="shared" si="88"/>
        <v>0</v>
      </c>
    </row>
    <row r="123" ht="11.25" customHeight="1" spans="1:17" x14ac:dyDescent="0.25">
      <c r="A123" s="227" t="s">
        <v>421</v>
      </c>
      <c r="B123" s="177" t="s">
        <v>422</v>
      </c>
      <c r="C123" s="178" t="s">
        <v>423</v>
      </c>
      <c r="D123" s="179">
        <f>D122/2</f>
        <v>0</v>
      </c>
      <c r="E123" s="180">
        <f t="shared" si="93"/>
        <v>0</v>
      </c>
      <c r="F123" s="180">
        <f t="shared" ref="F123" si="116">D123</f>
        <v>0</v>
      </c>
      <c r="G123" s="180"/>
      <c r="H123" s="180"/>
      <c r="I123" s="181">
        <f>D123</f>
        <v>0</v>
      </c>
      <c r="J123" s="182" t="s">
        <v>252</v>
      </c>
      <c r="K123" s="183">
        <f>VLOOKUP(C123,'Base Material'!B:D,3,FALSE)</f>
        <v>5329</v>
      </c>
      <c r="L123" s="184">
        <f t="shared" si="103"/>
        <v>0</v>
      </c>
      <c r="M123" s="185">
        <f t="shared" si="86"/>
        <v>0</v>
      </c>
      <c r="N123" s="185">
        <f t="shared" si="104"/>
        <v>0</v>
      </c>
      <c r="O123" s="185">
        <f t="shared" si="105"/>
        <v>0</v>
      </c>
      <c r="P123" s="185">
        <f t="shared" si="87"/>
        <v>0</v>
      </c>
      <c r="Q123" s="186">
        <f t="shared" si="88"/>
        <v>0</v>
      </c>
    </row>
    <row r="124" ht="12" customHeight="1" spans="1:17" x14ac:dyDescent="0.25">
      <c r="A124" s="254" t="s">
        <v>421</v>
      </c>
      <c r="B124" s="188" t="s">
        <v>424</v>
      </c>
      <c r="C124" s="189" t="s">
        <v>425</v>
      </c>
      <c r="D124" s="190">
        <f>+('Informacion de Cotización'!B19+'Informacion de Cotización'!B20*2+'Informacion de Cotización'!B21+'Informacion de Cotización'!B22*2)*3*0.01/6</f>
        <v>0</v>
      </c>
      <c r="E124" s="191">
        <f t="shared" si="93"/>
        <v>0</v>
      </c>
      <c r="F124" s="191">
        <f t="shared" ref="F124" si="117">D124</f>
        <v>0</v>
      </c>
      <c r="G124" s="191"/>
      <c r="H124" s="191"/>
      <c r="I124" s="191">
        <f>D124</f>
        <v>0</v>
      </c>
      <c r="J124" s="193" t="s">
        <v>246</v>
      </c>
      <c r="K124" s="194">
        <f>VLOOKUP(C124,'Base Material'!B:D,3,FALSE)</f>
        <v>194485</v>
      </c>
      <c r="L124" s="195">
        <f t="shared" si="103"/>
        <v>0</v>
      </c>
      <c r="M124" s="196">
        <f t="shared" si="86"/>
        <v>0</v>
      </c>
      <c r="N124" s="196">
        <f t="shared" si="104"/>
        <v>0</v>
      </c>
      <c r="O124" s="196">
        <f t="shared" si="105"/>
        <v>0</v>
      </c>
      <c r="P124" s="196">
        <f t="shared" si="87"/>
        <v>0</v>
      </c>
      <c r="Q124" s="197">
        <f t="shared" si="88"/>
        <v>0</v>
      </c>
    </row>
    <row r="125" ht="11.25" customHeight="1" spans="1:17" x14ac:dyDescent="0.25">
      <c r="A125" s="255" t="s">
        <v>426</v>
      </c>
      <c r="B125" s="153" t="s">
        <v>413</v>
      </c>
      <c r="C125" s="170" t="s">
        <v>342</v>
      </c>
      <c r="D125" s="171">
        <f>1/3*('Informacion de Cotización'!B19/3)*(0.6*0.15)/6</f>
        <v>0</v>
      </c>
      <c r="E125" s="172">
        <f t="shared" si="93"/>
        <v>0</v>
      </c>
      <c r="F125" s="172">
        <f t="shared" ref="F125" si="118">D125</f>
        <v>0</v>
      </c>
      <c r="G125" s="172">
        <f t="shared" si="44"/>
        <v>0</v>
      </c>
      <c r="H125" s="172">
        <f t="shared" ref="H125:H136" si="119">G125</f>
        <v>0</v>
      </c>
      <c r="I125" s="173">
        <f t="shared" ref="I125:I136" si="120">H125</f>
        <v>0</v>
      </c>
      <c r="J125" s="174" t="s">
        <v>246</v>
      </c>
      <c r="K125" s="175">
        <f>VLOOKUP(C125,'Base Material'!B:D,3,FALSE)</f>
        <v>111154</v>
      </c>
      <c r="L125" s="155">
        <f t="shared" si="103"/>
        <v>0</v>
      </c>
      <c r="M125" s="156">
        <f t="shared" si="86"/>
        <v>0</v>
      </c>
      <c r="N125" s="156">
        <f t="shared" si="104"/>
        <v>0</v>
      </c>
      <c r="O125" s="156">
        <f t="shared" si="105"/>
        <v>0</v>
      </c>
      <c r="P125" s="156">
        <f t="shared" si="87"/>
        <v>0</v>
      </c>
      <c r="Q125" s="157">
        <f t="shared" si="88"/>
        <v>0</v>
      </c>
    </row>
    <row r="126" ht="11.25" customHeight="1" spans="1:17" x14ac:dyDescent="0.25">
      <c r="A126" s="256" t="s">
        <v>426</v>
      </c>
      <c r="B126" s="177" t="s">
        <v>343</v>
      </c>
      <c r="C126" s="178" t="s">
        <v>344</v>
      </c>
      <c r="D126" s="179">
        <f>+(2/3*('Informacion de Cotización'!B19/3)*(0.6*0.15)/6)</f>
        <v>0</v>
      </c>
      <c r="E126" s="180">
        <f t="shared" si="93"/>
        <v>0</v>
      </c>
      <c r="F126" s="180">
        <f t="shared" ref="F126" si="121">D126</f>
        <v>0</v>
      </c>
      <c r="G126" s="180">
        <f t="shared" si="44"/>
        <v>0</v>
      </c>
      <c r="H126" s="180">
        <f t="shared" si="119"/>
        <v>0</v>
      </c>
      <c r="I126" s="181">
        <f t="shared" si="120"/>
        <v>0</v>
      </c>
      <c r="J126" s="182" t="s">
        <v>246</v>
      </c>
      <c r="K126" s="183">
        <f>K125</f>
        <v>111154</v>
      </c>
      <c r="L126" s="184">
        <f t="shared" si="103"/>
        <v>0</v>
      </c>
      <c r="M126" s="185">
        <f t="shared" si="86"/>
        <v>0</v>
      </c>
      <c r="N126" s="185">
        <f t="shared" si="104"/>
        <v>0</v>
      </c>
      <c r="O126" s="185">
        <f t="shared" si="105"/>
        <v>0</v>
      </c>
      <c r="P126" s="185">
        <f t="shared" si="87"/>
        <v>0</v>
      </c>
      <c r="Q126" s="186">
        <f t="shared" si="88"/>
        <v>0</v>
      </c>
    </row>
    <row r="127" ht="11.25" customHeight="1" spans="1:17" x14ac:dyDescent="0.25">
      <c r="A127" s="256" t="s">
        <v>426</v>
      </c>
      <c r="B127" s="177" t="s">
        <v>345</v>
      </c>
      <c r="C127" s="178" t="s">
        <v>346</v>
      </c>
      <c r="D127" s="179">
        <f>7*('Informacion de Cotización'!B19/3)*0.6*0.15</f>
        <v>0</v>
      </c>
      <c r="E127" s="180">
        <f t="shared" si="93"/>
        <v>0</v>
      </c>
      <c r="F127" s="180">
        <f t="shared" ref="F127" si="122">D127</f>
        <v>0</v>
      </c>
      <c r="G127" s="180">
        <f t="shared" si="44"/>
        <v>0</v>
      </c>
      <c r="H127" s="180">
        <f t="shared" si="119"/>
        <v>0</v>
      </c>
      <c r="I127" s="181">
        <f t="shared" si="120"/>
        <v>0</v>
      </c>
      <c r="J127" s="182" t="s">
        <v>347</v>
      </c>
      <c r="K127" s="183">
        <f>VLOOKUP(C127,'Base Material'!B:D,3,FALSE)</f>
        <v>5400</v>
      </c>
      <c r="L127" s="184">
        <f t="shared" si="103"/>
        <v>0</v>
      </c>
      <c r="M127" s="185">
        <f t="shared" si="86"/>
        <v>0</v>
      </c>
      <c r="N127" s="185">
        <f t="shared" si="104"/>
        <v>0</v>
      </c>
      <c r="O127" s="185">
        <f t="shared" si="105"/>
        <v>0</v>
      </c>
      <c r="P127" s="185">
        <f t="shared" si="87"/>
        <v>0</v>
      </c>
      <c r="Q127" s="186">
        <f t="shared" si="88"/>
        <v>0</v>
      </c>
    </row>
    <row r="128" ht="11.25" customHeight="1" spans="1:17" x14ac:dyDescent="0.25">
      <c r="A128" s="256" t="s">
        <v>426</v>
      </c>
      <c r="B128" s="177" t="s">
        <v>275</v>
      </c>
      <c r="C128" s="178" t="s">
        <v>267</v>
      </c>
      <c r="D128" s="179">
        <f>+('Informacion de Cotización'!B19/3)/(6*2.4)</f>
        <v>0</v>
      </c>
      <c r="E128" s="180">
        <f t="shared" si="93"/>
        <v>0</v>
      </c>
      <c r="F128" s="180">
        <f t="shared" ref="F128" si="123">D128</f>
        <v>0</v>
      </c>
      <c r="G128" s="180">
        <f t="shared" si="44"/>
        <v>0</v>
      </c>
      <c r="H128" s="180">
        <f t="shared" si="119"/>
        <v>0</v>
      </c>
      <c r="I128" s="181">
        <f t="shared" si="120"/>
        <v>0</v>
      </c>
      <c r="J128" s="182" t="s">
        <v>268</v>
      </c>
      <c r="K128" s="183">
        <f>VLOOKUP(C128,'Base Material'!B:D,3,FALSE)</f>
        <v>88034</v>
      </c>
      <c r="L128" s="184">
        <f t="shared" si="103"/>
        <v>0</v>
      </c>
      <c r="M128" s="185">
        <f t="shared" si="86"/>
        <v>0</v>
      </c>
      <c r="N128" s="185">
        <f t="shared" si="104"/>
        <v>0</v>
      </c>
      <c r="O128" s="185">
        <f t="shared" si="105"/>
        <v>0</v>
      </c>
      <c r="P128" s="185">
        <f t="shared" si="87"/>
        <v>0</v>
      </c>
      <c r="Q128" s="186">
        <f t="shared" si="88"/>
        <v>0</v>
      </c>
    </row>
    <row r="129" ht="11.25" customHeight="1" spans="1:17" x14ac:dyDescent="0.25">
      <c r="A129" s="256" t="s">
        <v>427</v>
      </c>
      <c r="B129" s="177" t="s">
        <v>345</v>
      </c>
      <c r="C129" s="178" t="s">
        <v>346</v>
      </c>
      <c r="D129" s="179">
        <f>7*('Informacion de Cotización'!B18+'Informacion de Cotización'!B19)*0.6*0.15</f>
        <v>0</v>
      </c>
      <c r="E129" s="180">
        <f t="shared" si="93"/>
        <v>0</v>
      </c>
      <c r="F129" s="180">
        <f t="shared" ref="F129" si="124">D129</f>
        <v>0</v>
      </c>
      <c r="G129" s="180">
        <f t="shared" si="44"/>
        <v>0</v>
      </c>
      <c r="H129" s="180">
        <f t="shared" si="119"/>
        <v>0</v>
      </c>
      <c r="I129" s="181">
        <f t="shared" si="120"/>
        <v>0</v>
      </c>
      <c r="J129" s="182" t="s">
        <v>347</v>
      </c>
      <c r="K129" s="183">
        <f>VLOOKUP(C129,'Base Material'!B:D,3,FALSE)</f>
        <v>5400</v>
      </c>
      <c r="L129" s="184">
        <f t="shared" si="103"/>
        <v>0</v>
      </c>
      <c r="M129" s="185">
        <f t="shared" si="86"/>
        <v>0</v>
      </c>
      <c r="N129" s="185">
        <f t="shared" si="104"/>
        <v>0</v>
      </c>
      <c r="O129" s="185">
        <f t="shared" si="105"/>
        <v>0</v>
      </c>
      <c r="P129" s="185">
        <f t="shared" si="87"/>
        <v>0</v>
      </c>
      <c r="Q129" s="186">
        <f t="shared" si="88"/>
        <v>0</v>
      </c>
    </row>
    <row r="130" ht="11.25" customHeight="1" spans="1:17" x14ac:dyDescent="0.25">
      <c r="A130" s="256" t="s">
        <v>427</v>
      </c>
      <c r="B130" s="177" t="s">
        <v>275</v>
      </c>
      <c r="C130" s="178" t="s">
        <v>267</v>
      </c>
      <c r="D130" s="179">
        <f>+(('Informacion de Cotización'!B18+'Informacion de Cotización'!B19)*0.6*0.15/(6*2.4))</f>
        <v>0</v>
      </c>
      <c r="E130" s="180">
        <f t="shared" si="93"/>
        <v>0</v>
      </c>
      <c r="F130" s="180">
        <f t="shared" ref="F130" si="125">D130</f>
        <v>0</v>
      </c>
      <c r="G130" s="180">
        <f t="shared" si="44"/>
        <v>0</v>
      </c>
      <c r="H130" s="180">
        <f t="shared" si="119"/>
        <v>0</v>
      </c>
      <c r="I130" s="181">
        <f t="shared" si="120"/>
        <v>0</v>
      </c>
      <c r="J130" s="182" t="s">
        <v>268</v>
      </c>
      <c r="K130" s="183">
        <f>VLOOKUP(C130,'Base Material'!B:D,3,FALSE)</f>
        <v>88034</v>
      </c>
      <c r="L130" s="184">
        <f t="shared" si="103"/>
        <v>0</v>
      </c>
      <c r="M130" s="185">
        <f t="shared" si="86"/>
        <v>0</v>
      </c>
      <c r="N130" s="185">
        <f t="shared" si="104"/>
        <v>0</v>
      </c>
      <c r="O130" s="185">
        <f t="shared" si="105"/>
        <v>0</v>
      </c>
      <c r="P130" s="185">
        <f t="shared" si="87"/>
        <v>0</v>
      </c>
      <c r="Q130" s="186">
        <f t="shared" si="88"/>
        <v>0</v>
      </c>
    </row>
    <row r="131" ht="11.25" customHeight="1" spans="1:17" x14ac:dyDescent="0.25">
      <c r="A131" s="256" t="s">
        <v>428</v>
      </c>
      <c r="B131" s="177" t="s">
        <v>429</v>
      </c>
      <c r="C131" s="178" t="s">
        <v>430</v>
      </c>
      <c r="D131" s="179">
        <f>('Informacion de Cotización'!B7-'Informacion de Cotización'!B8)/15</f>
        <v>0</v>
      </c>
      <c r="E131" s="180">
        <f t="shared" si="93"/>
        <v>0</v>
      </c>
      <c r="F131" s="180">
        <f t="shared" ref="F131" si="126">D131</f>
        <v>0</v>
      </c>
      <c r="G131" s="180">
        <f t="shared" si="44"/>
        <v>0</v>
      </c>
      <c r="H131" s="180">
        <f t="shared" si="119"/>
        <v>0</v>
      </c>
      <c r="I131" s="181">
        <f t="shared" si="120"/>
        <v>0</v>
      </c>
      <c r="J131" s="182" t="s">
        <v>32</v>
      </c>
      <c r="K131" s="183">
        <f>VLOOKUP(C131,'Base Material'!B:D,3,FALSE)</f>
        <v>120889</v>
      </c>
      <c r="L131" s="184">
        <f t="shared" si="103"/>
        <v>0</v>
      </c>
      <c r="M131" s="185">
        <f t="shared" si="86"/>
        <v>0</v>
      </c>
      <c r="N131" s="185">
        <f t="shared" si="104"/>
        <v>0</v>
      </c>
      <c r="O131" s="185">
        <f t="shared" si="105"/>
        <v>0</v>
      </c>
      <c r="P131" s="185">
        <f t="shared" si="87"/>
        <v>0</v>
      </c>
      <c r="Q131" s="186">
        <f t="shared" si="88"/>
        <v>0</v>
      </c>
    </row>
    <row r="132" ht="11.25" customHeight="1" spans="1:17" x14ac:dyDescent="0.25">
      <c r="A132" s="256" t="s">
        <v>428</v>
      </c>
      <c r="B132" s="177" t="s">
        <v>431</v>
      </c>
      <c r="C132" s="178" t="s">
        <v>432</v>
      </c>
      <c r="D132" s="179">
        <f>'Informacion de Cotización'!B7/5</f>
        <v>0</v>
      </c>
      <c r="E132" s="180">
        <f t="shared" si="93"/>
        <v>0</v>
      </c>
      <c r="F132" s="180">
        <f t="shared" ref="F132" si="127">D132</f>
        <v>0</v>
      </c>
      <c r="G132" s="180">
        <f t="shared" si="44"/>
        <v>0</v>
      </c>
      <c r="H132" s="180">
        <f t="shared" si="119"/>
        <v>0</v>
      </c>
      <c r="I132" s="181">
        <f t="shared" si="120"/>
        <v>0</v>
      </c>
      <c r="J132" s="182" t="s">
        <v>433</v>
      </c>
      <c r="K132" s="183">
        <v>15000</v>
      </c>
      <c r="L132" s="184">
        <f t="shared" si="103"/>
        <v>0</v>
      </c>
      <c r="M132" s="185">
        <f t="shared" si="86"/>
        <v>0</v>
      </c>
      <c r="N132" s="185">
        <f t="shared" si="104"/>
        <v>0</v>
      </c>
      <c r="O132" s="185">
        <f t="shared" si="105"/>
        <v>0</v>
      </c>
      <c r="P132" s="185">
        <f t="shared" si="87"/>
        <v>0</v>
      </c>
      <c r="Q132" s="186">
        <f t="shared" si="88"/>
        <v>0</v>
      </c>
    </row>
    <row r="133" ht="11.25" customHeight="1" spans="1:17" x14ac:dyDescent="0.25">
      <c r="A133" s="256" t="s">
        <v>428</v>
      </c>
      <c r="B133" s="177" t="s">
        <v>241</v>
      </c>
      <c r="C133" s="178" t="s">
        <v>242</v>
      </c>
      <c r="D133" s="179" t="str">
        <f>+IF('Informacion de Cotización'!B61="SI",'Informacion de Cotización'!B7-'Informacion de Cotización'!B8,"0")</f>
        <v>0</v>
      </c>
      <c r="E133" s="180" t="str">
        <f t="shared" si="93"/>
        <v>0</v>
      </c>
      <c r="F133" s="180" t="str">
        <f t="shared" ref="F133" si="128">D133</f>
        <v>0</v>
      </c>
      <c r="G133" s="180" t="str">
        <f t="shared" si="44"/>
        <v>0</v>
      </c>
      <c r="H133" s="180" t="str">
        <f t="shared" si="119"/>
        <v>0</v>
      </c>
      <c r="I133" s="181" t="str">
        <f t="shared" si="120"/>
        <v>0</v>
      </c>
      <c r="J133" s="182" t="s">
        <v>243</v>
      </c>
      <c r="K133" s="183">
        <f>VLOOKUP(C133,'Base Material'!B:D,3,FALSE)</f>
        <v>1551</v>
      </c>
      <c r="L133" s="184">
        <f t="shared" si="103"/>
        <v>0</v>
      </c>
      <c r="M133" s="185">
        <f t="shared" si="86"/>
        <v>0</v>
      </c>
      <c r="N133" s="185">
        <f t="shared" si="104"/>
        <v>0</v>
      </c>
      <c r="O133" s="185">
        <f t="shared" si="105"/>
        <v>0</v>
      </c>
      <c r="P133" s="185">
        <f t="shared" si="87"/>
        <v>0</v>
      </c>
      <c r="Q133" s="186">
        <f t="shared" si="88"/>
        <v>0</v>
      </c>
    </row>
    <row r="134" ht="11.25" customHeight="1" spans="1:17" x14ac:dyDescent="0.25">
      <c r="A134" s="256" t="s">
        <v>428</v>
      </c>
      <c r="B134" s="177" t="s">
        <v>283</v>
      </c>
      <c r="C134" s="178" t="s">
        <v>284</v>
      </c>
      <c r="D134" s="179" t="str">
        <f>+IF('Informacion de Cotización'!B61="SI",('Informacion de Cotización'!B7-'Informacion de Cotización'!B8)*4.1/12,"0")</f>
        <v>0</v>
      </c>
      <c r="E134" s="180" t="str">
        <f t="shared" si="93"/>
        <v>0</v>
      </c>
      <c r="F134" s="180" t="str">
        <f t="shared" ref="F134" si="129">D134</f>
        <v>0</v>
      </c>
      <c r="G134" s="180" t="str">
        <f t="shared" si="44"/>
        <v>0</v>
      </c>
      <c r="H134" s="180" t="str">
        <f t="shared" si="119"/>
        <v>0</v>
      </c>
      <c r="I134" s="181" t="str">
        <f t="shared" si="120"/>
        <v>0</v>
      </c>
      <c r="J134" s="182" t="s">
        <v>271</v>
      </c>
      <c r="K134" s="183">
        <f>VLOOKUP(C134,'Base Material'!B:D,3,FALSE)</f>
        <v>7386</v>
      </c>
      <c r="L134" s="184">
        <f t="shared" si="103"/>
        <v>0</v>
      </c>
      <c r="M134" s="185">
        <f t="shared" si="86"/>
        <v>0</v>
      </c>
      <c r="N134" s="185">
        <f t="shared" si="104"/>
        <v>0</v>
      </c>
      <c r="O134" s="185">
        <f t="shared" si="105"/>
        <v>0</v>
      </c>
      <c r="P134" s="185">
        <f t="shared" si="87"/>
        <v>0</v>
      </c>
      <c r="Q134" s="186">
        <f t="shared" si="88"/>
        <v>0</v>
      </c>
    </row>
    <row r="135" ht="11.25" customHeight="1" spans="1:17" x14ac:dyDescent="0.25">
      <c r="A135" s="256" t="s">
        <v>428</v>
      </c>
      <c r="B135" s="177" t="s">
        <v>272</v>
      </c>
      <c r="C135" s="178" t="s">
        <v>273</v>
      </c>
      <c r="D135" s="179" t="str">
        <f>+IF('Informacion de Cotización'!B61="SI",(('Informacion de Cotización'!B7-'Informacion de Cotización'!B8)/0.15)*((0.9)/12),"0")</f>
        <v>0</v>
      </c>
      <c r="E135" s="180" t="str">
        <f t="shared" si="93"/>
        <v>0</v>
      </c>
      <c r="F135" s="180" t="str">
        <f t="shared" ref="F135" si="130">D135</f>
        <v>0</v>
      </c>
      <c r="G135" s="180" t="str">
        <f t="shared" si="44"/>
        <v>0</v>
      </c>
      <c r="H135" s="180" t="str">
        <f t="shared" si="119"/>
        <v>0</v>
      </c>
      <c r="I135" s="181" t="str">
        <f t="shared" si="120"/>
        <v>0</v>
      </c>
      <c r="J135" s="182" t="s">
        <v>271</v>
      </c>
      <c r="K135" s="183">
        <f>VLOOKUP(C135,'Base Material'!B:D,3,FALSE)</f>
        <v>4320</v>
      </c>
      <c r="L135" s="184">
        <f t="shared" si="103"/>
        <v>0</v>
      </c>
      <c r="M135" s="185">
        <f t="shared" si="86"/>
        <v>0</v>
      </c>
      <c r="N135" s="185">
        <f t="shared" si="104"/>
        <v>0</v>
      </c>
      <c r="O135" s="185">
        <f t="shared" si="105"/>
        <v>0</v>
      </c>
      <c r="P135" s="185">
        <f t="shared" si="87"/>
        <v>0</v>
      </c>
      <c r="Q135" s="186">
        <f t="shared" si="88"/>
        <v>0</v>
      </c>
    </row>
    <row r="136" ht="12" customHeight="1" spans="1:17" x14ac:dyDescent="0.25">
      <c r="A136" s="257" t="s">
        <v>428</v>
      </c>
      <c r="B136" s="188" t="s">
        <v>345</v>
      </c>
      <c r="C136" s="189" t="s">
        <v>346</v>
      </c>
      <c r="D136" s="190" t="str">
        <f>+IF('Informacion de Cotización'!B61="SI",('Informacion de Cotización'!B7-'Informacion de Cotización'!B8)*0.2*0.2/6*5*6,"0")</f>
        <v>0</v>
      </c>
      <c r="E136" s="191" t="str">
        <f t="shared" si="93"/>
        <v>0</v>
      </c>
      <c r="F136" s="191" t="str">
        <f t="shared" ref="F136" si="131">D136</f>
        <v>0</v>
      </c>
      <c r="G136" s="191" t="str">
        <f t="shared" si="44"/>
        <v>0</v>
      </c>
      <c r="H136" s="191" t="str">
        <f t="shared" si="119"/>
        <v>0</v>
      </c>
      <c r="I136" s="192" t="str">
        <f t="shared" si="120"/>
        <v>0</v>
      </c>
      <c r="J136" s="193" t="s">
        <v>347</v>
      </c>
      <c r="K136" s="194">
        <f>VLOOKUP(C136,'Base Material'!B:D,3,FALSE)</f>
        <v>5400</v>
      </c>
      <c r="L136" s="195">
        <f t="shared" si="103"/>
        <v>0</v>
      </c>
      <c r="M136" s="196">
        <f t="shared" si="86"/>
        <v>0</v>
      </c>
      <c r="N136" s="196">
        <f t="shared" si="104"/>
        <v>0</v>
      </c>
      <c r="O136" s="196">
        <f t="shared" si="105"/>
        <v>0</v>
      </c>
      <c r="P136" s="196">
        <f t="shared" si="87"/>
        <v>0</v>
      </c>
      <c r="Q136" s="197">
        <f t="shared" si="88"/>
        <v>0</v>
      </c>
    </row>
    <row r="137" ht="11.25" customHeight="1" spans="1:17" x14ac:dyDescent="0.25">
      <c r="A137" s="258" t="s">
        <v>434</v>
      </c>
      <c r="B137" s="169" t="s">
        <v>435</v>
      </c>
      <c r="C137" s="170" t="s">
        <v>436</v>
      </c>
      <c r="D137" s="171">
        <f>('Informacion de Cotización'!B16-'Informacion de Cotización'!B10)/5</f>
        <v>49</v>
      </c>
      <c r="E137" s="172"/>
      <c r="F137" s="172"/>
      <c r="G137" s="172"/>
      <c r="H137" s="172"/>
      <c r="I137" s="172"/>
      <c r="J137" s="174" t="s">
        <v>306</v>
      </c>
      <c r="K137" s="175">
        <f>VLOOKUP(C137,'Base Material'!B:D,3,FALSE)</f>
        <v>73600</v>
      </c>
      <c r="L137" s="155">
        <f t="shared" si="103"/>
        <v>3606400</v>
      </c>
      <c r="M137" s="156">
        <f t="shared" si="86"/>
        <v>0</v>
      </c>
      <c r="N137" s="156">
        <f t="shared" si="104"/>
        <v>0</v>
      </c>
      <c r="O137" s="156">
        <f t="shared" si="105"/>
        <v>0</v>
      </c>
      <c r="P137" s="156">
        <f t="shared" si="87"/>
        <v>0</v>
      </c>
      <c r="Q137" s="157">
        <f t="shared" si="88"/>
        <v>0</v>
      </c>
    </row>
    <row r="138" ht="11.25" customHeight="1" spans="1:17" x14ac:dyDescent="0.25">
      <c r="A138" s="259" t="s">
        <v>434</v>
      </c>
      <c r="B138" s="177" t="s">
        <v>437</v>
      </c>
      <c r="C138" s="178" t="s">
        <v>438</v>
      </c>
      <c r="D138" s="179">
        <f>'Informacion de Cotización'!B16/40</f>
        <v>7.375</v>
      </c>
      <c r="E138" s="180"/>
      <c r="F138" s="180"/>
      <c r="G138" s="180"/>
      <c r="H138" s="180"/>
      <c r="I138" s="180"/>
      <c r="J138" s="182" t="s">
        <v>439</v>
      </c>
      <c r="K138" s="183">
        <f>VLOOKUP(C138,'Base Material'!B:D,3,FALSE)</f>
        <v>0</v>
      </c>
      <c r="L138" s="184">
        <f t="shared" si="103"/>
        <v>0</v>
      </c>
      <c r="M138" s="185">
        <f t="shared" si="86"/>
        <v>0</v>
      </c>
      <c r="N138" s="185">
        <f t="shared" si="104"/>
        <v>0</v>
      </c>
      <c r="O138" s="185">
        <f t="shared" si="105"/>
        <v>0</v>
      </c>
      <c r="P138" s="185">
        <f t="shared" si="87"/>
        <v>0</v>
      </c>
      <c r="Q138" s="186">
        <f t="shared" si="88"/>
        <v>0</v>
      </c>
    </row>
    <row r="139" ht="11.25" customHeight="1" spans="1:17" x14ac:dyDescent="0.25">
      <c r="A139" s="259" t="s">
        <v>434</v>
      </c>
      <c r="B139" s="153" t="s">
        <v>440</v>
      </c>
      <c r="C139" s="153" t="s">
        <v>441</v>
      </c>
      <c r="D139" s="179">
        <f>+('Informacion de Cotización'!B15/8+('Informacion de Cotización'!B19+'Informacion de Cotización'!B21)/10)</f>
        <v>39.375</v>
      </c>
      <c r="E139" s="180">
        <f t="shared" si="93"/>
        <v>0</v>
      </c>
      <c r="F139" s="180">
        <f>+('Informacion de Cotización'!B19+'Informacion de Cotización'!B21)/10</f>
        <v>0</v>
      </c>
      <c r="G139" s="180">
        <f>F139</f>
        <v>0</v>
      </c>
      <c r="H139" s="180">
        <f t="shared" ref="H139:I139" si="132">G139</f>
        <v>0</v>
      </c>
      <c r="I139" s="181">
        <f t="shared" si="132"/>
        <v>0</v>
      </c>
      <c r="J139" s="182" t="s">
        <v>442</v>
      </c>
      <c r="K139" s="183">
        <f>VLOOKUP(C139,'Base Material'!B:D,3,FALSE)</f>
        <v>42610</v>
      </c>
      <c r="L139" s="184">
        <f t="shared" si="103"/>
        <v>1677768.75</v>
      </c>
      <c r="M139" s="185">
        <f t="shared" si="86"/>
        <v>0</v>
      </c>
      <c r="N139" s="185">
        <f t="shared" si="104"/>
        <v>0</v>
      </c>
      <c r="O139" s="185">
        <f t="shared" si="105"/>
        <v>0</v>
      </c>
      <c r="P139" s="185">
        <f t="shared" si="87"/>
        <v>0</v>
      </c>
      <c r="Q139" s="186">
        <f t="shared" si="88"/>
        <v>0</v>
      </c>
    </row>
    <row r="140" ht="11.25" customHeight="1" spans="1:17" x14ac:dyDescent="0.25">
      <c r="A140" s="259" t="s">
        <v>434</v>
      </c>
      <c r="B140" s="153" t="s">
        <v>443</v>
      </c>
      <c r="C140" s="153" t="s">
        <v>444</v>
      </c>
      <c r="D140" s="179">
        <f>+('Informacion de Cotización'!B19+'Informacion de Cotización'!B21)/2</f>
        <v>0</v>
      </c>
      <c r="E140" s="180">
        <f t="shared" ref="E140:E143" si="133">F140</f>
        <v>0</v>
      </c>
      <c r="F140" s="180">
        <f>+('Informacion de Cotización'!B20+'Informacion de Cotización'!B22)/10</f>
        <v>0</v>
      </c>
      <c r="G140" s="180">
        <f>F140</f>
        <v>0</v>
      </c>
      <c r="H140" s="180">
        <f t="shared" ref="H140:I140" si="134">G140</f>
        <v>0</v>
      </c>
      <c r="I140" s="181">
        <f t="shared" si="134"/>
        <v>0</v>
      </c>
      <c r="J140" s="182" t="s">
        <v>445</v>
      </c>
      <c r="K140" s="183">
        <f>VLOOKUP(C140,'Base Material'!B:D,3,FALSE)</f>
        <v>4086</v>
      </c>
      <c r="L140" s="184">
        <f t="shared" si="103"/>
        <v>0</v>
      </c>
      <c r="M140" s="185">
        <f t="shared" si="86"/>
        <v>0</v>
      </c>
      <c r="N140" s="185">
        <f t="shared" si="104"/>
        <v>0</v>
      </c>
      <c r="O140" s="185">
        <f t="shared" si="105"/>
        <v>0</v>
      </c>
      <c r="P140" s="185">
        <f t="shared" si="87"/>
        <v>0</v>
      </c>
      <c r="Q140" s="186">
        <f t="shared" si="88"/>
        <v>0</v>
      </c>
    </row>
    <row r="141" ht="11.25" customHeight="1" spans="1:17" x14ac:dyDescent="0.25">
      <c r="A141" s="259" t="s">
        <v>434</v>
      </c>
      <c r="B141" s="177" t="s">
        <v>307</v>
      </c>
      <c r="C141" s="178" t="s">
        <v>308</v>
      </c>
      <c r="D141" s="179">
        <f>+(('Informacion de Cotización'!B19+'Informacion de Cotización'!B21)/2*7)/100</f>
        <v>0</v>
      </c>
      <c r="E141" s="180">
        <f t="shared" si="133"/>
        <v>0.3</v>
      </c>
      <c r="F141" s="180">
        <f>+('Informacion de Cotización'!B21+'Informacion de Cotización'!B23)/10</f>
        <v>0.3</v>
      </c>
      <c r="G141" s="180">
        <f>F141</f>
        <v>0.3</v>
      </c>
      <c r="H141" s="180">
        <f t="shared" ref="H141:I141" si="135">G141</f>
        <v>0.3</v>
      </c>
      <c r="I141" s="181">
        <f t="shared" si="135"/>
        <v>0.3</v>
      </c>
      <c r="J141" s="182" t="s">
        <v>309</v>
      </c>
      <c r="K141" s="183">
        <f>VLOOKUP(C141,'Base Material'!B:D,3,FALSE)</f>
        <v>10840</v>
      </c>
      <c r="L141" s="184">
        <f t="shared" si="103"/>
        <v>0</v>
      </c>
      <c r="M141" s="185">
        <f t="shared" si="86"/>
        <v>3252</v>
      </c>
      <c r="N141" s="185">
        <f t="shared" si="104"/>
        <v>3252</v>
      </c>
      <c r="O141" s="185">
        <f t="shared" si="105"/>
        <v>3252</v>
      </c>
      <c r="P141" s="185">
        <f t="shared" si="87"/>
        <v>3252</v>
      </c>
      <c r="Q141" s="186">
        <f t="shared" si="88"/>
        <v>3252</v>
      </c>
    </row>
    <row r="142" ht="11.25" customHeight="1" spans="1:17" x14ac:dyDescent="0.25">
      <c r="A142" s="259" t="s">
        <v>434</v>
      </c>
      <c r="B142" s="210" t="s">
        <v>446</v>
      </c>
      <c r="C142" s="153" t="s">
        <v>447</v>
      </c>
      <c r="D142" s="179">
        <f>D138/3</f>
        <v>2.4583333333333335</v>
      </c>
      <c r="E142" s="180">
        <f t="shared" si="133"/>
        <v>0.3</v>
      </c>
      <c r="F142" s="180">
        <f>+('Informacion de Cotización'!B22+'Informacion de Cotización'!B24)/10</f>
        <v>0.3</v>
      </c>
      <c r="G142" s="180">
        <f>F142</f>
        <v>0.3</v>
      </c>
      <c r="H142" s="180">
        <f t="shared" ref="H142:I142" si="136">G142</f>
        <v>0.3</v>
      </c>
      <c r="I142" s="181">
        <f t="shared" si="136"/>
        <v>0.3</v>
      </c>
      <c r="J142" s="182" t="s">
        <v>448</v>
      </c>
      <c r="K142" s="183">
        <f>VLOOKUP(C142,'Base Material'!B:D,3,FALSE)</f>
        <v>10840</v>
      </c>
      <c r="L142" s="184">
        <f t="shared" si="103"/>
        <v>26648.333333333336</v>
      </c>
      <c r="M142" s="185">
        <f t="shared" si="86"/>
        <v>3252</v>
      </c>
      <c r="N142" s="185">
        <f t="shared" si="104"/>
        <v>3252</v>
      </c>
      <c r="O142" s="185">
        <f t="shared" si="105"/>
        <v>3252</v>
      </c>
      <c r="P142" s="185">
        <f t="shared" si="87"/>
        <v>3252</v>
      </c>
      <c r="Q142" s="186">
        <f t="shared" si="88"/>
        <v>3252</v>
      </c>
    </row>
    <row r="143" ht="12" customHeight="1" spans="1:17" x14ac:dyDescent="0.25">
      <c r="A143" s="260" t="s">
        <v>434</v>
      </c>
      <c r="B143" s="188" t="s">
        <v>449</v>
      </c>
      <c r="C143" s="189" t="s">
        <v>450</v>
      </c>
      <c r="D143" s="190">
        <f>D142</f>
        <v>2.4583333333333335</v>
      </c>
      <c r="E143" s="191">
        <f t="shared" si="133"/>
        <v>1.3</v>
      </c>
      <c r="F143" s="191">
        <f>+('Informacion de Cotización'!B23+'Informacion de Cotización'!B25)/10</f>
        <v>1.3</v>
      </c>
      <c r="G143" s="191">
        <f>F143</f>
        <v>1.3</v>
      </c>
      <c r="H143" s="191">
        <f t="shared" ref="H143:I158" si="137">G143</f>
        <v>1.3</v>
      </c>
      <c r="I143" s="192">
        <f t="shared" si="137"/>
        <v>1.3</v>
      </c>
      <c r="J143" s="193" t="s">
        <v>347</v>
      </c>
      <c r="K143" s="194">
        <v>12000</v>
      </c>
      <c r="L143" s="195">
        <f t="shared" si="103"/>
        <v>29500</v>
      </c>
      <c r="M143" s="196">
        <f t="shared" si="86"/>
        <v>15600</v>
      </c>
      <c r="N143" s="196">
        <f t="shared" si="104"/>
        <v>15600</v>
      </c>
      <c r="O143" s="196">
        <f t="shared" si="105"/>
        <v>15600</v>
      </c>
      <c r="P143" s="196">
        <f t="shared" si="87"/>
        <v>15600</v>
      </c>
      <c r="Q143" s="197">
        <f t="shared" si="88"/>
        <v>15600</v>
      </c>
    </row>
    <row r="144" ht="11.25" customHeight="1" spans="1:17" x14ac:dyDescent="0.25">
      <c r="A144" s="258" t="s">
        <v>451</v>
      </c>
      <c r="B144" s="169" t="s">
        <v>452</v>
      </c>
      <c r="C144" s="261" t="s">
        <v>453</v>
      </c>
      <c r="D144" s="171">
        <f>+IF('Informacion de Cotización'!$B$54="SI",('Informacion de Cotización'!B9+'Informacion de Cotización'!B10+'Informacion de Cotización'!B11+'Informacion de Cotización'!B13)*(0.367231638418079),"0")</f>
        <v>100.98870056497172</v>
      </c>
      <c r="E144" s="172">
        <f t="shared" si="93"/>
        <v>100.98870056497172</v>
      </c>
      <c r="F144" s="172">
        <f t="shared" ref="F144" si="138">D144</f>
        <v>100.98870056497172</v>
      </c>
      <c r="G144" s="172">
        <f t="shared" ref="G144:G154" si="139">F144</f>
        <v>100.98870056497172</v>
      </c>
      <c r="H144" s="172">
        <f t="shared" si="137"/>
        <v>100.98870056497172</v>
      </c>
      <c r="I144" s="173">
        <f t="shared" si="137"/>
        <v>100.98870056497172</v>
      </c>
      <c r="J144" s="174" t="s">
        <v>454</v>
      </c>
      <c r="K144" s="175">
        <f>VLOOKUP(C144,'Base Material'!B:D,3,FALSE)</f>
        <v>42465</v>
      </c>
      <c r="L144" s="155">
        <f t="shared" si="103"/>
        <v>4288485.169491524</v>
      </c>
      <c r="M144" s="156">
        <f t="shared" si="86"/>
        <v>4288485.169491524</v>
      </c>
      <c r="N144" s="156">
        <f t="shared" si="104"/>
        <v>4288485.169491524</v>
      </c>
      <c r="O144" s="156">
        <f t="shared" si="105"/>
        <v>4288485.169491524</v>
      </c>
      <c r="P144" s="156">
        <f t="shared" si="87"/>
        <v>4288485.169491524</v>
      </c>
      <c r="Q144" s="157">
        <f t="shared" si="88"/>
        <v>4288485.169491524</v>
      </c>
    </row>
    <row r="145" ht="11.25" customHeight="1" spans="1:17" x14ac:dyDescent="0.25">
      <c r="A145" s="259" t="s">
        <v>451</v>
      </c>
      <c r="B145" s="153" t="s">
        <v>455</v>
      </c>
      <c r="C145" s="153" t="s">
        <v>456</v>
      </c>
      <c r="D145" s="179">
        <f>4*('Informacion de Cotización'!B37+'Informacion de Cotización'!B38)</f>
        <v>0</v>
      </c>
      <c r="E145" s="180">
        <f t="shared" si="93"/>
        <v>0</v>
      </c>
      <c r="F145" s="180">
        <f t="shared" ref="F145" si="140">D145</f>
        <v>0</v>
      </c>
      <c r="G145" s="180">
        <f t="shared" si="139"/>
        <v>0</v>
      </c>
      <c r="H145" s="180">
        <f t="shared" si="137"/>
        <v>0</v>
      </c>
      <c r="I145" s="181">
        <f t="shared" si="137"/>
        <v>0</v>
      </c>
      <c r="J145" s="182" t="s">
        <v>454</v>
      </c>
      <c r="K145" s="183">
        <v>7000</v>
      </c>
      <c r="L145" s="184">
        <f t="shared" si="103"/>
        <v>0</v>
      </c>
      <c r="M145" s="185">
        <f t="shared" si="86"/>
        <v>0</v>
      </c>
      <c r="N145" s="185">
        <f t="shared" si="104"/>
        <v>0</v>
      </c>
      <c r="O145" s="185">
        <f t="shared" si="105"/>
        <v>0</v>
      </c>
      <c r="P145" s="185">
        <f t="shared" si="87"/>
        <v>0</v>
      </c>
      <c r="Q145" s="186">
        <f t="shared" si="88"/>
        <v>0</v>
      </c>
    </row>
    <row r="146" ht="11.25" customHeight="1" spans="1:17" x14ac:dyDescent="0.25">
      <c r="A146" s="259" t="s">
        <v>451</v>
      </c>
      <c r="B146" s="177" t="s">
        <v>457</v>
      </c>
      <c r="C146" s="178" t="s">
        <v>458</v>
      </c>
      <c r="D146" s="179">
        <f>+IF('Informacion de Cotización'!$B$54="SI",(('Informacion de Cotización'!B9+'Informacion de Cotización'!B10+'Informacion de Cotización'!B11+'Informacion de Cotización'!B13)/3)*1.1,"0")</f>
        <v>100.83333333333334</v>
      </c>
      <c r="E146" s="180">
        <f t="shared" si="93"/>
        <v>100.83333333333334</v>
      </c>
      <c r="F146" s="180">
        <f t="shared" ref="F146" si="141">D146</f>
        <v>100.83333333333334</v>
      </c>
      <c r="G146" s="180">
        <f t="shared" si="139"/>
        <v>100.83333333333334</v>
      </c>
      <c r="H146" s="180">
        <f t="shared" si="137"/>
        <v>100.83333333333334</v>
      </c>
      <c r="I146" s="181">
        <f t="shared" si="137"/>
        <v>100.83333333333334</v>
      </c>
      <c r="J146" s="182" t="s">
        <v>300</v>
      </c>
      <c r="K146" s="183">
        <v>900</v>
      </c>
      <c r="L146" s="184">
        <f t="shared" si="103"/>
        <v>90750.00000000001</v>
      </c>
      <c r="M146" s="185">
        <f t="shared" si="86"/>
        <v>90750.00000000001</v>
      </c>
      <c r="N146" s="185">
        <f t="shared" si="104"/>
        <v>90750.00000000001</v>
      </c>
      <c r="O146" s="185">
        <f t="shared" si="105"/>
        <v>90750.00000000001</v>
      </c>
      <c r="P146" s="185">
        <f t="shared" si="87"/>
        <v>90750.00000000001</v>
      </c>
      <c r="Q146" s="186">
        <f t="shared" si="88"/>
        <v>90750.00000000001</v>
      </c>
    </row>
    <row r="147" ht="11.25" customHeight="1" spans="1:17" x14ac:dyDescent="0.25">
      <c r="A147" s="259" t="s">
        <v>451</v>
      </c>
      <c r="B147" s="177" t="s">
        <v>459</v>
      </c>
      <c r="C147" s="153" t="s">
        <v>460</v>
      </c>
      <c r="D147" s="179">
        <f>+IF('Informacion de Cotización'!B54="SI",('Informacion de Cotización'!B9+'Informacion de Cotización'!B10+'Informacion de Cotización'!B11+'Informacion de Cotización'!B13)/2,"0")</f>
        <v>137.5</v>
      </c>
      <c r="E147" s="180">
        <f t="shared" si="93"/>
        <v>137.5</v>
      </c>
      <c r="F147" s="180">
        <f t="shared" ref="F147" si="142">D147</f>
        <v>137.5</v>
      </c>
      <c r="G147" s="180">
        <f t="shared" si="139"/>
        <v>137.5</v>
      </c>
      <c r="H147" s="180">
        <f t="shared" si="137"/>
        <v>137.5</v>
      </c>
      <c r="I147" s="181">
        <f t="shared" si="137"/>
        <v>137.5</v>
      </c>
      <c r="J147" s="182" t="s">
        <v>252</v>
      </c>
      <c r="K147" s="183">
        <f>VLOOKUP(C147,'Base Material'!B:D,3,FALSE)</f>
        <v>3712</v>
      </c>
      <c r="L147" s="184">
        <f t="shared" si="103"/>
        <v>510400</v>
      </c>
      <c r="M147" s="185">
        <f t="shared" si="86"/>
        <v>510400</v>
      </c>
      <c r="N147" s="185">
        <f t="shared" si="104"/>
        <v>510400</v>
      </c>
      <c r="O147" s="185">
        <f t="shared" si="105"/>
        <v>510400</v>
      </c>
      <c r="P147" s="185">
        <f t="shared" si="87"/>
        <v>510400</v>
      </c>
      <c r="Q147" s="186">
        <f t="shared" si="88"/>
        <v>510400</v>
      </c>
    </row>
    <row r="148" ht="11.25" customHeight="1" spans="1:17" x14ac:dyDescent="0.25">
      <c r="A148" s="259" t="s">
        <v>451</v>
      </c>
      <c r="B148" s="177" t="s">
        <v>461</v>
      </c>
      <c r="C148" s="153" t="s">
        <v>462</v>
      </c>
      <c r="D148" s="179">
        <f>+IF('Informacion de Cotización'!B54="SI",('Informacion de Cotización'!B19+'Informacion de Cotización'!B20*2+'Informacion de Cotización'!B21+'Informacion de Cotización'!B22*2)/2.4,"0")</f>
        <v>0</v>
      </c>
      <c r="E148" s="180">
        <f t="shared" si="93"/>
        <v>0</v>
      </c>
      <c r="F148" s="180">
        <f t="shared" ref="F148" si="143">D148</f>
        <v>0</v>
      </c>
      <c r="G148" s="180">
        <f t="shared" si="139"/>
        <v>0</v>
      </c>
      <c r="H148" s="180">
        <f t="shared" si="137"/>
        <v>0</v>
      </c>
      <c r="I148" s="181">
        <f t="shared" si="137"/>
        <v>0</v>
      </c>
      <c r="J148" s="182" t="s">
        <v>463</v>
      </c>
      <c r="K148" s="183">
        <f>VLOOKUP(C148,'Base Material'!B:D,3,FALSE)</f>
        <v>3631</v>
      </c>
      <c r="L148" s="184">
        <f t="shared" si="103"/>
        <v>0</v>
      </c>
      <c r="M148" s="185">
        <f t="shared" si="86"/>
        <v>0</v>
      </c>
      <c r="N148" s="185">
        <f t="shared" si="104"/>
        <v>0</v>
      </c>
      <c r="O148" s="185">
        <f t="shared" si="105"/>
        <v>0</v>
      </c>
      <c r="P148" s="185">
        <f t="shared" si="87"/>
        <v>0</v>
      </c>
      <c r="Q148" s="186">
        <f t="shared" si="88"/>
        <v>0</v>
      </c>
    </row>
    <row r="149" ht="11.25" customHeight="1" spans="1:17" x14ac:dyDescent="0.25">
      <c r="A149" s="259" t="s">
        <v>451</v>
      </c>
      <c r="B149" s="177" t="s">
        <v>464</v>
      </c>
      <c r="C149" s="178" t="s">
        <v>465</v>
      </c>
      <c r="D149" s="179">
        <f>+IF('Informacion de Cotización'!$B$54="SI",('Informacion de Cotización'!B9+'Informacion de Cotización'!B10+'Informacion de Cotización'!B11+'Informacion de Cotización'!B13)*(1.35),"0")</f>
        <v>371.25</v>
      </c>
      <c r="E149" s="180">
        <f t="shared" si="93"/>
        <v>371.25</v>
      </c>
      <c r="F149" s="180">
        <f t="shared" ref="F149" si="144">D149</f>
        <v>371.25</v>
      </c>
      <c r="G149" s="180">
        <f t="shared" si="139"/>
        <v>371.25</v>
      </c>
      <c r="H149" s="180">
        <f t="shared" si="137"/>
        <v>371.25</v>
      </c>
      <c r="I149" s="181">
        <f t="shared" si="137"/>
        <v>371.25</v>
      </c>
      <c r="J149" s="182" t="s">
        <v>252</v>
      </c>
      <c r="K149" s="183">
        <f>VLOOKUP(C149,'Base Material'!B:D,3,FALSE)</f>
        <v>4235</v>
      </c>
      <c r="L149" s="184">
        <f t="shared" si="103"/>
        <v>1572243.75</v>
      </c>
      <c r="M149" s="185">
        <f t="shared" si="86"/>
        <v>1572243.75</v>
      </c>
      <c r="N149" s="185">
        <f t="shared" si="104"/>
        <v>1572243.75</v>
      </c>
      <c r="O149" s="185">
        <f t="shared" si="105"/>
        <v>1572243.75</v>
      </c>
      <c r="P149" s="185">
        <f t="shared" si="87"/>
        <v>1572243.75</v>
      </c>
      <c r="Q149" s="186">
        <f t="shared" si="88"/>
        <v>1572243.75</v>
      </c>
    </row>
    <row r="150" ht="11.25" customHeight="1" spans="1:17" x14ac:dyDescent="0.25">
      <c r="A150" s="259" t="s">
        <v>451</v>
      </c>
      <c r="B150" s="177" t="s">
        <v>466</v>
      </c>
      <c r="C150" s="178" t="s">
        <v>467</v>
      </c>
      <c r="D150" s="179">
        <f>+IF('Informacion de Cotización'!$B$54="SI",('Informacion de Cotización'!B9+'Informacion de Cotización'!B10+'Informacion de Cotización'!B11+'Informacion de Cotización'!B13)*(16),"0")</f>
        <v>4400</v>
      </c>
      <c r="E150" s="180">
        <f t="shared" si="93"/>
        <v>4400</v>
      </c>
      <c r="F150" s="180">
        <f t="shared" ref="F150" si="145">D150</f>
        <v>4400</v>
      </c>
      <c r="G150" s="180">
        <f t="shared" si="139"/>
        <v>4400</v>
      </c>
      <c r="H150" s="180">
        <f t="shared" si="137"/>
        <v>4400</v>
      </c>
      <c r="I150" s="181">
        <f t="shared" si="137"/>
        <v>4400</v>
      </c>
      <c r="J150" s="182" t="s">
        <v>252</v>
      </c>
      <c r="K150" s="183">
        <f>VLOOKUP(C150,'Base Material'!B:D,3,FALSE)</f>
        <v>17.1</v>
      </c>
      <c r="L150" s="184">
        <f t="shared" si="103"/>
        <v>75240</v>
      </c>
      <c r="M150" s="185">
        <f t="shared" si="86"/>
        <v>75240</v>
      </c>
      <c r="N150" s="185">
        <f t="shared" si="104"/>
        <v>75240</v>
      </c>
      <c r="O150" s="185">
        <f t="shared" si="105"/>
        <v>75240</v>
      </c>
      <c r="P150" s="185">
        <f t="shared" si="87"/>
        <v>75240</v>
      </c>
      <c r="Q150" s="186">
        <f t="shared" si="88"/>
        <v>75240</v>
      </c>
    </row>
    <row r="151" ht="11.25" customHeight="1" spans="1:17" x14ac:dyDescent="0.25">
      <c r="A151" s="259" t="s">
        <v>451</v>
      </c>
      <c r="B151" s="177" t="s">
        <v>468</v>
      </c>
      <c r="C151" s="178" t="s">
        <v>469</v>
      </c>
      <c r="D151" s="179">
        <f>+IF('Informacion de Cotización'!$B$54="SI",('Informacion de Cotización'!B9+'Informacion de Cotización'!B10+'Informacion de Cotización'!B11+'Informacion de Cotización'!B13)*(18),"0")</f>
        <v>4950</v>
      </c>
      <c r="E151" s="180">
        <f t="shared" si="93"/>
        <v>4950</v>
      </c>
      <c r="F151" s="180">
        <f t="shared" ref="F151" si="146">D151</f>
        <v>4950</v>
      </c>
      <c r="G151" s="180">
        <f t="shared" si="139"/>
        <v>4950</v>
      </c>
      <c r="H151" s="180">
        <f t="shared" si="137"/>
        <v>4950</v>
      </c>
      <c r="I151" s="181">
        <f t="shared" si="137"/>
        <v>4950</v>
      </c>
      <c r="J151" s="182" t="s">
        <v>252</v>
      </c>
      <c r="K151" s="183">
        <f>VLOOKUP(C151,'Base Material'!B:D,3,FALSE)</f>
        <v>13.56</v>
      </c>
      <c r="L151" s="184">
        <f t="shared" si="103"/>
        <v>67122</v>
      </c>
      <c r="M151" s="185">
        <f t="shared" si="86"/>
        <v>67122</v>
      </c>
      <c r="N151" s="185">
        <f t="shared" si="104"/>
        <v>67122</v>
      </c>
      <c r="O151" s="185">
        <f t="shared" si="105"/>
        <v>67122</v>
      </c>
      <c r="P151" s="185">
        <f t="shared" si="87"/>
        <v>67122</v>
      </c>
      <c r="Q151" s="186">
        <f t="shared" si="88"/>
        <v>67122</v>
      </c>
    </row>
    <row r="152" ht="11.25" customHeight="1" spans="1:17" x14ac:dyDescent="0.25">
      <c r="A152" s="259" t="s">
        <v>451</v>
      </c>
      <c r="B152" s="153" t="s">
        <v>470</v>
      </c>
      <c r="C152" s="153" t="s">
        <v>471</v>
      </c>
      <c r="D152" s="179">
        <f>+IF('Informacion de Cotización'!$B$54="SI",('Informacion de Cotización'!B9+'Informacion de Cotización'!B10+'Informacion de Cotización'!B11+'Informacion de Cotización'!B13)/25,"0")</f>
        <v>11</v>
      </c>
      <c r="E152" s="180">
        <f t="shared" si="93"/>
        <v>11</v>
      </c>
      <c r="F152" s="180">
        <f t="shared" ref="F152" si="147">D152</f>
        <v>11</v>
      </c>
      <c r="G152" s="180">
        <f t="shared" si="139"/>
        <v>11</v>
      </c>
      <c r="H152" s="180">
        <f t="shared" si="137"/>
        <v>11</v>
      </c>
      <c r="I152" s="181">
        <f t="shared" si="137"/>
        <v>11</v>
      </c>
      <c r="J152" s="182" t="s">
        <v>306</v>
      </c>
      <c r="K152" s="183">
        <f>VLOOKUP(C152,'Base Material'!B:D,3,FALSE)</f>
        <v>49896</v>
      </c>
      <c r="L152" s="184">
        <f t="shared" si="103"/>
        <v>548856</v>
      </c>
      <c r="M152" s="185">
        <f t="shared" si="86"/>
        <v>548856</v>
      </c>
      <c r="N152" s="185">
        <f t="shared" si="104"/>
        <v>548856</v>
      </c>
      <c r="O152" s="185">
        <f t="shared" si="105"/>
        <v>548856</v>
      </c>
      <c r="P152" s="185">
        <f t="shared" si="87"/>
        <v>548856</v>
      </c>
      <c r="Q152" s="186">
        <f t="shared" si="88"/>
        <v>548856</v>
      </c>
    </row>
    <row r="153" ht="11.25" customHeight="1" spans="1:17" x14ac:dyDescent="0.25">
      <c r="A153" s="259" t="s">
        <v>451</v>
      </c>
      <c r="B153" s="177" t="s">
        <v>472</v>
      </c>
      <c r="C153" s="178" t="s">
        <v>473</v>
      </c>
      <c r="D153" s="179">
        <f>+IF('Informacion de Cotización'!$B$54="SI",('Informacion de Cotización'!B9+'Informacion de Cotización'!B10+'Informacion de Cotización'!B11+'Informacion de Cotización'!B13)*(0.367231638418079)*(1.22*2+2.44*2)/45,"0")</f>
        <v>16.42749529190207</v>
      </c>
      <c r="E153" s="180">
        <f t="shared" si="93"/>
        <v>16.42749529190207</v>
      </c>
      <c r="F153" s="180">
        <f t="shared" ref="F153" si="148">D153</f>
        <v>16.42749529190207</v>
      </c>
      <c r="G153" s="180">
        <f t="shared" si="139"/>
        <v>16.42749529190207</v>
      </c>
      <c r="H153" s="180">
        <f t="shared" si="137"/>
        <v>16.42749529190207</v>
      </c>
      <c r="I153" s="181">
        <f t="shared" si="137"/>
        <v>16.42749529190207</v>
      </c>
      <c r="J153" s="182" t="s">
        <v>252</v>
      </c>
      <c r="K153" s="183">
        <v>2000</v>
      </c>
      <c r="L153" s="184">
        <f t="shared" si="103"/>
        <v>32854.99058380414</v>
      </c>
      <c r="M153" s="185">
        <f t="shared" si="86"/>
        <v>32854.99058380414</v>
      </c>
      <c r="N153" s="185">
        <f t="shared" si="104"/>
        <v>32854.99058380414</v>
      </c>
      <c r="O153" s="185">
        <f t="shared" si="105"/>
        <v>32854.99058380414</v>
      </c>
      <c r="P153" s="185">
        <f t="shared" si="87"/>
        <v>32854.99058380414</v>
      </c>
      <c r="Q153" s="186">
        <f t="shared" si="88"/>
        <v>32854.99058380414</v>
      </c>
    </row>
    <row r="154" ht="11.25" customHeight="1" spans="1:17" x14ac:dyDescent="0.25">
      <c r="A154" s="259" t="s">
        <v>451</v>
      </c>
      <c r="B154" s="177" t="s">
        <v>474</v>
      </c>
      <c r="C154" s="178" t="s">
        <v>475</v>
      </c>
      <c r="D154" s="179">
        <f>+IF('Informacion de Cotización'!$B$54="SI",('Informacion de Cotización'!B9+'Informacion de Cotización'!B10+'Informacion de Cotización'!B11+'Informacion de Cotización'!B13)*(6),"0")</f>
        <v>1650</v>
      </c>
      <c r="E154" s="180">
        <f t="shared" si="93"/>
        <v>1650</v>
      </c>
      <c r="F154" s="180">
        <f t="shared" ref="F154" si="149">D154</f>
        <v>1650</v>
      </c>
      <c r="G154" s="180">
        <f t="shared" si="139"/>
        <v>1650</v>
      </c>
      <c r="H154" s="180">
        <f t="shared" si="137"/>
        <v>1650</v>
      </c>
      <c r="I154" s="181">
        <f t="shared" si="137"/>
        <v>1650</v>
      </c>
      <c r="J154" s="182" t="s">
        <v>252</v>
      </c>
      <c r="K154" s="183">
        <f>VLOOKUP(C154,'Base Material'!B:D,3,FALSE)</f>
        <v>27.75</v>
      </c>
      <c r="L154" s="184">
        <f t="shared" si="103"/>
        <v>45787.5</v>
      </c>
      <c r="M154" s="185">
        <f t="shared" si="86"/>
        <v>45787.5</v>
      </c>
      <c r="N154" s="185">
        <f t="shared" si="104"/>
        <v>45787.5</v>
      </c>
      <c r="O154" s="185">
        <f t="shared" si="105"/>
        <v>45787.5</v>
      </c>
      <c r="P154" s="185">
        <f t="shared" si="87"/>
        <v>45787.5</v>
      </c>
      <c r="Q154" s="186">
        <f t="shared" si="88"/>
        <v>45787.5</v>
      </c>
    </row>
    <row r="155" ht="11.25" customHeight="1" spans="1:17" x14ac:dyDescent="0.25">
      <c r="A155" s="259" t="s">
        <v>451</v>
      </c>
      <c r="B155" s="177" t="s">
        <v>327</v>
      </c>
      <c r="C155" s="178" t="s">
        <v>328</v>
      </c>
      <c r="D155" s="179" t="str">
        <f>+IF('Informacion de Cotización'!$B$54="SI","25","0")</f>
        <v>25</v>
      </c>
      <c r="E155" s="180" t="str">
        <f t="shared" si="93"/>
        <v>25</v>
      </c>
      <c r="F155" s="180" t="str">
        <f>D155</f>
        <v>25</v>
      </c>
      <c r="G155" s="180" t="str">
        <f t="shared" ref="G155:G171" si="150">F155</f>
        <v>25</v>
      </c>
      <c r="H155" s="180" t="str">
        <f t="shared" si="137"/>
        <v>25</v>
      </c>
      <c r="I155" s="181" t="str">
        <f t="shared" si="137"/>
        <v>25</v>
      </c>
      <c r="J155" s="182" t="s">
        <v>252</v>
      </c>
      <c r="K155" s="183">
        <f>VLOOKUP(C155,'Base Material'!B:D,3,FALSE)</f>
        <v>1778</v>
      </c>
      <c r="L155" s="184">
        <f t="shared" si="103"/>
        <v>44450</v>
      </c>
      <c r="M155" s="185">
        <f t="shared" si="86"/>
        <v>44450</v>
      </c>
      <c r="N155" s="185">
        <f t="shared" si="104"/>
        <v>44450</v>
      </c>
      <c r="O155" s="185">
        <f t="shared" si="105"/>
        <v>44450</v>
      </c>
      <c r="P155" s="185">
        <f t="shared" si="87"/>
        <v>44450</v>
      </c>
      <c r="Q155" s="186">
        <f t="shared" si="88"/>
        <v>44450</v>
      </c>
    </row>
    <row r="156" ht="12" customHeight="1" spans="1:17" x14ac:dyDescent="0.25">
      <c r="A156" s="262" t="s">
        <v>451</v>
      </c>
      <c r="B156" s="212" t="s">
        <v>476</v>
      </c>
      <c r="C156" s="213" t="s">
        <v>477</v>
      </c>
      <c r="D156" s="190">
        <f>+IF('Informacion de Cotización'!$B$54="SI",('Informacion de Cotización'!B9+'Informacion de Cotización'!B10+'Informacion de Cotización'!B11+'Informacion de Cotización'!B13)*(6),"0")</f>
        <v>1650</v>
      </c>
      <c r="E156" s="191">
        <f t="shared" si="93"/>
        <v>1650</v>
      </c>
      <c r="F156" s="191">
        <f t="shared" ref="F156" si="151">D156</f>
        <v>1650</v>
      </c>
      <c r="G156" s="191">
        <f t="shared" si="150"/>
        <v>1650</v>
      </c>
      <c r="H156" s="191">
        <f t="shared" si="137"/>
        <v>1650</v>
      </c>
      <c r="I156" s="192">
        <f t="shared" si="137"/>
        <v>1650</v>
      </c>
      <c r="J156" s="217" t="s">
        <v>252</v>
      </c>
      <c r="K156" s="218">
        <f>VLOOKUP(C156,'Base Material'!B:D,3,FALSE)</f>
        <v>38</v>
      </c>
      <c r="L156" s="184">
        <f t="shared" si="103"/>
        <v>62700</v>
      </c>
      <c r="M156" s="185">
        <f t="shared" si="86"/>
        <v>62700</v>
      </c>
      <c r="N156" s="185">
        <f t="shared" si="104"/>
        <v>62700</v>
      </c>
      <c r="O156" s="185">
        <f t="shared" si="105"/>
        <v>62700</v>
      </c>
      <c r="P156" s="185">
        <f t="shared" si="87"/>
        <v>62700</v>
      </c>
      <c r="Q156" s="186">
        <f t="shared" si="88"/>
        <v>62700</v>
      </c>
    </row>
    <row r="157" ht="11.25" customHeight="1" spans="1:17" x14ac:dyDescent="0.25">
      <c r="A157" s="263" t="s">
        <v>478</v>
      </c>
      <c r="B157" s="169" t="s">
        <v>253</v>
      </c>
      <c r="C157" s="170" t="s">
        <v>254</v>
      </c>
      <c r="D157" s="201">
        <f>+IF('Informacion de Cotización'!B55="SI",(5/160)*('Informacion de Cotización'!$B$9+'Informacion de Cotización'!$B$10+'Informacion de Cotización'!$B$11+'Informacion de Cotización'!$B$13),0)</f>
        <v>8.59375</v>
      </c>
      <c r="E157" s="202">
        <f t="shared" si="93"/>
        <v>8.59375</v>
      </c>
      <c r="F157" s="202">
        <f t="shared" ref="F157:F158" si="152">D157</f>
        <v>8.59375</v>
      </c>
      <c r="G157" s="202">
        <f t="shared" si="150"/>
        <v>8.59375</v>
      </c>
      <c r="H157" s="202">
        <f t="shared" si="137"/>
        <v>8.59375</v>
      </c>
      <c r="I157" s="203">
        <f t="shared" si="137"/>
        <v>8.59375</v>
      </c>
      <c r="J157" s="174" t="s">
        <v>255</v>
      </c>
      <c r="K157" s="175">
        <f>VLOOKUP(C157,'Base Material'!B:D,3,FALSE)</f>
        <v>2925</v>
      </c>
      <c r="L157" s="184">
        <f t="shared" si="103"/>
        <v>25136.71875</v>
      </c>
      <c r="M157" s="185">
        <f t="shared" si="86"/>
        <v>25136.71875</v>
      </c>
      <c r="N157" s="185">
        <f t="shared" si="104"/>
        <v>25136.71875</v>
      </c>
      <c r="O157" s="185">
        <f t="shared" si="105"/>
        <v>25136.71875</v>
      </c>
      <c r="P157" s="185">
        <f t="shared" si="87"/>
        <v>25136.71875</v>
      </c>
      <c r="Q157" s="186">
        <f t="shared" si="88"/>
        <v>25136.71875</v>
      </c>
    </row>
    <row r="158" ht="11.25" customHeight="1" spans="1:17" x14ac:dyDescent="0.25">
      <c r="A158" s="264" t="s">
        <v>478</v>
      </c>
      <c r="B158" s="177" t="s">
        <v>479</v>
      </c>
      <c r="C158" s="178" t="s">
        <v>480</v>
      </c>
      <c r="D158" s="179">
        <f>+IF('Informacion de Cotización'!B55="SI",(6/80)*('Informacion de Cotización'!$B$9+'Informacion de Cotización'!$B$10+'Informacion de Cotización'!$B$11+'Informacion de Cotización'!$B$13),0)</f>
        <v>20.625</v>
      </c>
      <c r="E158" s="180">
        <f t="shared" ref="E158" si="153">F158</f>
        <v>20.625</v>
      </c>
      <c r="F158" s="180">
        <f t="shared" si="152"/>
        <v>20.625</v>
      </c>
      <c r="G158" s="180">
        <f t="shared" ref="G158" si="154">F158</f>
        <v>20.625</v>
      </c>
      <c r="H158" s="180">
        <f t="shared" si="137"/>
        <v>20.625</v>
      </c>
      <c r="I158" s="181">
        <f t="shared" si="137"/>
        <v>20.625</v>
      </c>
      <c r="J158" s="182" t="s">
        <v>255</v>
      </c>
      <c r="K158" s="183">
        <f>VLOOKUP(C158,'Base Material'!B:D,3,FALSE)</f>
        <v>2319.8275862068967</v>
      </c>
      <c r="L158" s="184">
        <f t="shared" ref="L158" si="155">K158*D158</f>
        <v>47846.44396551725</v>
      </c>
      <c r="M158" s="185">
        <f t="shared" si="86"/>
        <v>47846.44396551725</v>
      </c>
      <c r="N158" s="185">
        <f t="shared" ref="N158" si="156">K158*F158</f>
        <v>47846.44396551725</v>
      </c>
      <c r="O158" s="185">
        <f t="shared" ref="O158" si="157">+K158*G158</f>
        <v>47846.44396551725</v>
      </c>
      <c r="P158" s="185">
        <f t="shared" si="87"/>
        <v>47846.44396551725</v>
      </c>
      <c r="Q158" s="186">
        <f t="shared" si="88"/>
        <v>47846.44396551725</v>
      </c>
    </row>
    <row r="159" ht="11.25" customHeight="1" spans="1:17" x14ac:dyDescent="0.25">
      <c r="A159" s="264" t="s">
        <v>478</v>
      </c>
      <c r="B159" s="177" t="s">
        <v>481</v>
      </c>
      <c r="C159" s="225" t="s">
        <v>482</v>
      </c>
      <c r="D159" s="179">
        <f>+IF('Informacion de Cotización'!B55="SI",90/160*('Informacion de Cotización'!B9+'Informacion de Cotización'!B10+'Informacion de Cotización'!B11+'Informacion de Cotización'!B13),0)</f>
        <v>154.6875</v>
      </c>
      <c r="E159" s="180">
        <f t="shared" si="93"/>
        <v>154.6875</v>
      </c>
      <c r="F159" s="180">
        <f t="shared" ref="F159" si="158">D159</f>
        <v>154.6875</v>
      </c>
      <c r="G159" s="180">
        <f t="shared" si="150"/>
        <v>154.6875</v>
      </c>
      <c r="H159" s="180">
        <f t="shared" ref="H159:H185" si="159">G159</f>
        <v>154.6875</v>
      </c>
      <c r="I159" s="181">
        <f t="shared" ref="I159:I183" si="160">H159</f>
        <v>154.6875</v>
      </c>
      <c r="J159" s="182" t="s">
        <v>347</v>
      </c>
      <c r="K159" s="183">
        <f>VLOOKUP(C159,'Base Material'!B:D,3,FALSE)</f>
        <v>11700</v>
      </c>
      <c r="L159" s="184">
        <f t="shared" si="103"/>
        <v>1809843.75</v>
      </c>
      <c r="M159" s="185">
        <f t="shared" si="86"/>
        <v>1809843.75</v>
      </c>
      <c r="N159" s="185">
        <f t="shared" si="104"/>
        <v>1809843.75</v>
      </c>
      <c r="O159" s="185">
        <f t="shared" si="105"/>
        <v>1809843.75</v>
      </c>
      <c r="P159" s="185">
        <f t="shared" si="87"/>
        <v>1809843.75</v>
      </c>
      <c r="Q159" s="186">
        <f t="shared" si="88"/>
        <v>1809843.75</v>
      </c>
    </row>
    <row r="160" ht="11.25" customHeight="1" spans="1:17" x14ac:dyDescent="0.25">
      <c r="A160" s="264" t="s">
        <v>478</v>
      </c>
      <c r="B160" s="177" t="s">
        <v>483</v>
      </c>
      <c r="C160" s="178" t="s">
        <v>484</v>
      </c>
      <c r="D160" s="179">
        <f>+IF('Informacion de Cotización'!B55="SI",0.0625*('Informacion de Cotización'!B9+'Informacion de Cotización'!B10+'Informacion de Cotización'!B11+'Informacion de Cotización'!B13),0)</f>
        <v>17.1875</v>
      </c>
      <c r="E160" s="180">
        <f t="shared" si="93"/>
        <v>17.1875</v>
      </c>
      <c r="F160" s="180">
        <f t="shared" ref="F160" si="161">D160</f>
        <v>17.1875</v>
      </c>
      <c r="G160" s="180">
        <f t="shared" si="150"/>
        <v>17.1875</v>
      </c>
      <c r="H160" s="180">
        <f t="shared" si="159"/>
        <v>17.1875</v>
      </c>
      <c r="I160" s="181">
        <f t="shared" si="160"/>
        <v>17.1875</v>
      </c>
      <c r="J160" s="182" t="s">
        <v>485</v>
      </c>
      <c r="K160" s="183">
        <f>VLOOKUP(C160,'Base Material'!B:D,3,FALSE)</f>
        <v>4319.38</v>
      </c>
      <c r="L160" s="184">
        <f t="shared" si="103"/>
        <v>74239.34375</v>
      </c>
      <c r="M160" s="185">
        <f t="shared" si="86"/>
        <v>74239.34375</v>
      </c>
      <c r="N160" s="185">
        <f t="shared" si="104"/>
        <v>74239.34375</v>
      </c>
      <c r="O160" s="185">
        <f t="shared" si="105"/>
        <v>74239.34375</v>
      </c>
      <c r="P160" s="185">
        <f t="shared" si="87"/>
        <v>74239.34375</v>
      </c>
      <c r="Q160" s="186">
        <f t="shared" si="88"/>
        <v>74239.34375</v>
      </c>
    </row>
    <row r="161" ht="11.25" customHeight="1" spans="1:17" x14ac:dyDescent="0.25">
      <c r="A161" s="264" t="s">
        <v>478</v>
      </c>
      <c r="B161" s="177" t="s">
        <v>278</v>
      </c>
      <c r="C161" s="153" t="s">
        <v>260</v>
      </c>
      <c r="D161" s="179">
        <f>+IF('Informacion de Cotización'!B55="SI",(133/2.5)/160*('Informacion de Cotización'!B9+'Informacion de Cotización'!B10+'Informacion de Cotización'!B11+'Informacion de Cotización'!B13),0)</f>
        <v>91.4375</v>
      </c>
      <c r="E161" s="180">
        <f t="shared" si="93"/>
        <v>91.4375</v>
      </c>
      <c r="F161" s="180">
        <f t="shared" ref="F161" si="162">D161</f>
        <v>91.4375</v>
      </c>
      <c r="G161" s="180">
        <f t="shared" si="150"/>
        <v>91.4375</v>
      </c>
      <c r="H161" s="180">
        <f t="shared" si="159"/>
        <v>91.4375</v>
      </c>
      <c r="I161" s="181">
        <f t="shared" si="160"/>
        <v>91.4375</v>
      </c>
      <c r="J161" s="182" t="s">
        <v>261</v>
      </c>
      <c r="K161" s="183">
        <f>VLOOKUP(C161,'Base Material'!B:D,3,FALSE)</f>
        <v>2061</v>
      </c>
      <c r="L161" s="184">
        <f t="shared" si="103"/>
        <v>188452.6875</v>
      </c>
      <c r="M161" s="185">
        <f t="shared" si="86"/>
        <v>188452.6875</v>
      </c>
      <c r="N161" s="185">
        <f t="shared" si="104"/>
        <v>188452.6875</v>
      </c>
      <c r="O161" s="185">
        <f t="shared" si="105"/>
        <v>188452.6875</v>
      </c>
      <c r="P161" s="185">
        <f t="shared" si="87"/>
        <v>188452.6875</v>
      </c>
      <c r="Q161" s="186">
        <f t="shared" si="88"/>
        <v>188452.6875</v>
      </c>
    </row>
    <row r="162" ht="11.25" customHeight="1" spans="1:17" x14ac:dyDescent="0.25">
      <c r="A162" s="264" t="s">
        <v>478</v>
      </c>
      <c r="B162" s="177" t="s">
        <v>257</v>
      </c>
      <c r="C162" s="178" t="s">
        <v>258</v>
      </c>
      <c r="D162" s="179">
        <f>+IF('Informacion de Cotización'!B55="SI",200/160*('Informacion de Cotización'!B9+'Informacion de Cotización'!B10+'Informacion de Cotización'!B11+'Informacion de Cotización'!B13),0)</f>
        <v>343.75</v>
      </c>
      <c r="E162" s="180">
        <f t="shared" si="93"/>
        <v>343.75</v>
      </c>
      <c r="F162" s="180">
        <f t="shared" ref="F162" si="163">D162</f>
        <v>343.75</v>
      </c>
      <c r="G162" s="180">
        <f t="shared" si="150"/>
        <v>343.75</v>
      </c>
      <c r="H162" s="180">
        <f t="shared" si="159"/>
        <v>343.75</v>
      </c>
      <c r="I162" s="181">
        <f t="shared" si="160"/>
        <v>343.75</v>
      </c>
      <c r="J162" s="182" t="s">
        <v>277</v>
      </c>
      <c r="K162" s="183">
        <f>VLOOKUP(C162,'Base Material'!B:D,3,FALSE)</f>
        <v>1757.4</v>
      </c>
      <c r="L162" s="184">
        <f t="shared" si="103"/>
        <v>604106.25</v>
      </c>
      <c r="M162" s="185">
        <f t="shared" si="86"/>
        <v>604106.25</v>
      </c>
      <c r="N162" s="185">
        <f t="shared" si="104"/>
        <v>604106.25</v>
      </c>
      <c r="O162" s="185">
        <f t="shared" si="105"/>
        <v>604106.25</v>
      </c>
      <c r="P162" s="185">
        <f t="shared" si="87"/>
        <v>604106.25</v>
      </c>
      <c r="Q162" s="186">
        <f t="shared" si="88"/>
        <v>604106.25</v>
      </c>
    </row>
    <row r="163" ht="11.25" customHeight="1" spans="1:17" x14ac:dyDescent="0.25">
      <c r="A163" s="264" t="s">
        <v>478</v>
      </c>
      <c r="B163" s="177" t="s">
        <v>486</v>
      </c>
      <c r="C163" s="225" t="s">
        <v>487</v>
      </c>
      <c r="D163" s="179">
        <f>+IF('Informacion de Cotización'!B55="SI",0.0625*('Informacion de Cotización'!B9+'Informacion de Cotización'!B10+'Informacion de Cotización'!B11+'Informacion de Cotización'!B13),0)</f>
        <v>17.1875</v>
      </c>
      <c r="E163" s="180">
        <f t="shared" si="93"/>
        <v>17.1875</v>
      </c>
      <c r="F163" s="180">
        <f t="shared" ref="F163" si="164">D163</f>
        <v>17.1875</v>
      </c>
      <c r="G163" s="180">
        <f t="shared" si="150"/>
        <v>17.1875</v>
      </c>
      <c r="H163" s="180">
        <f t="shared" si="159"/>
        <v>17.1875</v>
      </c>
      <c r="I163" s="181">
        <f t="shared" si="160"/>
        <v>17.1875</v>
      </c>
      <c r="J163" s="182" t="s">
        <v>488</v>
      </c>
      <c r="K163" s="183">
        <f>VLOOKUP(C163,'Base Material'!B:D,3,FALSE)</f>
        <v>0</v>
      </c>
      <c r="L163" s="184">
        <f t="shared" si="103"/>
        <v>0</v>
      </c>
      <c r="M163" s="185">
        <f t="shared" si="86"/>
        <v>0</v>
      </c>
      <c r="N163" s="185">
        <f t="shared" si="104"/>
        <v>0</v>
      </c>
      <c r="O163" s="185">
        <f t="shared" si="105"/>
        <v>0</v>
      </c>
      <c r="P163" s="185">
        <f t="shared" ref="P163:P183" si="165">K163*H163</f>
        <v>0</v>
      </c>
      <c r="Q163" s="186">
        <f t="shared" ref="Q163:Q183" si="166">+K163*I163</f>
        <v>0</v>
      </c>
    </row>
    <row r="164" ht="11.25" customHeight="1" spans="1:17" x14ac:dyDescent="0.25">
      <c r="A164" s="264" t="s">
        <v>478</v>
      </c>
      <c r="B164" s="177" t="s">
        <v>281</v>
      </c>
      <c r="C164" s="178" t="s">
        <v>282</v>
      </c>
      <c r="D164" s="179">
        <f>+IF('Informacion de Cotización'!B55="SI",0.09375*('Informacion de Cotización'!B9+'Informacion de Cotización'!B10+'Informacion de Cotización'!B11+'Informacion de Cotización'!B13),0)</f>
        <v>25.78125</v>
      </c>
      <c r="E164" s="180">
        <f t="shared" si="93"/>
        <v>25.78125</v>
      </c>
      <c r="F164" s="180">
        <f t="shared" ref="F164" si="167">D164</f>
        <v>25.78125</v>
      </c>
      <c r="G164" s="180">
        <f t="shared" si="150"/>
        <v>25.78125</v>
      </c>
      <c r="H164" s="180">
        <f t="shared" si="159"/>
        <v>25.78125</v>
      </c>
      <c r="I164" s="181">
        <f t="shared" si="160"/>
        <v>25.78125</v>
      </c>
      <c r="J164" s="182" t="s">
        <v>255</v>
      </c>
      <c r="K164" s="183">
        <f>VLOOKUP(C164,'Base Material'!B:D,3,FALSE)</f>
        <v>2769</v>
      </c>
      <c r="L164" s="184">
        <f t="shared" si="103"/>
        <v>71388.28125</v>
      </c>
      <c r="M164" s="185">
        <f t="shared" si="86"/>
        <v>71388.28125</v>
      </c>
      <c r="N164" s="185">
        <f t="shared" si="104"/>
        <v>71388.28125</v>
      </c>
      <c r="O164" s="185">
        <f t="shared" si="105"/>
        <v>71388.28125</v>
      </c>
      <c r="P164" s="185">
        <f t="shared" si="165"/>
        <v>71388.28125</v>
      </c>
      <c r="Q164" s="186">
        <f t="shared" si="166"/>
        <v>71388.28125</v>
      </c>
    </row>
    <row r="165" ht="11.25" customHeight="1" spans="1:17" x14ac:dyDescent="0.25">
      <c r="A165" s="264" t="s">
        <v>478</v>
      </c>
      <c r="B165" s="177" t="s">
        <v>279</v>
      </c>
      <c r="C165" s="178" t="s">
        <v>280</v>
      </c>
      <c r="D165" s="179">
        <f>+IF('Informacion de Cotización'!B55="SI",0.2*('Informacion de Cotización'!B10+'Informacion de Cotización'!B11+'Informacion de Cotización'!B12+'Informacion de Cotización'!B14),0)</f>
        <v>23</v>
      </c>
      <c r="E165" s="180">
        <f t="shared" ref="E165" si="168">F165</f>
        <v>23</v>
      </c>
      <c r="F165" s="180">
        <f t="shared" ref="F165" si="169">D165</f>
        <v>23</v>
      </c>
      <c r="G165" s="180">
        <f t="shared" ref="G165" si="170">F165</f>
        <v>23</v>
      </c>
      <c r="H165" s="180">
        <f t="shared" si="159"/>
        <v>23</v>
      </c>
      <c r="I165" s="181">
        <f t="shared" si="160"/>
        <v>23</v>
      </c>
      <c r="J165" s="182" t="s">
        <v>255</v>
      </c>
      <c r="K165" s="183">
        <f>VLOOKUP(C165,'Base Material'!B:D,3,FALSE)</f>
        <v>2909</v>
      </c>
      <c r="L165" s="184">
        <f t="shared" ref="L165" si="171">K165*D165</f>
        <v>66907</v>
      </c>
      <c r="M165" s="185">
        <f t="shared" ref="M165" si="172">K165*E165</f>
        <v>66907</v>
      </c>
      <c r="N165" s="185">
        <f t="shared" ref="N165" si="173">K165*F165</f>
        <v>66907</v>
      </c>
      <c r="O165" s="185">
        <f t="shared" ref="O165" si="174">+K165*G165</f>
        <v>66907</v>
      </c>
      <c r="P165" s="185">
        <f t="shared" si="165"/>
        <v>66907</v>
      </c>
      <c r="Q165" s="186">
        <f t="shared" si="166"/>
        <v>66907</v>
      </c>
    </row>
    <row r="166" ht="12" customHeight="1" spans="1:17" x14ac:dyDescent="0.25">
      <c r="A166" s="265" t="s">
        <v>478</v>
      </c>
      <c r="B166" s="212" t="s">
        <v>327</v>
      </c>
      <c r="C166" s="213" t="s">
        <v>328</v>
      </c>
      <c r="D166" s="214">
        <f>+IF('Informacion de Cotización'!B55="SI",8/160*('Informacion de Cotización'!B9+'Informacion de Cotización'!B10+'Informacion de Cotización'!B11+'Informacion de Cotización'!B13),0)</f>
        <v>13.75</v>
      </c>
      <c r="E166" s="215">
        <f t="shared" si="93"/>
        <v>13.75</v>
      </c>
      <c r="F166" s="215">
        <f t="shared" ref="F166" si="175">D166</f>
        <v>13.75</v>
      </c>
      <c r="G166" s="215">
        <f t="shared" si="150"/>
        <v>13.75</v>
      </c>
      <c r="H166" s="215">
        <f t="shared" si="159"/>
        <v>13.75</v>
      </c>
      <c r="I166" s="216">
        <f t="shared" si="160"/>
        <v>13.75</v>
      </c>
      <c r="J166" s="217" t="s">
        <v>255</v>
      </c>
      <c r="K166" s="218">
        <f>VLOOKUP(C166,'Base Material'!B:D,3,FALSE)</f>
        <v>1778</v>
      </c>
      <c r="L166" s="219">
        <f t="shared" si="103"/>
        <v>24447.5</v>
      </c>
      <c r="M166" s="220">
        <f t="shared" ref="M166:M183" si="176">K166*E166</f>
        <v>24447.5</v>
      </c>
      <c r="N166" s="220">
        <f t="shared" si="104"/>
        <v>24447.5</v>
      </c>
      <c r="O166" s="220">
        <f t="shared" si="105"/>
        <v>24447.5</v>
      </c>
      <c r="P166" s="220">
        <f t="shared" si="165"/>
        <v>24447.5</v>
      </c>
      <c r="Q166" s="221">
        <f t="shared" si="166"/>
        <v>24447.5</v>
      </c>
    </row>
    <row r="167" ht="11.25" customHeight="1" spans="1:17" x14ac:dyDescent="0.25">
      <c r="A167" s="258" t="s">
        <v>489</v>
      </c>
      <c r="B167" s="169" t="s">
        <v>452</v>
      </c>
      <c r="C167" s="170" t="s">
        <v>453</v>
      </c>
      <c r="D167" s="171">
        <f>'Informacion de Cotización'!B25*0.72*3.3</f>
        <v>23.759999999999998</v>
      </c>
      <c r="E167" s="172">
        <f t="shared" si="93"/>
        <v>23.759999999999998</v>
      </c>
      <c r="F167" s="172">
        <f t="shared" ref="F167" si="177">D167</f>
        <v>23.759999999999998</v>
      </c>
      <c r="G167" s="172">
        <f t="shared" si="150"/>
        <v>23.759999999999998</v>
      </c>
      <c r="H167" s="172">
        <f t="shared" si="159"/>
        <v>23.759999999999998</v>
      </c>
      <c r="I167" s="173">
        <f t="shared" si="160"/>
        <v>23.759999999999998</v>
      </c>
      <c r="J167" s="174" t="s">
        <v>490</v>
      </c>
      <c r="K167" s="175">
        <f>VLOOKUP(C167,'Base Material'!B:D,3,FALSE)</f>
        <v>42465</v>
      </c>
      <c r="L167" s="155">
        <f t="shared" si="103"/>
        <v>1008968.3999999999</v>
      </c>
      <c r="M167" s="156">
        <f t="shared" si="176"/>
        <v>1008968.3999999999</v>
      </c>
      <c r="N167" s="156">
        <f t="shared" si="104"/>
        <v>1008968.3999999999</v>
      </c>
      <c r="O167" s="156">
        <f t="shared" si="105"/>
        <v>1008968.3999999999</v>
      </c>
      <c r="P167" s="156">
        <f t="shared" si="165"/>
        <v>1008968.3999999999</v>
      </c>
      <c r="Q167" s="157">
        <f t="shared" si="166"/>
        <v>1008968.3999999999</v>
      </c>
    </row>
    <row r="168" ht="11.25" customHeight="1" spans="1:17" x14ac:dyDescent="0.25">
      <c r="A168" s="259" t="s">
        <v>489</v>
      </c>
      <c r="B168" s="177" t="s">
        <v>491</v>
      </c>
      <c r="C168" s="178" t="s">
        <v>492</v>
      </c>
      <c r="D168" s="179">
        <f>+'Informacion de Cotización'!$B$25*(69/177)*3.3</f>
        <v>12.864406779661017</v>
      </c>
      <c r="E168" s="180">
        <f t="shared" si="93"/>
        <v>12.864406779661017</v>
      </c>
      <c r="F168" s="180">
        <f t="shared" ref="F168" si="178">D168</f>
        <v>12.864406779661017</v>
      </c>
      <c r="G168" s="180">
        <f t="shared" si="150"/>
        <v>12.864406779661017</v>
      </c>
      <c r="H168" s="180">
        <f t="shared" si="159"/>
        <v>12.864406779661017</v>
      </c>
      <c r="I168" s="181">
        <f t="shared" si="160"/>
        <v>12.864406779661017</v>
      </c>
      <c r="J168" s="182" t="s">
        <v>252</v>
      </c>
      <c r="K168" s="183">
        <f>VLOOKUP(C168,'Base Material'!B:D,3,FALSE)</f>
        <v>5105.952342938271</v>
      </c>
      <c r="L168" s="184">
        <f t="shared" si="103"/>
        <v>65685.04793712114</v>
      </c>
      <c r="M168" s="185">
        <f t="shared" si="176"/>
        <v>65685.04793712114</v>
      </c>
      <c r="N168" s="185">
        <f t="shared" si="104"/>
        <v>65685.04793712114</v>
      </c>
      <c r="O168" s="185">
        <f t="shared" si="105"/>
        <v>65685.04793712114</v>
      </c>
      <c r="P168" s="185">
        <f t="shared" si="165"/>
        <v>65685.04793712114</v>
      </c>
      <c r="Q168" s="186">
        <f t="shared" si="166"/>
        <v>65685.04793712114</v>
      </c>
    </row>
    <row r="169" ht="11.25" customHeight="1" spans="1:17" x14ac:dyDescent="0.25">
      <c r="A169" s="259" t="s">
        <v>489</v>
      </c>
      <c r="B169" s="177" t="s">
        <v>493</v>
      </c>
      <c r="C169" s="178" t="s">
        <v>494</v>
      </c>
      <c r="D169" s="179">
        <f>+'Informacion de Cotización'!$B$25*2*(65/177)*2*3</f>
        <v>44.067796610169495</v>
      </c>
      <c r="E169" s="180">
        <f t="shared" ref="E169:E183" si="179">F169</f>
        <v>44.067796610169495</v>
      </c>
      <c r="F169" s="180">
        <f t="shared" ref="F169" si="180">D169</f>
        <v>44.067796610169495</v>
      </c>
      <c r="G169" s="180">
        <f t="shared" si="150"/>
        <v>44.067796610169495</v>
      </c>
      <c r="H169" s="180">
        <f t="shared" si="159"/>
        <v>44.067796610169495</v>
      </c>
      <c r="I169" s="181">
        <f t="shared" si="160"/>
        <v>44.067796610169495</v>
      </c>
      <c r="J169" s="182" t="s">
        <v>252</v>
      </c>
      <c r="K169" s="183">
        <f>VLOOKUP(C169,'Base Material'!B:D,3,FALSE)</f>
        <v>5604.795468197937</v>
      </c>
      <c r="L169" s="184">
        <f t="shared" si="103"/>
        <v>246990.9867341464</v>
      </c>
      <c r="M169" s="185">
        <f t="shared" si="176"/>
        <v>246990.9867341464</v>
      </c>
      <c r="N169" s="185">
        <f t="shared" si="104"/>
        <v>246990.9867341464</v>
      </c>
      <c r="O169" s="185">
        <f t="shared" si="105"/>
        <v>246990.9867341464</v>
      </c>
      <c r="P169" s="185">
        <f t="shared" si="165"/>
        <v>246990.9867341464</v>
      </c>
      <c r="Q169" s="186">
        <f t="shared" si="166"/>
        <v>246990.9867341464</v>
      </c>
    </row>
    <row r="170" ht="11.25" customHeight="1" spans="1:17" x14ac:dyDescent="0.25">
      <c r="A170" s="259" t="s">
        <v>489</v>
      </c>
      <c r="B170" s="177" t="s">
        <v>466</v>
      </c>
      <c r="C170" s="178" t="s">
        <v>467</v>
      </c>
      <c r="D170" s="179">
        <f>+'Informacion de Cotización'!$B$25*2*(65/177)*13.6*3.3</f>
        <v>329.62711864406776</v>
      </c>
      <c r="E170" s="180">
        <f t="shared" si="179"/>
        <v>329.62711864406776</v>
      </c>
      <c r="F170" s="180">
        <f t="shared" ref="F170" si="181">D170</f>
        <v>329.62711864406776</v>
      </c>
      <c r="G170" s="180">
        <f t="shared" si="150"/>
        <v>329.62711864406776</v>
      </c>
      <c r="H170" s="180">
        <f t="shared" si="159"/>
        <v>329.62711864406776</v>
      </c>
      <c r="I170" s="181">
        <f t="shared" si="160"/>
        <v>329.62711864406776</v>
      </c>
      <c r="J170" s="182" t="s">
        <v>252</v>
      </c>
      <c r="K170" s="183">
        <f>VLOOKUP(C170,'Base Material'!B:D,3,FALSE)</f>
        <v>17.1</v>
      </c>
      <c r="L170" s="184">
        <f t="shared" si="103"/>
        <v>5636.623728813559</v>
      </c>
      <c r="M170" s="185">
        <f t="shared" si="176"/>
        <v>5636.623728813559</v>
      </c>
      <c r="N170" s="185">
        <f t="shared" si="104"/>
        <v>5636.623728813559</v>
      </c>
      <c r="O170" s="185">
        <f t="shared" si="105"/>
        <v>5636.623728813559</v>
      </c>
      <c r="P170" s="185">
        <f t="shared" si="165"/>
        <v>5636.623728813559</v>
      </c>
      <c r="Q170" s="186">
        <f t="shared" si="166"/>
        <v>5636.623728813559</v>
      </c>
    </row>
    <row r="171" ht="11.25" customHeight="1" spans="1:17" x14ac:dyDescent="0.25">
      <c r="A171" s="259" t="s">
        <v>489</v>
      </c>
      <c r="B171" s="177" t="s">
        <v>468</v>
      </c>
      <c r="C171" s="178" t="s">
        <v>469</v>
      </c>
      <c r="D171" s="179">
        <f>+'Informacion de Cotización'!$B$25*6*(65/177)*45*1.1</f>
        <v>1090.6779661016951</v>
      </c>
      <c r="E171" s="180">
        <f t="shared" si="179"/>
        <v>1090.6779661016951</v>
      </c>
      <c r="F171" s="180">
        <f t="shared" ref="F171" si="182">D171</f>
        <v>1090.6779661016951</v>
      </c>
      <c r="G171" s="180">
        <f t="shared" si="150"/>
        <v>1090.6779661016951</v>
      </c>
      <c r="H171" s="180">
        <f t="shared" si="159"/>
        <v>1090.6779661016951</v>
      </c>
      <c r="I171" s="181">
        <f t="shared" si="160"/>
        <v>1090.6779661016951</v>
      </c>
      <c r="J171" s="182" t="s">
        <v>252</v>
      </c>
      <c r="K171" s="183">
        <f>VLOOKUP(C171,'Base Material'!B:D,3,FALSE)</f>
        <v>13.56</v>
      </c>
      <c r="L171" s="184">
        <f t="shared" si="103"/>
        <v>14789.593220338986</v>
      </c>
      <c r="M171" s="185">
        <f t="shared" si="176"/>
        <v>14789.593220338986</v>
      </c>
      <c r="N171" s="185">
        <f t="shared" si="104"/>
        <v>14789.593220338986</v>
      </c>
      <c r="O171" s="185">
        <f t="shared" si="105"/>
        <v>14789.593220338986</v>
      </c>
      <c r="P171" s="185">
        <f t="shared" si="165"/>
        <v>14789.593220338986</v>
      </c>
      <c r="Q171" s="186">
        <f t="shared" si="166"/>
        <v>14789.593220338986</v>
      </c>
    </row>
    <row r="172" ht="11.25" customHeight="1" spans="1:17" x14ac:dyDescent="0.25">
      <c r="A172" s="259" t="s">
        <v>489</v>
      </c>
      <c r="B172" s="153" t="s">
        <v>470</v>
      </c>
      <c r="C172" s="153" t="s">
        <v>471</v>
      </c>
      <c r="D172" s="179">
        <f>+'Informacion de Cotización'!$B$25*2*(65/177)*0.24</f>
        <v>1.7627118644067796</v>
      </c>
      <c r="E172" s="180">
        <f t="shared" si="179"/>
        <v>1.7627118644067796</v>
      </c>
      <c r="F172" s="180">
        <f>D172</f>
        <v>1.7627118644067796</v>
      </c>
      <c r="G172" s="180">
        <f t="shared" ref="G172:G185" si="183">F172</f>
        <v>1.7627118644067796</v>
      </c>
      <c r="H172" s="180">
        <f t="shared" si="159"/>
        <v>1.7627118644067796</v>
      </c>
      <c r="I172" s="181">
        <f t="shared" si="160"/>
        <v>1.7627118644067796</v>
      </c>
      <c r="J172" s="182" t="s">
        <v>306</v>
      </c>
      <c r="K172" s="183">
        <f>VLOOKUP(C172,'Base Material'!B:D,3,FALSE)</f>
        <v>49896</v>
      </c>
      <c r="L172" s="184">
        <f t="shared" si="103"/>
        <v>87952.27118644067</v>
      </c>
      <c r="M172" s="185">
        <f t="shared" si="176"/>
        <v>87952.27118644067</v>
      </c>
      <c r="N172" s="185">
        <f t="shared" si="104"/>
        <v>87952.27118644067</v>
      </c>
      <c r="O172" s="185">
        <f t="shared" si="105"/>
        <v>87952.27118644067</v>
      </c>
      <c r="P172" s="185">
        <f t="shared" si="165"/>
        <v>87952.27118644067</v>
      </c>
      <c r="Q172" s="186">
        <f t="shared" si="166"/>
        <v>87952.27118644067</v>
      </c>
    </row>
    <row r="173" ht="11.25" customHeight="1" spans="1:17" x14ac:dyDescent="0.25">
      <c r="A173" s="259" t="s">
        <v>489</v>
      </c>
      <c r="B173" s="177" t="s">
        <v>457</v>
      </c>
      <c r="C173" s="178" t="s">
        <v>458</v>
      </c>
      <c r="D173" s="179">
        <f>+'Informacion de Cotización'!B25*1.8</f>
        <v>18</v>
      </c>
      <c r="E173" s="180">
        <f t="shared" si="179"/>
        <v>18</v>
      </c>
      <c r="F173" s="180">
        <f t="shared" ref="F173" si="184">D173</f>
        <v>18</v>
      </c>
      <c r="G173" s="180">
        <f t="shared" si="183"/>
        <v>18</v>
      </c>
      <c r="H173" s="180">
        <f t="shared" si="159"/>
        <v>18</v>
      </c>
      <c r="I173" s="181">
        <f t="shared" si="160"/>
        <v>18</v>
      </c>
      <c r="J173" s="182" t="s">
        <v>495</v>
      </c>
      <c r="K173" s="183">
        <v>900</v>
      </c>
      <c r="L173" s="184">
        <f t="shared" si="103"/>
        <v>16200</v>
      </c>
      <c r="M173" s="185">
        <f t="shared" si="176"/>
        <v>16200</v>
      </c>
      <c r="N173" s="185">
        <f t="shared" si="104"/>
        <v>16200</v>
      </c>
      <c r="O173" s="185">
        <f t="shared" si="105"/>
        <v>16200</v>
      </c>
      <c r="P173" s="185">
        <f t="shared" si="165"/>
        <v>16200</v>
      </c>
      <c r="Q173" s="186">
        <f t="shared" si="166"/>
        <v>16200</v>
      </c>
    </row>
    <row r="174" ht="11.25" customHeight="1" spans="1:17" x14ac:dyDescent="0.25">
      <c r="A174" s="259" t="s">
        <v>489</v>
      </c>
      <c r="B174" s="177" t="s">
        <v>472</v>
      </c>
      <c r="C174" s="178" t="s">
        <v>496</v>
      </c>
      <c r="D174" s="179">
        <f>+'Informacion de Cotización'!$B$25*2*(65/177)*0.4</f>
        <v>2.9378531073446332</v>
      </c>
      <c r="E174" s="180">
        <f t="shared" si="179"/>
        <v>2.9378531073446332</v>
      </c>
      <c r="F174" s="180">
        <f t="shared" ref="F174" si="185">D174</f>
        <v>2.9378531073446332</v>
      </c>
      <c r="G174" s="180">
        <f t="shared" si="183"/>
        <v>2.9378531073446332</v>
      </c>
      <c r="H174" s="180">
        <f t="shared" si="159"/>
        <v>2.9378531073446332</v>
      </c>
      <c r="I174" s="181">
        <f t="shared" si="160"/>
        <v>2.9378531073446332</v>
      </c>
      <c r="J174" s="182" t="s">
        <v>252</v>
      </c>
      <c r="K174" s="183">
        <v>700</v>
      </c>
      <c r="L174" s="184">
        <f t="shared" si="103"/>
        <v>2056.497175141243</v>
      </c>
      <c r="M174" s="185">
        <f t="shared" si="176"/>
        <v>2056.497175141243</v>
      </c>
      <c r="N174" s="185">
        <f t="shared" si="104"/>
        <v>2056.497175141243</v>
      </c>
      <c r="O174" s="185">
        <f t="shared" si="105"/>
        <v>2056.497175141243</v>
      </c>
      <c r="P174" s="185">
        <f t="shared" si="165"/>
        <v>2056.497175141243</v>
      </c>
      <c r="Q174" s="186">
        <f t="shared" si="166"/>
        <v>2056.497175141243</v>
      </c>
    </row>
    <row r="175" ht="11.25" customHeight="1" spans="1:17" x14ac:dyDescent="0.25">
      <c r="A175" s="259" t="s">
        <v>489</v>
      </c>
      <c r="B175" s="177" t="s">
        <v>474</v>
      </c>
      <c r="C175" s="178" t="s">
        <v>475</v>
      </c>
      <c r="D175" s="179">
        <f>+'Informacion de Cotización'!$B$25*2*(65/177)*19</f>
        <v>139.54802259887006</v>
      </c>
      <c r="E175" s="180">
        <f t="shared" si="179"/>
        <v>139.54802259887006</v>
      </c>
      <c r="F175" s="180">
        <f t="shared" ref="F175" si="186">D175</f>
        <v>139.54802259887006</v>
      </c>
      <c r="G175" s="180">
        <f t="shared" si="183"/>
        <v>139.54802259887006</v>
      </c>
      <c r="H175" s="180">
        <f t="shared" si="159"/>
        <v>139.54802259887006</v>
      </c>
      <c r="I175" s="181">
        <f t="shared" si="160"/>
        <v>139.54802259887006</v>
      </c>
      <c r="J175" s="182" t="s">
        <v>252</v>
      </c>
      <c r="K175" s="183">
        <f>VLOOKUP(C175,'Base Material'!B:D,3,FALSE)</f>
        <v>27.75</v>
      </c>
      <c r="L175" s="184">
        <f t="shared" si="103"/>
        <v>3872.4576271186443</v>
      </c>
      <c r="M175" s="185">
        <f t="shared" si="176"/>
        <v>3872.4576271186443</v>
      </c>
      <c r="N175" s="185">
        <f t="shared" si="104"/>
        <v>3872.4576271186443</v>
      </c>
      <c r="O175" s="185">
        <f t="shared" si="105"/>
        <v>3872.4576271186443</v>
      </c>
      <c r="P175" s="185">
        <f t="shared" si="165"/>
        <v>3872.4576271186443</v>
      </c>
      <c r="Q175" s="186">
        <f t="shared" si="166"/>
        <v>3872.4576271186443</v>
      </c>
    </row>
    <row r="176" ht="12" customHeight="1" spans="1:17" x14ac:dyDescent="0.25">
      <c r="A176" s="260" t="s">
        <v>489</v>
      </c>
      <c r="B176" s="188" t="s">
        <v>476</v>
      </c>
      <c r="C176" s="189" t="s">
        <v>477</v>
      </c>
      <c r="D176" s="190">
        <f>+'Informacion de Cotización'!$B$25*2*(65/177)*19</f>
        <v>139.54802259887006</v>
      </c>
      <c r="E176" s="191">
        <f t="shared" si="179"/>
        <v>139.54802259887006</v>
      </c>
      <c r="F176" s="191">
        <f t="shared" ref="F176" si="187">D176</f>
        <v>139.54802259887006</v>
      </c>
      <c r="G176" s="191">
        <f t="shared" si="183"/>
        <v>139.54802259887006</v>
      </c>
      <c r="H176" s="191">
        <f t="shared" si="159"/>
        <v>139.54802259887006</v>
      </c>
      <c r="I176" s="192">
        <f t="shared" si="160"/>
        <v>139.54802259887006</v>
      </c>
      <c r="J176" s="193" t="s">
        <v>252</v>
      </c>
      <c r="K176" s="194">
        <f>VLOOKUP(C176,'Base Material'!B:D,3,FALSE)</f>
        <v>38</v>
      </c>
      <c r="L176" s="195">
        <f t="shared" si="103"/>
        <v>5302.824858757062</v>
      </c>
      <c r="M176" s="196">
        <f t="shared" si="176"/>
        <v>5302.824858757062</v>
      </c>
      <c r="N176" s="196">
        <f t="shared" si="104"/>
        <v>5302.824858757062</v>
      </c>
      <c r="O176" s="196">
        <f t="shared" si="105"/>
        <v>5302.824858757062</v>
      </c>
      <c r="P176" s="196">
        <f t="shared" si="165"/>
        <v>5302.824858757062</v>
      </c>
      <c r="Q176" s="197">
        <f t="shared" si="166"/>
        <v>5302.824858757062</v>
      </c>
    </row>
    <row r="177" ht="11.25" customHeight="1" spans="1:17" x14ac:dyDescent="0.25">
      <c r="A177" s="266" t="s">
        <v>497</v>
      </c>
      <c r="B177" s="199" t="s">
        <v>498</v>
      </c>
      <c r="C177" s="200" t="s">
        <v>499</v>
      </c>
      <c r="D177" s="201">
        <f>+IF('Informacion de Cotización'!B56="SI",('Informacion de Cotización'!B9+'Informacion de Cotización'!B10)*0.016,"0")</f>
        <v>4</v>
      </c>
      <c r="E177" s="202">
        <f t="shared" si="179"/>
        <v>4</v>
      </c>
      <c r="F177" s="202">
        <f t="shared" ref="F177" si="188">D177</f>
        <v>4</v>
      </c>
      <c r="G177" s="202">
        <f t="shared" si="183"/>
        <v>4</v>
      </c>
      <c r="H177" s="202">
        <f t="shared" si="159"/>
        <v>4</v>
      </c>
      <c r="I177" s="203">
        <f t="shared" si="160"/>
        <v>4</v>
      </c>
      <c r="J177" s="204" t="s">
        <v>500</v>
      </c>
      <c r="K177" s="175">
        <v>500</v>
      </c>
      <c r="L177" s="206">
        <f t="shared" ref="L177:L183" si="189">K177*D177</f>
        <v>2000</v>
      </c>
      <c r="M177" s="207">
        <f t="shared" si="176"/>
        <v>2000</v>
      </c>
      <c r="N177" s="207">
        <f t="shared" ref="N177:N183" si="190">K177*F177</f>
        <v>2000</v>
      </c>
      <c r="O177" s="207">
        <f t="shared" ref="O177:O183" si="191">+K177*G177</f>
        <v>2000</v>
      </c>
      <c r="P177" s="207">
        <f t="shared" si="165"/>
        <v>2000</v>
      </c>
      <c r="Q177" s="208">
        <f t="shared" si="166"/>
        <v>2000</v>
      </c>
    </row>
    <row r="178" ht="11.25" customHeight="1" spans="1:17" x14ac:dyDescent="0.25">
      <c r="A178" s="267" t="s">
        <v>497</v>
      </c>
      <c r="B178" s="177" t="s">
        <v>501</v>
      </c>
      <c r="C178" s="178" t="s">
        <v>502</v>
      </c>
      <c r="D178" s="179">
        <f>+IF('Informacion de Cotización'!B56="SI",3,"0")</f>
        <v>3</v>
      </c>
      <c r="E178" s="180">
        <f t="shared" si="179"/>
        <v>3</v>
      </c>
      <c r="F178" s="180">
        <f t="shared" ref="F178" si="192">D178</f>
        <v>3</v>
      </c>
      <c r="G178" s="180">
        <f t="shared" si="183"/>
        <v>3</v>
      </c>
      <c r="H178" s="180">
        <f t="shared" si="159"/>
        <v>3</v>
      </c>
      <c r="I178" s="181">
        <f t="shared" si="160"/>
        <v>3</v>
      </c>
      <c r="J178" s="182" t="s">
        <v>329</v>
      </c>
      <c r="K178" s="183">
        <f>VLOOKUP(C178,'Base Material'!B:D,3,FALSE)</f>
        <v>33502.24</v>
      </c>
      <c r="L178" s="184">
        <f t="shared" si="189"/>
        <v>100506.72</v>
      </c>
      <c r="M178" s="185">
        <f t="shared" si="176"/>
        <v>100506.72</v>
      </c>
      <c r="N178" s="185">
        <f t="shared" si="190"/>
        <v>100506.72</v>
      </c>
      <c r="O178" s="185">
        <f t="shared" si="191"/>
        <v>100506.72</v>
      </c>
      <c r="P178" s="185">
        <f t="shared" si="165"/>
        <v>100506.72</v>
      </c>
      <c r="Q178" s="186">
        <f t="shared" si="166"/>
        <v>100506.72</v>
      </c>
    </row>
    <row r="179" ht="11.25" customHeight="1" spans="1:17" x14ac:dyDescent="0.25">
      <c r="A179" s="267" t="s">
        <v>497</v>
      </c>
      <c r="B179" s="177" t="s">
        <v>503</v>
      </c>
      <c r="C179" s="178" t="s">
        <v>504</v>
      </c>
      <c r="D179" s="179">
        <f>'Informacion de Cotización'!B9+'Informacion de Cotización'!B11+'Informacion de Cotización'!B12+'Informacion de Cotización'!B10</f>
        <v>300</v>
      </c>
      <c r="E179" s="180">
        <f t="shared" si="179"/>
        <v>300</v>
      </c>
      <c r="F179" s="180">
        <f t="shared" ref="F179" si="193">D179</f>
        <v>300</v>
      </c>
      <c r="G179" s="180">
        <f t="shared" si="183"/>
        <v>300</v>
      </c>
      <c r="H179" s="180">
        <f t="shared" si="159"/>
        <v>300</v>
      </c>
      <c r="I179" s="181">
        <f t="shared" si="160"/>
        <v>300</v>
      </c>
      <c r="J179" s="182" t="s">
        <v>39</v>
      </c>
      <c r="K179" s="183">
        <v>0</v>
      </c>
      <c r="L179" s="184">
        <f t="shared" si="189"/>
        <v>0</v>
      </c>
      <c r="M179" s="185">
        <f t="shared" si="176"/>
        <v>0</v>
      </c>
      <c r="N179" s="185">
        <f t="shared" si="190"/>
        <v>0</v>
      </c>
      <c r="O179" s="185">
        <f t="shared" si="191"/>
        <v>0</v>
      </c>
      <c r="P179" s="185">
        <f t="shared" si="165"/>
        <v>0</v>
      </c>
      <c r="Q179" s="186">
        <f t="shared" si="166"/>
        <v>0</v>
      </c>
    </row>
    <row r="180" ht="11.25" customHeight="1" spans="1:17" x14ac:dyDescent="0.25">
      <c r="A180" s="267" t="s">
        <v>497</v>
      </c>
      <c r="B180" s="177" t="s">
        <v>505</v>
      </c>
      <c r="C180" s="178" t="s">
        <v>504</v>
      </c>
      <c r="D180" s="179">
        <f>9*('Informacion de Cotización'!B37+'Informacion de Cotización'!B38)</f>
        <v>0</v>
      </c>
      <c r="E180" s="180">
        <f t="shared" si="179"/>
        <v>0</v>
      </c>
      <c r="F180" s="180">
        <f t="shared" ref="F180" si="194">D180</f>
        <v>0</v>
      </c>
      <c r="G180" s="180">
        <f t="shared" si="183"/>
        <v>0</v>
      </c>
      <c r="H180" s="180">
        <f t="shared" si="159"/>
        <v>0</v>
      </c>
      <c r="I180" s="181">
        <f t="shared" si="160"/>
        <v>0</v>
      </c>
      <c r="J180" s="182" t="s">
        <v>39</v>
      </c>
      <c r="K180" s="183">
        <v>0</v>
      </c>
      <c r="L180" s="184">
        <f t="shared" si="189"/>
        <v>0</v>
      </c>
      <c r="M180" s="185">
        <f t="shared" si="176"/>
        <v>0</v>
      </c>
      <c r="N180" s="185">
        <f t="shared" si="190"/>
        <v>0</v>
      </c>
      <c r="O180" s="185">
        <f t="shared" si="191"/>
        <v>0</v>
      </c>
      <c r="P180" s="185">
        <f t="shared" si="165"/>
        <v>0</v>
      </c>
      <c r="Q180" s="186">
        <f t="shared" si="166"/>
        <v>0</v>
      </c>
    </row>
    <row r="181" ht="11.25" customHeight="1" spans="1:17" x14ac:dyDescent="0.25">
      <c r="A181" s="267" t="s">
        <v>497</v>
      </c>
      <c r="B181" s="177" t="s">
        <v>506</v>
      </c>
      <c r="C181" s="178" t="s">
        <v>504</v>
      </c>
      <c r="D181" s="179">
        <v>4</v>
      </c>
      <c r="E181" s="180">
        <f t="shared" si="179"/>
        <v>4</v>
      </c>
      <c r="F181" s="180">
        <f t="shared" ref="F181" si="195">D181</f>
        <v>4</v>
      </c>
      <c r="G181" s="180">
        <f t="shared" si="183"/>
        <v>4</v>
      </c>
      <c r="H181" s="180">
        <f t="shared" si="159"/>
        <v>4</v>
      </c>
      <c r="I181" s="181">
        <f t="shared" si="160"/>
        <v>4</v>
      </c>
      <c r="J181" s="182" t="s">
        <v>39</v>
      </c>
      <c r="K181" s="183">
        <v>0</v>
      </c>
      <c r="L181" s="184">
        <f t="shared" si="189"/>
        <v>0</v>
      </c>
      <c r="M181" s="185">
        <f t="shared" si="176"/>
        <v>0</v>
      </c>
      <c r="N181" s="185">
        <f t="shared" si="190"/>
        <v>0</v>
      </c>
      <c r="O181" s="185">
        <f t="shared" si="191"/>
        <v>0</v>
      </c>
      <c r="P181" s="185">
        <f t="shared" si="165"/>
        <v>0</v>
      </c>
      <c r="Q181" s="186">
        <f t="shared" si="166"/>
        <v>0</v>
      </c>
    </row>
    <row r="182" ht="11.25" customHeight="1" spans="1:17" x14ac:dyDescent="0.25">
      <c r="A182" s="267" t="s">
        <v>497</v>
      </c>
      <c r="B182" s="177" t="s">
        <v>507</v>
      </c>
      <c r="C182" s="178" t="s">
        <v>504</v>
      </c>
      <c r="D182" s="179">
        <f>+('Informacion de Cotización'!B19+'Informacion de Cotización'!B20*2+'Informacion de Cotización'!B21+'Informacion de Cotización'!B22*2)*0.15</f>
        <v>0</v>
      </c>
      <c r="E182" s="180">
        <f t="shared" si="179"/>
        <v>0</v>
      </c>
      <c r="F182" s="180">
        <f t="shared" ref="F182" si="196">D182</f>
        <v>0</v>
      </c>
      <c r="G182" s="180">
        <f t="shared" si="183"/>
        <v>0</v>
      </c>
      <c r="H182" s="180">
        <f t="shared" si="159"/>
        <v>0</v>
      </c>
      <c r="I182" s="181">
        <f t="shared" si="160"/>
        <v>0</v>
      </c>
      <c r="J182" s="182" t="s">
        <v>39</v>
      </c>
      <c r="K182" s="183">
        <v>0</v>
      </c>
      <c r="L182" s="184">
        <f t="shared" si="189"/>
        <v>0</v>
      </c>
      <c r="M182" s="185">
        <f t="shared" si="176"/>
        <v>0</v>
      </c>
      <c r="N182" s="185">
        <f t="shared" si="190"/>
        <v>0</v>
      </c>
      <c r="O182" s="185">
        <f t="shared" si="191"/>
        <v>0</v>
      </c>
      <c r="P182" s="185">
        <f t="shared" si="165"/>
        <v>0</v>
      </c>
      <c r="Q182" s="186">
        <f t="shared" si="166"/>
        <v>0</v>
      </c>
    </row>
    <row r="183" ht="12" customHeight="1" spans="1:17" x14ac:dyDescent="0.25">
      <c r="A183" s="268" t="s">
        <v>497</v>
      </c>
      <c r="B183" s="225" t="s">
        <v>508</v>
      </c>
      <c r="C183" s="210" t="s">
        <v>509</v>
      </c>
      <c r="D183" s="190">
        <f>+IF('Informacion de Cotización'!B56="SI",(D179+D180+D181+D182)/3.5,"0")</f>
        <v>86.85714285714286</v>
      </c>
      <c r="E183" s="191">
        <f t="shared" si="179"/>
        <v>86.85714285714286</v>
      </c>
      <c r="F183" s="191">
        <f t="shared" ref="F183" si="197">D183</f>
        <v>86.85714285714286</v>
      </c>
      <c r="G183" s="191">
        <f t="shared" si="183"/>
        <v>86.85714285714286</v>
      </c>
      <c r="H183" s="191">
        <f t="shared" si="159"/>
        <v>86.85714285714286</v>
      </c>
      <c r="I183" s="192">
        <f t="shared" si="160"/>
        <v>86.85714285714286</v>
      </c>
      <c r="J183" s="193" t="s">
        <v>347</v>
      </c>
      <c r="K183" s="194">
        <f>VLOOKUP(C183,'Base Material'!B:D,3,FALSE)</f>
        <v>9400</v>
      </c>
      <c r="L183" s="195">
        <f t="shared" si="189"/>
        <v>816457.1428571428</v>
      </c>
      <c r="M183" s="196">
        <f t="shared" si="176"/>
        <v>816457.1428571428</v>
      </c>
      <c r="N183" s="196">
        <f t="shared" si="190"/>
        <v>816457.1428571428</v>
      </c>
      <c r="O183" s="196">
        <f t="shared" si="191"/>
        <v>816457.1428571428</v>
      </c>
      <c r="P183" s="196">
        <f t="shared" si="165"/>
        <v>816457.1428571428</v>
      </c>
      <c r="Q183" s="197">
        <f t="shared" si="166"/>
        <v>816457.1428571428</v>
      </c>
    </row>
    <row r="184" ht="11.25" customHeight="1" spans="1:17" x14ac:dyDescent="0.25">
      <c r="A184" s="269" t="s">
        <v>110</v>
      </c>
      <c r="B184" s="169" t="s">
        <v>510</v>
      </c>
      <c r="C184" s="170" t="s">
        <v>511</v>
      </c>
      <c r="D184" s="171">
        <f>0.1*'Informacion de Cotización'!B15</f>
        <v>31.5</v>
      </c>
      <c r="E184" s="172">
        <f>D184</f>
        <v>31.5</v>
      </c>
      <c r="F184" s="172">
        <f t="shared" ref="F184" si="198">E184</f>
        <v>31.5</v>
      </c>
      <c r="G184" s="172">
        <f t="shared" si="183"/>
        <v>31.5</v>
      </c>
      <c r="H184" s="172">
        <f t="shared" si="159"/>
        <v>31.5</v>
      </c>
      <c r="I184" s="173">
        <f>H184*2</f>
        <v>63</v>
      </c>
      <c r="J184" s="174" t="s">
        <v>512</v>
      </c>
      <c r="K184" s="175">
        <f>VLOOKUP(C184,'Base Material'!B:D,3,FALSE)</f>
        <v>15000</v>
      </c>
      <c r="L184" s="206">
        <f t="shared" ref="L184:L185" si="199">K184*D184</f>
        <v>472500</v>
      </c>
      <c r="M184" s="207">
        <f t="shared" ref="M184:M185" si="200">K184*E184</f>
        <v>472500</v>
      </c>
      <c r="N184" s="207">
        <f t="shared" ref="N184:N185" si="201">K184*F184</f>
        <v>472500</v>
      </c>
      <c r="O184" s="207">
        <f t="shared" ref="O184:O185" si="202">+K184*G184</f>
        <v>472500</v>
      </c>
      <c r="P184" s="207">
        <f t="shared" ref="P184:P185" si="203">K184*H184</f>
        <v>472500</v>
      </c>
      <c r="Q184" s="208">
        <f t="shared" ref="Q184:Q185" si="204">+K184*I184</f>
        <v>945000</v>
      </c>
    </row>
    <row r="185" ht="12" customHeight="1" spans="1:17" x14ac:dyDescent="0.25">
      <c r="A185" s="270" t="s">
        <v>110</v>
      </c>
      <c r="B185" s="188" t="s">
        <v>513</v>
      </c>
      <c r="C185" s="189" t="s">
        <v>514</v>
      </c>
      <c r="D185" s="190">
        <f>0.15*'Informacion de Cotización'!B15</f>
        <v>47.25</v>
      </c>
      <c r="E185" s="191">
        <f>D185</f>
        <v>47.25</v>
      </c>
      <c r="F185" s="191">
        <f t="shared" ref="F185" si="205">E185</f>
        <v>47.25</v>
      </c>
      <c r="G185" s="191">
        <f t="shared" si="183"/>
        <v>47.25</v>
      </c>
      <c r="H185" s="191">
        <f t="shared" si="159"/>
        <v>47.25</v>
      </c>
      <c r="I185" s="192">
        <f>H185*2</f>
        <v>94.5</v>
      </c>
      <c r="J185" s="193" t="s">
        <v>515</v>
      </c>
      <c r="K185" s="218">
        <f>VLOOKUP(C185,'Base Material'!B:D,3,FALSE)</f>
        <v>47424</v>
      </c>
      <c r="L185" s="206">
        <f t="shared" si="199"/>
        <v>2240784</v>
      </c>
      <c r="M185" s="207">
        <f t="shared" si="200"/>
        <v>2240784</v>
      </c>
      <c r="N185" s="207">
        <f t="shared" si="201"/>
        <v>2240784</v>
      </c>
      <c r="O185" s="207">
        <f t="shared" si="202"/>
        <v>2240784</v>
      </c>
      <c r="P185" s="207">
        <f t="shared" si="203"/>
        <v>2240784</v>
      </c>
      <c r="Q185" s="208">
        <f t="shared" si="204"/>
        <v>4481568</v>
      </c>
    </row>
    <row r="186" ht="15.75" customHeight="1" spans="4:9" x14ac:dyDescent="0.25">
      <c r="D186" s="158"/>
      <c r="E186" s="158"/>
      <c r="F186" s="158"/>
      <c r="G186" s="158"/>
      <c r="H186" s="158"/>
      <c r="I186" s="158"/>
    </row>
    <row r="187" ht="15.75" customHeight="1" spans="4:9" x14ac:dyDescent="0.25">
      <c r="D187" s="158"/>
      <c r="E187" s="158"/>
      <c r="F187" s="158"/>
      <c r="G187" s="158"/>
      <c r="H187" s="158"/>
      <c r="I187" s="158"/>
    </row>
    <row r="188" ht="15.75" customHeight="1" spans="4:9" x14ac:dyDescent="0.25">
      <c r="D188" s="158"/>
      <c r="E188" s="158"/>
      <c r="F188" s="158"/>
      <c r="G188" s="158"/>
      <c r="H188" s="158"/>
      <c r="I188" s="158"/>
    </row>
    <row r="189" ht="15" customHeight="1" spans="4:9" x14ac:dyDescent="0.25">
      <c r="D189" s="158"/>
      <c r="E189" s="158"/>
      <c r="F189" s="158"/>
      <c r="G189" s="158"/>
      <c r="H189" s="158"/>
      <c r="I189" s="158"/>
    </row>
    <row r="190" ht="15.75" customHeight="1" spans="4:9" x14ac:dyDescent="0.25">
      <c r="D190" s="158"/>
      <c r="E190" s="158"/>
      <c r="F190" s="158"/>
      <c r="G190" s="158"/>
      <c r="H190" s="158"/>
      <c r="I190" s="158"/>
    </row>
    <row r="191" ht="15.75" customHeight="1" spans="4:9" x14ac:dyDescent="0.25">
      <c r="D191" s="158"/>
      <c r="E191" s="158"/>
      <c r="F191" s="158"/>
      <c r="G191" s="158"/>
      <c r="H191" s="158"/>
      <c r="I191" s="158"/>
    </row>
    <row r="192" ht="15.75" customHeight="1" spans="4:9" x14ac:dyDescent="0.25">
      <c r="D192" s="158"/>
      <c r="E192" s="158"/>
      <c r="F192" s="158"/>
      <c r="G192" s="158"/>
      <c r="H192" s="158"/>
      <c r="I192" s="158"/>
    </row>
    <row r="193" ht="15.75" customHeight="1" spans="4:9" x14ac:dyDescent="0.25">
      <c r="D193" s="158"/>
      <c r="E193" s="158"/>
      <c r="F193" s="158"/>
      <c r="G193" s="158"/>
      <c r="H193" s="158"/>
      <c r="I193" s="158"/>
    </row>
    <row r="194" ht="15.75" customHeight="1" spans="4:9" x14ac:dyDescent="0.25">
      <c r="D194" s="158"/>
      <c r="E194" s="158"/>
      <c r="F194" s="158"/>
      <c r="G194" s="158"/>
      <c r="H194" s="158"/>
      <c r="I194" s="158"/>
    </row>
    <row r="195" ht="15.75" customHeight="1" spans="4:9" x14ac:dyDescent="0.25">
      <c r="D195" s="158"/>
      <c r="E195" s="158"/>
      <c r="F195" s="158"/>
      <c r="G195" s="158"/>
      <c r="H195" s="158"/>
      <c r="I195" s="158"/>
    </row>
    <row r="196" ht="15.75" customHeight="1" spans="4:9" x14ac:dyDescent="0.25">
      <c r="D196" s="158"/>
      <c r="E196" s="158"/>
      <c r="F196" s="158"/>
      <c r="G196" s="158"/>
      <c r="H196" s="158"/>
      <c r="I196" s="158"/>
    </row>
    <row r="197" ht="15.75" customHeight="1" spans="4:9" x14ac:dyDescent="0.25">
      <c r="D197" s="158"/>
      <c r="E197" s="158"/>
      <c r="F197" s="158"/>
      <c r="G197" s="158"/>
      <c r="H197" s="158"/>
      <c r="I197" s="158"/>
    </row>
    <row r="198" ht="15.75" customHeight="1" spans="4:9" x14ac:dyDescent="0.25">
      <c r="D198" s="158"/>
      <c r="E198" s="158"/>
      <c r="F198" s="158"/>
      <c r="G198" s="158"/>
      <c r="H198" s="158"/>
      <c r="I198" s="158"/>
    </row>
    <row r="199" ht="15.75" customHeight="1" spans="4:9" x14ac:dyDescent="0.25">
      <c r="D199" s="158"/>
      <c r="E199" s="158"/>
      <c r="F199" s="158"/>
      <c r="G199" s="158"/>
      <c r="H199" s="158"/>
      <c r="I199" s="158"/>
    </row>
    <row r="200" ht="15.75" customHeight="1" spans="4:9" x14ac:dyDescent="0.25">
      <c r="D200" s="158"/>
      <c r="E200" s="158"/>
      <c r="F200" s="158"/>
      <c r="G200" s="158"/>
      <c r="H200" s="158"/>
      <c r="I200" s="158"/>
    </row>
    <row r="201" ht="15.75" customHeight="1" spans="4:9" x14ac:dyDescent="0.25">
      <c r="D201" s="158"/>
      <c r="E201" s="158"/>
      <c r="F201" s="158"/>
      <c r="G201" s="158"/>
      <c r="H201" s="158"/>
      <c r="I201" s="158"/>
    </row>
    <row r="202" ht="15.75" customHeight="1" spans="4:9" x14ac:dyDescent="0.25">
      <c r="D202" s="158"/>
      <c r="E202" s="158"/>
      <c r="F202" s="158"/>
      <c r="G202" s="158"/>
      <c r="H202" s="158"/>
      <c r="I202" s="158"/>
    </row>
    <row r="203" ht="15.75" customHeight="1" spans="4:9" x14ac:dyDescent="0.25">
      <c r="D203" s="158"/>
      <c r="E203" s="158"/>
      <c r="F203" s="158"/>
      <c r="G203" s="158"/>
      <c r="H203" s="158"/>
      <c r="I203" s="158"/>
    </row>
    <row r="204" ht="15.75" customHeight="1" spans="4:9" x14ac:dyDescent="0.25">
      <c r="D204" s="158"/>
      <c r="E204" s="158"/>
      <c r="F204" s="158"/>
      <c r="G204" s="158"/>
      <c r="H204" s="158"/>
      <c r="I204" s="158"/>
    </row>
    <row r="205" ht="15.75" customHeight="1" spans="4:9" x14ac:dyDescent="0.25">
      <c r="D205" s="158"/>
      <c r="E205" s="158"/>
      <c r="F205" s="158"/>
      <c r="G205" s="158"/>
      <c r="H205" s="158"/>
      <c r="I205" s="158"/>
    </row>
    <row r="206" ht="15.75" customHeight="1" spans="4:9" x14ac:dyDescent="0.25">
      <c r="D206" s="158"/>
      <c r="E206" s="158"/>
      <c r="F206" s="158"/>
      <c r="G206" s="158"/>
      <c r="H206" s="158"/>
      <c r="I206" s="158"/>
    </row>
    <row r="207" ht="15.75" customHeight="1" spans="4:9" x14ac:dyDescent="0.25">
      <c r="D207" s="158"/>
      <c r="E207" s="158"/>
      <c r="F207" s="158"/>
      <c r="G207" s="158"/>
      <c r="H207" s="158"/>
      <c r="I207" s="158"/>
    </row>
    <row r="208" ht="15.75" customHeight="1" spans="4:9" x14ac:dyDescent="0.25">
      <c r="D208" s="158"/>
      <c r="E208" s="158"/>
      <c r="F208" s="158"/>
      <c r="G208" s="158"/>
      <c r="H208" s="158"/>
      <c r="I208" s="158"/>
    </row>
    <row r="209" ht="15.75" customHeight="1" spans="4:9" x14ac:dyDescent="0.25">
      <c r="D209" s="158"/>
      <c r="E209" s="158"/>
      <c r="F209" s="158"/>
      <c r="G209" s="158"/>
      <c r="H209" s="158"/>
      <c r="I209" s="158"/>
    </row>
    <row r="210" ht="15.75" customHeight="1" spans="4:9" x14ac:dyDescent="0.25">
      <c r="D210" s="158"/>
      <c r="E210" s="158"/>
      <c r="F210" s="158"/>
      <c r="G210" s="158"/>
      <c r="H210" s="158"/>
      <c r="I210" s="158"/>
    </row>
    <row r="211" ht="15.75" customHeight="1" spans="4:9" x14ac:dyDescent="0.25">
      <c r="D211" s="158"/>
      <c r="E211" s="158"/>
      <c r="F211" s="158"/>
      <c r="G211" s="158"/>
      <c r="H211" s="158"/>
      <c r="I211" s="158"/>
    </row>
    <row r="212" ht="15.75" customHeight="1" spans="4:9" x14ac:dyDescent="0.25">
      <c r="D212" s="158"/>
      <c r="E212" s="158"/>
      <c r="F212" s="158"/>
      <c r="G212" s="158"/>
      <c r="H212" s="158"/>
      <c r="I212" s="158"/>
    </row>
    <row r="213" ht="15.75" customHeight="1" spans="4:9" x14ac:dyDescent="0.25">
      <c r="D213" s="158"/>
      <c r="E213" s="158"/>
      <c r="F213" s="158"/>
      <c r="G213" s="158"/>
      <c r="H213" s="158"/>
      <c r="I213" s="158"/>
    </row>
    <row r="214" ht="15.75" customHeight="1" spans="4:9" x14ac:dyDescent="0.25">
      <c r="D214" s="158"/>
      <c r="E214" s="158"/>
      <c r="F214" s="158"/>
      <c r="G214" s="158"/>
      <c r="H214" s="158"/>
      <c r="I214" s="158"/>
    </row>
    <row r="215" ht="15.75" customHeight="1" spans="4:9" x14ac:dyDescent="0.25">
      <c r="D215" s="158"/>
      <c r="E215" s="158"/>
      <c r="F215" s="158"/>
      <c r="G215" s="158"/>
      <c r="H215" s="158"/>
      <c r="I215" s="158"/>
    </row>
    <row r="216" ht="15.75" customHeight="1" spans="4:9" x14ac:dyDescent="0.25">
      <c r="D216" s="158"/>
      <c r="E216" s="158"/>
      <c r="F216" s="158"/>
      <c r="G216" s="158"/>
      <c r="H216" s="158"/>
      <c r="I216" s="158"/>
    </row>
    <row r="217" ht="15.75" customHeight="1" spans="4:9" x14ac:dyDescent="0.25">
      <c r="D217" s="158"/>
      <c r="E217" s="158"/>
      <c r="F217" s="158"/>
      <c r="G217" s="158"/>
      <c r="H217" s="158"/>
      <c r="I217" s="158"/>
    </row>
    <row r="218" ht="15.75" customHeight="1" spans="4:9" x14ac:dyDescent="0.25">
      <c r="D218" s="158"/>
      <c r="E218" s="158"/>
      <c r="F218" s="158"/>
      <c r="G218" s="158"/>
      <c r="H218" s="158"/>
      <c r="I218" s="158"/>
    </row>
    <row r="219" ht="15.75" customHeight="1" spans="4:9" x14ac:dyDescent="0.25">
      <c r="D219" s="158"/>
      <c r="E219" s="158"/>
      <c r="F219" s="158"/>
      <c r="G219" s="158"/>
      <c r="H219" s="158"/>
      <c r="I219" s="158"/>
    </row>
    <row r="220" ht="15.75" customHeight="1" spans="4:9" x14ac:dyDescent="0.25">
      <c r="D220" s="158"/>
      <c r="E220" s="158"/>
      <c r="F220" s="158"/>
      <c r="G220" s="158"/>
      <c r="H220" s="158"/>
      <c r="I220" s="158"/>
    </row>
    <row r="221" ht="15.75" customHeight="1" spans="4:9" x14ac:dyDescent="0.25">
      <c r="D221" s="158"/>
      <c r="E221" s="158"/>
      <c r="F221" s="158"/>
      <c r="G221" s="158"/>
      <c r="H221" s="158"/>
      <c r="I221" s="158"/>
    </row>
    <row r="222" ht="15.75" customHeight="1" spans="4:9" x14ac:dyDescent="0.25">
      <c r="D222" s="158"/>
      <c r="E222" s="158"/>
      <c r="F222" s="158"/>
      <c r="G222" s="158"/>
      <c r="H222" s="158"/>
      <c r="I222" s="158"/>
    </row>
    <row r="223" ht="15.75" customHeight="1" spans="4:9" x14ac:dyDescent="0.25">
      <c r="D223" s="158"/>
      <c r="E223" s="158"/>
      <c r="F223" s="158"/>
      <c r="G223" s="158"/>
      <c r="H223" s="158"/>
      <c r="I223" s="158"/>
    </row>
    <row r="224" ht="15.75" customHeight="1" spans="4:9" x14ac:dyDescent="0.25">
      <c r="D224" s="158"/>
      <c r="E224" s="158"/>
      <c r="F224" s="158"/>
      <c r="G224" s="158"/>
      <c r="H224" s="158"/>
      <c r="I224" s="158"/>
    </row>
    <row r="225" ht="15.75" customHeight="1" spans="4:9" x14ac:dyDescent="0.25">
      <c r="D225" s="158"/>
      <c r="E225" s="158"/>
      <c r="F225" s="158"/>
      <c r="G225" s="158"/>
      <c r="H225" s="158"/>
      <c r="I225" s="158"/>
    </row>
    <row r="226" ht="15.75" customHeight="1" spans="4:9" x14ac:dyDescent="0.25">
      <c r="D226" s="158"/>
      <c r="E226" s="158"/>
      <c r="F226" s="158"/>
      <c r="G226" s="158"/>
      <c r="H226" s="158"/>
      <c r="I226" s="158"/>
    </row>
    <row r="227" ht="15.75" customHeight="1" spans="4:9" x14ac:dyDescent="0.25">
      <c r="D227" s="158"/>
      <c r="E227" s="158"/>
      <c r="F227" s="158"/>
      <c r="G227" s="158"/>
      <c r="H227" s="158"/>
      <c r="I227" s="158"/>
    </row>
    <row r="228" ht="15.75" customHeight="1" spans="4:9" x14ac:dyDescent="0.25">
      <c r="D228" s="158"/>
      <c r="E228" s="158"/>
      <c r="F228" s="158"/>
      <c r="G228" s="158"/>
      <c r="H228" s="158"/>
      <c r="I228" s="158"/>
    </row>
    <row r="229" ht="15.75" customHeight="1" spans="4:9" x14ac:dyDescent="0.25">
      <c r="D229" s="158"/>
      <c r="E229" s="158"/>
      <c r="F229" s="158"/>
      <c r="G229" s="158"/>
      <c r="H229" s="158"/>
      <c r="I229" s="158"/>
    </row>
    <row r="230" ht="15.75" customHeight="1" spans="4:9" x14ac:dyDescent="0.25">
      <c r="D230" s="158"/>
      <c r="E230" s="158"/>
      <c r="F230" s="158"/>
      <c r="G230" s="158"/>
      <c r="H230" s="158"/>
      <c r="I230" s="158"/>
    </row>
    <row r="231" ht="15.75" customHeight="1" spans="4:9" x14ac:dyDescent="0.25">
      <c r="D231" s="158"/>
      <c r="E231" s="158"/>
      <c r="F231" s="158"/>
      <c r="G231" s="158"/>
      <c r="H231" s="158"/>
      <c r="I231" s="158"/>
    </row>
    <row r="232" ht="15.75" customHeight="1" spans="4:9" x14ac:dyDescent="0.25">
      <c r="D232" s="158"/>
      <c r="E232" s="158"/>
      <c r="F232" s="158"/>
      <c r="G232" s="158"/>
      <c r="H232" s="158"/>
      <c r="I232" s="158"/>
    </row>
    <row r="233" ht="15.75" customHeight="1" spans="4:9" x14ac:dyDescent="0.25">
      <c r="D233" s="158"/>
      <c r="E233" s="158"/>
      <c r="F233" s="158"/>
      <c r="G233" s="158"/>
      <c r="H233" s="158"/>
      <c r="I233" s="158"/>
    </row>
    <row r="234" ht="15.75" customHeight="1" spans="4:9" x14ac:dyDescent="0.25">
      <c r="D234" s="158"/>
      <c r="E234" s="158"/>
      <c r="F234" s="158"/>
      <c r="G234" s="158"/>
      <c r="H234" s="158"/>
      <c r="I234" s="158"/>
    </row>
    <row r="235" ht="15.75" customHeight="1" spans="4:9" x14ac:dyDescent="0.25">
      <c r="D235" s="158"/>
      <c r="E235" s="158"/>
      <c r="F235" s="158"/>
      <c r="G235" s="158"/>
      <c r="H235" s="158"/>
      <c r="I235" s="158"/>
    </row>
    <row r="236" ht="15.75" customHeight="1" spans="4:9" x14ac:dyDescent="0.25">
      <c r="D236" s="158"/>
      <c r="E236" s="158"/>
      <c r="F236" s="158"/>
      <c r="G236" s="158"/>
      <c r="H236" s="158"/>
      <c r="I236" s="158"/>
    </row>
    <row r="237" ht="15.75" customHeight="1" spans="4:9" x14ac:dyDescent="0.25">
      <c r="D237" s="158"/>
      <c r="E237" s="158"/>
      <c r="F237" s="158"/>
      <c r="G237" s="158"/>
      <c r="H237" s="158"/>
      <c r="I237" s="158"/>
    </row>
    <row r="238" ht="15.75" customHeight="1" spans="4:9" x14ac:dyDescent="0.25">
      <c r="D238" s="158"/>
      <c r="E238" s="158"/>
      <c r="F238" s="158"/>
      <c r="G238" s="158"/>
      <c r="H238" s="158"/>
      <c r="I238" s="158"/>
    </row>
    <row r="239" ht="15.75" customHeight="1" spans="4:9" x14ac:dyDescent="0.25">
      <c r="D239" s="158"/>
      <c r="E239" s="158"/>
      <c r="F239" s="158"/>
      <c r="G239" s="158"/>
      <c r="H239" s="158"/>
      <c r="I239" s="158"/>
    </row>
    <row r="240" ht="15.75" customHeight="1" spans="4:9" x14ac:dyDescent="0.25">
      <c r="D240" s="158"/>
      <c r="E240" s="158"/>
      <c r="F240" s="158"/>
      <c r="G240" s="158"/>
      <c r="H240" s="158"/>
      <c r="I240" s="158"/>
    </row>
    <row r="241" ht="15.75" customHeight="1" spans="4:9" x14ac:dyDescent="0.25">
      <c r="D241" s="158"/>
      <c r="E241" s="158"/>
      <c r="F241" s="158"/>
      <c r="G241" s="158"/>
      <c r="H241" s="158"/>
      <c r="I241" s="158"/>
    </row>
    <row r="242" ht="15.75" customHeight="1" spans="4:9" x14ac:dyDescent="0.25">
      <c r="D242" s="158"/>
      <c r="E242" s="158"/>
      <c r="F242" s="158"/>
      <c r="G242" s="158"/>
      <c r="H242" s="158"/>
      <c r="I242" s="158"/>
    </row>
    <row r="243" ht="15.75" customHeight="1" spans="4:9" x14ac:dyDescent="0.25">
      <c r="D243" s="158"/>
      <c r="E243" s="158"/>
      <c r="F243" s="158"/>
      <c r="G243" s="158"/>
      <c r="H243" s="158"/>
      <c r="I243" s="158"/>
    </row>
    <row r="244" ht="15.75" customHeight="1" spans="4:9" x14ac:dyDescent="0.25">
      <c r="D244" s="158"/>
      <c r="E244" s="158"/>
      <c r="F244" s="158"/>
      <c r="G244" s="158"/>
      <c r="H244" s="158"/>
      <c r="I244" s="158"/>
    </row>
    <row r="245" ht="15.75" customHeight="1" spans="4:9" x14ac:dyDescent="0.25">
      <c r="D245" s="158"/>
      <c r="E245" s="158"/>
      <c r="F245" s="158"/>
      <c r="G245" s="158"/>
      <c r="H245" s="158"/>
      <c r="I245" s="158"/>
    </row>
    <row r="246" ht="15.75" customHeight="1" spans="4:9" x14ac:dyDescent="0.25">
      <c r="D246" s="158"/>
      <c r="E246" s="158"/>
      <c r="F246" s="158"/>
      <c r="G246" s="158"/>
      <c r="H246" s="158"/>
      <c r="I246" s="158"/>
    </row>
    <row r="247" ht="15.75" customHeight="1" spans="4:9" x14ac:dyDescent="0.25">
      <c r="D247" s="158"/>
      <c r="E247" s="158"/>
      <c r="F247" s="158"/>
      <c r="G247" s="158"/>
      <c r="H247" s="158"/>
      <c r="I247" s="158"/>
    </row>
    <row r="248" ht="15.75" customHeight="1" spans="4:9" x14ac:dyDescent="0.25">
      <c r="D248" s="158"/>
      <c r="E248" s="158"/>
      <c r="F248" s="158"/>
      <c r="G248" s="158"/>
      <c r="H248" s="158"/>
      <c r="I248" s="158"/>
    </row>
    <row r="249" ht="15.75" customHeight="1" spans="4:9" x14ac:dyDescent="0.25">
      <c r="D249" s="158"/>
      <c r="E249" s="158"/>
      <c r="F249" s="158"/>
      <c r="G249" s="158"/>
      <c r="H249" s="158"/>
      <c r="I249" s="158"/>
    </row>
    <row r="250" ht="15.75" customHeight="1" spans="4:9" x14ac:dyDescent="0.25">
      <c r="D250" s="158"/>
      <c r="E250" s="158"/>
      <c r="F250" s="158"/>
      <c r="G250" s="158"/>
      <c r="H250" s="158"/>
      <c r="I250" s="158"/>
    </row>
    <row r="251" ht="15.75" customHeight="1" spans="4:9" x14ac:dyDescent="0.25">
      <c r="D251" s="158"/>
      <c r="E251" s="158"/>
      <c r="F251" s="158"/>
      <c r="G251" s="158"/>
      <c r="H251" s="158"/>
      <c r="I251" s="158"/>
    </row>
    <row r="252" ht="15.75" customHeight="1" spans="4:9" x14ac:dyDescent="0.25">
      <c r="D252" s="158"/>
      <c r="E252" s="158"/>
      <c r="F252" s="158"/>
      <c r="G252" s="158"/>
      <c r="H252" s="158"/>
      <c r="I252" s="158"/>
    </row>
    <row r="253" ht="15.75" customHeight="1" spans="4:9" x14ac:dyDescent="0.25">
      <c r="D253" s="158"/>
      <c r="E253" s="158"/>
      <c r="F253" s="158"/>
      <c r="G253" s="158"/>
      <c r="H253" s="158"/>
      <c r="I253" s="158"/>
    </row>
    <row r="254" ht="15.75" customHeight="1" spans="4:9" x14ac:dyDescent="0.25">
      <c r="D254" s="158"/>
      <c r="E254" s="158"/>
      <c r="F254" s="158"/>
      <c r="G254" s="158"/>
      <c r="H254" s="158"/>
      <c r="I254" s="158"/>
    </row>
    <row r="255" ht="15.75" customHeight="1" spans="4:9" x14ac:dyDescent="0.25">
      <c r="D255" s="158"/>
      <c r="E255" s="158"/>
      <c r="F255" s="158"/>
      <c r="G255" s="158"/>
      <c r="H255" s="158"/>
      <c r="I255" s="158"/>
    </row>
    <row r="256" ht="15.75" customHeight="1" spans="4:9" x14ac:dyDescent="0.25">
      <c r="D256" s="158"/>
      <c r="E256" s="158"/>
      <c r="F256" s="158"/>
      <c r="G256" s="158"/>
      <c r="H256" s="158"/>
      <c r="I256" s="158"/>
    </row>
    <row r="257" ht="15.75" customHeight="1" spans="4:9" x14ac:dyDescent="0.25">
      <c r="D257" s="158"/>
      <c r="E257" s="158"/>
      <c r="F257" s="158"/>
      <c r="G257" s="158"/>
      <c r="H257" s="158"/>
      <c r="I257" s="158"/>
    </row>
    <row r="258" ht="15.75" customHeight="1" spans="4:9" x14ac:dyDescent="0.25">
      <c r="D258" s="158"/>
      <c r="E258" s="158"/>
      <c r="F258" s="158"/>
      <c r="G258" s="158"/>
      <c r="H258" s="158"/>
      <c r="I258" s="158"/>
    </row>
    <row r="259" ht="15.75" customHeight="1" spans="4:9" x14ac:dyDescent="0.25">
      <c r="D259" s="158"/>
      <c r="E259" s="158"/>
      <c r="F259" s="158"/>
      <c r="G259" s="158"/>
      <c r="H259" s="158"/>
      <c r="I259" s="158"/>
    </row>
    <row r="260" ht="15.75" customHeight="1" spans="4:9" x14ac:dyDescent="0.25">
      <c r="D260" s="158"/>
      <c r="E260" s="158"/>
      <c r="F260" s="158"/>
      <c r="G260" s="158"/>
      <c r="H260" s="158"/>
      <c r="I260" s="158"/>
    </row>
    <row r="261" ht="15.75" customHeight="1" spans="4:9" x14ac:dyDescent="0.25">
      <c r="D261" s="158"/>
      <c r="E261" s="158"/>
      <c r="F261" s="158"/>
      <c r="G261" s="158"/>
      <c r="H261" s="158"/>
      <c r="I261" s="158"/>
    </row>
    <row r="262" ht="15.75" customHeight="1" spans="4:9" x14ac:dyDescent="0.25">
      <c r="D262" s="158"/>
      <c r="E262" s="158"/>
      <c r="F262" s="158"/>
      <c r="G262" s="158"/>
      <c r="H262" s="158"/>
      <c r="I262" s="158"/>
    </row>
    <row r="263" ht="15.75" customHeight="1" spans="4:9" x14ac:dyDescent="0.25">
      <c r="D263" s="158"/>
      <c r="E263" s="158"/>
      <c r="F263" s="158"/>
      <c r="G263" s="158"/>
      <c r="H263" s="158"/>
      <c r="I263" s="158"/>
    </row>
    <row r="264" ht="15.75" customHeight="1" spans="4:9" x14ac:dyDescent="0.25">
      <c r="D264" s="158"/>
      <c r="E264" s="158"/>
      <c r="F264" s="158"/>
      <c r="G264" s="158"/>
      <c r="H264" s="158"/>
      <c r="I264" s="158"/>
    </row>
    <row r="265" ht="15.75" customHeight="1" spans="4:9" x14ac:dyDescent="0.25">
      <c r="D265" s="158"/>
      <c r="E265" s="158"/>
      <c r="F265" s="158"/>
      <c r="G265" s="158"/>
      <c r="H265" s="158"/>
      <c r="I265" s="158"/>
    </row>
    <row r="266" ht="15.75" customHeight="1" spans="4:9" x14ac:dyDescent="0.25">
      <c r="D266" s="158"/>
      <c r="E266" s="158"/>
      <c r="F266" s="158"/>
      <c r="G266" s="158"/>
      <c r="H266" s="158"/>
      <c r="I266" s="158"/>
    </row>
    <row r="267" ht="15.75" customHeight="1" spans="4:9" x14ac:dyDescent="0.25">
      <c r="D267" s="158"/>
      <c r="E267" s="158"/>
      <c r="F267" s="158"/>
      <c r="G267" s="158"/>
      <c r="H267" s="158"/>
      <c r="I267" s="158"/>
    </row>
    <row r="268" ht="15.75" customHeight="1" spans="4:9" x14ac:dyDescent="0.25">
      <c r="D268" s="158"/>
      <c r="E268" s="158"/>
      <c r="F268" s="158"/>
      <c r="G268" s="158"/>
      <c r="H268" s="158"/>
      <c r="I268" s="158"/>
    </row>
    <row r="269" ht="15.75" customHeight="1" spans="4:9" x14ac:dyDescent="0.25">
      <c r="D269" s="158"/>
      <c r="E269" s="158"/>
      <c r="F269" s="158"/>
      <c r="G269" s="158"/>
      <c r="H269" s="158"/>
      <c r="I269" s="158"/>
    </row>
    <row r="270" ht="15.75" customHeight="1" spans="4:9" x14ac:dyDescent="0.25">
      <c r="D270" s="158"/>
      <c r="E270" s="158"/>
      <c r="F270" s="158"/>
      <c r="G270" s="158"/>
      <c r="H270" s="158"/>
      <c r="I270" s="158"/>
    </row>
    <row r="271" ht="15.75" customHeight="1" spans="4:9" x14ac:dyDescent="0.25">
      <c r="D271" s="158"/>
      <c r="E271" s="158"/>
      <c r="F271" s="158"/>
      <c r="G271" s="158"/>
      <c r="H271" s="158"/>
      <c r="I271" s="158"/>
    </row>
    <row r="272" ht="15.75" customHeight="1" spans="4:9" x14ac:dyDescent="0.25">
      <c r="D272" s="158"/>
      <c r="E272" s="158"/>
      <c r="F272" s="158"/>
      <c r="G272" s="158"/>
      <c r="H272" s="158"/>
      <c r="I272" s="158"/>
    </row>
    <row r="273" ht="15.75" customHeight="1" spans="4:9" x14ac:dyDescent="0.25">
      <c r="D273" s="158"/>
      <c r="E273" s="158"/>
      <c r="F273" s="158"/>
      <c r="G273" s="158"/>
      <c r="H273" s="158"/>
      <c r="I273" s="158"/>
    </row>
    <row r="274" ht="15.75" customHeight="1" spans="4:9" x14ac:dyDescent="0.25">
      <c r="D274" s="158"/>
      <c r="E274" s="158"/>
      <c r="F274" s="158"/>
      <c r="G274" s="158"/>
      <c r="H274" s="158"/>
      <c r="I274" s="158"/>
    </row>
    <row r="275" ht="15.75" customHeight="1" spans="4:9" x14ac:dyDescent="0.25">
      <c r="D275" s="158"/>
      <c r="E275" s="158"/>
      <c r="F275" s="158"/>
      <c r="G275" s="158"/>
      <c r="H275" s="158"/>
      <c r="I275" s="158"/>
    </row>
    <row r="276" ht="15.75" customHeight="1" spans="4:9" x14ac:dyDescent="0.25">
      <c r="D276" s="158"/>
      <c r="E276" s="158"/>
      <c r="F276" s="158"/>
      <c r="G276" s="158"/>
      <c r="H276" s="158"/>
      <c r="I276" s="158"/>
    </row>
    <row r="277" ht="15.75" customHeight="1" spans="4:9" x14ac:dyDescent="0.25">
      <c r="D277" s="158"/>
      <c r="E277" s="158"/>
      <c r="F277" s="158"/>
      <c r="G277" s="158"/>
      <c r="H277" s="158"/>
      <c r="I277" s="158"/>
    </row>
    <row r="278" ht="15.75" customHeight="1" spans="4:9" x14ac:dyDescent="0.25">
      <c r="D278" s="158"/>
      <c r="E278" s="158"/>
      <c r="F278" s="158"/>
      <c r="G278" s="158"/>
      <c r="H278" s="158"/>
      <c r="I278" s="158"/>
    </row>
    <row r="279" ht="15.75" customHeight="1" spans="4:9" x14ac:dyDescent="0.25">
      <c r="D279" s="158"/>
      <c r="E279" s="158"/>
      <c r="F279" s="158"/>
      <c r="G279" s="158"/>
      <c r="H279" s="158"/>
      <c r="I279" s="158"/>
    </row>
    <row r="280" ht="15.75" customHeight="1" spans="4:9" x14ac:dyDescent="0.25">
      <c r="D280" s="158"/>
      <c r="E280" s="158"/>
      <c r="F280" s="158"/>
      <c r="G280" s="158"/>
      <c r="H280" s="158"/>
      <c r="I280" s="158"/>
    </row>
    <row r="281" ht="15.75" customHeight="1" spans="4:9" x14ac:dyDescent="0.25">
      <c r="D281" s="158"/>
      <c r="E281" s="158"/>
      <c r="F281" s="158"/>
      <c r="G281" s="158"/>
      <c r="H281" s="158"/>
      <c r="I281" s="158"/>
    </row>
    <row r="282" ht="15.75" customHeight="1" spans="4:9" x14ac:dyDescent="0.25">
      <c r="D282" s="158"/>
      <c r="E282" s="158"/>
      <c r="F282" s="158"/>
      <c r="G282" s="158"/>
      <c r="H282" s="158"/>
      <c r="I282" s="158"/>
    </row>
    <row r="283" ht="15.75" customHeight="1" spans="4:9" x14ac:dyDescent="0.25">
      <c r="D283" s="158"/>
      <c r="E283" s="158"/>
      <c r="F283" s="158"/>
      <c r="G283" s="158"/>
      <c r="H283" s="158"/>
      <c r="I283" s="158"/>
    </row>
    <row r="284" ht="15.75" customHeight="1" spans="4:9" x14ac:dyDescent="0.25">
      <c r="D284" s="158"/>
      <c r="E284" s="158"/>
      <c r="F284" s="158"/>
      <c r="G284" s="158"/>
      <c r="H284" s="158"/>
      <c r="I284" s="158"/>
    </row>
    <row r="285" ht="15.75" customHeight="1" spans="4:9" x14ac:dyDescent="0.25">
      <c r="D285" s="158"/>
      <c r="E285" s="158"/>
      <c r="F285" s="158"/>
      <c r="G285" s="158"/>
      <c r="H285" s="158"/>
      <c r="I285" s="158"/>
    </row>
    <row r="286" ht="15.75" customHeight="1" spans="4:9" x14ac:dyDescent="0.25">
      <c r="D286" s="158"/>
      <c r="E286" s="158"/>
      <c r="F286" s="158"/>
      <c r="G286" s="158"/>
      <c r="H286" s="158"/>
      <c r="I286" s="158"/>
    </row>
    <row r="287" ht="15.75" customHeight="1" spans="4:9" x14ac:dyDescent="0.25">
      <c r="D287" s="158"/>
      <c r="E287" s="158"/>
      <c r="F287" s="158"/>
      <c r="G287" s="158"/>
      <c r="H287" s="158"/>
      <c r="I287" s="158"/>
    </row>
    <row r="288" ht="15.75" customHeight="1" spans="4:9" x14ac:dyDescent="0.25">
      <c r="D288" s="158"/>
      <c r="E288" s="158"/>
      <c r="F288" s="158"/>
      <c r="G288" s="158"/>
      <c r="H288" s="158"/>
      <c r="I288" s="158"/>
    </row>
    <row r="289" ht="15.75" customHeight="1" spans="4:9" x14ac:dyDescent="0.25">
      <c r="D289" s="158"/>
      <c r="E289" s="158"/>
      <c r="F289" s="158"/>
      <c r="G289" s="158"/>
      <c r="H289" s="158"/>
      <c r="I289" s="158"/>
    </row>
    <row r="290" ht="15.75" customHeight="1" spans="4:9" x14ac:dyDescent="0.25">
      <c r="D290" s="158"/>
      <c r="E290" s="158"/>
      <c r="F290" s="158"/>
      <c r="G290" s="158"/>
      <c r="H290" s="158"/>
      <c r="I290" s="158"/>
    </row>
    <row r="291" ht="15.75" customHeight="1" spans="4:9" x14ac:dyDescent="0.25">
      <c r="D291" s="158"/>
      <c r="E291" s="158"/>
      <c r="F291" s="158"/>
      <c r="G291" s="158"/>
      <c r="H291" s="158"/>
      <c r="I291" s="158"/>
    </row>
    <row r="292" ht="15.75" customHeight="1" spans="4:9" x14ac:dyDescent="0.25">
      <c r="D292" s="158"/>
      <c r="E292" s="158"/>
      <c r="F292" s="158"/>
      <c r="G292" s="158"/>
      <c r="H292" s="158"/>
      <c r="I292" s="158"/>
    </row>
    <row r="293" ht="15.75" customHeight="1" spans="4:9" x14ac:dyDescent="0.25">
      <c r="D293" s="158"/>
      <c r="E293" s="158"/>
      <c r="F293" s="158"/>
      <c r="G293" s="158"/>
      <c r="H293" s="158"/>
      <c r="I293" s="158"/>
    </row>
    <row r="294" ht="15.75" customHeight="1" spans="4:9" x14ac:dyDescent="0.25">
      <c r="D294" s="158"/>
      <c r="E294" s="158"/>
      <c r="F294" s="158"/>
      <c r="G294" s="158"/>
      <c r="H294" s="158"/>
      <c r="I294" s="158"/>
    </row>
    <row r="295" ht="15.75" customHeight="1" spans="4:9" x14ac:dyDescent="0.25">
      <c r="D295" s="158"/>
      <c r="E295" s="158"/>
      <c r="F295" s="158"/>
      <c r="G295" s="158"/>
      <c r="H295" s="158"/>
      <c r="I295" s="158"/>
    </row>
    <row r="296" ht="15.75" customHeight="1" spans="4:9" x14ac:dyDescent="0.25">
      <c r="D296" s="158"/>
      <c r="E296" s="158"/>
      <c r="F296" s="158"/>
      <c r="G296" s="158"/>
      <c r="H296" s="158"/>
      <c r="I296" s="158"/>
    </row>
    <row r="297" ht="15.75" customHeight="1" spans="4:9" x14ac:dyDescent="0.25">
      <c r="D297" s="158"/>
      <c r="E297" s="158"/>
      <c r="F297" s="158"/>
      <c r="G297" s="158"/>
      <c r="H297" s="158"/>
      <c r="I297" s="158"/>
    </row>
    <row r="298" ht="15.75" customHeight="1" spans="4:9" x14ac:dyDescent="0.25">
      <c r="D298" s="158"/>
      <c r="E298" s="158"/>
      <c r="F298" s="158"/>
      <c r="G298" s="158"/>
      <c r="H298" s="158"/>
      <c r="I298" s="158"/>
    </row>
    <row r="299" ht="15.75" customHeight="1" spans="4:9" x14ac:dyDescent="0.25">
      <c r="D299" s="158"/>
      <c r="E299" s="158"/>
      <c r="F299" s="158"/>
      <c r="G299" s="158"/>
      <c r="H299" s="158"/>
      <c r="I299" s="158"/>
    </row>
    <row r="300" ht="15.75" customHeight="1" spans="4:9" x14ac:dyDescent="0.25">
      <c r="D300" s="158"/>
      <c r="E300" s="158"/>
      <c r="F300" s="158"/>
      <c r="G300" s="158"/>
      <c r="H300" s="158"/>
      <c r="I300" s="158"/>
    </row>
    <row r="301" ht="15.75" customHeight="1" spans="4:9" x14ac:dyDescent="0.25">
      <c r="D301" s="158"/>
      <c r="E301" s="158"/>
      <c r="F301" s="158"/>
      <c r="G301" s="158"/>
      <c r="H301" s="158"/>
      <c r="I301" s="158"/>
    </row>
    <row r="302" ht="15.75" customHeight="1" spans="4:9" x14ac:dyDescent="0.25">
      <c r="D302" s="158"/>
      <c r="E302" s="158"/>
      <c r="F302" s="158"/>
      <c r="G302" s="158"/>
      <c r="H302" s="158"/>
      <c r="I302" s="158"/>
    </row>
    <row r="303" ht="15.75" customHeight="1" spans="4:9" x14ac:dyDescent="0.25">
      <c r="D303" s="158"/>
      <c r="E303" s="158"/>
      <c r="F303" s="158"/>
      <c r="G303" s="158"/>
      <c r="H303" s="158"/>
      <c r="I303" s="158"/>
    </row>
    <row r="304" ht="15.75" customHeight="1" spans="4:9" x14ac:dyDescent="0.25">
      <c r="D304" s="158"/>
      <c r="E304" s="158"/>
      <c r="F304" s="158"/>
      <c r="G304" s="158"/>
      <c r="H304" s="158"/>
      <c r="I304" s="158"/>
    </row>
    <row r="305" ht="15.75" customHeight="1" spans="4:9" x14ac:dyDescent="0.25">
      <c r="D305" s="158"/>
      <c r="E305" s="158"/>
      <c r="F305" s="158"/>
      <c r="G305" s="158"/>
      <c r="H305" s="158"/>
      <c r="I305" s="158"/>
    </row>
    <row r="306" ht="15.75" customHeight="1" spans="4:9" x14ac:dyDescent="0.25">
      <c r="D306" s="158"/>
      <c r="E306" s="158"/>
      <c r="F306" s="158"/>
      <c r="G306" s="158"/>
      <c r="H306" s="158"/>
      <c r="I306" s="158"/>
    </row>
    <row r="307" ht="15.75" customHeight="1" spans="4:9" x14ac:dyDescent="0.25">
      <c r="D307" s="158"/>
      <c r="E307" s="158"/>
      <c r="F307" s="158"/>
      <c r="G307" s="158"/>
      <c r="H307" s="158"/>
      <c r="I307" s="158"/>
    </row>
    <row r="308" ht="15.75" customHeight="1" spans="4:9" x14ac:dyDescent="0.25">
      <c r="D308" s="158"/>
      <c r="E308" s="158"/>
      <c r="F308" s="158"/>
      <c r="G308" s="158"/>
      <c r="H308" s="158"/>
      <c r="I308" s="158"/>
    </row>
    <row r="309" ht="15.75" customHeight="1" spans="4:9" x14ac:dyDescent="0.25">
      <c r="D309" s="158"/>
      <c r="E309" s="158"/>
      <c r="F309" s="158"/>
      <c r="G309" s="158"/>
      <c r="H309" s="158"/>
      <c r="I309" s="158"/>
    </row>
    <row r="310" ht="15.75" customHeight="1" spans="4:9" x14ac:dyDescent="0.25">
      <c r="D310" s="158"/>
      <c r="E310" s="158"/>
      <c r="F310" s="158"/>
      <c r="G310" s="158"/>
      <c r="H310" s="158"/>
      <c r="I310" s="158"/>
    </row>
    <row r="311" ht="15.75" customHeight="1" spans="4:9" x14ac:dyDescent="0.25">
      <c r="D311" s="158"/>
      <c r="E311" s="158"/>
      <c r="F311" s="158"/>
      <c r="G311" s="158"/>
      <c r="H311" s="158"/>
      <c r="I311" s="158"/>
    </row>
    <row r="312" ht="15.75" customHeight="1" spans="4:9" x14ac:dyDescent="0.25">
      <c r="D312" s="158"/>
      <c r="E312" s="158"/>
      <c r="F312" s="158"/>
      <c r="G312" s="158"/>
      <c r="H312" s="158"/>
      <c r="I312" s="158"/>
    </row>
    <row r="313" ht="15.75" customHeight="1" spans="4:9" x14ac:dyDescent="0.25">
      <c r="D313" s="158"/>
      <c r="E313" s="158"/>
      <c r="F313" s="158"/>
      <c r="G313" s="158"/>
      <c r="H313" s="158"/>
      <c r="I313" s="158"/>
    </row>
    <row r="314" ht="15.75" customHeight="1" spans="4:9" x14ac:dyDescent="0.25">
      <c r="D314" s="158"/>
      <c r="E314" s="158"/>
      <c r="F314" s="158"/>
      <c r="G314" s="158"/>
      <c r="H314" s="158"/>
      <c r="I314" s="158"/>
    </row>
    <row r="315" ht="15.75" customHeight="1" spans="4:9" x14ac:dyDescent="0.25">
      <c r="D315" s="158"/>
      <c r="E315" s="158"/>
      <c r="F315" s="158"/>
      <c r="G315" s="158"/>
      <c r="H315" s="158"/>
      <c r="I315" s="158"/>
    </row>
    <row r="316" ht="15.75" customHeight="1" spans="4:9" x14ac:dyDescent="0.25">
      <c r="D316" s="158"/>
      <c r="E316" s="158"/>
      <c r="F316" s="158"/>
      <c r="G316" s="158"/>
      <c r="H316" s="158"/>
      <c r="I316" s="158"/>
    </row>
    <row r="317" ht="15.75" customHeight="1" spans="4:9" x14ac:dyDescent="0.25">
      <c r="D317" s="158"/>
      <c r="E317" s="158"/>
      <c r="F317" s="158"/>
      <c r="G317" s="158"/>
      <c r="H317" s="158"/>
      <c r="I317" s="158"/>
    </row>
    <row r="318" ht="15.75" customHeight="1" spans="4:9" x14ac:dyDescent="0.25">
      <c r="D318" s="158"/>
      <c r="E318" s="158"/>
      <c r="F318" s="158"/>
      <c r="G318" s="158"/>
      <c r="H318" s="158"/>
      <c r="I318" s="158"/>
    </row>
    <row r="319" ht="15.75" customHeight="1" spans="4:9" x14ac:dyDescent="0.25">
      <c r="D319" s="158"/>
      <c r="E319" s="158"/>
      <c r="F319" s="158"/>
      <c r="G319" s="158"/>
      <c r="H319" s="158"/>
      <c r="I319" s="158"/>
    </row>
    <row r="320" ht="15.75" customHeight="1" spans="4:9" x14ac:dyDescent="0.25">
      <c r="D320" s="158"/>
      <c r="E320" s="158"/>
      <c r="F320" s="158"/>
      <c r="G320" s="158"/>
      <c r="H320" s="158"/>
      <c r="I320" s="158"/>
    </row>
    <row r="321" ht="15.75" customHeight="1" spans="4:9" x14ac:dyDescent="0.25">
      <c r="D321" s="158"/>
      <c r="E321" s="158"/>
      <c r="F321" s="158"/>
      <c r="G321" s="158"/>
      <c r="H321" s="158"/>
      <c r="I321" s="158"/>
    </row>
    <row r="322" ht="15.75" customHeight="1" spans="4:9" x14ac:dyDescent="0.25">
      <c r="D322" s="158"/>
      <c r="E322" s="158"/>
      <c r="F322" s="158"/>
      <c r="G322" s="158"/>
      <c r="H322" s="158"/>
      <c r="I322" s="158"/>
    </row>
    <row r="323" ht="15.75" customHeight="1" spans="4:9" x14ac:dyDescent="0.25">
      <c r="D323" s="158"/>
      <c r="E323" s="158"/>
      <c r="F323" s="158"/>
      <c r="G323" s="158"/>
      <c r="H323" s="158"/>
      <c r="I323" s="158"/>
    </row>
    <row r="324" ht="15.75" customHeight="1" spans="4:9" x14ac:dyDescent="0.25">
      <c r="D324" s="158"/>
      <c r="E324" s="158"/>
      <c r="F324" s="158"/>
      <c r="G324" s="158"/>
      <c r="H324" s="158"/>
      <c r="I324" s="158"/>
    </row>
    <row r="325" ht="15.75" customHeight="1" spans="4:9" x14ac:dyDescent="0.25">
      <c r="D325" s="158"/>
      <c r="E325" s="158"/>
      <c r="F325" s="158"/>
      <c r="G325" s="158"/>
      <c r="H325" s="158"/>
      <c r="I325" s="158"/>
    </row>
    <row r="326" ht="15.75" customHeight="1" spans="4:9" x14ac:dyDescent="0.25">
      <c r="D326" s="158"/>
      <c r="E326" s="158"/>
      <c r="F326" s="158"/>
      <c r="G326" s="158"/>
      <c r="H326" s="158"/>
      <c r="I326" s="158"/>
    </row>
    <row r="327" ht="15.75" customHeight="1" spans="4:9" x14ac:dyDescent="0.25">
      <c r="D327" s="158"/>
      <c r="E327" s="158"/>
      <c r="F327" s="158"/>
      <c r="G327" s="158"/>
      <c r="H327" s="158"/>
      <c r="I327" s="158"/>
    </row>
    <row r="328" ht="15.75" customHeight="1" spans="4:9" x14ac:dyDescent="0.25">
      <c r="D328" s="158"/>
      <c r="E328" s="158"/>
      <c r="F328" s="158"/>
      <c r="G328" s="158"/>
      <c r="H328" s="158"/>
      <c r="I328" s="158"/>
    </row>
    <row r="329" ht="15.75" customHeight="1" spans="4:9" x14ac:dyDescent="0.25">
      <c r="D329" s="158"/>
      <c r="E329" s="158"/>
      <c r="F329" s="158"/>
      <c r="G329" s="158"/>
      <c r="H329" s="158"/>
      <c r="I329" s="158"/>
    </row>
    <row r="330" ht="15.75" customHeight="1" spans="4:9" x14ac:dyDescent="0.25">
      <c r="D330" s="158"/>
      <c r="E330" s="158"/>
      <c r="F330" s="158"/>
      <c r="G330" s="158"/>
      <c r="H330" s="158"/>
      <c r="I330" s="158"/>
    </row>
    <row r="331" ht="15.75" customHeight="1" spans="4:9" x14ac:dyDescent="0.25">
      <c r="D331" s="158"/>
      <c r="E331" s="158"/>
      <c r="F331" s="158"/>
      <c r="G331" s="158"/>
      <c r="H331" s="158"/>
      <c r="I331" s="158"/>
    </row>
    <row r="332" ht="15.75" customHeight="1" spans="4:9" x14ac:dyDescent="0.25">
      <c r="D332" s="158"/>
      <c r="E332" s="158"/>
      <c r="F332" s="158"/>
      <c r="G332" s="158"/>
      <c r="H332" s="158"/>
      <c r="I332" s="158"/>
    </row>
    <row r="333" ht="15.75" customHeight="1" spans="4:9" x14ac:dyDescent="0.25">
      <c r="D333" s="158"/>
      <c r="E333" s="158"/>
      <c r="F333" s="158"/>
      <c r="G333" s="158"/>
      <c r="H333" s="158"/>
      <c r="I333" s="158"/>
    </row>
    <row r="334" ht="15.75" customHeight="1" spans="4:9" x14ac:dyDescent="0.25">
      <c r="D334" s="158"/>
      <c r="E334" s="158"/>
      <c r="F334" s="158"/>
      <c r="G334" s="158"/>
      <c r="H334" s="158"/>
      <c r="I334" s="158"/>
    </row>
    <row r="335" ht="15.75" customHeight="1" spans="4:9" x14ac:dyDescent="0.25">
      <c r="D335" s="158"/>
      <c r="E335" s="158"/>
      <c r="F335" s="158"/>
      <c r="G335" s="158"/>
      <c r="H335" s="158"/>
      <c r="I335" s="158"/>
    </row>
    <row r="336" ht="15.75" customHeight="1" spans="4:9" x14ac:dyDescent="0.25">
      <c r="D336" s="158"/>
      <c r="E336" s="158"/>
      <c r="F336" s="158"/>
      <c r="G336" s="158"/>
      <c r="H336" s="158"/>
      <c r="I336" s="158"/>
    </row>
    <row r="337" ht="15.75" customHeight="1" spans="4:9" x14ac:dyDescent="0.25">
      <c r="D337" s="158"/>
      <c r="E337" s="158"/>
      <c r="F337" s="158"/>
      <c r="G337" s="158"/>
      <c r="H337" s="158"/>
      <c r="I337" s="158"/>
    </row>
    <row r="338" ht="15.75" customHeight="1" spans="4:9" x14ac:dyDescent="0.25">
      <c r="D338" s="158"/>
      <c r="E338" s="158"/>
      <c r="F338" s="158"/>
      <c r="G338" s="158"/>
      <c r="H338" s="158"/>
      <c r="I338" s="158"/>
    </row>
    <row r="339" ht="15.75" customHeight="1" spans="4:9" x14ac:dyDescent="0.25">
      <c r="D339" s="158"/>
      <c r="E339" s="158"/>
      <c r="F339" s="158"/>
      <c r="G339" s="158"/>
      <c r="H339" s="158"/>
      <c r="I339" s="158"/>
    </row>
    <row r="340" ht="15.75" customHeight="1" spans="4:9" x14ac:dyDescent="0.25">
      <c r="D340" s="158"/>
      <c r="E340" s="158"/>
      <c r="F340" s="158"/>
      <c r="G340" s="158"/>
      <c r="H340" s="158"/>
      <c r="I340" s="158"/>
    </row>
    <row r="341" ht="15.75" customHeight="1" spans="4:9" x14ac:dyDescent="0.25">
      <c r="D341" s="158"/>
      <c r="E341" s="158"/>
      <c r="F341" s="158"/>
      <c r="G341" s="158"/>
      <c r="H341" s="158"/>
      <c r="I341" s="158"/>
    </row>
    <row r="342" ht="15.75" customHeight="1" spans="4:9" x14ac:dyDescent="0.25">
      <c r="D342" s="158"/>
      <c r="E342" s="158"/>
      <c r="F342" s="158"/>
      <c r="G342" s="158"/>
      <c r="H342" s="158"/>
      <c r="I342" s="158"/>
    </row>
    <row r="343" ht="15.75" customHeight="1" spans="4:9" x14ac:dyDescent="0.25">
      <c r="D343" s="158"/>
      <c r="E343" s="158"/>
      <c r="F343" s="158"/>
      <c r="G343" s="158"/>
      <c r="H343" s="158"/>
      <c r="I343" s="158"/>
    </row>
    <row r="344" ht="15.75" customHeight="1" spans="4:9" x14ac:dyDescent="0.25">
      <c r="D344" s="158"/>
      <c r="E344" s="158"/>
      <c r="F344" s="158"/>
      <c r="G344" s="158"/>
      <c r="H344" s="158"/>
      <c r="I344" s="158"/>
    </row>
    <row r="345" ht="15.75" customHeight="1" spans="4:9" x14ac:dyDescent="0.25">
      <c r="D345" s="158"/>
      <c r="E345" s="158"/>
      <c r="F345" s="158"/>
      <c r="G345" s="158"/>
      <c r="H345" s="158"/>
      <c r="I345" s="158"/>
    </row>
    <row r="346" ht="15.75" customHeight="1" spans="4:9" x14ac:dyDescent="0.25">
      <c r="D346" s="158"/>
      <c r="E346" s="158"/>
      <c r="F346" s="158"/>
      <c r="G346" s="158"/>
      <c r="H346" s="158"/>
      <c r="I346" s="158"/>
    </row>
    <row r="347" ht="15.75" customHeight="1" spans="4:9" x14ac:dyDescent="0.25">
      <c r="D347" s="158"/>
      <c r="E347" s="158"/>
      <c r="F347" s="158"/>
      <c r="G347" s="158"/>
      <c r="H347" s="158"/>
      <c r="I347" s="158"/>
    </row>
    <row r="348" ht="15.75" customHeight="1" spans="4:9" x14ac:dyDescent="0.25">
      <c r="D348" s="158"/>
      <c r="E348" s="158"/>
      <c r="F348" s="158"/>
      <c r="G348" s="158"/>
      <c r="H348" s="158"/>
      <c r="I348" s="158"/>
    </row>
    <row r="349" ht="15.75" customHeight="1" spans="4:9" x14ac:dyDescent="0.25">
      <c r="D349" s="158"/>
      <c r="E349" s="158"/>
      <c r="F349" s="158"/>
      <c r="G349" s="158"/>
      <c r="H349" s="158"/>
      <c r="I349" s="158"/>
    </row>
    <row r="350" ht="15.75" customHeight="1" spans="4:9" x14ac:dyDescent="0.25">
      <c r="D350" s="158"/>
      <c r="E350" s="158"/>
      <c r="F350" s="158"/>
      <c r="G350" s="158"/>
      <c r="H350" s="158"/>
      <c r="I350" s="158"/>
    </row>
    <row r="351" ht="15.75" customHeight="1" spans="4:9" x14ac:dyDescent="0.25">
      <c r="D351" s="158"/>
      <c r="E351" s="158"/>
      <c r="F351" s="158"/>
      <c r="G351" s="158"/>
      <c r="H351" s="158"/>
      <c r="I351" s="158"/>
    </row>
    <row r="352" ht="15.75" customHeight="1" spans="4:9" x14ac:dyDescent="0.25">
      <c r="D352" s="158"/>
      <c r="E352" s="158"/>
      <c r="F352" s="158"/>
      <c r="G352" s="158"/>
      <c r="H352" s="158"/>
      <c r="I352" s="158"/>
    </row>
    <row r="353" ht="15.75" customHeight="1" spans="4:9" x14ac:dyDescent="0.25">
      <c r="D353" s="158"/>
      <c r="E353" s="158"/>
      <c r="F353" s="158"/>
      <c r="G353" s="158"/>
      <c r="H353" s="158"/>
      <c r="I353" s="158"/>
    </row>
    <row r="354" ht="15.75" customHeight="1" spans="4:9" x14ac:dyDescent="0.25">
      <c r="D354" s="158"/>
      <c r="E354" s="158"/>
      <c r="F354" s="158"/>
      <c r="G354" s="158"/>
      <c r="H354" s="158"/>
      <c r="I354" s="158"/>
    </row>
    <row r="355" ht="15.75" customHeight="1" spans="4:9" x14ac:dyDescent="0.25">
      <c r="D355" s="158"/>
      <c r="E355" s="158"/>
      <c r="F355" s="158"/>
      <c r="G355" s="158"/>
      <c r="H355" s="158"/>
      <c r="I355" s="158"/>
    </row>
    <row r="356" ht="15.75" customHeight="1" spans="4:9" x14ac:dyDescent="0.25">
      <c r="D356" s="158"/>
      <c r="E356" s="158"/>
      <c r="F356" s="158"/>
      <c r="G356" s="158"/>
      <c r="H356" s="158"/>
      <c r="I356" s="158"/>
    </row>
    <row r="357" ht="15.75" customHeight="1" spans="4:9" x14ac:dyDescent="0.25">
      <c r="D357" s="158"/>
      <c r="E357" s="158"/>
      <c r="F357" s="158"/>
      <c r="G357" s="158"/>
      <c r="H357" s="158"/>
      <c r="I357" s="158"/>
    </row>
    <row r="358" ht="15.75" customHeight="1" spans="4:9" x14ac:dyDescent="0.25">
      <c r="D358" s="158"/>
      <c r="E358" s="158"/>
      <c r="F358" s="158"/>
      <c r="G358" s="158"/>
      <c r="H358" s="158"/>
      <c r="I358" s="158"/>
    </row>
    <row r="359" ht="15.75" customHeight="1" spans="4:9" x14ac:dyDescent="0.25">
      <c r="D359" s="158"/>
      <c r="E359" s="158"/>
      <c r="F359" s="158"/>
      <c r="G359" s="158"/>
      <c r="H359" s="158"/>
      <c r="I359" s="158"/>
    </row>
    <row r="360" ht="15.75" customHeight="1" spans="4:9" x14ac:dyDescent="0.25">
      <c r="D360" s="158"/>
      <c r="E360" s="158"/>
      <c r="F360" s="158"/>
      <c r="G360" s="158"/>
      <c r="H360" s="158"/>
      <c r="I360" s="158"/>
    </row>
    <row r="361" ht="15.75" customHeight="1" spans="4:9" x14ac:dyDescent="0.25">
      <c r="D361" s="158"/>
      <c r="E361" s="158"/>
      <c r="F361" s="158"/>
      <c r="G361" s="158"/>
      <c r="H361" s="158"/>
      <c r="I361" s="158"/>
    </row>
    <row r="362" ht="15.75" customHeight="1" spans="4:9" x14ac:dyDescent="0.25">
      <c r="D362" s="158"/>
      <c r="E362" s="158"/>
      <c r="F362" s="158"/>
      <c r="G362" s="158"/>
      <c r="H362" s="158"/>
      <c r="I362" s="158"/>
    </row>
    <row r="363" ht="15.75" customHeight="1" spans="4:9" x14ac:dyDescent="0.25">
      <c r="D363" s="158"/>
      <c r="E363" s="158"/>
      <c r="F363" s="158"/>
      <c r="G363" s="158"/>
      <c r="H363" s="158"/>
      <c r="I363" s="158"/>
    </row>
    <row r="364" ht="15.75" customHeight="1" spans="4:9" x14ac:dyDescent="0.25">
      <c r="D364" s="158"/>
      <c r="E364" s="158"/>
      <c r="F364" s="158"/>
      <c r="G364" s="158"/>
      <c r="H364" s="158"/>
      <c r="I364" s="158"/>
    </row>
    <row r="365" ht="15.75" customHeight="1" spans="4:9" x14ac:dyDescent="0.25">
      <c r="D365" s="158"/>
      <c r="E365" s="158"/>
      <c r="F365" s="158"/>
      <c r="G365" s="158"/>
      <c r="H365" s="158"/>
      <c r="I365" s="158"/>
    </row>
    <row r="366" ht="15.75" customHeight="1" spans="4:9" x14ac:dyDescent="0.25">
      <c r="D366" s="158"/>
      <c r="E366" s="158"/>
      <c r="F366" s="158"/>
      <c r="G366" s="158"/>
      <c r="H366" s="158"/>
      <c r="I366" s="158"/>
    </row>
    <row r="367" ht="15.75" customHeight="1" spans="4:9" x14ac:dyDescent="0.25">
      <c r="D367" s="158"/>
      <c r="E367" s="158"/>
      <c r="F367" s="158"/>
      <c r="G367" s="158"/>
      <c r="H367" s="158"/>
      <c r="I367" s="158"/>
    </row>
    <row r="368" ht="15.75" customHeight="1" spans="4:9" x14ac:dyDescent="0.25">
      <c r="D368" s="158"/>
      <c r="E368" s="158"/>
      <c r="F368" s="158"/>
      <c r="G368" s="158"/>
      <c r="H368" s="158"/>
      <c r="I368" s="158"/>
    </row>
    <row r="369" ht="15.75" customHeight="1" spans="4:9" x14ac:dyDescent="0.25">
      <c r="D369" s="158"/>
      <c r="E369" s="158"/>
      <c r="F369" s="158"/>
      <c r="G369" s="158"/>
      <c r="H369" s="158"/>
      <c r="I369" s="158"/>
    </row>
    <row r="370" ht="15.75" customHeight="1" spans="4:9" x14ac:dyDescent="0.25">
      <c r="D370" s="158"/>
      <c r="E370" s="158"/>
      <c r="F370" s="158"/>
      <c r="G370" s="158"/>
      <c r="H370" s="158"/>
      <c r="I370" s="158"/>
    </row>
    <row r="371" ht="15.75" customHeight="1" spans="4:9" x14ac:dyDescent="0.25">
      <c r="D371" s="158"/>
      <c r="E371" s="158"/>
      <c r="F371" s="158"/>
      <c r="G371" s="158"/>
      <c r="H371" s="158"/>
      <c r="I371" s="158"/>
    </row>
    <row r="372" ht="15.75" customHeight="1" spans="4:9" x14ac:dyDescent="0.25">
      <c r="D372" s="158"/>
      <c r="E372" s="158"/>
      <c r="F372" s="158"/>
      <c r="G372" s="158"/>
      <c r="H372" s="158"/>
      <c r="I372" s="158"/>
    </row>
    <row r="373" ht="15.75" customHeight="1" spans="4:9" x14ac:dyDescent="0.25">
      <c r="D373" s="158"/>
      <c r="E373" s="158"/>
      <c r="F373" s="158"/>
      <c r="G373" s="158"/>
      <c r="H373" s="158"/>
      <c r="I373" s="158"/>
    </row>
    <row r="374" ht="15.75" customHeight="1" spans="4:9" x14ac:dyDescent="0.25">
      <c r="D374" s="158"/>
      <c r="E374" s="158"/>
      <c r="F374" s="158"/>
      <c r="G374" s="158"/>
      <c r="H374" s="158"/>
      <c r="I374" s="158"/>
    </row>
    <row r="375" ht="15.75" customHeight="1" spans="4:9" x14ac:dyDescent="0.25">
      <c r="D375" s="158"/>
      <c r="E375" s="158"/>
      <c r="F375" s="158"/>
      <c r="G375" s="158"/>
      <c r="H375" s="158"/>
      <c r="I375" s="158"/>
    </row>
    <row r="376" ht="15.75" customHeight="1" spans="4:9" x14ac:dyDescent="0.25">
      <c r="D376" s="158"/>
      <c r="E376" s="158"/>
      <c r="F376" s="158"/>
      <c r="G376" s="158"/>
      <c r="H376" s="158"/>
      <c r="I376" s="158"/>
    </row>
    <row r="377" ht="15.75" customHeight="1" spans="4:9" x14ac:dyDescent="0.25">
      <c r="D377" s="158"/>
      <c r="E377" s="158"/>
      <c r="F377" s="158"/>
      <c r="G377" s="158"/>
      <c r="H377" s="158"/>
      <c r="I377" s="158"/>
    </row>
    <row r="378" ht="15.75" customHeight="1" spans="4:9" x14ac:dyDescent="0.25">
      <c r="D378" s="158"/>
      <c r="E378" s="158"/>
      <c r="F378" s="158"/>
      <c r="G378" s="158"/>
      <c r="H378" s="158"/>
      <c r="I378" s="158"/>
    </row>
    <row r="379" ht="15.75" customHeight="1" spans="4:9" x14ac:dyDescent="0.25">
      <c r="D379" s="158"/>
      <c r="E379" s="158"/>
      <c r="F379" s="158"/>
      <c r="G379" s="158"/>
      <c r="H379" s="158"/>
      <c r="I379" s="158"/>
    </row>
    <row r="380" ht="15.75" customHeight="1" spans="4:9" x14ac:dyDescent="0.25">
      <c r="D380" s="158"/>
      <c r="E380" s="158"/>
      <c r="F380" s="158"/>
      <c r="G380" s="158"/>
      <c r="H380" s="158"/>
      <c r="I380" s="158"/>
    </row>
    <row r="381" ht="15.75" customHeight="1" spans="4:9" x14ac:dyDescent="0.25">
      <c r="D381" s="158"/>
      <c r="E381" s="158"/>
      <c r="F381" s="158"/>
      <c r="G381" s="158"/>
      <c r="H381" s="158"/>
      <c r="I381" s="158"/>
    </row>
    <row r="382" ht="15.75" customHeight="1" spans="4:9" x14ac:dyDescent="0.25">
      <c r="D382" s="158"/>
      <c r="E382" s="158"/>
      <c r="F382" s="158"/>
      <c r="G382" s="158"/>
      <c r="H382" s="158"/>
      <c r="I382" s="158"/>
    </row>
    <row r="383" ht="15.75" customHeight="1" spans="4:9" x14ac:dyDescent="0.25">
      <c r="D383" s="158"/>
      <c r="E383" s="158"/>
      <c r="F383" s="158"/>
      <c r="G383" s="158"/>
      <c r="H383" s="158"/>
      <c r="I383" s="158"/>
    </row>
    <row r="384" ht="15.75" customHeight="1" spans="4:9" x14ac:dyDescent="0.25">
      <c r="D384" s="158"/>
      <c r="E384" s="158"/>
      <c r="F384" s="158"/>
      <c r="G384" s="158"/>
      <c r="H384" s="158"/>
      <c r="I384" s="158"/>
    </row>
    <row r="385" ht="15.75" customHeight="1" spans="4:9" x14ac:dyDescent="0.25">
      <c r="D385" s="158"/>
      <c r="E385" s="158"/>
      <c r="F385" s="158"/>
      <c r="G385" s="158"/>
      <c r="H385" s="158"/>
      <c r="I385" s="158"/>
    </row>
    <row r="386" ht="15.75" customHeight="1" spans="4:9" x14ac:dyDescent="0.25">
      <c r="D386" s="158"/>
      <c r="E386" s="158"/>
      <c r="F386" s="158"/>
      <c r="G386" s="158"/>
      <c r="H386" s="158"/>
      <c r="I386" s="158"/>
    </row>
    <row r="387" ht="15.75" customHeight="1" spans="4:9" x14ac:dyDescent="0.25">
      <c r="D387" s="158"/>
      <c r="E387" s="158"/>
      <c r="F387" s="158"/>
      <c r="G387" s="158"/>
      <c r="H387" s="158"/>
      <c r="I387" s="158"/>
    </row>
    <row r="388" ht="15.75" customHeight="1" spans="4:9" x14ac:dyDescent="0.25">
      <c r="D388" s="158"/>
      <c r="E388" s="158"/>
      <c r="F388" s="158"/>
      <c r="G388" s="158"/>
      <c r="H388" s="158"/>
      <c r="I388" s="158"/>
    </row>
    <row r="389" ht="15.75" customHeight="1" spans="4:9" x14ac:dyDescent="0.25">
      <c r="D389" s="158"/>
      <c r="E389" s="158"/>
      <c r="F389" s="158"/>
      <c r="G389" s="158"/>
      <c r="H389" s="158"/>
      <c r="I389" s="158"/>
    </row>
    <row r="390" ht="15.75" customHeight="1" spans="4:9" x14ac:dyDescent="0.25">
      <c r="D390" s="158"/>
      <c r="E390" s="158"/>
      <c r="F390" s="158"/>
      <c r="G390" s="158"/>
      <c r="H390" s="158"/>
      <c r="I390" s="158"/>
    </row>
    <row r="391" ht="15.75" customHeight="1" spans="4:9" x14ac:dyDescent="0.25">
      <c r="D391" s="158"/>
      <c r="E391" s="158"/>
      <c r="F391" s="158"/>
      <c r="G391" s="158"/>
      <c r="H391" s="158"/>
      <c r="I391" s="158"/>
    </row>
    <row r="392" ht="15.75" customHeight="1" spans="4:9" x14ac:dyDescent="0.25">
      <c r="D392" s="158"/>
      <c r="E392" s="158"/>
      <c r="F392" s="158"/>
      <c r="G392" s="158"/>
      <c r="H392" s="158"/>
      <c r="I392" s="158"/>
    </row>
    <row r="393" ht="15.75" customHeight="1" spans="4:9" x14ac:dyDescent="0.25">
      <c r="D393" s="158"/>
      <c r="E393" s="158"/>
      <c r="F393" s="158"/>
      <c r="G393" s="158"/>
      <c r="H393" s="158"/>
      <c r="I393" s="158"/>
    </row>
    <row r="394" ht="15.75" customHeight="1" spans="4:9" x14ac:dyDescent="0.25">
      <c r="D394" s="158"/>
      <c r="E394" s="158"/>
      <c r="F394" s="158"/>
      <c r="G394" s="158"/>
      <c r="H394" s="158"/>
      <c r="I394" s="158"/>
    </row>
    <row r="395" ht="15.75" customHeight="1" spans="4:9" x14ac:dyDescent="0.25">
      <c r="D395" s="158"/>
      <c r="E395" s="158"/>
      <c r="F395" s="158"/>
      <c r="G395" s="158"/>
      <c r="H395" s="158"/>
      <c r="I395" s="158"/>
    </row>
    <row r="396" ht="15.75" customHeight="1" spans="4:9" x14ac:dyDescent="0.25">
      <c r="D396" s="158"/>
      <c r="E396" s="158"/>
      <c r="F396" s="158"/>
      <c r="G396" s="158"/>
      <c r="H396" s="158"/>
      <c r="I396" s="158"/>
    </row>
    <row r="397" ht="15.75" customHeight="1" spans="4:9" x14ac:dyDescent="0.25">
      <c r="D397" s="158"/>
      <c r="E397" s="158"/>
      <c r="F397" s="158"/>
      <c r="G397" s="158"/>
      <c r="H397" s="158"/>
      <c r="I397" s="158"/>
    </row>
    <row r="398" ht="15.75" customHeight="1" spans="4:9" x14ac:dyDescent="0.25">
      <c r="D398" s="158"/>
      <c r="E398" s="158"/>
      <c r="F398" s="158"/>
      <c r="G398" s="158"/>
      <c r="H398" s="158"/>
      <c r="I398" s="158"/>
    </row>
    <row r="399" ht="15.75" customHeight="1" spans="4:9" x14ac:dyDescent="0.25">
      <c r="D399" s="158"/>
      <c r="E399" s="158"/>
      <c r="F399" s="158"/>
      <c r="G399" s="158"/>
      <c r="H399" s="158"/>
      <c r="I399" s="158"/>
    </row>
    <row r="400" ht="15.75" customHeight="1" spans="4:9" x14ac:dyDescent="0.25">
      <c r="D400" s="158"/>
      <c r="E400" s="158"/>
      <c r="F400" s="158"/>
      <c r="G400" s="158"/>
      <c r="H400" s="158"/>
      <c r="I400" s="158"/>
    </row>
    <row r="401" ht="15.75" customHeight="1" spans="4:9" x14ac:dyDescent="0.25">
      <c r="D401" s="158"/>
      <c r="E401" s="158"/>
      <c r="F401" s="158"/>
      <c r="G401" s="158"/>
      <c r="H401" s="158"/>
      <c r="I401" s="158"/>
    </row>
    <row r="402" ht="15.75" customHeight="1" spans="4:9" x14ac:dyDescent="0.25">
      <c r="D402" s="158"/>
      <c r="E402" s="158"/>
      <c r="F402" s="158"/>
      <c r="G402" s="158"/>
      <c r="H402" s="158"/>
      <c r="I402" s="158"/>
    </row>
    <row r="403" ht="15.75" customHeight="1" spans="4:9" x14ac:dyDescent="0.25">
      <c r="D403" s="158"/>
      <c r="E403" s="158"/>
      <c r="F403" s="158"/>
      <c r="G403" s="158"/>
      <c r="H403" s="158"/>
      <c r="I403" s="158"/>
    </row>
    <row r="404" ht="15.75" customHeight="1" spans="4:9" x14ac:dyDescent="0.25">
      <c r="D404" s="158"/>
      <c r="E404" s="158"/>
      <c r="F404" s="158"/>
      <c r="G404" s="158"/>
      <c r="H404" s="158"/>
      <c r="I404" s="158"/>
    </row>
    <row r="405" ht="15.75" customHeight="1" spans="4:9" x14ac:dyDescent="0.25">
      <c r="D405" s="158"/>
      <c r="E405" s="158"/>
      <c r="F405" s="158"/>
      <c r="G405" s="158"/>
      <c r="H405" s="158"/>
      <c r="I405" s="158"/>
    </row>
    <row r="406" ht="15.75" customHeight="1" spans="4:9" x14ac:dyDescent="0.25">
      <c r="D406" s="158"/>
      <c r="E406" s="158"/>
      <c r="F406" s="158"/>
      <c r="G406" s="158"/>
      <c r="H406" s="158"/>
      <c r="I406" s="158"/>
    </row>
    <row r="407" ht="15.75" customHeight="1" spans="4:9" x14ac:dyDescent="0.25">
      <c r="D407" s="158"/>
      <c r="E407" s="158"/>
      <c r="F407" s="158"/>
      <c r="G407" s="158"/>
      <c r="H407" s="158"/>
      <c r="I407" s="158"/>
    </row>
    <row r="408" ht="15.75" customHeight="1" spans="4:9" x14ac:dyDescent="0.25">
      <c r="D408" s="158"/>
      <c r="E408" s="158"/>
      <c r="F408" s="158"/>
      <c r="G408" s="158"/>
      <c r="H408" s="158"/>
      <c r="I408" s="158"/>
    </row>
    <row r="409" ht="15.75" customHeight="1" spans="4:9" x14ac:dyDescent="0.25">
      <c r="D409" s="158"/>
      <c r="E409" s="158"/>
      <c r="F409" s="158"/>
      <c r="G409" s="158"/>
      <c r="H409" s="158"/>
      <c r="I409" s="158"/>
    </row>
    <row r="410" ht="15.75" customHeight="1" spans="4:9" x14ac:dyDescent="0.25">
      <c r="D410" s="158"/>
      <c r="E410" s="158"/>
      <c r="F410" s="158"/>
      <c r="G410" s="158"/>
      <c r="H410" s="158"/>
      <c r="I410" s="158"/>
    </row>
    <row r="411" ht="15.75" customHeight="1" spans="4:9" x14ac:dyDescent="0.25">
      <c r="D411" s="158"/>
      <c r="E411" s="158"/>
      <c r="F411" s="158"/>
      <c r="G411" s="158"/>
      <c r="H411" s="158"/>
      <c r="I411" s="158"/>
    </row>
    <row r="412" ht="15.75" customHeight="1" spans="4:9" x14ac:dyDescent="0.25">
      <c r="D412" s="158"/>
      <c r="E412" s="158"/>
      <c r="F412" s="158"/>
      <c r="G412" s="158"/>
      <c r="H412" s="158"/>
      <c r="I412" s="158"/>
    </row>
    <row r="413" ht="15.75" customHeight="1" spans="4:9" x14ac:dyDescent="0.25">
      <c r="D413" s="158"/>
      <c r="E413" s="158"/>
      <c r="F413" s="158"/>
      <c r="G413" s="158"/>
      <c r="H413" s="158"/>
      <c r="I413" s="158"/>
    </row>
    <row r="414" ht="15.75" customHeight="1" spans="4:9" x14ac:dyDescent="0.25">
      <c r="D414" s="158"/>
      <c r="E414" s="158"/>
      <c r="F414" s="158"/>
      <c r="G414" s="158"/>
      <c r="H414" s="158"/>
      <c r="I414" s="158"/>
    </row>
    <row r="415" ht="15.75" customHeight="1" spans="4:9" x14ac:dyDescent="0.25">
      <c r="D415" s="158"/>
      <c r="E415" s="158"/>
      <c r="F415" s="158"/>
      <c r="G415" s="158"/>
      <c r="H415" s="158"/>
      <c r="I415" s="158"/>
    </row>
    <row r="416" ht="15.75" customHeight="1" spans="4:9" x14ac:dyDescent="0.25">
      <c r="D416" s="158"/>
      <c r="E416" s="158"/>
      <c r="F416" s="158"/>
      <c r="G416" s="158"/>
      <c r="H416" s="158"/>
      <c r="I416" s="158"/>
    </row>
    <row r="417" ht="15.75" customHeight="1" spans="4:9" x14ac:dyDescent="0.25">
      <c r="D417" s="158"/>
      <c r="E417" s="158"/>
      <c r="F417" s="158"/>
      <c r="G417" s="158"/>
      <c r="H417" s="158"/>
      <c r="I417" s="158"/>
    </row>
    <row r="418" ht="15.75" customHeight="1" spans="4:9" x14ac:dyDescent="0.25">
      <c r="D418" s="158"/>
      <c r="E418" s="158"/>
      <c r="F418" s="158"/>
      <c r="G418" s="158"/>
      <c r="H418" s="158"/>
      <c r="I418" s="158"/>
    </row>
    <row r="419" ht="15.75" customHeight="1" spans="4:9" x14ac:dyDescent="0.25">
      <c r="D419" s="158"/>
      <c r="E419" s="158"/>
      <c r="F419" s="158"/>
      <c r="G419" s="158"/>
      <c r="H419" s="158"/>
      <c r="I419" s="158"/>
    </row>
    <row r="420" ht="15.75" customHeight="1" spans="4:9" x14ac:dyDescent="0.25">
      <c r="D420" s="158"/>
      <c r="E420" s="158"/>
      <c r="F420" s="158"/>
      <c r="G420" s="158"/>
      <c r="H420" s="158"/>
      <c r="I420" s="158"/>
    </row>
    <row r="421" ht="15.75" customHeight="1" spans="4:9" x14ac:dyDescent="0.25">
      <c r="D421" s="158"/>
      <c r="E421" s="158"/>
      <c r="F421" s="158"/>
      <c r="G421" s="158"/>
      <c r="H421" s="158"/>
      <c r="I421" s="158"/>
    </row>
    <row r="422" ht="15.75" customHeight="1" spans="4:9" x14ac:dyDescent="0.25">
      <c r="D422" s="158"/>
      <c r="E422" s="158"/>
      <c r="F422" s="158"/>
      <c r="G422" s="158"/>
      <c r="H422" s="158"/>
      <c r="I422" s="158"/>
    </row>
    <row r="423" ht="15.75" customHeight="1" spans="4:9" x14ac:dyDescent="0.25">
      <c r="D423" s="158"/>
      <c r="E423" s="158"/>
      <c r="F423" s="158"/>
      <c r="G423" s="158"/>
      <c r="H423" s="158"/>
      <c r="I423" s="158"/>
    </row>
    <row r="424" ht="15.75" customHeight="1" spans="4:9" x14ac:dyDescent="0.25">
      <c r="D424" s="158"/>
      <c r="E424" s="158"/>
      <c r="F424" s="158"/>
      <c r="G424" s="158"/>
      <c r="H424" s="158"/>
      <c r="I424" s="158"/>
    </row>
    <row r="425" ht="15.75" customHeight="1" spans="4:9" x14ac:dyDescent="0.25">
      <c r="D425" s="158"/>
      <c r="E425" s="158"/>
      <c r="F425" s="158"/>
      <c r="G425" s="158"/>
      <c r="H425" s="158"/>
      <c r="I425" s="158"/>
    </row>
    <row r="426" ht="15.75" customHeight="1" spans="4:9" x14ac:dyDescent="0.25">
      <c r="D426" s="158"/>
      <c r="E426" s="158"/>
      <c r="F426" s="158"/>
      <c r="G426" s="158"/>
      <c r="H426" s="158"/>
      <c r="I426" s="158"/>
    </row>
    <row r="427" ht="15.75" customHeight="1" spans="4:9" x14ac:dyDescent="0.25">
      <c r="D427" s="158"/>
      <c r="E427" s="158"/>
      <c r="F427" s="158"/>
      <c r="G427" s="158"/>
      <c r="H427" s="158"/>
      <c r="I427" s="158"/>
    </row>
    <row r="428" ht="15.75" customHeight="1" spans="4:9" x14ac:dyDescent="0.25">
      <c r="D428" s="158"/>
      <c r="E428" s="158"/>
      <c r="F428" s="158"/>
      <c r="G428" s="158"/>
      <c r="H428" s="158"/>
      <c r="I428" s="158"/>
    </row>
    <row r="429" ht="15.75" customHeight="1" spans="4:9" x14ac:dyDescent="0.25">
      <c r="D429" s="158"/>
      <c r="E429" s="158"/>
      <c r="F429" s="158"/>
      <c r="G429" s="158"/>
      <c r="H429" s="158"/>
      <c r="I429" s="158"/>
    </row>
    <row r="430" ht="15.75" customHeight="1" spans="4:9" x14ac:dyDescent="0.25">
      <c r="D430" s="158"/>
      <c r="E430" s="158"/>
      <c r="F430" s="158"/>
      <c r="G430" s="158"/>
      <c r="H430" s="158"/>
      <c r="I430" s="158"/>
    </row>
    <row r="431" ht="15.75" customHeight="1" spans="4:9" x14ac:dyDescent="0.25">
      <c r="D431" s="158"/>
      <c r="E431" s="158"/>
      <c r="F431" s="158"/>
      <c r="G431" s="158"/>
      <c r="H431" s="158"/>
      <c r="I431" s="158"/>
    </row>
    <row r="432" ht="15.75" customHeight="1" spans="4:9" x14ac:dyDescent="0.25">
      <c r="D432" s="158"/>
      <c r="E432" s="158"/>
      <c r="F432" s="158"/>
      <c r="G432" s="158"/>
      <c r="H432" s="158"/>
      <c r="I432" s="158"/>
    </row>
    <row r="433" ht="15.75" customHeight="1" spans="4:9" x14ac:dyDescent="0.25">
      <c r="D433" s="158"/>
      <c r="E433" s="158"/>
      <c r="F433" s="158"/>
      <c r="G433" s="158"/>
      <c r="H433" s="158"/>
      <c r="I433" s="158"/>
    </row>
    <row r="434" ht="15.75" customHeight="1" spans="4:9" x14ac:dyDescent="0.25">
      <c r="D434" s="158"/>
      <c r="E434" s="158"/>
      <c r="F434" s="158"/>
      <c r="G434" s="158"/>
      <c r="H434" s="158"/>
      <c r="I434" s="158"/>
    </row>
    <row r="435" ht="15.75" customHeight="1" spans="4:9" x14ac:dyDescent="0.25">
      <c r="D435" s="158"/>
      <c r="E435" s="158"/>
      <c r="F435" s="158"/>
      <c r="G435" s="158"/>
      <c r="H435" s="158"/>
      <c r="I435" s="158"/>
    </row>
    <row r="436" ht="15.75" customHeight="1" spans="4:9" x14ac:dyDescent="0.25">
      <c r="D436" s="158"/>
      <c r="E436" s="158"/>
      <c r="F436" s="158"/>
      <c r="G436" s="158"/>
      <c r="H436" s="158"/>
      <c r="I436" s="158"/>
    </row>
    <row r="437" ht="15.75" customHeight="1" spans="4:9" x14ac:dyDescent="0.25">
      <c r="D437" s="158"/>
      <c r="E437" s="158"/>
      <c r="F437" s="158"/>
      <c r="G437" s="158"/>
      <c r="H437" s="158"/>
      <c r="I437" s="158"/>
    </row>
    <row r="438" ht="15.75" customHeight="1" spans="4:9" x14ac:dyDescent="0.25">
      <c r="D438" s="158"/>
      <c r="E438" s="158"/>
      <c r="F438" s="158"/>
      <c r="G438" s="158"/>
      <c r="H438" s="158"/>
      <c r="I438" s="158"/>
    </row>
    <row r="439" ht="15.75" customHeight="1" spans="4:9" x14ac:dyDescent="0.25">
      <c r="D439" s="158"/>
      <c r="E439" s="158"/>
      <c r="F439" s="158"/>
      <c r="G439" s="158"/>
      <c r="H439" s="158"/>
      <c r="I439" s="158"/>
    </row>
    <row r="440" ht="15.75" customHeight="1" spans="4:9" x14ac:dyDescent="0.25">
      <c r="D440" s="158"/>
      <c r="E440" s="158"/>
      <c r="F440" s="158"/>
      <c r="G440" s="158"/>
      <c r="H440" s="158"/>
      <c r="I440" s="158"/>
    </row>
    <row r="441" ht="15.75" customHeight="1" spans="4:9" x14ac:dyDescent="0.25">
      <c r="D441" s="158"/>
      <c r="E441" s="158"/>
      <c r="F441" s="158"/>
      <c r="G441" s="158"/>
      <c r="H441" s="158"/>
      <c r="I441" s="158"/>
    </row>
    <row r="442" ht="15.75" customHeight="1" spans="4:9" x14ac:dyDescent="0.25">
      <c r="D442" s="158"/>
      <c r="E442" s="158"/>
      <c r="F442" s="158"/>
      <c r="G442" s="158"/>
      <c r="H442" s="158"/>
      <c r="I442" s="158"/>
    </row>
    <row r="443" ht="15.75" customHeight="1" spans="4:9" x14ac:dyDescent="0.25">
      <c r="D443" s="158"/>
      <c r="E443" s="158"/>
      <c r="F443" s="158"/>
      <c r="G443" s="158"/>
      <c r="H443" s="158"/>
      <c r="I443" s="158"/>
    </row>
    <row r="444" ht="15.75" customHeight="1" spans="4:9" x14ac:dyDescent="0.25">
      <c r="D444" s="158"/>
      <c r="E444" s="158"/>
      <c r="F444" s="158"/>
      <c r="G444" s="158"/>
      <c r="H444" s="158"/>
      <c r="I444" s="158"/>
    </row>
    <row r="445" ht="15.75" customHeight="1" spans="4:9" x14ac:dyDescent="0.25">
      <c r="D445" s="158"/>
      <c r="E445" s="158"/>
      <c r="F445" s="158"/>
      <c r="G445" s="158"/>
      <c r="H445" s="158"/>
      <c r="I445" s="158"/>
    </row>
    <row r="446" ht="15.75" customHeight="1" spans="4:9" x14ac:dyDescent="0.25">
      <c r="D446" s="158"/>
      <c r="E446" s="158"/>
      <c r="F446" s="158"/>
      <c r="G446" s="158"/>
      <c r="H446" s="158"/>
      <c r="I446" s="158"/>
    </row>
    <row r="447" ht="15.75" customHeight="1" spans="4:9" x14ac:dyDescent="0.25">
      <c r="D447" s="158"/>
      <c r="E447" s="158"/>
      <c r="F447" s="158"/>
      <c r="G447" s="158"/>
      <c r="H447" s="158"/>
      <c r="I447" s="158"/>
    </row>
    <row r="448" ht="15.75" customHeight="1" spans="4:9" x14ac:dyDescent="0.25">
      <c r="D448" s="158"/>
      <c r="E448" s="158"/>
      <c r="F448" s="158"/>
      <c r="G448" s="158"/>
      <c r="H448" s="158"/>
      <c r="I448" s="158"/>
    </row>
    <row r="449" ht="15.75" customHeight="1" spans="4:9" x14ac:dyDescent="0.25">
      <c r="D449" s="158"/>
      <c r="E449" s="158"/>
      <c r="F449" s="158"/>
      <c r="G449" s="158"/>
      <c r="H449" s="158"/>
      <c r="I449" s="158"/>
    </row>
    <row r="450" ht="15.75" customHeight="1" spans="4:9" x14ac:dyDescent="0.25">
      <c r="D450" s="158"/>
      <c r="E450" s="158"/>
      <c r="F450" s="158"/>
      <c r="G450" s="158"/>
      <c r="H450" s="158"/>
      <c r="I450" s="158"/>
    </row>
    <row r="451" ht="15.75" customHeight="1" spans="4:9" x14ac:dyDescent="0.25">
      <c r="D451" s="158"/>
      <c r="E451" s="158"/>
      <c r="F451" s="158"/>
      <c r="G451" s="158"/>
      <c r="H451" s="158"/>
      <c r="I451" s="158"/>
    </row>
    <row r="452" ht="15.75" customHeight="1" spans="4:9" x14ac:dyDescent="0.25">
      <c r="D452" s="158"/>
      <c r="E452" s="158"/>
      <c r="F452" s="158"/>
      <c r="G452" s="158"/>
      <c r="H452" s="158"/>
      <c r="I452" s="158"/>
    </row>
    <row r="453" ht="15.75" customHeight="1" spans="4:9" x14ac:dyDescent="0.25">
      <c r="D453" s="158"/>
      <c r="E453" s="158"/>
      <c r="F453" s="158"/>
      <c r="G453" s="158"/>
      <c r="H453" s="158"/>
      <c r="I453" s="158"/>
    </row>
    <row r="454" ht="15.75" customHeight="1" spans="4:9" x14ac:dyDescent="0.25">
      <c r="D454" s="158"/>
      <c r="E454" s="158"/>
      <c r="F454" s="158"/>
      <c r="G454" s="158"/>
      <c r="H454" s="158"/>
      <c r="I454" s="158"/>
    </row>
    <row r="455" ht="15.75" customHeight="1" spans="4:9" x14ac:dyDescent="0.25">
      <c r="D455" s="158"/>
      <c r="E455" s="158"/>
      <c r="F455" s="158"/>
      <c r="G455" s="158"/>
      <c r="H455" s="158"/>
      <c r="I455" s="158"/>
    </row>
    <row r="456" ht="15.75" customHeight="1" spans="4:9" x14ac:dyDescent="0.25">
      <c r="D456" s="158"/>
      <c r="E456" s="158"/>
      <c r="F456" s="158"/>
      <c r="G456" s="158"/>
      <c r="H456" s="158"/>
      <c r="I456" s="158"/>
    </row>
    <row r="457" ht="15.75" customHeight="1" spans="4:9" x14ac:dyDescent="0.25">
      <c r="D457" s="158"/>
      <c r="E457" s="158"/>
      <c r="F457" s="158"/>
      <c r="G457" s="158"/>
      <c r="H457" s="158"/>
      <c r="I457" s="158"/>
    </row>
    <row r="458" ht="15.75" customHeight="1" spans="4:9" x14ac:dyDescent="0.25">
      <c r="D458" s="158"/>
      <c r="E458" s="158"/>
      <c r="F458" s="158"/>
      <c r="G458" s="158"/>
      <c r="H458" s="158"/>
      <c r="I458" s="158"/>
    </row>
    <row r="459" ht="15.75" customHeight="1" spans="4:9" x14ac:dyDescent="0.25">
      <c r="D459" s="158"/>
      <c r="E459" s="158"/>
      <c r="F459" s="158"/>
      <c r="G459" s="158"/>
      <c r="H459" s="158"/>
      <c r="I459" s="158"/>
    </row>
    <row r="460" ht="15.75" customHeight="1" spans="4:9" x14ac:dyDescent="0.25">
      <c r="D460" s="158"/>
      <c r="E460" s="158"/>
      <c r="F460" s="158"/>
      <c r="G460" s="158"/>
      <c r="H460" s="158"/>
      <c r="I460" s="158"/>
    </row>
    <row r="461" ht="15.75" customHeight="1" spans="4:9" x14ac:dyDescent="0.25">
      <c r="D461" s="158"/>
      <c r="E461" s="158"/>
      <c r="F461" s="158"/>
      <c r="G461" s="158"/>
      <c r="H461" s="158"/>
      <c r="I461" s="158"/>
    </row>
    <row r="462" ht="15.75" customHeight="1" spans="4:9" x14ac:dyDescent="0.25">
      <c r="D462" s="158"/>
      <c r="E462" s="158"/>
      <c r="F462" s="158"/>
      <c r="G462" s="158"/>
      <c r="H462" s="158"/>
      <c r="I462" s="158"/>
    </row>
    <row r="463" ht="15.75" customHeight="1" spans="4:9" x14ac:dyDescent="0.25">
      <c r="D463" s="158"/>
      <c r="E463" s="158"/>
      <c r="F463" s="158"/>
      <c r="G463" s="158"/>
      <c r="H463" s="158"/>
      <c r="I463" s="158"/>
    </row>
    <row r="464" ht="15.75" customHeight="1" spans="4:9" x14ac:dyDescent="0.25">
      <c r="D464" s="158"/>
      <c r="E464" s="158"/>
      <c r="F464" s="158"/>
      <c r="G464" s="158"/>
      <c r="H464" s="158"/>
      <c r="I464" s="158"/>
    </row>
    <row r="465" ht="15.75" customHeight="1" spans="4:9" x14ac:dyDescent="0.25">
      <c r="D465" s="158"/>
      <c r="E465" s="158"/>
      <c r="F465" s="158"/>
      <c r="G465" s="158"/>
      <c r="H465" s="158"/>
      <c r="I465" s="158"/>
    </row>
    <row r="466" ht="15.75" customHeight="1" spans="4:9" x14ac:dyDescent="0.25">
      <c r="D466" s="158"/>
      <c r="E466" s="158"/>
      <c r="F466" s="158"/>
      <c r="G466" s="158"/>
      <c r="H466" s="158"/>
      <c r="I466" s="158"/>
    </row>
    <row r="467" ht="15.75" customHeight="1" spans="4:9" x14ac:dyDescent="0.25">
      <c r="D467" s="158"/>
      <c r="E467" s="158"/>
      <c r="F467" s="158"/>
      <c r="G467" s="158"/>
      <c r="H467" s="158"/>
      <c r="I467" s="158"/>
    </row>
    <row r="468" ht="15.75" customHeight="1" spans="4:9" x14ac:dyDescent="0.25">
      <c r="D468" s="158"/>
      <c r="E468" s="158"/>
      <c r="F468" s="158"/>
      <c r="G468" s="158"/>
      <c r="H468" s="158"/>
      <c r="I468" s="158"/>
    </row>
    <row r="469" ht="15.75" customHeight="1" spans="4:9" x14ac:dyDescent="0.25">
      <c r="D469" s="158"/>
      <c r="E469" s="158"/>
      <c r="F469" s="158"/>
      <c r="G469" s="158"/>
      <c r="H469" s="158"/>
      <c r="I469" s="158"/>
    </row>
    <row r="470" ht="15.75" customHeight="1" spans="4:9" x14ac:dyDescent="0.25">
      <c r="D470" s="158"/>
      <c r="E470" s="158"/>
      <c r="F470" s="158"/>
      <c r="G470" s="158"/>
      <c r="H470" s="158"/>
      <c r="I470" s="158"/>
    </row>
    <row r="471" ht="15.75" customHeight="1" spans="4:9" x14ac:dyDescent="0.25">
      <c r="D471" s="158"/>
      <c r="E471" s="158"/>
      <c r="F471" s="158"/>
      <c r="G471" s="158"/>
      <c r="H471" s="158"/>
      <c r="I471" s="158"/>
    </row>
    <row r="472" ht="15.75" customHeight="1" spans="4:9" x14ac:dyDescent="0.25">
      <c r="D472" s="158"/>
      <c r="E472" s="158"/>
      <c r="F472" s="158"/>
      <c r="G472" s="158"/>
      <c r="H472" s="158"/>
      <c r="I472" s="158"/>
    </row>
    <row r="473" ht="15.75" customHeight="1" spans="4:9" x14ac:dyDescent="0.25">
      <c r="D473" s="158"/>
      <c r="E473" s="158"/>
      <c r="F473" s="158"/>
      <c r="G473" s="158"/>
      <c r="H473" s="158"/>
      <c r="I473" s="158"/>
    </row>
    <row r="474" ht="15.75" customHeight="1" spans="4:9" x14ac:dyDescent="0.25">
      <c r="D474" s="158"/>
      <c r="E474" s="158"/>
      <c r="F474" s="158"/>
      <c r="G474" s="158"/>
      <c r="H474" s="158"/>
      <c r="I474" s="158"/>
    </row>
    <row r="475" ht="15.75" customHeight="1" spans="4:9" x14ac:dyDescent="0.25">
      <c r="D475" s="158"/>
      <c r="E475" s="158"/>
      <c r="F475" s="158"/>
      <c r="G475" s="158"/>
      <c r="H475" s="158"/>
      <c r="I475" s="158"/>
    </row>
    <row r="476" ht="15.75" customHeight="1" spans="4:9" x14ac:dyDescent="0.25">
      <c r="D476" s="158"/>
      <c r="E476" s="158"/>
      <c r="F476" s="158"/>
      <c r="G476" s="158"/>
      <c r="H476" s="158"/>
      <c r="I476" s="158"/>
    </row>
    <row r="477" ht="15.75" customHeight="1" spans="4:9" x14ac:dyDescent="0.25">
      <c r="D477" s="158"/>
      <c r="E477" s="158"/>
      <c r="F477" s="158"/>
      <c r="G477" s="158"/>
      <c r="H477" s="158"/>
      <c r="I477" s="158"/>
    </row>
    <row r="478" ht="15.75" customHeight="1" spans="4:9" x14ac:dyDescent="0.25">
      <c r="D478" s="158"/>
      <c r="E478" s="158"/>
      <c r="F478" s="158"/>
      <c r="G478" s="158"/>
      <c r="H478" s="158"/>
      <c r="I478" s="158"/>
    </row>
    <row r="479" ht="15.75" customHeight="1" spans="4:9" x14ac:dyDescent="0.25">
      <c r="D479" s="158"/>
      <c r="E479" s="158"/>
      <c r="F479" s="158"/>
      <c r="G479" s="158"/>
      <c r="H479" s="158"/>
      <c r="I479" s="158"/>
    </row>
    <row r="480" ht="15.75" customHeight="1" spans="4:9" x14ac:dyDescent="0.25">
      <c r="D480" s="158"/>
      <c r="E480" s="158"/>
      <c r="F480" s="158"/>
      <c r="G480" s="158"/>
      <c r="H480" s="158"/>
      <c r="I480" s="158"/>
    </row>
    <row r="481" ht="15.75" customHeight="1" spans="4:9" x14ac:dyDescent="0.25">
      <c r="D481" s="158"/>
      <c r="E481" s="158"/>
      <c r="F481" s="158"/>
      <c r="G481" s="158"/>
      <c r="H481" s="158"/>
      <c r="I481" s="158"/>
    </row>
    <row r="482" ht="15.75" customHeight="1" spans="4:9" x14ac:dyDescent="0.25">
      <c r="D482" s="158"/>
      <c r="E482" s="158"/>
      <c r="F482" s="158"/>
      <c r="G482" s="158"/>
      <c r="H482" s="158"/>
      <c r="I482" s="158"/>
    </row>
    <row r="483" ht="15.75" customHeight="1" spans="4:9" x14ac:dyDescent="0.25">
      <c r="D483" s="158"/>
      <c r="E483" s="158"/>
      <c r="F483" s="158"/>
      <c r="G483" s="158"/>
      <c r="H483" s="158"/>
      <c r="I483" s="158"/>
    </row>
    <row r="484" ht="15.75" customHeight="1" spans="4:9" x14ac:dyDescent="0.25">
      <c r="D484" s="158"/>
      <c r="E484" s="158"/>
      <c r="F484" s="158"/>
      <c r="G484" s="158"/>
      <c r="H484" s="158"/>
      <c r="I484" s="158"/>
    </row>
    <row r="485" ht="15.75" customHeight="1" spans="4:9" x14ac:dyDescent="0.25">
      <c r="D485" s="158"/>
      <c r="E485" s="158"/>
      <c r="F485" s="158"/>
      <c r="G485" s="158"/>
      <c r="H485" s="158"/>
      <c r="I485" s="158"/>
    </row>
    <row r="486" ht="15.75" customHeight="1" spans="4:9" x14ac:dyDescent="0.25">
      <c r="D486" s="158"/>
      <c r="E486" s="158"/>
      <c r="F486" s="158"/>
      <c r="G486" s="158"/>
      <c r="H486" s="158"/>
      <c r="I486" s="158"/>
    </row>
    <row r="487" ht="15.75" customHeight="1" spans="4:9" x14ac:dyDescent="0.25">
      <c r="D487" s="158"/>
      <c r="E487" s="158"/>
      <c r="F487" s="158"/>
      <c r="G487" s="158"/>
      <c r="H487" s="158"/>
      <c r="I487" s="158"/>
    </row>
    <row r="488" ht="15.75" customHeight="1" spans="4:9" x14ac:dyDescent="0.25">
      <c r="D488" s="158"/>
      <c r="E488" s="158"/>
      <c r="F488" s="158"/>
      <c r="G488" s="158"/>
      <c r="H488" s="158"/>
      <c r="I488" s="158"/>
    </row>
    <row r="489" ht="15.75" customHeight="1" spans="4:9" x14ac:dyDescent="0.25">
      <c r="D489" s="158"/>
      <c r="E489" s="158"/>
      <c r="F489" s="158"/>
      <c r="G489" s="158"/>
      <c r="H489" s="158"/>
      <c r="I489" s="158"/>
    </row>
    <row r="490" ht="15.75" customHeight="1" spans="4:9" x14ac:dyDescent="0.25">
      <c r="D490" s="158"/>
      <c r="E490" s="158"/>
      <c r="F490" s="158"/>
      <c r="G490" s="158"/>
      <c r="H490" s="158"/>
      <c r="I490" s="158"/>
    </row>
    <row r="491" ht="15.75" customHeight="1" spans="4:9" x14ac:dyDescent="0.25">
      <c r="D491" s="158"/>
      <c r="E491" s="158"/>
      <c r="F491" s="158"/>
      <c r="G491" s="158"/>
      <c r="H491" s="158"/>
      <c r="I491" s="158"/>
    </row>
    <row r="492" ht="15.75" customHeight="1" spans="4:9" x14ac:dyDescent="0.25">
      <c r="D492" s="158"/>
      <c r="E492" s="158"/>
      <c r="F492" s="158"/>
      <c r="G492" s="158"/>
      <c r="H492" s="158"/>
      <c r="I492" s="158"/>
    </row>
    <row r="493" ht="15.75" customHeight="1" spans="4:9" x14ac:dyDescent="0.25">
      <c r="D493" s="158"/>
      <c r="E493" s="158"/>
      <c r="F493" s="158"/>
      <c r="G493" s="158"/>
      <c r="H493" s="158"/>
      <c r="I493" s="158"/>
    </row>
    <row r="494" ht="15.75" customHeight="1" spans="4:9" x14ac:dyDescent="0.25">
      <c r="D494" s="158"/>
      <c r="E494" s="158"/>
      <c r="F494" s="158"/>
      <c r="G494" s="158"/>
      <c r="H494" s="158"/>
      <c r="I494" s="158"/>
    </row>
    <row r="495" ht="15.75" customHeight="1" spans="4:9" x14ac:dyDescent="0.25">
      <c r="D495" s="158"/>
      <c r="E495" s="158"/>
      <c r="F495" s="158"/>
      <c r="G495" s="158"/>
      <c r="H495" s="158"/>
      <c r="I495" s="158"/>
    </row>
    <row r="496" ht="15.75" customHeight="1" spans="4:9" x14ac:dyDescent="0.25">
      <c r="D496" s="158"/>
      <c r="E496" s="158"/>
      <c r="F496" s="158"/>
      <c r="G496" s="158"/>
      <c r="H496" s="158"/>
      <c r="I496" s="158"/>
    </row>
    <row r="497" ht="15.75" customHeight="1" spans="4:9" x14ac:dyDescent="0.25">
      <c r="D497" s="158"/>
      <c r="E497" s="158"/>
      <c r="F497" s="158"/>
      <c r="G497" s="158"/>
      <c r="H497" s="158"/>
      <c r="I497" s="158"/>
    </row>
    <row r="498" ht="15.75" customHeight="1" spans="4:9" x14ac:dyDescent="0.25">
      <c r="D498" s="158"/>
      <c r="E498" s="158"/>
      <c r="F498" s="158"/>
      <c r="G498" s="158"/>
      <c r="H498" s="158"/>
      <c r="I498" s="158"/>
    </row>
    <row r="499" ht="15.75" customHeight="1" spans="4:9" x14ac:dyDescent="0.25">
      <c r="D499" s="158"/>
      <c r="E499" s="158"/>
      <c r="F499" s="158"/>
      <c r="G499" s="158"/>
      <c r="H499" s="158"/>
      <c r="I499" s="158"/>
    </row>
    <row r="500" ht="15.75" customHeight="1" spans="4:9" x14ac:dyDescent="0.25">
      <c r="D500" s="158"/>
      <c r="E500" s="158"/>
      <c r="F500" s="158"/>
      <c r="G500" s="158"/>
      <c r="H500" s="158"/>
      <c r="I500" s="158"/>
    </row>
    <row r="501" ht="15.75" customHeight="1" spans="4:9" x14ac:dyDescent="0.25">
      <c r="D501" s="158"/>
      <c r="E501" s="158"/>
      <c r="F501" s="158"/>
      <c r="G501" s="158"/>
      <c r="H501" s="158"/>
      <c r="I501" s="158"/>
    </row>
    <row r="502" ht="15.75" customHeight="1" spans="4:9" x14ac:dyDescent="0.25">
      <c r="D502" s="158"/>
      <c r="E502" s="158"/>
      <c r="F502" s="158"/>
      <c r="G502" s="158"/>
      <c r="H502" s="158"/>
      <c r="I502" s="158"/>
    </row>
    <row r="503" ht="15.75" customHeight="1" spans="4:9" x14ac:dyDescent="0.25">
      <c r="D503" s="158"/>
      <c r="E503" s="158"/>
      <c r="F503" s="158"/>
      <c r="G503" s="158"/>
      <c r="H503" s="158"/>
      <c r="I503" s="158"/>
    </row>
    <row r="504" ht="15.75" customHeight="1" spans="4:9" x14ac:dyDescent="0.25">
      <c r="D504" s="158"/>
      <c r="E504" s="158"/>
      <c r="F504" s="158"/>
      <c r="G504" s="158"/>
      <c r="H504" s="158"/>
      <c r="I504" s="158"/>
    </row>
    <row r="505" ht="15.75" customHeight="1" spans="4:9" x14ac:dyDescent="0.25">
      <c r="D505" s="158"/>
      <c r="E505" s="158"/>
      <c r="F505" s="158"/>
      <c r="G505" s="158"/>
      <c r="H505" s="158"/>
      <c r="I505" s="158"/>
    </row>
    <row r="506" ht="15.75" customHeight="1" spans="4:9" x14ac:dyDescent="0.25">
      <c r="D506" s="158"/>
      <c r="E506" s="158"/>
      <c r="F506" s="158"/>
      <c r="G506" s="158"/>
      <c r="H506" s="158"/>
      <c r="I506" s="158"/>
    </row>
    <row r="507" ht="15.75" customHeight="1" spans="4:9" x14ac:dyDescent="0.25">
      <c r="D507" s="158"/>
      <c r="E507" s="158"/>
      <c r="F507" s="158"/>
      <c r="G507" s="158"/>
      <c r="H507" s="158"/>
      <c r="I507" s="158"/>
    </row>
    <row r="508" ht="15.75" customHeight="1" spans="4:9" x14ac:dyDescent="0.25">
      <c r="D508" s="158"/>
      <c r="E508" s="158"/>
      <c r="F508" s="158"/>
      <c r="G508" s="158"/>
      <c r="H508" s="158"/>
      <c r="I508" s="158"/>
    </row>
    <row r="509" ht="15.75" customHeight="1" spans="4:9" x14ac:dyDescent="0.25">
      <c r="D509" s="158"/>
      <c r="E509" s="158"/>
      <c r="F509" s="158"/>
      <c r="G509" s="158"/>
      <c r="H509" s="158"/>
      <c r="I509" s="158"/>
    </row>
    <row r="510" ht="15.75" customHeight="1" spans="4:9" x14ac:dyDescent="0.25">
      <c r="D510" s="158"/>
      <c r="E510" s="158"/>
      <c r="F510" s="158"/>
      <c r="G510" s="158"/>
      <c r="H510" s="158"/>
      <c r="I510" s="158"/>
    </row>
    <row r="511" ht="15.75" customHeight="1" spans="4:9" x14ac:dyDescent="0.25">
      <c r="D511" s="158"/>
      <c r="E511" s="158"/>
      <c r="F511" s="158"/>
      <c r="G511" s="158"/>
      <c r="H511" s="158"/>
      <c r="I511" s="158"/>
    </row>
    <row r="512" ht="15.75" customHeight="1" spans="4:9" x14ac:dyDescent="0.25">
      <c r="D512" s="158"/>
      <c r="E512" s="158"/>
      <c r="F512" s="158"/>
      <c r="G512" s="158"/>
      <c r="H512" s="158"/>
      <c r="I512" s="158"/>
    </row>
    <row r="513" ht="15.75" customHeight="1" spans="4:9" x14ac:dyDescent="0.25">
      <c r="D513" s="158"/>
      <c r="E513" s="158"/>
      <c r="F513" s="158"/>
      <c r="G513" s="158"/>
      <c r="H513" s="158"/>
      <c r="I513" s="158"/>
    </row>
    <row r="514" ht="15.75" customHeight="1" spans="4:9" x14ac:dyDescent="0.25">
      <c r="D514" s="158"/>
      <c r="E514" s="158"/>
      <c r="F514" s="158"/>
      <c r="G514" s="158"/>
      <c r="H514" s="158"/>
      <c r="I514" s="158"/>
    </row>
    <row r="515" ht="15.75" customHeight="1" spans="4:9" x14ac:dyDescent="0.25">
      <c r="D515" s="158"/>
      <c r="E515" s="158"/>
      <c r="F515" s="158"/>
      <c r="G515" s="158"/>
      <c r="H515" s="158"/>
      <c r="I515" s="158"/>
    </row>
    <row r="516" ht="15.75" customHeight="1" spans="4:9" x14ac:dyDescent="0.25">
      <c r="D516" s="158"/>
      <c r="E516" s="158"/>
      <c r="F516" s="158"/>
      <c r="G516" s="158"/>
      <c r="H516" s="158"/>
      <c r="I516" s="158"/>
    </row>
    <row r="517" ht="15.75" customHeight="1" spans="4:9" x14ac:dyDescent="0.25">
      <c r="D517" s="158"/>
      <c r="E517" s="158"/>
      <c r="F517" s="158"/>
      <c r="G517" s="158"/>
      <c r="H517" s="158"/>
      <c r="I517" s="158"/>
    </row>
    <row r="518" ht="15.75" customHeight="1" spans="4:9" x14ac:dyDescent="0.25">
      <c r="D518" s="158"/>
      <c r="E518" s="158"/>
      <c r="F518" s="158"/>
      <c r="G518" s="158"/>
      <c r="H518" s="158"/>
      <c r="I518" s="158"/>
    </row>
    <row r="519" ht="15.75" customHeight="1" spans="4:9" x14ac:dyDescent="0.25">
      <c r="D519" s="158"/>
      <c r="E519" s="158"/>
      <c r="F519" s="158"/>
      <c r="G519" s="158"/>
      <c r="H519" s="158"/>
      <c r="I519" s="158"/>
    </row>
    <row r="520" ht="15.75" customHeight="1" spans="4:9" x14ac:dyDescent="0.25">
      <c r="D520" s="158"/>
      <c r="E520" s="158"/>
      <c r="F520" s="158"/>
      <c r="G520" s="158"/>
      <c r="H520" s="158"/>
      <c r="I520" s="158"/>
    </row>
    <row r="521" ht="15.75" customHeight="1" spans="4:9" x14ac:dyDescent="0.25">
      <c r="D521" s="158"/>
      <c r="E521" s="158"/>
      <c r="F521" s="158"/>
      <c r="G521" s="158"/>
      <c r="H521" s="158"/>
      <c r="I521" s="158"/>
    </row>
    <row r="522" ht="15.75" customHeight="1" spans="4:9" x14ac:dyDescent="0.25">
      <c r="D522" s="158"/>
      <c r="E522" s="158"/>
      <c r="F522" s="158"/>
      <c r="G522" s="158"/>
      <c r="H522" s="158"/>
      <c r="I522" s="158"/>
    </row>
    <row r="523" ht="15.75" customHeight="1" spans="4:9" x14ac:dyDescent="0.25">
      <c r="D523" s="158"/>
      <c r="E523" s="158"/>
      <c r="F523" s="158"/>
      <c r="G523" s="158"/>
      <c r="H523" s="158"/>
      <c r="I523" s="158"/>
    </row>
    <row r="524" ht="15.75" customHeight="1" spans="4:9" x14ac:dyDescent="0.25">
      <c r="D524" s="158"/>
      <c r="E524" s="158"/>
      <c r="F524" s="158"/>
      <c r="G524" s="158"/>
      <c r="H524" s="158"/>
      <c r="I524" s="158"/>
    </row>
    <row r="525" ht="15.75" customHeight="1" spans="4:9" x14ac:dyDescent="0.25">
      <c r="D525" s="158"/>
      <c r="E525" s="158"/>
      <c r="F525" s="158"/>
      <c r="G525" s="158"/>
      <c r="H525" s="158"/>
      <c r="I525" s="158"/>
    </row>
    <row r="526" ht="15.75" customHeight="1" spans="4:9" x14ac:dyDescent="0.25">
      <c r="D526" s="158"/>
      <c r="E526" s="158"/>
      <c r="F526" s="158"/>
      <c r="G526" s="158"/>
      <c r="H526" s="158"/>
      <c r="I526" s="158"/>
    </row>
    <row r="527" ht="15.75" customHeight="1" spans="4:9" x14ac:dyDescent="0.25">
      <c r="D527" s="158"/>
      <c r="E527" s="158"/>
      <c r="F527" s="158"/>
      <c r="G527" s="158"/>
      <c r="H527" s="158"/>
      <c r="I527" s="158"/>
    </row>
    <row r="528" ht="15.75" customHeight="1" spans="4:9" x14ac:dyDescent="0.25">
      <c r="D528" s="158"/>
      <c r="E528" s="158"/>
      <c r="F528" s="158"/>
      <c r="G528" s="158"/>
      <c r="H528" s="158"/>
      <c r="I528" s="158"/>
    </row>
    <row r="529" ht="15.75" customHeight="1" spans="4:9" x14ac:dyDescent="0.25">
      <c r="D529" s="158"/>
      <c r="E529" s="158"/>
      <c r="F529" s="158"/>
      <c r="G529" s="158"/>
      <c r="H529" s="158"/>
      <c r="I529" s="158"/>
    </row>
    <row r="530" ht="15.75" customHeight="1" spans="4:9" x14ac:dyDescent="0.25">
      <c r="D530" s="158"/>
      <c r="E530" s="158"/>
      <c r="F530" s="158"/>
      <c r="G530" s="158"/>
      <c r="H530" s="158"/>
      <c r="I530" s="158"/>
    </row>
    <row r="531" ht="15.75" customHeight="1" spans="4:9" x14ac:dyDescent="0.25">
      <c r="D531" s="158"/>
      <c r="E531" s="158"/>
      <c r="F531" s="158"/>
      <c r="G531" s="158"/>
      <c r="H531" s="158"/>
      <c r="I531" s="158"/>
    </row>
    <row r="532" ht="15.75" customHeight="1" spans="4:9" x14ac:dyDescent="0.25">
      <c r="D532" s="158"/>
      <c r="E532" s="158"/>
      <c r="F532" s="158"/>
      <c r="G532" s="158"/>
      <c r="H532" s="158"/>
      <c r="I532" s="158"/>
    </row>
    <row r="533" ht="15.75" customHeight="1" spans="4:9" x14ac:dyDescent="0.25">
      <c r="D533" s="158"/>
      <c r="E533" s="158"/>
      <c r="F533" s="158"/>
      <c r="G533" s="158"/>
      <c r="H533" s="158"/>
      <c r="I533" s="158"/>
    </row>
    <row r="534" ht="15.75" customHeight="1" spans="4:9" x14ac:dyDescent="0.25">
      <c r="D534" s="158"/>
      <c r="E534" s="158"/>
      <c r="F534" s="158"/>
      <c r="G534" s="158"/>
      <c r="H534" s="158"/>
      <c r="I534" s="158"/>
    </row>
    <row r="535" ht="15.75" customHeight="1" spans="4:9" x14ac:dyDescent="0.25">
      <c r="D535" s="158"/>
      <c r="E535" s="158"/>
      <c r="F535" s="158"/>
      <c r="G535" s="158"/>
      <c r="H535" s="158"/>
      <c r="I535" s="158"/>
    </row>
    <row r="536" ht="15.75" customHeight="1" spans="4:9" x14ac:dyDescent="0.25">
      <c r="D536" s="158"/>
      <c r="E536" s="158"/>
      <c r="F536" s="158"/>
      <c r="G536" s="158"/>
      <c r="H536" s="158"/>
      <c r="I536" s="158"/>
    </row>
    <row r="537" ht="15.75" customHeight="1" spans="4:9" x14ac:dyDescent="0.25">
      <c r="D537" s="158"/>
      <c r="E537" s="158"/>
      <c r="F537" s="158"/>
      <c r="G537" s="158"/>
      <c r="H537" s="158"/>
      <c r="I537" s="158"/>
    </row>
    <row r="538" ht="15.75" customHeight="1" spans="4:9" x14ac:dyDescent="0.25">
      <c r="D538" s="158"/>
      <c r="E538" s="158"/>
      <c r="F538" s="158"/>
      <c r="G538" s="158"/>
      <c r="H538" s="158"/>
      <c r="I538" s="158"/>
    </row>
    <row r="539" ht="15.75" customHeight="1" spans="4:9" x14ac:dyDescent="0.25">
      <c r="D539" s="158"/>
      <c r="E539" s="158"/>
      <c r="F539" s="158"/>
      <c r="G539" s="158"/>
      <c r="H539" s="158"/>
      <c r="I539" s="158"/>
    </row>
    <row r="540" ht="15.75" customHeight="1" spans="4:9" x14ac:dyDescent="0.25">
      <c r="D540" s="158"/>
      <c r="E540" s="158"/>
      <c r="F540" s="158"/>
      <c r="G540" s="158"/>
      <c r="H540" s="158"/>
      <c r="I540" s="158"/>
    </row>
    <row r="541" ht="15.75" customHeight="1" spans="4:9" x14ac:dyDescent="0.25">
      <c r="D541" s="158"/>
      <c r="E541" s="158"/>
      <c r="F541" s="158"/>
      <c r="G541" s="158"/>
      <c r="H541" s="158"/>
      <c r="I541" s="158"/>
    </row>
    <row r="542" ht="15.75" customHeight="1" spans="4:9" x14ac:dyDescent="0.25">
      <c r="D542" s="158"/>
      <c r="E542" s="158"/>
      <c r="F542" s="158"/>
      <c r="G542" s="158"/>
      <c r="H542" s="158"/>
      <c r="I542" s="158"/>
    </row>
    <row r="543" ht="15.75" customHeight="1" spans="4:9" x14ac:dyDescent="0.25">
      <c r="D543" s="158"/>
      <c r="E543" s="158"/>
      <c r="F543" s="158"/>
      <c r="G543" s="158"/>
      <c r="H543" s="158"/>
      <c r="I543" s="158"/>
    </row>
    <row r="544" ht="15.75" customHeight="1" spans="4:9" x14ac:dyDescent="0.25">
      <c r="D544" s="158"/>
      <c r="E544" s="158"/>
      <c r="F544" s="158"/>
      <c r="G544" s="158"/>
      <c r="H544" s="158"/>
      <c r="I544" s="158"/>
    </row>
    <row r="545" ht="15.75" customHeight="1" spans="4:9" x14ac:dyDescent="0.25">
      <c r="D545" s="158"/>
      <c r="E545" s="158"/>
      <c r="F545" s="158"/>
      <c r="G545" s="158"/>
      <c r="H545" s="158"/>
      <c r="I545" s="158"/>
    </row>
    <row r="546" ht="15.75" customHeight="1" spans="4:9" x14ac:dyDescent="0.25">
      <c r="D546" s="158"/>
      <c r="E546" s="158"/>
      <c r="F546" s="158"/>
      <c r="G546" s="158"/>
      <c r="H546" s="158"/>
      <c r="I546" s="158"/>
    </row>
    <row r="547" ht="15.75" customHeight="1" spans="4:9" x14ac:dyDescent="0.25">
      <c r="D547" s="158"/>
      <c r="E547" s="158"/>
      <c r="F547" s="158"/>
      <c r="G547" s="158"/>
      <c r="H547" s="158"/>
      <c r="I547" s="158"/>
    </row>
    <row r="548" ht="15.75" customHeight="1" spans="4:9" x14ac:dyDescent="0.25">
      <c r="D548" s="158"/>
      <c r="E548" s="158"/>
      <c r="F548" s="158"/>
      <c r="G548" s="158"/>
      <c r="H548" s="158"/>
      <c r="I548" s="158"/>
    </row>
    <row r="549" ht="15.75" customHeight="1" spans="4:9" x14ac:dyDescent="0.25">
      <c r="D549" s="158"/>
      <c r="E549" s="158"/>
      <c r="F549" s="158"/>
      <c r="G549" s="158"/>
      <c r="H549" s="158"/>
      <c r="I549" s="158"/>
    </row>
    <row r="550" ht="15.75" customHeight="1" spans="4:9" x14ac:dyDescent="0.25">
      <c r="D550" s="158"/>
      <c r="E550" s="158"/>
      <c r="F550" s="158"/>
      <c r="G550" s="158"/>
      <c r="H550" s="158"/>
      <c r="I550" s="158"/>
    </row>
    <row r="551" ht="15.75" customHeight="1" spans="4:9" x14ac:dyDescent="0.25">
      <c r="D551" s="158"/>
      <c r="E551" s="158"/>
      <c r="F551" s="158"/>
      <c r="G551" s="158"/>
      <c r="H551" s="158"/>
      <c r="I551" s="158"/>
    </row>
    <row r="552" ht="15.75" customHeight="1" spans="4:9" x14ac:dyDescent="0.25">
      <c r="D552" s="158"/>
      <c r="E552" s="158"/>
      <c r="F552" s="158"/>
      <c r="G552" s="158"/>
      <c r="H552" s="158"/>
      <c r="I552" s="158"/>
    </row>
    <row r="553" ht="15.75" customHeight="1" spans="4:9" x14ac:dyDescent="0.25">
      <c r="D553" s="158"/>
      <c r="E553" s="158"/>
      <c r="F553" s="158"/>
      <c r="G553" s="158"/>
      <c r="H553" s="158"/>
      <c r="I553" s="158"/>
    </row>
    <row r="554" ht="15.75" customHeight="1" spans="4:9" x14ac:dyDescent="0.25">
      <c r="D554" s="158"/>
      <c r="E554" s="158"/>
      <c r="F554" s="158"/>
      <c r="G554" s="158"/>
      <c r="H554" s="158"/>
      <c r="I554" s="158"/>
    </row>
    <row r="555" ht="15.75" customHeight="1" spans="4:9" x14ac:dyDescent="0.25">
      <c r="D555" s="158"/>
      <c r="E555" s="158"/>
      <c r="F555" s="158"/>
      <c r="G555" s="158"/>
      <c r="H555" s="158"/>
      <c r="I555" s="158"/>
    </row>
    <row r="556" ht="15.75" customHeight="1" spans="4:9" x14ac:dyDescent="0.25">
      <c r="D556" s="158"/>
      <c r="E556" s="158"/>
      <c r="F556" s="158"/>
      <c r="G556" s="158"/>
      <c r="H556" s="158"/>
      <c r="I556" s="158"/>
    </row>
    <row r="557" ht="15.75" customHeight="1" spans="4:9" x14ac:dyDescent="0.25">
      <c r="D557" s="158"/>
      <c r="E557" s="158"/>
      <c r="F557" s="158"/>
      <c r="G557" s="158"/>
      <c r="H557" s="158"/>
      <c r="I557" s="158"/>
    </row>
    <row r="558" ht="15.75" customHeight="1" spans="4:9" x14ac:dyDescent="0.25">
      <c r="D558" s="158"/>
      <c r="E558" s="158"/>
      <c r="F558" s="158"/>
      <c r="G558" s="158"/>
      <c r="H558" s="158"/>
      <c r="I558" s="158"/>
    </row>
    <row r="559" ht="15.75" customHeight="1" spans="4:9" x14ac:dyDescent="0.25">
      <c r="D559" s="158"/>
      <c r="E559" s="158"/>
      <c r="F559" s="158"/>
      <c r="G559" s="158"/>
      <c r="H559" s="158"/>
      <c r="I559" s="158"/>
    </row>
    <row r="560" ht="15.75" customHeight="1" spans="4:9" x14ac:dyDescent="0.25">
      <c r="D560" s="158"/>
      <c r="E560" s="158"/>
      <c r="F560" s="158"/>
      <c r="G560" s="158"/>
      <c r="H560" s="158"/>
      <c r="I560" s="158"/>
    </row>
    <row r="561" ht="15.75" customHeight="1" spans="4:9" x14ac:dyDescent="0.25">
      <c r="D561" s="158"/>
      <c r="E561" s="158"/>
      <c r="F561" s="158"/>
      <c r="G561" s="158"/>
      <c r="H561" s="158"/>
      <c r="I561" s="158"/>
    </row>
    <row r="562" ht="15.75" customHeight="1" spans="4:9" x14ac:dyDescent="0.25">
      <c r="D562" s="158"/>
      <c r="E562" s="158"/>
      <c r="F562" s="158"/>
      <c r="G562" s="158"/>
      <c r="H562" s="158"/>
      <c r="I562" s="158"/>
    </row>
    <row r="563" ht="15.75" customHeight="1" spans="4:9" x14ac:dyDescent="0.25">
      <c r="D563" s="158"/>
      <c r="E563" s="158"/>
      <c r="F563" s="158"/>
      <c r="G563" s="158"/>
      <c r="H563" s="158"/>
      <c r="I563" s="158"/>
    </row>
    <row r="564" ht="15.75" customHeight="1" spans="4:9" x14ac:dyDescent="0.25">
      <c r="D564" s="158"/>
      <c r="E564" s="158"/>
      <c r="F564" s="158"/>
      <c r="G564" s="158"/>
      <c r="H564" s="158"/>
      <c r="I564" s="158"/>
    </row>
    <row r="565" ht="15.75" customHeight="1" spans="4:9" x14ac:dyDescent="0.25">
      <c r="D565" s="158"/>
      <c r="E565" s="158"/>
      <c r="F565" s="158"/>
      <c r="G565" s="158"/>
      <c r="H565" s="158"/>
      <c r="I565" s="158"/>
    </row>
    <row r="566" ht="15.75" customHeight="1" spans="4:9" x14ac:dyDescent="0.25">
      <c r="D566" s="158"/>
      <c r="E566" s="158"/>
      <c r="F566" s="158"/>
      <c r="G566" s="158"/>
      <c r="H566" s="158"/>
      <c r="I566" s="158"/>
    </row>
    <row r="567" ht="15.75" customHeight="1" spans="4:9" x14ac:dyDescent="0.25">
      <c r="D567" s="158"/>
      <c r="E567" s="158"/>
      <c r="F567" s="158"/>
      <c r="G567" s="158"/>
      <c r="H567" s="158"/>
      <c r="I567" s="158"/>
    </row>
    <row r="568" ht="15.75" customHeight="1" spans="4:9" x14ac:dyDescent="0.25">
      <c r="D568" s="158"/>
      <c r="E568" s="158"/>
      <c r="F568" s="158"/>
      <c r="G568" s="158"/>
      <c r="H568" s="158"/>
      <c r="I568" s="158"/>
    </row>
    <row r="569" ht="15.75" customHeight="1" spans="4:9" x14ac:dyDescent="0.25">
      <c r="D569" s="158"/>
      <c r="E569" s="158"/>
      <c r="F569" s="158"/>
      <c r="G569" s="158"/>
      <c r="H569" s="158"/>
      <c r="I569" s="158"/>
    </row>
    <row r="570" ht="15.75" customHeight="1" spans="4:9" x14ac:dyDescent="0.25">
      <c r="D570" s="158"/>
      <c r="E570" s="158"/>
      <c r="F570" s="158"/>
      <c r="G570" s="158"/>
      <c r="H570" s="158"/>
      <c r="I570" s="158"/>
    </row>
    <row r="571" ht="15.75" customHeight="1" spans="4:9" x14ac:dyDescent="0.25">
      <c r="D571" s="158"/>
      <c r="E571" s="158"/>
      <c r="F571" s="158"/>
      <c r="G571" s="158"/>
      <c r="H571" s="158"/>
      <c r="I571" s="158"/>
    </row>
    <row r="572" ht="15.75" customHeight="1" spans="4:9" x14ac:dyDescent="0.25">
      <c r="D572" s="158"/>
      <c r="E572" s="158"/>
      <c r="F572" s="158"/>
      <c r="G572" s="158"/>
      <c r="H572" s="158"/>
      <c r="I572" s="158"/>
    </row>
    <row r="573" ht="15.75" customHeight="1" spans="4:9" x14ac:dyDescent="0.25">
      <c r="D573" s="158"/>
      <c r="E573" s="158"/>
      <c r="F573" s="158"/>
      <c r="G573" s="158"/>
      <c r="H573" s="158"/>
      <c r="I573" s="158"/>
    </row>
    <row r="574" ht="15.75" customHeight="1" spans="4:9" x14ac:dyDescent="0.25">
      <c r="D574" s="158"/>
      <c r="E574" s="158"/>
      <c r="F574" s="158"/>
      <c r="G574" s="158"/>
      <c r="H574" s="158"/>
      <c r="I574" s="158"/>
    </row>
    <row r="575" ht="15.75" customHeight="1" spans="4:9" x14ac:dyDescent="0.25">
      <c r="D575" s="158"/>
      <c r="E575" s="158"/>
      <c r="F575" s="158"/>
      <c r="G575" s="158"/>
      <c r="H575" s="158"/>
      <c r="I575" s="158"/>
    </row>
    <row r="576" ht="15.75" customHeight="1" spans="4:9" x14ac:dyDescent="0.25">
      <c r="D576" s="158"/>
      <c r="E576" s="158"/>
      <c r="F576" s="158"/>
      <c r="G576" s="158"/>
      <c r="H576" s="158"/>
      <c r="I576" s="158"/>
    </row>
    <row r="577" ht="15.75" customHeight="1" spans="4:9" x14ac:dyDescent="0.25">
      <c r="D577" s="158"/>
      <c r="E577" s="158"/>
      <c r="F577" s="158"/>
      <c r="G577" s="158"/>
      <c r="H577" s="158"/>
      <c r="I577" s="158"/>
    </row>
    <row r="578" ht="15.75" customHeight="1" spans="4:9" x14ac:dyDescent="0.25">
      <c r="D578" s="158"/>
      <c r="E578" s="158"/>
      <c r="F578" s="158"/>
      <c r="G578" s="158"/>
      <c r="H578" s="158"/>
      <c r="I578" s="158"/>
    </row>
    <row r="579" ht="15.75" customHeight="1" spans="4:9" x14ac:dyDescent="0.25">
      <c r="D579" s="158"/>
      <c r="E579" s="158"/>
      <c r="F579" s="158"/>
      <c r="G579" s="158"/>
      <c r="H579" s="158"/>
      <c r="I579" s="158"/>
    </row>
    <row r="580" ht="15.75" customHeight="1" spans="4:9" x14ac:dyDescent="0.25">
      <c r="D580" s="158"/>
      <c r="E580" s="158"/>
      <c r="F580" s="158"/>
      <c r="G580" s="158"/>
      <c r="H580" s="158"/>
      <c r="I580" s="158"/>
    </row>
    <row r="581" ht="15.75" customHeight="1" spans="4:9" x14ac:dyDescent="0.25">
      <c r="D581" s="158"/>
      <c r="E581" s="158"/>
      <c r="F581" s="158"/>
      <c r="G581" s="158"/>
      <c r="H581" s="158"/>
      <c r="I581" s="158"/>
    </row>
    <row r="582" ht="15.75" customHeight="1" spans="4:9" x14ac:dyDescent="0.25">
      <c r="D582" s="158"/>
      <c r="E582" s="158"/>
      <c r="F582" s="158"/>
      <c r="G582" s="158"/>
      <c r="H582" s="158"/>
      <c r="I582" s="158"/>
    </row>
    <row r="583" ht="15.75" customHeight="1" spans="4:9" x14ac:dyDescent="0.25">
      <c r="D583" s="158"/>
      <c r="E583" s="158"/>
      <c r="F583" s="158"/>
      <c r="G583" s="158"/>
      <c r="H583" s="158"/>
      <c r="I583" s="158"/>
    </row>
    <row r="584" ht="15.75" customHeight="1" spans="4:9" x14ac:dyDescent="0.25">
      <c r="D584" s="158"/>
      <c r="E584" s="158"/>
      <c r="F584" s="158"/>
      <c r="G584" s="158"/>
      <c r="H584" s="158"/>
      <c r="I584" s="158"/>
    </row>
    <row r="585" ht="15.75" customHeight="1" spans="4:9" x14ac:dyDescent="0.25">
      <c r="D585" s="158"/>
      <c r="E585" s="158"/>
      <c r="F585" s="158"/>
      <c r="G585" s="158"/>
      <c r="H585" s="158"/>
      <c r="I585" s="158"/>
    </row>
    <row r="586" ht="15.75" customHeight="1" spans="4:9" x14ac:dyDescent="0.25">
      <c r="D586" s="158"/>
      <c r="E586" s="158"/>
      <c r="F586" s="158"/>
      <c r="G586" s="158"/>
      <c r="H586" s="158"/>
      <c r="I586" s="158"/>
    </row>
    <row r="587" ht="15.75" customHeight="1" spans="4:9" x14ac:dyDescent="0.25">
      <c r="D587" s="158"/>
      <c r="E587" s="158"/>
      <c r="F587" s="158"/>
      <c r="G587" s="158"/>
      <c r="H587" s="158"/>
      <c r="I587" s="158"/>
    </row>
    <row r="588" ht="15.75" customHeight="1" spans="4:9" x14ac:dyDescent="0.25">
      <c r="D588" s="158"/>
      <c r="E588" s="158"/>
      <c r="F588" s="158"/>
      <c r="G588" s="158"/>
      <c r="H588" s="158"/>
      <c r="I588" s="158"/>
    </row>
    <row r="589" ht="15.75" customHeight="1" spans="4:9" x14ac:dyDescent="0.25">
      <c r="D589" s="158"/>
      <c r="E589" s="158"/>
      <c r="F589" s="158"/>
      <c r="G589" s="158"/>
      <c r="H589" s="158"/>
      <c r="I589" s="158"/>
    </row>
    <row r="590" ht="15.75" customHeight="1" spans="4:9" x14ac:dyDescent="0.25">
      <c r="D590" s="158"/>
      <c r="E590" s="158"/>
      <c r="F590" s="158"/>
      <c r="G590" s="158"/>
      <c r="H590" s="158"/>
      <c r="I590" s="158"/>
    </row>
    <row r="591" ht="15.75" customHeight="1" spans="4:9" x14ac:dyDescent="0.25">
      <c r="D591" s="158"/>
      <c r="E591" s="158"/>
      <c r="F591" s="158"/>
      <c r="G591" s="158"/>
      <c r="H591" s="158"/>
      <c r="I591" s="158"/>
    </row>
    <row r="592" ht="15.75" customHeight="1" spans="4:9" x14ac:dyDescent="0.25">
      <c r="D592" s="158"/>
      <c r="E592" s="158"/>
      <c r="F592" s="158"/>
      <c r="G592" s="158"/>
      <c r="H592" s="158"/>
      <c r="I592" s="158"/>
    </row>
    <row r="593" ht="15.75" customHeight="1" spans="4:9" x14ac:dyDescent="0.25">
      <c r="D593" s="158"/>
      <c r="E593" s="158"/>
      <c r="F593" s="158"/>
      <c r="G593" s="158"/>
      <c r="H593" s="158"/>
      <c r="I593" s="158"/>
    </row>
    <row r="594" ht="15.75" customHeight="1" spans="4:9" x14ac:dyDescent="0.25">
      <c r="D594" s="158"/>
      <c r="E594" s="158"/>
      <c r="F594" s="158"/>
      <c r="G594" s="158"/>
      <c r="H594" s="158"/>
      <c r="I594" s="158"/>
    </row>
    <row r="595" ht="15.75" customHeight="1" spans="4:9" x14ac:dyDescent="0.25">
      <c r="D595" s="158"/>
      <c r="E595" s="158"/>
      <c r="F595" s="158"/>
      <c r="G595" s="158"/>
      <c r="H595" s="158"/>
      <c r="I595" s="158"/>
    </row>
    <row r="596" ht="15.75" customHeight="1" spans="4:9" x14ac:dyDescent="0.25">
      <c r="D596" s="158"/>
      <c r="E596" s="158"/>
      <c r="F596" s="158"/>
      <c r="G596" s="158"/>
      <c r="H596" s="158"/>
      <c r="I596" s="158"/>
    </row>
    <row r="597" ht="15.75" customHeight="1" spans="4:9" x14ac:dyDescent="0.25">
      <c r="D597" s="158"/>
      <c r="E597" s="158"/>
      <c r="F597" s="158"/>
      <c r="G597" s="158"/>
      <c r="H597" s="158"/>
      <c r="I597" s="158"/>
    </row>
    <row r="598" ht="15.75" customHeight="1" spans="4:9" x14ac:dyDescent="0.25">
      <c r="D598" s="158"/>
      <c r="E598" s="158"/>
      <c r="F598" s="158"/>
      <c r="G598" s="158"/>
      <c r="H598" s="158"/>
      <c r="I598" s="158"/>
    </row>
    <row r="599" ht="15.75" customHeight="1" spans="4:9" x14ac:dyDescent="0.25">
      <c r="D599" s="158"/>
      <c r="E599" s="158"/>
      <c r="F599" s="158"/>
      <c r="G599" s="158"/>
      <c r="H599" s="158"/>
      <c r="I599" s="158"/>
    </row>
    <row r="600" ht="15.75" customHeight="1" spans="4:9" x14ac:dyDescent="0.25">
      <c r="D600" s="158"/>
      <c r="E600" s="158"/>
      <c r="F600" s="158"/>
      <c r="G600" s="158"/>
      <c r="H600" s="158"/>
      <c r="I600" s="158"/>
    </row>
    <row r="601" ht="15.75" customHeight="1" spans="4:9" x14ac:dyDescent="0.25">
      <c r="D601" s="158"/>
      <c r="E601" s="158"/>
      <c r="F601" s="158"/>
      <c r="G601" s="158"/>
      <c r="H601" s="158"/>
      <c r="I601" s="158"/>
    </row>
    <row r="602" ht="15.75" customHeight="1" spans="4:9" x14ac:dyDescent="0.25">
      <c r="D602" s="158"/>
      <c r="E602" s="158"/>
      <c r="F602" s="158"/>
      <c r="G602" s="158"/>
      <c r="H602" s="158"/>
      <c r="I602" s="158"/>
    </row>
    <row r="603" ht="15.75" customHeight="1" spans="4:9" x14ac:dyDescent="0.25">
      <c r="D603" s="158"/>
      <c r="E603" s="158"/>
      <c r="F603" s="158"/>
      <c r="G603" s="158"/>
      <c r="H603" s="158"/>
      <c r="I603" s="158"/>
    </row>
    <row r="604" ht="15.75" customHeight="1" spans="4:9" x14ac:dyDescent="0.25">
      <c r="D604" s="158"/>
      <c r="E604" s="158"/>
      <c r="F604" s="158"/>
      <c r="G604" s="158"/>
      <c r="H604" s="158"/>
      <c r="I604" s="158"/>
    </row>
    <row r="605" ht="15.75" customHeight="1" spans="4:9" x14ac:dyDescent="0.25">
      <c r="D605" s="158"/>
      <c r="E605" s="158"/>
      <c r="F605" s="158"/>
      <c r="G605" s="158"/>
      <c r="H605" s="158"/>
      <c r="I605" s="158"/>
    </row>
    <row r="606" ht="15.75" customHeight="1" spans="4:9" x14ac:dyDescent="0.25">
      <c r="D606" s="158"/>
      <c r="E606" s="158"/>
      <c r="F606" s="158"/>
      <c r="G606" s="158"/>
      <c r="H606" s="158"/>
      <c r="I606" s="158"/>
    </row>
    <row r="607" ht="15.75" customHeight="1" spans="4:9" x14ac:dyDescent="0.25">
      <c r="D607" s="158"/>
      <c r="E607" s="158"/>
      <c r="F607" s="158"/>
      <c r="G607" s="158"/>
      <c r="H607" s="158"/>
      <c r="I607" s="158"/>
    </row>
    <row r="608" ht="15.75" customHeight="1" spans="4:9" x14ac:dyDescent="0.25">
      <c r="D608" s="158"/>
      <c r="E608" s="158"/>
      <c r="F608" s="158"/>
      <c r="G608" s="158"/>
      <c r="H608" s="158"/>
      <c r="I608" s="158"/>
    </row>
    <row r="609" ht="15.75" customHeight="1" spans="4:9" x14ac:dyDescent="0.25">
      <c r="D609" s="158"/>
      <c r="E609" s="158"/>
      <c r="F609" s="158"/>
      <c r="G609" s="158"/>
      <c r="H609" s="158"/>
      <c r="I609" s="158"/>
    </row>
    <row r="610" ht="15.75" customHeight="1" spans="4:9" x14ac:dyDescent="0.25">
      <c r="D610" s="158"/>
      <c r="E610" s="158"/>
      <c r="F610" s="158"/>
      <c r="G610" s="158"/>
      <c r="H610" s="158"/>
      <c r="I610" s="158"/>
    </row>
    <row r="611" ht="15.75" customHeight="1" spans="4:9" x14ac:dyDescent="0.25">
      <c r="D611" s="158"/>
      <c r="E611" s="158"/>
      <c r="F611" s="158"/>
      <c r="G611" s="158"/>
      <c r="H611" s="158"/>
      <c r="I611" s="158"/>
    </row>
    <row r="612" ht="15.75" customHeight="1" spans="4:9" x14ac:dyDescent="0.25">
      <c r="D612" s="158"/>
      <c r="E612" s="158"/>
      <c r="F612" s="158"/>
      <c r="G612" s="158"/>
      <c r="H612" s="158"/>
      <c r="I612" s="158"/>
    </row>
    <row r="613" ht="15.75" customHeight="1" spans="4:9" x14ac:dyDescent="0.25">
      <c r="D613" s="158"/>
      <c r="E613" s="158"/>
      <c r="F613" s="158"/>
      <c r="G613" s="158"/>
      <c r="H613" s="158"/>
      <c r="I613" s="158"/>
    </row>
    <row r="614" ht="15.75" customHeight="1" spans="4:9" x14ac:dyDescent="0.25">
      <c r="D614" s="158"/>
      <c r="E614" s="158"/>
      <c r="F614" s="158"/>
      <c r="G614" s="158"/>
      <c r="H614" s="158"/>
      <c r="I614" s="158"/>
    </row>
    <row r="615" ht="15.75" customHeight="1" spans="4:9" x14ac:dyDescent="0.25">
      <c r="D615" s="158"/>
      <c r="E615" s="158"/>
      <c r="F615" s="158"/>
      <c r="G615" s="158"/>
      <c r="H615" s="158"/>
      <c r="I615" s="158"/>
    </row>
    <row r="616" ht="15.75" customHeight="1" spans="4:9" x14ac:dyDescent="0.25">
      <c r="D616" s="158"/>
      <c r="E616" s="158"/>
      <c r="F616" s="158"/>
      <c r="G616" s="158"/>
      <c r="H616" s="158"/>
      <c r="I616" s="158"/>
    </row>
    <row r="617" ht="15.75" customHeight="1" spans="4:9" x14ac:dyDescent="0.25">
      <c r="D617" s="158"/>
      <c r="E617" s="158"/>
      <c r="F617" s="158"/>
      <c r="G617" s="158"/>
      <c r="H617" s="158"/>
      <c r="I617" s="158"/>
    </row>
    <row r="618" ht="15.75" customHeight="1" spans="4:9" x14ac:dyDescent="0.25">
      <c r="D618" s="158"/>
      <c r="E618" s="158"/>
      <c r="F618" s="158"/>
      <c r="G618" s="158"/>
      <c r="H618" s="158"/>
      <c r="I618" s="158"/>
    </row>
    <row r="619" ht="15.75" customHeight="1" spans="4:9" x14ac:dyDescent="0.25">
      <c r="D619" s="158"/>
      <c r="E619" s="158"/>
      <c r="F619" s="158"/>
      <c r="G619" s="158"/>
      <c r="H619" s="158"/>
      <c r="I619" s="158"/>
    </row>
    <row r="620" ht="15.75" customHeight="1" spans="4:9" x14ac:dyDescent="0.25">
      <c r="D620" s="158"/>
      <c r="E620" s="158"/>
      <c r="F620" s="158"/>
      <c r="G620" s="158"/>
      <c r="H620" s="158"/>
      <c r="I620" s="158"/>
    </row>
    <row r="621" ht="15.75" customHeight="1" spans="4:9" x14ac:dyDescent="0.25">
      <c r="D621" s="158"/>
      <c r="E621" s="158"/>
      <c r="F621" s="158"/>
      <c r="G621" s="158"/>
      <c r="H621" s="158"/>
      <c r="I621" s="158"/>
    </row>
    <row r="622" ht="15.75" customHeight="1" spans="4:9" x14ac:dyDescent="0.25">
      <c r="D622" s="158"/>
      <c r="E622" s="158"/>
      <c r="F622" s="158"/>
      <c r="G622" s="158"/>
      <c r="H622" s="158"/>
      <c r="I622" s="158"/>
    </row>
    <row r="623" ht="15.75" customHeight="1" spans="4:9" x14ac:dyDescent="0.25">
      <c r="D623" s="158"/>
      <c r="E623" s="158"/>
      <c r="F623" s="158"/>
      <c r="G623" s="158"/>
      <c r="H623" s="158"/>
      <c r="I623" s="158"/>
    </row>
    <row r="624" ht="15.75" customHeight="1" spans="4:9" x14ac:dyDescent="0.25">
      <c r="D624" s="158"/>
      <c r="E624" s="158"/>
      <c r="F624" s="158"/>
      <c r="G624" s="158"/>
      <c r="H624" s="158"/>
      <c r="I624" s="158"/>
    </row>
    <row r="625" ht="15.75" customHeight="1" spans="4:9" x14ac:dyDescent="0.25">
      <c r="D625" s="158"/>
      <c r="E625" s="158"/>
      <c r="F625" s="158"/>
      <c r="G625" s="158"/>
      <c r="H625" s="158"/>
      <c r="I625" s="158"/>
    </row>
    <row r="626" ht="15.75" customHeight="1" spans="4:9" x14ac:dyDescent="0.25">
      <c r="D626" s="158"/>
      <c r="E626" s="158"/>
      <c r="F626" s="158"/>
      <c r="G626" s="158"/>
      <c r="H626" s="158"/>
      <c r="I626" s="158"/>
    </row>
    <row r="627" ht="15.75" customHeight="1" spans="4:9" x14ac:dyDescent="0.25">
      <c r="D627" s="158"/>
      <c r="E627" s="158"/>
      <c r="F627" s="158"/>
      <c r="G627" s="158"/>
      <c r="H627" s="158"/>
      <c r="I627" s="158"/>
    </row>
    <row r="628" ht="15.75" customHeight="1" spans="4:9" x14ac:dyDescent="0.25">
      <c r="D628" s="158"/>
      <c r="E628" s="158"/>
      <c r="F628" s="158"/>
      <c r="G628" s="158"/>
      <c r="H628" s="158"/>
      <c r="I628" s="158"/>
    </row>
    <row r="629" ht="15.75" customHeight="1" spans="4:9" x14ac:dyDescent="0.25">
      <c r="D629" s="158"/>
      <c r="E629" s="158"/>
      <c r="F629" s="158"/>
      <c r="G629" s="158"/>
      <c r="H629" s="158"/>
      <c r="I629" s="158"/>
    </row>
    <row r="630" ht="15.75" customHeight="1" spans="4:9" x14ac:dyDescent="0.25">
      <c r="D630" s="158"/>
      <c r="E630" s="158"/>
      <c r="F630" s="158"/>
      <c r="G630" s="158"/>
      <c r="H630" s="158"/>
      <c r="I630" s="158"/>
    </row>
    <row r="631" ht="15.75" customHeight="1" spans="4:9" x14ac:dyDescent="0.25">
      <c r="D631" s="158"/>
      <c r="E631" s="158"/>
      <c r="F631" s="158"/>
      <c r="G631" s="158"/>
      <c r="H631" s="158"/>
      <c r="I631" s="158"/>
    </row>
    <row r="632" ht="15.75" customHeight="1" spans="4:9" x14ac:dyDescent="0.25">
      <c r="D632" s="158"/>
      <c r="E632" s="158"/>
      <c r="F632" s="158"/>
      <c r="G632" s="158"/>
      <c r="H632" s="158"/>
      <c r="I632" s="158"/>
    </row>
    <row r="633" ht="15.75" customHeight="1" spans="4:9" x14ac:dyDescent="0.25">
      <c r="D633" s="158"/>
      <c r="E633" s="158"/>
      <c r="F633" s="158"/>
      <c r="G633" s="158"/>
      <c r="H633" s="158"/>
      <c r="I633" s="158"/>
    </row>
    <row r="634" ht="15.75" customHeight="1" spans="4:9" x14ac:dyDescent="0.25">
      <c r="D634" s="158"/>
      <c r="E634" s="158"/>
      <c r="F634" s="158"/>
      <c r="G634" s="158"/>
      <c r="H634" s="158"/>
      <c r="I634" s="158"/>
    </row>
    <row r="635" ht="15.75" customHeight="1" spans="4:9" x14ac:dyDescent="0.25">
      <c r="D635" s="158"/>
      <c r="E635" s="158"/>
      <c r="F635" s="158"/>
      <c r="G635" s="158"/>
      <c r="H635" s="158"/>
      <c r="I635" s="158"/>
    </row>
    <row r="636" ht="15.75" customHeight="1" spans="4:9" x14ac:dyDescent="0.25">
      <c r="D636" s="158"/>
      <c r="E636" s="158"/>
      <c r="F636" s="158"/>
      <c r="G636" s="158"/>
      <c r="H636" s="158"/>
      <c r="I636" s="158"/>
    </row>
    <row r="637" ht="15.75" customHeight="1" spans="4:9" x14ac:dyDescent="0.25">
      <c r="D637" s="158"/>
      <c r="E637" s="158"/>
      <c r="F637" s="158"/>
      <c r="G637" s="158"/>
      <c r="H637" s="158"/>
      <c r="I637" s="158"/>
    </row>
    <row r="638" ht="15.75" customHeight="1" spans="4:9" x14ac:dyDescent="0.25">
      <c r="D638" s="158"/>
      <c r="E638" s="158"/>
      <c r="F638" s="158"/>
      <c r="G638" s="158"/>
      <c r="H638" s="158"/>
      <c r="I638" s="158"/>
    </row>
    <row r="639" ht="15.75" customHeight="1" spans="4:9" x14ac:dyDescent="0.25">
      <c r="D639" s="158"/>
      <c r="E639" s="158"/>
      <c r="F639" s="158"/>
      <c r="G639" s="158"/>
      <c r="H639" s="158"/>
      <c r="I639" s="158"/>
    </row>
    <row r="640" ht="15.75" customHeight="1" spans="4:9" x14ac:dyDescent="0.25">
      <c r="D640" s="158"/>
      <c r="E640" s="158"/>
      <c r="F640" s="158"/>
      <c r="G640" s="158"/>
      <c r="H640" s="158"/>
      <c r="I640" s="158"/>
    </row>
    <row r="641" ht="15.75" customHeight="1" spans="4:9" x14ac:dyDescent="0.25">
      <c r="D641" s="158"/>
      <c r="E641" s="158"/>
      <c r="F641" s="158"/>
      <c r="G641" s="158"/>
      <c r="H641" s="158"/>
      <c r="I641" s="158"/>
    </row>
    <row r="642" ht="15.75" customHeight="1" spans="4:9" x14ac:dyDescent="0.25">
      <c r="D642" s="158"/>
      <c r="E642" s="158"/>
      <c r="F642" s="158"/>
      <c r="G642" s="158"/>
      <c r="H642" s="158"/>
      <c r="I642" s="158"/>
    </row>
    <row r="643" ht="15.75" customHeight="1" spans="4:9" x14ac:dyDescent="0.25">
      <c r="D643" s="158"/>
      <c r="E643" s="158"/>
      <c r="F643" s="158"/>
      <c r="G643" s="158"/>
      <c r="H643" s="158"/>
      <c r="I643" s="158"/>
    </row>
    <row r="644" ht="15.75" customHeight="1" spans="4:9" x14ac:dyDescent="0.25">
      <c r="D644" s="158"/>
      <c r="E644" s="158"/>
      <c r="F644" s="158"/>
      <c r="G644" s="158"/>
      <c r="H644" s="158"/>
      <c r="I644" s="158"/>
    </row>
    <row r="645" ht="15.75" customHeight="1" spans="4:9" x14ac:dyDescent="0.25">
      <c r="D645" s="158"/>
      <c r="E645" s="158"/>
      <c r="F645" s="158"/>
      <c r="G645" s="158"/>
      <c r="H645" s="158"/>
      <c r="I645" s="158"/>
    </row>
    <row r="646" ht="15.75" customHeight="1" spans="4:9" x14ac:dyDescent="0.25">
      <c r="D646" s="158"/>
      <c r="E646" s="158"/>
      <c r="F646" s="158"/>
      <c r="G646" s="158"/>
      <c r="H646" s="158"/>
      <c r="I646" s="158"/>
    </row>
    <row r="647" ht="15.75" customHeight="1" spans="4:9" x14ac:dyDescent="0.25">
      <c r="D647" s="158"/>
      <c r="E647" s="158"/>
      <c r="F647" s="158"/>
      <c r="G647" s="158"/>
      <c r="H647" s="158"/>
      <c r="I647" s="158"/>
    </row>
    <row r="648" ht="15.75" customHeight="1" spans="4:9" x14ac:dyDescent="0.25">
      <c r="D648" s="158"/>
      <c r="E648" s="158"/>
      <c r="F648" s="158"/>
      <c r="G648" s="158"/>
      <c r="H648" s="158"/>
      <c r="I648" s="158"/>
    </row>
    <row r="649" ht="15.75" customHeight="1" spans="4:9" x14ac:dyDescent="0.25">
      <c r="D649" s="158"/>
      <c r="E649" s="158"/>
      <c r="F649" s="158"/>
      <c r="G649" s="158"/>
      <c r="H649" s="158"/>
      <c r="I649" s="158"/>
    </row>
    <row r="650" ht="15.75" customHeight="1" spans="4:9" x14ac:dyDescent="0.25">
      <c r="D650" s="158"/>
      <c r="E650" s="158"/>
      <c r="F650" s="158"/>
      <c r="G650" s="158"/>
      <c r="H650" s="158"/>
      <c r="I650" s="158"/>
    </row>
    <row r="651" ht="15.75" customHeight="1" spans="4:9" x14ac:dyDescent="0.25">
      <c r="D651" s="158"/>
      <c r="E651" s="158"/>
      <c r="F651" s="158"/>
      <c r="G651" s="158"/>
      <c r="H651" s="158"/>
      <c r="I651" s="158"/>
    </row>
    <row r="652" ht="15.75" customHeight="1" spans="4:9" x14ac:dyDescent="0.25">
      <c r="D652" s="158"/>
      <c r="E652" s="158"/>
      <c r="F652" s="158"/>
      <c r="G652" s="158"/>
      <c r="H652" s="158"/>
      <c r="I652" s="158"/>
    </row>
    <row r="653" ht="15.75" customHeight="1" spans="4:9" x14ac:dyDescent="0.25">
      <c r="D653" s="158"/>
      <c r="E653" s="158"/>
      <c r="F653" s="158"/>
      <c r="G653" s="158"/>
      <c r="H653" s="158"/>
      <c r="I653" s="158"/>
    </row>
    <row r="654" ht="15.75" customHeight="1" spans="4:9" x14ac:dyDescent="0.25">
      <c r="D654" s="158"/>
      <c r="E654" s="158"/>
      <c r="F654" s="158"/>
      <c r="G654" s="158"/>
      <c r="H654" s="158"/>
      <c r="I654" s="158"/>
    </row>
    <row r="655" ht="15.75" customHeight="1" spans="4:9" x14ac:dyDescent="0.25">
      <c r="D655" s="158"/>
      <c r="E655" s="158"/>
      <c r="F655" s="158"/>
      <c r="G655" s="158"/>
      <c r="H655" s="158"/>
      <c r="I655" s="158"/>
    </row>
    <row r="656" ht="15.75" customHeight="1" spans="4:9" x14ac:dyDescent="0.25">
      <c r="D656" s="158"/>
      <c r="E656" s="158"/>
      <c r="F656" s="158"/>
      <c r="G656" s="158"/>
      <c r="H656" s="158"/>
      <c r="I656" s="158"/>
    </row>
    <row r="657" ht="15.75" customHeight="1" spans="4:9" x14ac:dyDescent="0.25">
      <c r="D657" s="158"/>
      <c r="E657" s="158"/>
      <c r="F657" s="158"/>
      <c r="G657" s="158"/>
      <c r="H657" s="158"/>
      <c r="I657" s="158"/>
    </row>
    <row r="658" ht="15.75" customHeight="1" spans="4:9" x14ac:dyDescent="0.25">
      <c r="D658" s="158"/>
      <c r="E658" s="158"/>
      <c r="F658" s="158"/>
      <c r="G658" s="158"/>
      <c r="H658" s="158"/>
      <c r="I658" s="158"/>
    </row>
    <row r="659" ht="15.75" customHeight="1" spans="4:9" x14ac:dyDescent="0.25">
      <c r="D659" s="158"/>
      <c r="E659" s="158"/>
      <c r="F659" s="158"/>
      <c r="G659" s="158"/>
      <c r="H659" s="158"/>
      <c r="I659" s="158"/>
    </row>
    <row r="660" ht="15.75" customHeight="1" spans="4:9" x14ac:dyDescent="0.25">
      <c r="D660" s="158"/>
      <c r="E660" s="158"/>
      <c r="F660" s="158"/>
      <c r="G660" s="158"/>
      <c r="H660" s="158"/>
      <c r="I660" s="158"/>
    </row>
    <row r="661" ht="15.75" customHeight="1" spans="4:9" x14ac:dyDescent="0.25">
      <c r="D661" s="158"/>
      <c r="E661" s="158"/>
      <c r="F661" s="158"/>
      <c r="G661" s="158"/>
      <c r="H661" s="158"/>
      <c r="I661" s="158"/>
    </row>
    <row r="662" ht="15.75" customHeight="1" spans="4:9" x14ac:dyDescent="0.25">
      <c r="D662" s="158"/>
      <c r="E662" s="158"/>
      <c r="F662" s="158"/>
      <c r="G662" s="158"/>
      <c r="H662" s="158"/>
      <c r="I662" s="158"/>
    </row>
    <row r="663" ht="15.75" customHeight="1" spans="4:9" x14ac:dyDescent="0.25">
      <c r="D663" s="158"/>
      <c r="E663" s="158"/>
      <c r="F663" s="158"/>
      <c r="G663" s="158"/>
      <c r="H663" s="158"/>
      <c r="I663" s="158"/>
    </row>
    <row r="664" ht="15.75" customHeight="1" spans="4:9" x14ac:dyDescent="0.25">
      <c r="D664" s="158"/>
      <c r="E664" s="158"/>
      <c r="F664" s="158"/>
      <c r="G664" s="158"/>
      <c r="H664" s="158"/>
      <c r="I664" s="158"/>
    </row>
    <row r="665" ht="15.75" customHeight="1" spans="4:9" x14ac:dyDescent="0.25">
      <c r="D665" s="158"/>
      <c r="E665" s="158"/>
      <c r="F665" s="158"/>
      <c r="G665" s="158"/>
      <c r="H665" s="158"/>
      <c r="I665" s="158"/>
    </row>
    <row r="666" ht="15.75" customHeight="1" spans="4:9" x14ac:dyDescent="0.25">
      <c r="D666" s="158"/>
      <c r="E666" s="158"/>
      <c r="F666" s="158"/>
      <c r="G666" s="158"/>
      <c r="H666" s="158"/>
      <c r="I666" s="158"/>
    </row>
    <row r="667" ht="15.75" customHeight="1" spans="4:9" x14ac:dyDescent="0.25">
      <c r="D667" s="158"/>
      <c r="E667" s="158"/>
      <c r="F667" s="158"/>
      <c r="G667" s="158"/>
      <c r="H667" s="158"/>
      <c r="I667" s="158"/>
    </row>
    <row r="668" ht="15.75" customHeight="1" spans="4:9" x14ac:dyDescent="0.25">
      <c r="D668" s="158"/>
      <c r="E668" s="158"/>
      <c r="F668" s="158"/>
      <c r="G668" s="158"/>
      <c r="H668" s="158"/>
      <c r="I668" s="158"/>
    </row>
    <row r="669" ht="15.75" customHeight="1" spans="4:9" x14ac:dyDescent="0.25">
      <c r="D669" s="158"/>
      <c r="E669" s="158"/>
      <c r="F669" s="158"/>
      <c r="G669" s="158"/>
      <c r="H669" s="158"/>
      <c r="I669" s="158"/>
    </row>
    <row r="670" ht="15.75" customHeight="1" spans="4:9" x14ac:dyDescent="0.25">
      <c r="D670" s="158"/>
      <c r="E670" s="158"/>
      <c r="F670" s="158"/>
      <c r="G670" s="158"/>
      <c r="H670" s="158"/>
      <c r="I670" s="158"/>
    </row>
    <row r="671" ht="15.75" customHeight="1" spans="4:9" x14ac:dyDescent="0.25">
      <c r="D671" s="158"/>
      <c r="E671" s="158"/>
      <c r="F671" s="158"/>
      <c r="G671" s="158"/>
      <c r="H671" s="158"/>
      <c r="I671" s="158"/>
    </row>
    <row r="672" ht="15.75" customHeight="1" spans="4:9" x14ac:dyDescent="0.25">
      <c r="D672" s="158"/>
      <c r="E672" s="158"/>
      <c r="F672" s="158"/>
      <c r="G672" s="158"/>
      <c r="H672" s="158"/>
      <c r="I672" s="158"/>
    </row>
    <row r="673" ht="15.75" customHeight="1" spans="4:9" x14ac:dyDescent="0.25">
      <c r="D673" s="158"/>
      <c r="E673" s="158"/>
      <c r="F673" s="158"/>
      <c r="G673" s="158"/>
      <c r="H673" s="158"/>
      <c r="I673" s="158"/>
    </row>
    <row r="674" ht="15.75" customHeight="1" spans="4:9" x14ac:dyDescent="0.25">
      <c r="D674" s="158"/>
      <c r="E674" s="158"/>
      <c r="F674" s="158"/>
      <c r="G674" s="158"/>
      <c r="H674" s="158"/>
      <c r="I674" s="158"/>
    </row>
    <row r="675" ht="15.75" customHeight="1" spans="4:9" x14ac:dyDescent="0.25">
      <c r="D675" s="158"/>
      <c r="E675" s="158"/>
      <c r="F675" s="158"/>
      <c r="G675" s="158"/>
      <c r="H675" s="158"/>
      <c r="I675" s="158"/>
    </row>
    <row r="676" ht="15.75" customHeight="1" spans="4:9" x14ac:dyDescent="0.25">
      <c r="D676" s="158"/>
      <c r="E676" s="158"/>
      <c r="F676" s="158"/>
      <c r="G676" s="158"/>
      <c r="H676" s="158"/>
      <c r="I676" s="158"/>
    </row>
    <row r="677" ht="15.75" customHeight="1" spans="4:9" x14ac:dyDescent="0.25">
      <c r="D677" s="158"/>
      <c r="E677" s="158"/>
      <c r="F677" s="158"/>
      <c r="G677" s="158"/>
      <c r="H677" s="158"/>
      <c r="I677" s="158"/>
    </row>
    <row r="678" ht="15.75" customHeight="1" spans="4:9" x14ac:dyDescent="0.25">
      <c r="D678" s="158"/>
      <c r="E678" s="158"/>
      <c r="F678" s="158"/>
      <c r="G678" s="158"/>
      <c r="H678" s="158"/>
      <c r="I678" s="158"/>
    </row>
    <row r="679" ht="15.75" customHeight="1" spans="4:9" x14ac:dyDescent="0.25">
      <c r="D679" s="158"/>
      <c r="E679" s="158"/>
      <c r="F679" s="158"/>
      <c r="G679" s="158"/>
      <c r="H679" s="158"/>
      <c r="I679" s="158"/>
    </row>
    <row r="680" ht="15.75" customHeight="1" spans="4:9" x14ac:dyDescent="0.25">
      <c r="D680" s="158"/>
      <c r="E680" s="158"/>
      <c r="F680" s="158"/>
      <c r="G680" s="158"/>
      <c r="H680" s="158"/>
      <c r="I680" s="158"/>
    </row>
    <row r="681" ht="15.75" customHeight="1" spans="4:9" x14ac:dyDescent="0.25">
      <c r="D681" s="158"/>
      <c r="E681" s="158"/>
      <c r="F681" s="158"/>
      <c r="G681" s="158"/>
      <c r="H681" s="158"/>
      <c r="I681" s="158"/>
    </row>
    <row r="682" ht="15.75" customHeight="1" spans="4:9" x14ac:dyDescent="0.25">
      <c r="D682" s="158"/>
      <c r="E682" s="158"/>
      <c r="F682" s="158"/>
      <c r="G682" s="158"/>
      <c r="H682" s="158"/>
      <c r="I682" s="158"/>
    </row>
    <row r="683" ht="15.75" customHeight="1" spans="4:9" x14ac:dyDescent="0.25">
      <c r="D683" s="158"/>
      <c r="E683" s="158"/>
      <c r="F683" s="158"/>
      <c r="G683" s="158"/>
      <c r="H683" s="158"/>
      <c r="I683" s="158"/>
    </row>
    <row r="684" ht="15.75" customHeight="1" spans="4:9" x14ac:dyDescent="0.25">
      <c r="D684" s="158"/>
      <c r="E684" s="158"/>
      <c r="F684" s="158"/>
      <c r="G684" s="158"/>
      <c r="H684" s="158"/>
      <c r="I684" s="158"/>
    </row>
    <row r="685" ht="15.75" customHeight="1" spans="4:9" x14ac:dyDescent="0.25">
      <c r="D685" s="158"/>
      <c r="E685" s="158"/>
      <c r="F685" s="158"/>
      <c r="G685" s="158"/>
      <c r="H685" s="158"/>
      <c r="I685" s="158"/>
    </row>
    <row r="686" ht="15.75" customHeight="1" spans="4:9" x14ac:dyDescent="0.25">
      <c r="D686" s="158"/>
      <c r="E686" s="158"/>
      <c r="F686" s="158"/>
      <c r="G686" s="158"/>
      <c r="H686" s="158"/>
      <c r="I686" s="158"/>
    </row>
    <row r="687" ht="15.75" customHeight="1" spans="4:9" x14ac:dyDescent="0.25">
      <c r="D687" s="158"/>
      <c r="E687" s="158"/>
      <c r="F687" s="158"/>
      <c r="G687" s="158"/>
      <c r="H687" s="158"/>
      <c r="I687" s="158"/>
    </row>
    <row r="688" ht="15.75" customHeight="1" spans="4:9" x14ac:dyDescent="0.25">
      <c r="D688" s="158"/>
      <c r="E688" s="158"/>
      <c r="F688" s="158"/>
      <c r="G688" s="158"/>
      <c r="H688" s="158"/>
      <c r="I688" s="158"/>
    </row>
    <row r="689" ht="15.75" customHeight="1" spans="4:9" x14ac:dyDescent="0.25">
      <c r="D689" s="158"/>
      <c r="E689" s="158"/>
      <c r="F689" s="158"/>
      <c r="G689" s="158"/>
      <c r="H689" s="158"/>
      <c r="I689" s="158"/>
    </row>
    <row r="690" ht="15.75" customHeight="1" spans="4:9" x14ac:dyDescent="0.25">
      <c r="D690" s="158"/>
      <c r="E690" s="158"/>
      <c r="F690" s="158"/>
      <c r="G690" s="158"/>
      <c r="H690" s="158"/>
      <c r="I690" s="158"/>
    </row>
    <row r="691" ht="15.75" customHeight="1" spans="4:9" x14ac:dyDescent="0.25">
      <c r="D691" s="158"/>
      <c r="E691" s="158"/>
      <c r="F691" s="158"/>
      <c r="G691" s="158"/>
      <c r="H691" s="158"/>
      <c r="I691" s="158"/>
    </row>
    <row r="692" ht="15.75" customHeight="1" spans="4:9" x14ac:dyDescent="0.25">
      <c r="D692" s="158"/>
      <c r="E692" s="158"/>
      <c r="F692" s="158"/>
      <c r="G692" s="158"/>
      <c r="H692" s="158"/>
      <c r="I692" s="158"/>
    </row>
    <row r="693" ht="15.75" customHeight="1" spans="4:9" x14ac:dyDescent="0.25">
      <c r="D693" s="158"/>
      <c r="E693" s="158"/>
      <c r="F693" s="158"/>
      <c r="G693" s="158"/>
      <c r="H693" s="158"/>
      <c r="I693" s="158"/>
    </row>
    <row r="694" ht="15.75" customHeight="1" spans="4:9" x14ac:dyDescent="0.25">
      <c r="D694" s="158"/>
      <c r="E694" s="158"/>
      <c r="F694" s="158"/>
      <c r="G694" s="158"/>
      <c r="H694" s="158"/>
      <c r="I694" s="158"/>
    </row>
    <row r="695" ht="15.75" customHeight="1" spans="4:9" x14ac:dyDescent="0.25">
      <c r="D695" s="158"/>
      <c r="E695" s="158"/>
      <c r="F695" s="158"/>
      <c r="G695" s="158"/>
      <c r="H695" s="158"/>
      <c r="I695" s="158"/>
    </row>
    <row r="696" ht="15.75" customHeight="1" spans="4:9" x14ac:dyDescent="0.25">
      <c r="D696" s="158"/>
      <c r="E696" s="158"/>
      <c r="F696" s="158"/>
      <c r="G696" s="158"/>
      <c r="H696" s="158"/>
      <c r="I696" s="158"/>
    </row>
    <row r="697" ht="15.75" customHeight="1" spans="4:9" x14ac:dyDescent="0.25">
      <c r="D697" s="158"/>
      <c r="E697" s="158"/>
      <c r="F697" s="158"/>
      <c r="G697" s="158"/>
      <c r="H697" s="158"/>
      <c r="I697" s="158"/>
    </row>
    <row r="698" ht="15.75" customHeight="1" spans="4:9" x14ac:dyDescent="0.25">
      <c r="D698" s="158"/>
      <c r="E698" s="158"/>
      <c r="F698" s="158"/>
      <c r="G698" s="158"/>
      <c r="H698" s="158"/>
      <c r="I698" s="158"/>
    </row>
    <row r="699" ht="15.75" customHeight="1" spans="4:9" x14ac:dyDescent="0.25">
      <c r="D699" s="158"/>
      <c r="E699" s="158"/>
      <c r="F699" s="158"/>
      <c r="G699" s="158"/>
      <c r="H699" s="158"/>
      <c r="I699" s="158"/>
    </row>
    <row r="700" ht="15.75" customHeight="1" spans="4:9" x14ac:dyDescent="0.25">
      <c r="D700" s="158"/>
      <c r="E700" s="158"/>
      <c r="F700" s="158"/>
      <c r="G700" s="158"/>
      <c r="H700" s="158"/>
      <c r="I700" s="158"/>
    </row>
    <row r="701" ht="15.75" customHeight="1" spans="4:9" x14ac:dyDescent="0.25">
      <c r="D701" s="158"/>
      <c r="E701" s="158"/>
      <c r="F701" s="158"/>
      <c r="G701" s="158"/>
      <c r="H701" s="158"/>
      <c r="I701" s="158"/>
    </row>
    <row r="702" ht="15.75" customHeight="1" spans="4:9" x14ac:dyDescent="0.25">
      <c r="D702" s="158"/>
      <c r="E702" s="158"/>
      <c r="F702" s="158"/>
      <c r="G702" s="158"/>
      <c r="H702" s="158"/>
      <c r="I702" s="158"/>
    </row>
    <row r="703" ht="15.75" customHeight="1" spans="4:9" x14ac:dyDescent="0.25">
      <c r="D703" s="158"/>
      <c r="E703" s="158"/>
      <c r="F703" s="158"/>
      <c r="G703" s="158"/>
      <c r="H703" s="158"/>
      <c r="I703" s="158"/>
    </row>
    <row r="704" ht="15.75" customHeight="1" spans="4:9" x14ac:dyDescent="0.25">
      <c r="D704" s="158"/>
      <c r="E704" s="158"/>
      <c r="F704" s="158"/>
      <c r="G704" s="158"/>
      <c r="H704" s="158"/>
      <c r="I704" s="158"/>
    </row>
    <row r="705" ht="15.75" customHeight="1" spans="4:9" x14ac:dyDescent="0.25">
      <c r="D705" s="158"/>
      <c r="E705" s="158"/>
      <c r="F705" s="158"/>
      <c r="G705" s="158"/>
      <c r="H705" s="158"/>
      <c r="I705" s="158"/>
    </row>
    <row r="706" ht="15.75" customHeight="1" spans="4:9" x14ac:dyDescent="0.25">
      <c r="D706" s="158"/>
      <c r="E706" s="158"/>
      <c r="F706" s="158"/>
      <c r="G706" s="158"/>
      <c r="H706" s="158"/>
      <c r="I706" s="158"/>
    </row>
    <row r="707" ht="15.75" customHeight="1" spans="4:9" x14ac:dyDescent="0.25">
      <c r="D707" s="158"/>
      <c r="E707" s="158"/>
      <c r="F707" s="158"/>
      <c r="G707" s="158"/>
      <c r="H707" s="158"/>
      <c r="I707" s="158"/>
    </row>
    <row r="708" ht="15.75" customHeight="1" spans="4:9" x14ac:dyDescent="0.25">
      <c r="D708" s="158"/>
      <c r="E708" s="158"/>
      <c r="F708" s="158"/>
      <c r="G708" s="158"/>
      <c r="H708" s="158"/>
      <c r="I708" s="158"/>
    </row>
    <row r="709" ht="15.75" customHeight="1" spans="4:9" x14ac:dyDescent="0.25">
      <c r="D709" s="158"/>
      <c r="E709" s="158"/>
      <c r="F709" s="158"/>
      <c r="G709" s="158"/>
      <c r="H709" s="158"/>
      <c r="I709" s="158"/>
    </row>
    <row r="710" ht="15.75" customHeight="1" spans="4:9" x14ac:dyDescent="0.25">
      <c r="D710" s="158"/>
      <c r="E710" s="158"/>
      <c r="F710" s="158"/>
      <c r="G710" s="158"/>
      <c r="H710" s="158"/>
      <c r="I710" s="158"/>
    </row>
    <row r="711" ht="15.75" customHeight="1" spans="4:9" x14ac:dyDescent="0.25">
      <c r="D711" s="158"/>
      <c r="E711" s="158"/>
      <c r="F711" s="158"/>
      <c r="G711" s="158"/>
      <c r="H711" s="158"/>
      <c r="I711" s="158"/>
    </row>
    <row r="712" ht="15.75" customHeight="1" spans="4:9" x14ac:dyDescent="0.25">
      <c r="D712" s="158"/>
      <c r="E712" s="158"/>
      <c r="F712" s="158"/>
      <c r="G712" s="158"/>
      <c r="H712" s="158"/>
      <c r="I712" s="158"/>
    </row>
    <row r="713" ht="15.75" customHeight="1" spans="4:9" x14ac:dyDescent="0.25">
      <c r="D713" s="158"/>
      <c r="E713" s="158"/>
      <c r="F713" s="158"/>
      <c r="G713" s="158"/>
      <c r="H713" s="158"/>
      <c r="I713" s="158"/>
    </row>
    <row r="714" ht="15.75" customHeight="1" spans="4:9" x14ac:dyDescent="0.25">
      <c r="D714" s="158"/>
      <c r="E714" s="158"/>
      <c r="F714" s="158"/>
      <c r="G714" s="158"/>
      <c r="H714" s="158"/>
      <c r="I714" s="158"/>
    </row>
    <row r="715" ht="15.75" customHeight="1" spans="4:9" x14ac:dyDescent="0.25">
      <c r="D715" s="158"/>
      <c r="E715" s="158"/>
      <c r="F715" s="158"/>
      <c r="G715" s="158"/>
      <c r="H715" s="158"/>
      <c r="I715" s="158"/>
    </row>
    <row r="716" ht="15.75" customHeight="1" spans="4:9" x14ac:dyDescent="0.25">
      <c r="D716" s="158"/>
      <c r="E716" s="158"/>
      <c r="F716" s="158"/>
      <c r="G716" s="158"/>
      <c r="H716" s="158"/>
      <c r="I716" s="158"/>
    </row>
    <row r="717" ht="15.75" customHeight="1" spans="4:9" x14ac:dyDescent="0.25">
      <c r="D717" s="158"/>
      <c r="E717" s="158"/>
      <c r="F717" s="158"/>
      <c r="G717" s="158"/>
      <c r="H717" s="158"/>
      <c r="I717" s="158"/>
    </row>
    <row r="718" ht="15.75" customHeight="1" spans="4:9" x14ac:dyDescent="0.25">
      <c r="D718" s="158"/>
      <c r="E718" s="158"/>
      <c r="F718" s="158"/>
      <c r="G718" s="158"/>
      <c r="H718" s="158"/>
      <c r="I718" s="158"/>
    </row>
    <row r="719" ht="15.75" customHeight="1" spans="4:9" x14ac:dyDescent="0.25">
      <c r="D719" s="158"/>
      <c r="E719" s="158"/>
      <c r="F719" s="158"/>
      <c r="G719" s="158"/>
      <c r="H719" s="158"/>
      <c r="I719" s="158"/>
    </row>
    <row r="720" ht="15.75" customHeight="1" spans="4:9" x14ac:dyDescent="0.25">
      <c r="D720" s="158"/>
      <c r="E720" s="158"/>
      <c r="F720" s="158"/>
      <c r="G720" s="158"/>
      <c r="H720" s="158"/>
      <c r="I720" s="158"/>
    </row>
    <row r="721" ht="15.75" customHeight="1" spans="4:9" x14ac:dyDescent="0.25">
      <c r="D721" s="158"/>
      <c r="E721" s="158"/>
      <c r="F721" s="158"/>
      <c r="G721" s="158"/>
      <c r="H721" s="158"/>
      <c r="I721" s="158"/>
    </row>
    <row r="722" ht="15.75" customHeight="1" spans="4:9" x14ac:dyDescent="0.25">
      <c r="D722" s="158"/>
      <c r="E722" s="158"/>
      <c r="F722" s="158"/>
      <c r="G722" s="158"/>
      <c r="H722" s="158"/>
      <c r="I722" s="158"/>
    </row>
    <row r="723" ht="15.75" customHeight="1" spans="4:9" x14ac:dyDescent="0.25">
      <c r="D723" s="158"/>
      <c r="E723" s="158"/>
      <c r="F723" s="158"/>
      <c r="G723" s="158"/>
      <c r="H723" s="158"/>
      <c r="I723" s="158"/>
    </row>
    <row r="724" ht="15.75" customHeight="1" spans="4:9" x14ac:dyDescent="0.25">
      <c r="D724" s="158"/>
      <c r="E724" s="158"/>
      <c r="F724" s="158"/>
      <c r="G724" s="158"/>
      <c r="H724" s="158"/>
      <c r="I724" s="158"/>
    </row>
    <row r="725" ht="15.75" customHeight="1" spans="4:9" x14ac:dyDescent="0.25">
      <c r="D725" s="158"/>
      <c r="E725" s="158"/>
      <c r="F725" s="158"/>
      <c r="G725" s="158"/>
      <c r="H725" s="158"/>
      <c r="I725" s="158"/>
    </row>
    <row r="726" ht="15.75" customHeight="1" spans="4:9" x14ac:dyDescent="0.25">
      <c r="D726" s="158"/>
      <c r="E726" s="158"/>
      <c r="F726" s="158"/>
      <c r="G726" s="158"/>
      <c r="H726" s="158"/>
      <c r="I726" s="158"/>
    </row>
    <row r="727" ht="15.75" customHeight="1" spans="4:9" x14ac:dyDescent="0.25">
      <c r="D727" s="158"/>
      <c r="E727" s="158"/>
      <c r="F727" s="158"/>
      <c r="G727" s="158"/>
      <c r="H727" s="158"/>
      <c r="I727" s="158"/>
    </row>
    <row r="728" ht="15.75" customHeight="1" spans="4:9" x14ac:dyDescent="0.25">
      <c r="D728" s="158"/>
      <c r="E728" s="158"/>
      <c r="F728" s="158"/>
      <c r="G728" s="158"/>
      <c r="H728" s="158"/>
      <c r="I728" s="158"/>
    </row>
    <row r="729" ht="15.75" customHeight="1" spans="4:9" x14ac:dyDescent="0.25">
      <c r="D729" s="158"/>
      <c r="E729" s="158"/>
      <c r="F729" s="158"/>
      <c r="G729" s="158"/>
      <c r="H729" s="158"/>
      <c r="I729" s="158"/>
    </row>
    <row r="730" ht="15.75" customHeight="1" spans="4:9" x14ac:dyDescent="0.25">
      <c r="D730" s="158"/>
      <c r="E730" s="158"/>
      <c r="F730" s="158"/>
      <c r="G730" s="158"/>
      <c r="H730" s="158"/>
      <c r="I730" s="158"/>
    </row>
    <row r="731" ht="15.75" customHeight="1" spans="4:9" x14ac:dyDescent="0.25">
      <c r="D731" s="158"/>
      <c r="E731" s="158"/>
      <c r="F731" s="158"/>
      <c r="G731" s="158"/>
      <c r="H731" s="158"/>
      <c r="I731" s="158"/>
    </row>
    <row r="732" ht="15.75" customHeight="1" spans="4:9" x14ac:dyDescent="0.25">
      <c r="D732" s="158"/>
      <c r="E732" s="158"/>
      <c r="F732" s="158"/>
      <c r="G732" s="158"/>
      <c r="H732" s="158"/>
      <c r="I732" s="158"/>
    </row>
    <row r="733" ht="15.75" customHeight="1" spans="4:9" x14ac:dyDescent="0.25">
      <c r="D733" s="158"/>
      <c r="E733" s="158"/>
      <c r="F733" s="158"/>
      <c r="G733" s="158"/>
      <c r="H733" s="158"/>
      <c r="I733" s="158"/>
    </row>
    <row r="734" ht="15.75" customHeight="1" spans="4:9" x14ac:dyDescent="0.25">
      <c r="D734" s="158"/>
      <c r="E734" s="158"/>
      <c r="F734" s="158"/>
      <c r="G734" s="158"/>
      <c r="H734" s="158"/>
      <c r="I734" s="158"/>
    </row>
    <row r="735" ht="15.75" customHeight="1" spans="4:9" x14ac:dyDescent="0.25">
      <c r="D735" s="158"/>
      <c r="E735" s="158"/>
      <c r="F735" s="158"/>
      <c r="G735" s="158"/>
      <c r="H735" s="158"/>
      <c r="I735" s="158"/>
    </row>
    <row r="736" ht="15.75" customHeight="1" spans="4:9" x14ac:dyDescent="0.25">
      <c r="D736" s="158"/>
      <c r="E736" s="158"/>
      <c r="F736" s="158"/>
      <c r="G736" s="158"/>
      <c r="H736" s="158"/>
      <c r="I736" s="158"/>
    </row>
    <row r="737" ht="15.75" customHeight="1" spans="4:9" x14ac:dyDescent="0.25">
      <c r="D737" s="158"/>
      <c r="E737" s="158"/>
      <c r="F737" s="158"/>
      <c r="G737" s="158"/>
      <c r="H737" s="158"/>
      <c r="I737" s="158"/>
    </row>
    <row r="738" ht="15.75" customHeight="1" spans="4:9" x14ac:dyDescent="0.25">
      <c r="D738" s="158"/>
      <c r="E738" s="158"/>
      <c r="F738" s="158"/>
      <c r="G738" s="158"/>
      <c r="H738" s="158"/>
      <c r="I738" s="158"/>
    </row>
    <row r="739" ht="15.75" customHeight="1" spans="4:9" x14ac:dyDescent="0.25">
      <c r="D739" s="158"/>
      <c r="E739" s="158"/>
      <c r="F739" s="158"/>
      <c r="G739" s="158"/>
      <c r="H739" s="158"/>
      <c r="I739" s="158"/>
    </row>
    <row r="740" ht="15.75" customHeight="1" spans="4:9" x14ac:dyDescent="0.25">
      <c r="D740" s="158"/>
      <c r="E740" s="158"/>
      <c r="F740" s="158"/>
      <c r="G740" s="158"/>
      <c r="H740" s="158"/>
      <c r="I740" s="158"/>
    </row>
    <row r="741" ht="15.75" customHeight="1" spans="4:9" x14ac:dyDescent="0.25">
      <c r="D741" s="158"/>
      <c r="E741" s="158"/>
      <c r="F741" s="158"/>
      <c r="G741" s="158"/>
      <c r="H741" s="158"/>
      <c r="I741" s="158"/>
    </row>
    <row r="742" ht="15.75" customHeight="1" spans="4:9" x14ac:dyDescent="0.25">
      <c r="D742" s="158"/>
      <c r="E742" s="158"/>
      <c r="F742" s="158"/>
      <c r="G742" s="158"/>
      <c r="H742" s="158"/>
      <c r="I742" s="158"/>
    </row>
    <row r="743" ht="15.75" customHeight="1" spans="4:9" x14ac:dyDescent="0.25">
      <c r="D743" s="158"/>
      <c r="E743" s="158"/>
      <c r="F743" s="158"/>
      <c r="G743" s="158"/>
      <c r="H743" s="158"/>
      <c r="I743" s="158"/>
    </row>
    <row r="744" ht="15.75" customHeight="1" spans="4:9" x14ac:dyDescent="0.25">
      <c r="D744" s="158"/>
      <c r="E744" s="158"/>
      <c r="F744" s="158"/>
      <c r="G744" s="158"/>
      <c r="H744" s="158"/>
      <c r="I744" s="158"/>
    </row>
    <row r="745" ht="15.75" customHeight="1" spans="4:9" x14ac:dyDescent="0.25">
      <c r="D745" s="158"/>
      <c r="E745" s="158"/>
      <c r="F745" s="158"/>
      <c r="G745" s="158"/>
      <c r="H745" s="158"/>
      <c r="I745" s="158"/>
    </row>
    <row r="746" ht="15.75" customHeight="1" spans="4:9" x14ac:dyDescent="0.25">
      <c r="D746" s="158"/>
      <c r="E746" s="158"/>
      <c r="F746" s="158"/>
      <c r="G746" s="158"/>
      <c r="H746" s="158"/>
      <c r="I746" s="158"/>
    </row>
    <row r="747" ht="15.75" customHeight="1" spans="4:9" x14ac:dyDescent="0.25">
      <c r="D747" s="158"/>
      <c r="E747" s="158"/>
      <c r="F747" s="158"/>
      <c r="G747" s="158"/>
      <c r="H747" s="158"/>
      <c r="I747" s="158"/>
    </row>
    <row r="748" ht="15.75" customHeight="1" spans="4:9" x14ac:dyDescent="0.25">
      <c r="D748" s="158"/>
      <c r="E748" s="158"/>
      <c r="F748" s="158"/>
      <c r="G748" s="158"/>
      <c r="H748" s="158"/>
      <c r="I748" s="158"/>
    </row>
    <row r="749" ht="15.75" customHeight="1" spans="4:9" x14ac:dyDescent="0.25">
      <c r="D749" s="158"/>
      <c r="E749" s="158"/>
      <c r="F749" s="158"/>
      <c r="G749" s="158"/>
      <c r="H749" s="158"/>
      <c r="I749" s="158"/>
    </row>
    <row r="750" ht="15.75" customHeight="1" spans="4:9" x14ac:dyDescent="0.25">
      <c r="D750" s="158"/>
      <c r="E750" s="158"/>
      <c r="F750" s="158"/>
      <c r="G750" s="158"/>
      <c r="H750" s="158"/>
      <c r="I750" s="158"/>
    </row>
    <row r="751" ht="15.75" customHeight="1" spans="4:9" x14ac:dyDescent="0.25">
      <c r="D751" s="158"/>
      <c r="E751" s="158"/>
      <c r="F751" s="158"/>
      <c r="G751" s="158"/>
      <c r="H751" s="158"/>
      <c r="I751" s="158"/>
    </row>
    <row r="752" ht="15.75" customHeight="1" spans="4:9" x14ac:dyDescent="0.25">
      <c r="D752" s="158"/>
      <c r="E752" s="158"/>
      <c r="F752" s="158"/>
      <c r="G752" s="158"/>
      <c r="H752" s="158"/>
      <c r="I752" s="158"/>
    </row>
    <row r="753" ht="15.75" customHeight="1" spans="4:9" x14ac:dyDescent="0.25">
      <c r="D753" s="158"/>
      <c r="E753" s="158"/>
      <c r="F753" s="158"/>
      <c r="G753" s="158"/>
      <c r="H753" s="158"/>
      <c r="I753" s="158"/>
    </row>
    <row r="754" ht="15.75" customHeight="1" spans="4:9" x14ac:dyDescent="0.25">
      <c r="D754" s="158"/>
      <c r="E754" s="158"/>
      <c r="F754" s="158"/>
      <c r="G754" s="158"/>
      <c r="H754" s="158"/>
      <c r="I754" s="158"/>
    </row>
    <row r="755" ht="15.75" customHeight="1" spans="4:9" x14ac:dyDescent="0.25">
      <c r="D755" s="158"/>
      <c r="E755" s="158"/>
      <c r="F755" s="158"/>
      <c r="G755" s="158"/>
      <c r="H755" s="158"/>
      <c r="I755" s="158"/>
    </row>
    <row r="756" ht="15.75" customHeight="1" spans="4:9" x14ac:dyDescent="0.25">
      <c r="D756" s="158"/>
      <c r="E756" s="158"/>
      <c r="F756" s="158"/>
      <c r="G756" s="158"/>
      <c r="H756" s="158"/>
      <c r="I756" s="158"/>
    </row>
    <row r="757" ht="15.75" customHeight="1" spans="4:9" x14ac:dyDescent="0.25">
      <c r="D757" s="158"/>
      <c r="E757" s="158"/>
      <c r="F757" s="158"/>
      <c r="G757" s="158"/>
      <c r="H757" s="158"/>
      <c r="I757" s="158"/>
    </row>
    <row r="758" ht="15.75" customHeight="1" spans="4:9" x14ac:dyDescent="0.25">
      <c r="D758" s="158"/>
      <c r="E758" s="158"/>
      <c r="F758" s="158"/>
      <c r="G758" s="158"/>
      <c r="H758" s="158"/>
      <c r="I758" s="158"/>
    </row>
    <row r="759" ht="15.75" customHeight="1" spans="4:9" x14ac:dyDescent="0.25">
      <c r="D759" s="158"/>
      <c r="E759" s="158"/>
      <c r="F759" s="158"/>
      <c r="G759" s="158"/>
      <c r="H759" s="158"/>
      <c r="I759" s="158"/>
    </row>
    <row r="760" ht="15.75" customHeight="1" spans="4:9" x14ac:dyDescent="0.25">
      <c r="D760" s="158"/>
      <c r="E760" s="158"/>
      <c r="F760" s="158"/>
      <c r="G760" s="158"/>
      <c r="H760" s="158"/>
      <c r="I760" s="158"/>
    </row>
    <row r="761" ht="15.75" customHeight="1" spans="4:9" x14ac:dyDescent="0.25">
      <c r="D761" s="158"/>
      <c r="E761" s="158"/>
      <c r="F761" s="158"/>
      <c r="G761" s="158"/>
      <c r="H761" s="158"/>
      <c r="I761" s="158"/>
    </row>
    <row r="762" ht="15.75" customHeight="1" spans="4:9" x14ac:dyDescent="0.25">
      <c r="D762" s="158"/>
      <c r="E762" s="158"/>
      <c r="F762" s="158"/>
      <c r="G762" s="158"/>
      <c r="H762" s="158"/>
      <c r="I762" s="158"/>
    </row>
    <row r="763" ht="15.75" customHeight="1" spans="4:9" x14ac:dyDescent="0.25">
      <c r="D763" s="158"/>
      <c r="E763" s="158"/>
      <c r="F763" s="158"/>
      <c r="G763" s="158"/>
      <c r="H763" s="158"/>
      <c r="I763" s="158"/>
    </row>
    <row r="764" ht="15.75" customHeight="1" spans="4:9" x14ac:dyDescent="0.25">
      <c r="D764" s="158"/>
      <c r="E764" s="158"/>
      <c r="F764" s="158"/>
      <c r="G764" s="158"/>
      <c r="H764" s="158"/>
      <c r="I764" s="158"/>
    </row>
    <row r="765" ht="15.75" customHeight="1" spans="4:9" x14ac:dyDescent="0.25">
      <c r="D765" s="158"/>
      <c r="E765" s="158"/>
      <c r="F765" s="158"/>
      <c r="G765" s="158"/>
      <c r="H765" s="158"/>
      <c r="I765" s="158"/>
    </row>
    <row r="766" ht="15.75" customHeight="1" spans="4:9" x14ac:dyDescent="0.25">
      <c r="D766" s="158"/>
      <c r="E766" s="158"/>
      <c r="F766" s="158"/>
      <c r="G766" s="158"/>
      <c r="H766" s="158"/>
      <c r="I766" s="158"/>
    </row>
    <row r="767" ht="15.75" customHeight="1" spans="4:9" x14ac:dyDescent="0.25">
      <c r="D767" s="158"/>
      <c r="E767" s="158"/>
      <c r="F767" s="158"/>
      <c r="G767" s="158"/>
      <c r="H767" s="158"/>
      <c r="I767" s="158"/>
    </row>
    <row r="768" ht="15.75" customHeight="1" spans="4:9" x14ac:dyDescent="0.25">
      <c r="D768" s="158"/>
      <c r="E768" s="158"/>
      <c r="F768" s="158"/>
      <c r="G768" s="158"/>
      <c r="H768" s="158"/>
      <c r="I768" s="158"/>
    </row>
    <row r="769" ht="15.75" customHeight="1" spans="4:9" x14ac:dyDescent="0.25">
      <c r="D769" s="158"/>
      <c r="E769" s="158"/>
      <c r="F769" s="158"/>
      <c r="G769" s="158"/>
      <c r="H769" s="158"/>
      <c r="I769" s="158"/>
    </row>
    <row r="770" ht="15.75" customHeight="1" spans="4:9" x14ac:dyDescent="0.25">
      <c r="D770" s="158"/>
      <c r="E770" s="158"/>
      <c r="F770" s="158"/>
      <c r="G770" s="158"/>
      <c r="H770" s="158"/>
      <c r="I770" s="158"/>
    </row>
    <row r="771" ht="15.75" customHeight="1" spans="4:9" x14ac:dyDescent="0.25">
      <c r="D771" s="158"/>
      <c r="E771" s="158"/>
      <c r="F771" s="158"/>
      <c r="G771" s="158"/>
      <c r="H771" s="158"/>
      <c r="I771" s="158"/>
    </row>
    <row r="772" ht="15.75" customHeight="1" spans="4:9" x14ac:dyDescent="0.25">
      <c r="D772" s="158"/>
      <c r="E772" s="158"/>
      <c r="F772" s="158"/>
      <c r="G772" s="158"/>
      <c r="H772" s="158"/>
      <c r="I772" s="158"/>
    </row>
    <row r="773" ht="15.75" customHeight="1" spans="4:9" x14ac:dyDescent="0.25">
      <c r="D773" s="158"/>
      <c r="E773" s="158"/>
      <c r="F773" s="158"/>
      <c r="G773" s="158"/>
      <c r="H773" s="158"/>
      <c r="I773" s="158"/>
    </row>
    <row r="774" ht="15.75" customHeight="1" spans="4:9" x14ac:dyDescent="0.25">
      <c r="D774" s="158"/>
      <c r="E774" s="158"/>
      <c r="F774" s="158"/>
      <c r="G774" s="158"/>
      <c r="H774" s="158"/>
      <c r="I774" s="158"/>
    </row>
    <row r="775" ht="15.75" customHeight="1" spans="4:9" x14ac:dyDescent="0.25">
      <c r="D775" s="158"/>
      <c r="E775" s="158"/>
      <c r="F775" s="158"/>
      <c r="G775" s="158"/>
      <c r="H775" s="158"/>
      <c r="I775" s="158"/>
    </row>
    <row r="776" ht="15.75" customHeight="1" spans="4:9" x14ac:dyDescent="0.25">
      <c r="D776" s="158"/>
      <c r="E776" s="158"/>
      <c r="F776" s="158"/>
      <c r="G776" s="158"/>
      <c r="H776" s="158"/>
      <c r="I776" s="158"/>
    </row>
    <row r="777" ht="15.75" customHeight="1" spans="4:9" x14ac:dyDescent="0.25">
      <c r="D777" s="158"/>
      <c r="E777" s="158"/>
      <c r="F777" s="158"/>
      <c r="G777" s="158"/>
      <c r="H777" s="158"/>
      <c r="I777" s="158"/>
    </row>
    <row r="778" ht="15.75" customHeight="1" spans="4:9" x14ac:dyDescent="0.25">
      <c r="D778" s="158"/>
      <c r="E778" s="158"/>
      <c r="F778" s="158"/>
      <c r="G778" s="158"/>
      <c r="H778" s="158"/>
      <c r="I778" s="158"/>
    </row>
    <row r="779" ht="15.75" customHeight="1" spans="4:9" x14ac:dyDescent="0.25">
      <c r="D779" s="158"/>
      <c r="E779" s="158"/>
      <c r="F779" s="158"/>
      <c r="G779" s="158"/>
      <c r="H779" s="158"/>
      <c r="I779" s="158"/>
    </row>
    <row r="780" ht="15.75" customHeight="1" spans="4:9" x14ac:dyDescent="0.25">
      <c r="D780" s="158"/>
      <c r="E780" s="158"/>
      <c r="F780" s="158"/>
      <c r="G780" s="158"/>
      <c r="H780" s="158"/>
      <c r="I780" s="158"/>
    </row>
    <row r="781" ht="15.75" customHeight="1" spans="4:9" x14ac:dyDescent="0.25">
      <c r="D781" s="158"/>
      <c r="E781" s="158"/>
      <c r="F781" s="158"/>
      <c r="G781" s="158"/>
      <c r="H781" s="158"/>
      <c r="I781" s="158"/>
    </row>
    <row r="782" ht="15.75" customHeight="1" spans="4:9" x14ac:dyDescent="0.25">
      <c r="D782" s="158"/>
      <c r="E782" s="158"/>
      <c r="F782" s="158"/>
      <c r="G782" s="158"/>
      <c r="H782" s="158"/>
      <c r="I782" s="158"/>
    </row>
    <row r="783" ht="15.75" customHeight="1" spans="4:9" x14ac:dyDescent="0.25">
      <c r="D783" s="158"/>
      <c r="E783" s="158"/>
      <c r="F783" s="158"/>
      <c r="G783" s="158"/>
      <c r="H783" s="158"/>
      <c r="I783" s="158"/>
    </row>
    <row r="784" ht="15.75" customHeight="1" spans="4:9" x14ac:dyDescent="0.25">
      <c r="D784" s="158"/>
      <c r="E784" s="158"/>
      <c r="F784" s="158"/>
      <c r="G784" s="158"/>
      <c r="H784" s="158"/>
      <c r="I784" s="158"/>
    </row>
    <row r="785" ht="15.75" customHeight="1" spans="4:9" x14ac:dyDescent="0.25">
      <c r="D785" s="158"/>
      <c r="E785" s="158"/>
      <c r="F785" s="158"/>
      <c r="G785" s="158"/>
      <c r="H785" s="158"/>
      <c r="I785" s="158"/>
    </row>
    <row r="786" ht="15.75" customHeight="1" spans="4:9" x14ac:dyDescent="0.25">
      <c r="D786" s="158"/>
      <c r="E786" s="158"/>
      <c r="F786" s="158"/>
      <c r="G786" s="158"/>
      <c r="H786" s="158"/>
      <c r="I786" s="158"/>
    </row>
    <row r="787" ht="15.75" customHeight="1" spans="4:9" x14ac:dyDescent="0.25">
      <c r="D787" s="158"/>
      <c r="E787" s="158"/>
      <c r="F787" s="158"/>
      <c r="G787" s="158"/>
      <c r="H787" s="158"/>
      <c r="I787" s="158"/>
    </row>
    <row r="788" ht="15.75" customHeight="1" spans="4:9" x14ac:dyDescent="0.25">
      <c r="D788" s="158"/>
      <c r="E788" s="158"/>
      <c r="F788" s="158"/>
      <c r="G788" s="158"/>
      <c r="H788" s="158"/>
      <c r="I788" s="158"/>
    </row>
    <row r="789" ht="15.75" customHeight="1" spans="4:9" x14ac:dyDescent="0.25">
      <c r="D789" s="158"/>
      <c r="E789" s="158"/>
      <c r="F789" s="158"/>
      <c r="G789" s="158"/>
      <c r="H789" s="158"/>
      <c r="I789" s="158"/>
    </row>
    <row r="790" ht="15.75" customHeight="1" spans="4:9" x14ac:dyDescent="0.25">
      <c r="D790" s="158"/>
      <c r="E790" s="158"/>
      <c r="F790" s="158"/>
      <c r="G790" s="158"/>
      <c r="H790" s="158"/>
      <c r="I790" s="158"/>
    </row>
    <row r="791" ht="15.75" customHeight="1" spans="4:9" x14ac:dyDescent="0.25">
      <c r="D791" s="158"/>
      <c r="E791" s="158"/>
      <c r="F791" s="158"/>
      <c r="G791" s="158"/>
      <c r="H791" s="158"/>
      <c r="I791" s="158"/>
    </row>
    <row r="792" ht="15.75" customHeight="1" spans="4:9" x14ac:dyDescent="0.25">
      <c r="D792" s="158"/>
      <c r="E792" s="158"/>
      <c r="F792" s="158"/>
      <c r="G792" s="158"/>
      <c r="H792" s="158"/>
      <c r="I792" s="158"/>
    </row>
    <row r="793" ht="15.75" customHeight="1" spans="4:9" x14ac:dyDescent="0.25">
      <c r="D793" s="158"/>
      <c r="E793" s="158"/>
      <c r="F793" s="158"/>
      <c r="G793" s="158"/>
      <c r="H793" s="158"/>
      <c r="I793" s="158"/>
    </row>
    <row r="794" ht="15.75" customHeight="1" spans="4:9" x14ac:dyDescent="0.25">
      <c r="D794" s="158"/>
      <c r="E794" s="158"/>
      <c r="F794" s="158"/>
      <c r="G794" s="158"/>
      <c r="H794" s="158"/>
      <c r="I794" s="158"/>
    </row>
    <row r="795" ht="15.75" customHeight="1" spans="4:9" x14ac:dyDescent="0.25">
      <c r="D795" s="158"/>
      <c r="E795" s="158"/>
      <c r="F795" s="158"/>
      <c r="G795" s="158"/>
      <c r="H795" s="158"/>
      <c r="I795" s="158"/>
    </row>
    <row r="796" ht="15.75" customHeight="1" spans="4:9" x14ac:dyDescent="0.25">
      <c r="D796" s="158"/>
      <c r="E796" s="158"/>
      <c r="F796" s="158"/>
      <c r="G796" s="158"/>
      <c r="H796" s="158"/>
      <c r="I796" s="158"/>
    </row>
    <row r="797" ht="15.75" customHeight="1" spans="4:9" x14ac:dyDescent="0.25">
      <c r="D797" s="158"/>
      <c r="E797" s="158"/>
      <c r="F797" s="158"/>
      <c r="G797" s="158"/>
      <c r="H797" s="158"/>
      <c r="I797" s="158"/>
    </row>
    <row r="798" ht="15.75" customHeight="1" spans="4:9" x14ac:dyDescent="0.25">
      <c r="D798" s="158"/>
      <c r="E798" s="158"/>
      <c r="F798" s="158"/>
      <c r="G798" s="158"/>
      <c r="H798" s="158"/>
      <c r="I798" s="158"/>
    </row>
    <row r="799" ht="15.75" customHeight="1" spans="4:9" x14ac:dyDescent="0.25">
      <c r="D799" s="158"/>
      <c r="E799" s="158"/>
      <c r="F799" s="158"/>
      <c r="G799" s="158"/>
      <c r="H799" s="158"/>
      <c r="I799" s="158"/>
    </row>
    <row r="800" ht="15.75" customHeight="1" spans="4:9" x14ac:dyDescent="0.25">
      <c r="D800" s="158"/>
      <c r="E800" s="158"/>
      <c r="F800" s="158"/>
      <c r="G800" s="158"/>
      <c r="H800" s="158"/>
      <c r="I800" s="158"/>
    </row>
    <row r="801" ht="15.75" customHeight="1" spans="4:9" x14ac:dyDescent="0.25">
      <c r="D801" s="158"/>
      <c r="E801" s="158"/>
      <c r="F801" s="158"/>
      <c r="G801" s="158"/>
      <c r="H801" s="158"/>
      <c r="I801" s="158"/>
    </row>
    <row r="802" ht="15.75" customHeight="1" spans="4:9" x14ac:dyDescent="0.25">
      <c r="D802" s="158"/>
      <c r="E802" s="158"/>
      <c r="F802" s="158"/>
      <c r="G802" s="158"/>
      <c r="H802" s="158"/>
      <c r="I802" s="158"/>
    </row>
    <row r="803" ht="15.75" customHeight="1" spans="4:9" x14ac:dyDescent="0.25">
      <c r="D803" s="158"/>
      <c r="E803" s="158"/>
      <c r="F803" s="158"/>
      <c r="G803" s="158"/>
      <c r="H803" s="158"/>
      <c r="I803" s="158"/>
    </row>
    <row r="804" ht="15.75" customHeight="1" spans="4:9" x14ac:dyDescent="0.25">
      <c r="D804" s="158"/>
      <c r="E804" s="158"/>
      <c r="F804" s="158"/>
      <c r="G804" s="158"/>
      <c r="H804" s="158"/>
      <c r="I804" s="158"/>
    </row>
    <row r="805" ht="15.75" customHeight="1" spans="4:9" x14ac:dyDescent="0.25">
      <c r="D805" s="158"/>
      <c r="E805" s="158"/>
      <c r="F805" s="158"/>
      <c r="G805" s="158"/>
      <c r="H805" s="158"/>
      <c r="I805" s="158"/>
    </row>
    <row r="806" ht="15.75" customHeight="1" spans="4:9" x14ac:dyDescent="0.25">
      <c r="D806" s="158"/>
      <c r="E806" s="158"/>
      <c r="F806" s="158"/>
      <c r="G806" s="158"/>
      <c r="H806" s="158"/>
      <c r="I806" s="158"/>
    </row>
    <row r="807" ht="15.75" customHeight="1" spans="4:9" x14ac:dyDescent="0.25">
      <c r="D807" s="158"/>
      <c r="E807" s="158"/>
      <c r="F807" s="158"/>
      <c r="G807" s="158"/>
      <c r="H807" s="158"/>
      <c r="I807" s="158"/>
    </row>
    <row r="808" ht="15.75" customHeight="1" spans="4:9" x14ac:dyDescent="0.25">
      <c r="D808" s="158"/>
      <c r="E808" s="158"/>
      <c r="F808" s="158"/>
      <c r="G808" s="158"/>
      <c r="H808" s="158"/>
      <c r="I808" s="158"/>
    </row>
    <row r="809" ht="15.75" customHeight="1" spans="4:9" x14ac:dyDescent="0.25">
      <c r="D809" s="158"/>
      <c r="E809" s="158"/>
      <c r="F809" s="158"/>
      <c r="G809" s="158"/>
      <c r="H809" s="158"/>
      <c r="I809" s="158"/>
    </row>
    <row r="810" ht="15.75" customHeight="1" spans="4:9" x14ac:dyDescent="0.25">
      <c r="D810" s="158"/>
      <c r="E810" s="158"/>
      <c r="F810" s="158"/>
      <c r="G810" s="158"/>
      <c r="H810" s="158"/>
      <c r="I810" s="158"/>
    </row>
    <row r="811" ht="15.75" customHeight="1" spans="4:9" x14ac:dyDescent="0.25">
      <c r="D811" s="158"/>
      <c r="E811" s="158"/>
      <c r="F811" s="158"/>
      <c r="G811" s="158"/>
      <c r="H811" s="158"/>
      <c r="I811" s="158"/>
    </row>
    <row r="812" ht="15.75" customHeight="1" spans="4:9" x14ac:dyDescent="0.25">
      <c r="D812" s="158"/>
      <c r="E812" s="158"/>
      <c r="F812" s="158"/>
      <c r="G812" s="158"/>
      <c r="H812" s="158"/>
      <c r="I812" s="158"/>
    </row>
    <row r="813" ht="15.75" customHeight="1" spans="4:9" x14ac:dyDescent="0.25">
      <c r="D813" s="158"/>
      <c r="E813" s="158"/>
      <c r="F813" s="158"/>
      <c r="G813" s="158"/>
      <c r="H813" s="158"/>
      <c r="I813" s="158"/>
    </row>
    <row r="814" ht="15.75" customHeight="1" spans="4:9" x14ac:dyDescent="0.25">
      <c r="D814" s="158"/>
      <c r="E814" s="158"/>
      <c r="F814" s="158"/>
      <c r="G814" s="158"/>
      <c r="H814" s="158"/>
      <c r="I814" s="158"/>
    </row>
    <row r="815" ht="15.75" customHeight="1" spans="4:9" x14ac:dyDescent="0.25">
      <c r="D815" s="158"/>
      <c r="E815" s="158"/>
      <c r="F815" s="158"/>
      <c r="G815" s="158"/>
      <c r="H815" s="158"/>
      <c r="I815" s="158"/>
    </row>
    <row r="816" ht="15.75" customHeight="1" spans="4:9" x14ac:dyDescent="0.25">
      <c r="D816" s="158"/>
      <c r="E816" s="158"/>
      <c r="F816" s="158"/>
      <c r="G816" s="158"/>
      <c r="H816" s="158"/>
      <c r="I816" s="158"/>
    </row>
    <row r="817" ht="15.75" customHeight="1" spans="4:9" x14ac:dyDescent="0.25">
      <c r="D817" s="158"/>
      <c r="E817" s="158"/>
      <c r="F817" s="158"/>
      <c r="G817" s="158"/>
      <c r="H817" s="158"/>
      <c r="I817" s="158"/>
    </row>
    <row r="818" ht="15.75" customHeight="1" spans="4:9" x14ac:dyDescent="0.25">
      <c r="D818" s="158"/>
      <c r="E818" s="158"/>
      <c r="F818" s="158"/>
      <c r="G818" s="158"/>
      <c r="H818" s="158"/>
      <c r="I818" s="158"/>
    </row>
    <row r="819" ht="15.75" customHeight="1" spans="4:9" x14ac:dyDescent="0.25">
      <c r="D819" s="158"/>
      <c r="E819" s="158"/>
      <c r="F819" s="158"/>
      <c r="G819" s="158"/>
      <c r="H819" s="158"/>
      <c r="I819" s="158"/>
    </row>
    <row r="820" ht="15.75" customHeight="1" spans="4:9" x14ac:dyDescent="0.25">
      <c r="D820" s="158"/>
      <c r="E820" s="158"/>
      <c r="F820" s="158"/>
      <c r="G820" s="158"/>
      <c r="H820" s="158"/>
      <c r="I820" s="158"/>
    </row>
    <row r="821" ht="15.75" customHeight="1" spans="4:9" x14ac:dyDescent="0.25">
      <c r="D821" s="158"/>
      <c r="E821" s="158"/>
      <c r="F821" s="158"/>
      <c r="G821" s="158"/>
      <c r="H821" s="158"/>
      <c r="I821" s="158"/>
    </row>
    <row r="822" ht="15.75" customHeight="1" spans="4:9" x14ac:dyDescent="0.25">
      <c r="D822" s="158"/>
      <c r="E822" s="158"/>
      <c r="F822" s="158"/>
      <c r="G822" s="158"/>
      <c r="H822" s="158"/>
      <c r="I822" s="158"/>
    </row>
    <row r="823" ht="15.75" customHeight="1" spans="4:9" x14ac:dyDescent="0.25">
      <c r="D823" s="158"/>
      <c r="E823" s="158"/>
      <c r="F823" s="158"/>
      <c r="G823" s="158"/>
      <c r="H823" s="158"/>
      <c r="I823" s="158"/>
    </row>
    <row r="824" ht="15.75" customHeight="1" spans="4:9" x14ac:dyDescent="0.25">
      <c r="D824" s="158"/>
      <c r="E824" s="158"/>
      <c r="F824" s="158"/>
      <c r="G824" s="158"/>
      <c r="H824" s="158"/>
      <c r="I824" s="158"/>
    </row>
    <row r="825" ht="15.75" customHeight="1" spans="4:9" x14ac:dyDescent="0.25">
      <c r="D825" s="158"/>
      <c r="E825" s="158"/>
      <c r="F825" s="158"/>
      <c r="G825" s="158"/>
      <c r="H825" s="158"/>
      <c r="I825" s="158"/>
    </row>
    <row r="826" ht="15.75" customHeight="1" spans="4:9" x14ac:dyDescent="0.25">
      <c r="D826" s="158"/>
      <c r="E826" s="158"/>
      <c r="F826" s="158"/>
      <c r="G826" s="158"/>
      <c r="H826" s="158"/>
      <c r="I826" s="158"/>
    </row>
    <row r="827" ht="15.75" customHeight="1" spans="4:9" x14ac:dyDescent="0.25">
      <c r="D827" s="158"/>
      <c r="E827" s="158"/>
      <c r="F827" s="158"/>
      <c r="G827" s="158"/>
      <c r="H827" s="158"/>
      <c r="I827" s="158"/>
    </row>
    <row r="828" ht="15.75" customHeight="1" spans="4:9" x14ac:dyDescent="0.25">
      <c r="D828" s="158"/>
      <c r="E828" s="158"/>
      <c r="F828" s="158"/>
      <c r="G828" s="158"/>
      <c r="H828" s="158"/>
      <c r="I828" s="158"/>
    </row>
    <row r="829" ht="15.75" customHeight="1" spans="4:9" x14ac:dyDescent="0.25">
      <c r="D829" s="158"/>
      <c r="E829" s="158"/>
      <c r="F829" s="158"/>
      <c r="G829" s="158"/>
      <c r="H829" s="158"/>
      <c r="I829" s="158"/>
    </row>
    <row r="830" ht="15.75" customHeight="1" spans="4:9" x14ac:dyDescent="0.25">
      <c r="D830" s="158"/>
      <c r="E830" s="158"/>
      <c r="F830" s="158"/>
      <c r="G830" s="158"/>
      <c r="H830" s="158"/>
      <c r="I830" s="158"/>
    </row>
    <row r="831" ht="15.75" customHeight="1" spans="4:9" x14ac:dyDescent="0.25">
      <c r="D831" s="158"/>
      <c r="E831" s="158"/>
      <c r="F831" s="158"/>
      <c r="G831" s="158"/>
      <c r="H831" s="158"/>
      <c r="I831" s="158"/>
    </row>
    <row r="832" ht="15.75" customHeight="1" spans="4:9" x14ac:dyDescent="0.25">
      <c r="D832" s="158"/>
      <c r="E832" s="158"/>
      <c r="F832" s="158"/>
      <c r="G832" s="158"/>
      <c r="H832" s="158"/>
      <c r="I832" s="158"/>
    </row>
    <row r="833" ht="15.75" customHeight="1" spans="4:9" x14ac:dyDescent="0.25">
      <c r="D833" s="158"/>
      <c r="E833" s="158"/>
      <c r="F833" s="158"/>
      <c r="G833" s="158"/>
      <c r="H833" s="158"/>
      <c r="I833" s="158"/>
    </row>
    <row r="834" ht="15.75" customHeight="1" spans="4:9" x14ac:dyDescent="0.25">
      <c r="D834" s="158"/>
      <c r="E834" s="158"/>
      <c r="F834" s="158"/>
      <c r="G834" s="158"/>
      <c r="H834" s="158"/>
      <c r="I834" s="158"/>
    </row>
    <row r="835" ht="15.75" customHeight="1" spans="4:9" x14ac:dyDescent="0.25">
      <c r="D835" s="158"/>
      <c r="E835" s="158"/>
      <c r="F835" s="158"/>
      <c r="G835" s="158"/>
      <c r="H835" s="158"/>
      <c r="I835" s="158"/>
    </row>
    <row r="836" ht="15.75" customHeight="1" spans="4:9" x14ac:dyDescent="0.25">
      <c r="D836" s="158"/>
      <c r="E836" s="158"/>
      <c r="F836" s="158"/>
      <c r="G836" s="158"/>
      <c r="H836" s="158"/>
      <c r="I836" s="158"/>
    </row>
    <row r="837" ht="15.75" customHeight="1" spans="4:9" x14ac:dyDescent="0.25">
      <c r="D837" s="158"/>
      <c r="E837" s="158"/>
      <c r="F837" s="158"/>
      <c r="G837" s="158"/>
      <c r="H837" s="158"/>
      <c r="I837" s="158"/>
    </row>
    <row r="838" ht="15.75" customHeight="1" spans="4:9" x14ac:dyDescent="0.25">
      <c r="D838" s="158"/>
      <c r="E838" s="158"/>
      <c r="F838" s="158"/>
      <c r="G838" s="158"/>
      <c r="H838" s="158"/>
      <c r="I838" s="158"/>
    </row>
    <row r="839" ht="15.75" customHeight="1" spans="4:9" x14ac:dyDescent="0.25">
      <c r="D839" s="158"/>
      <c r="E839" s="158"/>
      <c r="F839" s="158"/>
      <c r="G839" s="158"/>
      <c r="H839" s="158"/>
      <c r="I839" s="158"/>
    </row>
    <row r="840" ht="15.75" customHeight="1" spans="4:9" x14ac:dyDescent="0.25">
      <c r="D840" s="158"/>
      <c r="E840" s="158"/>
      <c r="F840" s="158"/>
      <c r="G840" s="158"/>
      <c r="H840" s="158"/>
      <c r="I840" s="158"/>
    </row>
    <row r="841" ht="15.75" customHeight="1" spans="4:9" x14ac:dyDescent="0.25">
      <c r="D841" s="158"/>
      <c r="E841" s="158"/>
      <c r="F841" s="158"/>
      <c r="G841" s="158"/>
      <c r="H841" s="158"/>
      <c r="I841" s="158"/>
    </row>
    <row r="842" ht="15.75" customHeight="1" spans="4:9" x14ac:dyDescent="0.25">
      <c r="D842" s="158"/>
      <c r="E842" s="158"/>
      <c r="F842" s="158"/>
      <c r="G842" s="158"/>
      <c r="H842" s="158"/>
      <c r="I842" s="158"/>
    </row>
    <row r="843" ht="15.75" customHeight="1" spans="4:9" x14ac:dyDescent="0.25">
      <c r="D843" s="158"/>
      <c r="E843" s="158"/>
      <c r="F843" s="158"/>
      <c r="G843" s="158"/>
      <c r="H843" s="158"/>
      <c r="I843" s="158"/>
    </row>
    <row r="844" ht="15.75" customHeight="1" spans="4:9" x14ac:dyDescent="0.25">
      <c r="D844" s="158"/>
      <c r="E844" s="158"/>
      <c r="F844" s="158"/>
      <c r="G844" s="158"/>
      <c r="H844" s="158"/>
      <c r="I844" s="158"/>
    </row>
    <row r="845" ht="15.75" customHeight="1" spans="4:9" x14ac:dyDescent="0.25">
      <c r="D845" s="158"/>
      <c r="E845" s="158"/>
      <c r="F845" s="158"/>
      <c r="G845" s="158"/>
      <c r="H845" s="158"/>
      <c r="I845" s="158"/>
    </row>
    <row r="846" ht="15.75" customHeight="1" spans="4:9" x14ac:dyDescent="0.25">
      <c r="D846" s="158"/>
      <c r="E846" s="158"/>
      <c r="F846" s="158"/>
      <c r="G846" s="158"/>
      <c r="H846" s="158"/>
      <c r="I846" s="158"/>
    </row>
    <row r="847" ht="15.75" customHeight="1" spans="4:9" x14ac:dyDescent="0.25">
      <c r="D847" s="158"/>
      <c r="E847" s="158"/>
      <c r="F847" s="158"/>
      <c r="G847" s="158"/>
      <c r="H847" s="158"/>
      <c r="I847" s="158"/>
    </row>
    <row r="848" ht="15.75" customHeight="1" spans="4:9" x14ac:dyDescent="0.25">
      <c r="D848" s="158"/>
      <c r="E848" s="158"/>
      <c r="F848" s="158"/>
      <c r="G848" s="158"/>
      <c r="H848" s="158"/>
      <c r="I848" s="158"/>
    </row>
    <row r="849" ht="15.75" customHeight="1" spans="4:9" x14ac:dyDescent="0.25">
      <c r="D849" s="158"/>
      <c r="E849" s="158"/>
      <c r="F849" s="158"/>
      <c r="G849" s="158"/>
      <c r="H849" s="158"/>
      <c r="I849" s="158"/>
    </row>
    <row r="850" ht="15.75" customHeight="1" spans="4:9" x14ac:dyDescent="0.25">
      <c r="D850" s="158"/>
      <c r="E850" s="158"/>
      <c r="F850" s="158"/>
      <c r="G850" s="158"/>
      <c r="H850" s="158"/>
      <c r="I850" s="158"/>
    </row>
    <row r="851" ht="15.75" customHeight="1" spans="4:9" x14ac:dyDescent="0.25">
      <c r="D851" s="158"/>
      <c r="E851" s="158"/>
      <c r="F851" s="158"/>
      <c r="G851" s="158"/>
      <c r="H851" s="158"/>
      <c r="I851" s="158"/>
    </row>
    <row r="852" ht="15.75" customHeight="1" spans="4:9" x14ac:dyDescent="0.25">
      <c r="D852" s="158"/>
      <c r="E852" s="158"/>
      <c r="F852" s="158"/>
      <c r="G852" s="158"/>
      <c r="H852" s="158"/>
      <c r="I852" s="158"/>
    </row>
    <row r="853" ht="15.75" customHeight="1" spans="4:9" x14ac:dyDescent="0.25">
      <c r="D853" s="158"/>
      <c r="E853" s="158"/>
      <c r="F853" s="158"/>
      <c r="G853" s="158"/>
      <c r="H853" s="158"/>
      <c r="I853" s="158"/>
    </row>
    <row r="854" ht="15.75" customHeight="1" spans="4:9" x14ac:dyDescent="0.25">
      <c r="D854" s="158"/>
      <c r="E854" s="158"/>
      <c r="F854" s="158"/>
      <c r="G854" s="158"/>
      <c r="H854" s="158"/>
      <c r="I854" s="158"/>
    </row>
    <row r="855" ht="15.75" customHeight="1" spans="4:9" x14ac:dyDescent="0.25">
      <c r="D855" s="158"/>
      <c r="E855" s="158"/>
      <c r="F855" s="158"/>
      <c r="G855" s="158"/>
      <c r="H855" s="158"/>
      <c r="I855" s="158"/>
    </row>
    <row r="856" ht="15.75" customHeight="1" spans="4:9" x14ac:dyDescent="0.25">
      <c r="D856" s="158"/>
      <c r="E856" s="158"/>
      <c r="F856" s="158"/>
      <c r="G856" s="158"/>
      <c r="H856" s="158"/>
      <c r="I856" s="158"/>
    </row>
    <row r="857" ht="15.75" customHeight="1" spans="4:9" x14ac:dyDescent="0.25">
      <c r="D857" s="158"/>
      <c r="E857" s="158"/>
      <c r="F857" s="158"/>
      <c r="G857" s="158"/>
      <c r="H857" s="158"/>
      <c r="I857" s="158"/>
    </row>
    <row r="858" ht="15.75" customHeight="1" spans="4:9" x14ac:dyDescent="0.25">
      <c r="D858" s="158"/>
      <c r="E858" s="158"/>
      <c r="F858" s="158"/>
      <c r="G858" s="158"/>
      <c r="H858" s="158"/>
      <c r="I858" s="158"/>
    </row>
    <row r="859" ht="15.75" customHeight="1" spans="4:9" x14ac:dyDescent="0.25">
      <c r="D859" s="158"/>
      <c r="E859" s="158"/>
      <c r="F859" s="158"/>
      <c r="G859" s="158"/>
      <c r="H859" s="158"/>
      <c r="I859" s="158"/>
    </row>
    <row r="860" ht="15.75" customHeight="1" spans="4:9" x14ac:dyDescent="0.25">
      <c r="D860" s="158"/>
      <c r="E860" s="158"/>
      <c r="F860" s="158"/>
      <c r="G860" s="158"/>
      <c r="H860" s="158"/>
      <c r="I860" s="158"/>
    </row>
    <row r="861" ht="15.75" customHeight="1" spans="4:9" x14ac:dyDescent="0.25">
      <c r="D861" s="158"/>
      <c r="E861" s="158"/>
      <c r="F861" s="158"/>
      <c r="G861" s="158"/>
      <c r="H861" s="158"/>
      <c r="I861" s="158"/>
    </row>
    <row r="862" ht="15.75" customHeight="1" spans="4:9" x14ac:dyDescent="0.25">
      <c r="D862" s="158"/>
      <c r="E862" s="158"/>
      <c r="F862" s="158"/>
      <c r="G862" s="158"/>
      <c r="H862" s="158"/>
      <c r="I862" s="158"/>
    </row>
    <row r="863" ht="15.75" customHeight="1" spans="4:9" x14ac:dyDescent="0.25">
      <c r="D863" s="158"/>
      <c r="E863" s="158"/>
      <c r="F863" s="158"/>
      <c r="G863" s="158"/>
      <c r="H863" s="158"/>
      <c r="I863" s="158"/>
    </row>
    <row r="864" ht="15.75" customHeight="1" spans="4:9" x14ac:dyDescent="0.25">
      <c r="D864" s="158"/>
      <c r="E864" s="158"/>
      <c r="F864" s="158"/>
      <c r="G864" s="158"/>
      <c r="H864" s="158"/>
      <c r="I864" s="158"/>
    </row>
    <row r="865" ht="15.75" customHeight="1" spans="4:9" x14ac:dyDescent="0.25">
      <c r="D865" s="158"/>
      <c r="E865" s="158"/>
      <c r="F865" s="158"/>
      <c r="G865" s="158"/>
      <c r="H865" s="158"/>
      <c r="I865" s="158"/>
    </row>
    <row r="866" ht="15.75" customHeight="1" spans="4:9" x14ac:dyDescent="0.25">
      <c r="D866" s="158"/>
      <c r="E866" s="158"/>
      <c r="F866" s="158"/>
      <c r="G866" s="158"/>
      <c r="H866" s="158"/>
      <c r="I866" s="158"/>
    </row>
    <row r="867" ht="15.75" customHeight="1" spans="4:9" x14ac:dyDescent="0.25">
      <c r="D867" s="158"/>
      <c r="E867" s="158"/>
      <c r="F867" s="158"/>
      <c r="G867" s="158"/>
      <c r="H867" s="158"/>
      <c r="I867" s="158"/>
    </row>
    <row r="868" ht="15.75" customHeight="1" spans="4:9" x14ac:dyDescent="0.25">
      <c r="D868" s="158"/>
      <c r="E868" s="158"/>
      <c r="F868" s="158"/>
      <c r="G868" s="158"/>
      <c r="H868" s="158"/>
      <c r="I868" s="158"/>
    </row>
    <row r="869" ht="15.75" customHeight="1" spans="4:9" x14ac:dyDescent="0.25">
      <c r="D869" s="158"/>
      <c r="E869" s="158"/>
      <c r="F869" s="158"/>
      <c r="G869" s="158"/>
      <c r="H869" s="158"/>
      <c r="I869" s="158"/>
    </row>
    <row r="870" ht="15.75" customHeight="1" spans="4:9" x14ac:dyDescent="0.25">
      <c r="D870" s="158"/>
      <c r="E870" s="158"/>
      <c r="F870" s="158"/>
      <c r="G870" s="158"/>
      <c r="H870" s="158"/>
      <c r="I870" s="158"/>
    </row>
    <row r="871" ht="15.75" customHeight="1" spans="4:9" x14ac:dyDescent="0.25">
      <c r="D871" s="158"/>
      <c r="E871" s="158"/>
      <c r="F871" s="158"/>
      <c r="G871" s="158"/>
      <c r="H871" s="158"/>
      <c r="I871" s="158"/>
    </row>
    <row r="872" ht="15.75" customHeight="1" spans="4:9" x14ac:dyDescent="0.25">
      <c r="D872" s="158"/>
      <c r="E872" s="158"/>
      <c r="F872" s="158"/>
      <c r="G872" s="158"/>
      <c r="H872" s="158"/>
      <c r="I872" s="158"/>
    </row>
    <row r="873" ht="15.75" customHeight="1" spans="4:9" x14ac:dyDescent="0.25">
      <c r="D873" s="158"/>
      <c r="E873" s="158"/>
      <c r="F873" s="158"/>
      <c r="G873" s="158"/>
      <c r="H873" s="158"/>
      <c r="I873" s="158"/>
    </row>
    <row r="874" ht="15.75" customHeight="1" spans="4:9" x14ac:dyDescent="0.25">
      <c r="D874" s="158"/>
      <c r="E874" s="158"/>
      <c r="F874" s="158"/>
      <c r="G874" s="158"/>
      <c r="H874" s="158"/>
      <c r="I874" s="158"/>
    </row>
    <row r="875" ht="15.75" customHeight="1" spans="4:9" x14ac:dyDescent="0.25">
      <c r="D875" s="158"/>
      <c r="E875" s="158"/>
      <c r="F875" s="158"/>
      <c r="G875" s="158"/>
      <c r="H875" s="158"/>
      <c r="I875" s="158"/>
    </row>
    <row r="876" ht="15.75" customHeight="1" spans="4:9" x14ac:dyDescent="0.25">
      <c r="D876" s="158"/>
      <c r="E876" s="158"/>
      <c r="F876" s="158"/>
      <c r="G876" s="158"/>
      <c r="H876" s="158"/>
      <c r="I876" s="158"/>
    </row>
    <row r="877" ht="15.75" customHeight="1" spans="4:9" x14ac:dyDescent="0.25">
      <c r="D877" s="158"/>
      <c r="E877" s="158"/>
      <c r="F877" s="158"/>
      <c r="G877" s="158"/>
      <c r="H877" s="158"/>
      <c r="I877" s="158"/>
    </row>
    <row r="878" ht="15.75" customHeight="1" spans="4:9" x14ac:dyDescent="0.25">
      <c r="D878" s="158"/>
      <c r="E878" s="158"/>
      <c r="F878" s="158"/>
      <c r="G878" s="158"/>
      <c r="H878" s="158"/>
      <c r="I878" s="158"/>
    </row>
    <row r="879" ht="15.75" customHeight="1" spans="4:9" x14ac:dyDescent="0.25">
      <c r="D879" s="158"/>
      <c r="E879" s="158"/>
      <c r="F879" s="158"/>
      <c r="G879" s="158"/>
      <c r="H879" s="158"/>
      <c r="I879" s="158"/>
    </row>
    <row r="880" ht="15.75" customHeight="1" spans="4:9" x14ac:dyDescent="0.25">
      <c r="D880" s="158"/>
      <c r="E880" s="158"/>
      <c r="F880" s="158"/>
      <c r="G880" s="158"/>
      <c r="H880" s="158"/>
      <c r="I880" s="158"/>
    </row>
    <row r="881" ht="15.75" customHeight="1" spans="4:9" x14ac:dyDescent="0.25">
      <c r="D881" s="158"/>
      <c r="E881" s="158"/>
      <c r="F881" s="158"/>
      <c r="G881" s="158"/>
      <c r="H881" s="158"/>
      <c r="I881" s="158"/>
    </row>
    <row r="882" ht="15.75" customHeight="1" spans="4:9" x14ac:dyDescent="0.25">
      <c r="D882" s="158"/>
      <c r="E882" s="158"/>
      <c r="F882" s="158"/>
      <c r="G882" s="158"/>
      <c r="H882" s="158"/>
      <c r="I882" s="158"/>
    </row>
    <row r="883" ht="15.75" customHeight="1" spans="4:9" x14ac:dyDescent="0.25">
      <c r="D883" s="158"/>
      <c r="E883" s="158"/>
      <c r="F883" s="158"/>
      <c r="G883" s="158"/>
      <c r="H883" s="158"/>
      <c r="I883" s="158"/>
    </row>
    <row r="884" ht="15.75" customHeight="1" spans="4:9" x14ac:dyDescent="0.25">
      <c r="D884" s="158"/>
      <c r="E884" s="158"/>
      <c r="F884" s="158"/>
      <c r="G884" s="158"/>
      <c r="H884" s="158"/>
      <c r="I884" s="158"/>
    </row>
    <row r="885" ht="15.75" customHeight="1" spans="4:9" x14ac:dyDescent="0.25">
      <c r="D885" s="158"/>
      <c r="E885" s="158"/>
      <c r="F885" s="158"/>
      <c r="G885" s="158"/>
      <c r="H885" s="158"/>
      <c r="I885" s="158"/>
    </row>
    <row r="886" ht="15.75" customHeight="1" spans="4:9" x14ac:dyDescent="0.25">
      <c r="D886" s="158"/>
      <c r="E886" s="158"/>
      <c r="F886" s="158"/>
      <c r="G886" s="158"/>
      <c r="H886" s="158"/>
      <c r="I886" s="158"/>
    </row>
    <row r="887" ht="15.75" customHeight="1" spans="4:9" x14ac:dyDescent="0.25">
      <c r="D887" s="158"/>
      <c r="E887" s="158"/>
      <c r="F887" s="158"/>
      <c r="G887" s="158"/>
      <c r="H887" s="158"/>
      <c r="I887" s="158"/>
    </row>
    <row r="888" ht="15.75" customHeight="1" spans="4:9" x14ac:dyDescent="0.25">
      <c r="D888" s="158"/>
      <c r="E888" s="158"/>
      <c r="F888" s="158"/>
      <c r="G888" s="158"/>
      <c r="H888" s="158"/>
      <c r="I888" s="158"/>
    </row>
    <row r="889" ht="15.75" customHeight="1" spans="4:9" x14ac:dyDescent="0.25">
      <c r="D889" s="158"/>
      <c r="E889" s="158"/>
      <c r="F889" s="158"/>
      <c r="G889" s="158"/>
      <c r="H889" s="158"/>
      <c r="I889" s="158"/>
    </row>
    <row r="890" ht="15.75" customHeight="1" spans="4:9" x14ac:dyDescent="0.25">
      <c r="D890" s="158"/>
      <c r="E890" s="158"/>
      <c r="F890" s="158"/>
      <c r="G890" s="158"/>
      <c r="H890" s="158"/>
      <c r="I890" s="158"/>
    </row>
    <row r="891" ht="15.75" customHeight="1" spans="4:9" x14ac:dyDescent="0.25">
      <c r="D891" s="158"/>
      <c r="E891" s="158"/>
      <c r="F891" s="158"/>
      <c r="G891" s="158"/>
      <c r="H891" s="158"/>
      <c r="I891" s="158"/>
    </row>
    <row r="892" ht="15.75" customHeight="1" spans="4:9" x14ac:dyDescent="0.25">
      <c r="D892" s="158"/>
      <c r="E892" s="158"/>
      <c r="F892" s="158"/>
      <c r="G892" s="158"/>
      <c r="H892" s="158"/>
      <c r="I892" s="158"/>
    </row>
    <row r="893" ht="15.75" customHeight="1" spans="4:9" x14ac:dyDescent="0.25">
      <c r="D893" s="158"/>
      <c r="E893" s="158"/>
      <c r="F893" s="158"/>
      <c r="G893" s="158"/>
      <c r="H893" s="158"/>
      <c r="I893" s="158"/>
    </row>
    <row r="894" ht="15.75" customHeight="1" spans="4:9" x14ac:dyDescent="0.25">
      <c r="D894" s="158"/>
      <c r="E894" s="158"/>
      <c r="F894" s="158"/>
      <c r="G894" s="158"/>
      <c r="H894" s="158"/>
      <c r="I894" s="158"/>
    </row>
    <row r="895" ht="15.75" customHeight="1" spans="4:9" x14ac:dyDescent="0.25">
      <c r="D895" s="158"/>
      <c r="E895" s="158"/>
      <c r="F895" s="158"/>
      <c r="G895" s="158"/>
      <c r="H895" s="158"/>
      <c r="I895" s="158"/>
    </row>
    <row r="896" ht="15.75" customHeight="1" spans="4:9" x14ac:dyDescent="0.25">
      <c r="D896" s="158"/>
      <c r="E896" s="158"/>
      <c r="F896" s="158"/>
      <c r="G896" s="158"/>
      <c r="H896" s="158"/>
      <c r="I896" s="158"/>
    </row>
    <row r="897" ht="15.75" customHeight="1" spans="4:9" x14ac:dyDescent="0.25">
      <c r="D897" s="158"/>
      <c r="E897" s="158"/>
      <c r="F897" s="158"/>
      <c r="G897" s="158"/>
      <c r="H897" s="158"/>
      <c r="I897" s="158"/>
    </row>
    <row r="898" ht="15.75" customHeight="1" spans="4:9" x14ac:dyDescent="0.25">
      <c r="D898" s="158"/>
      <c r="E898" s="158"/>
      <c r="F898" s="158"/>
      <c r="G898" s="158"/>
      <c r="H898" s="158"/>
      <c r="I898" s="158"/>
    </row>
    <row r="899" ht="15.75" customHeight="1" spans="4:9" x14ac:dyDescent="0.25">
      <c r="D899" s="158"/>
      <c r="E899" s="158"/>
      <c r="F899" s="158"/>
      <c r="G899" s="158"/>
      <c r="H899" s="158"/>
      <c r="I899" s="158"/>
    </row>
    <row r="900" ht="15.75" customHeight="1" spans="4:9" x14ac:dyDescent="0.25">
      <c r="D900" s="158"/>
      <c r="E900" s="158"/>
      <c r="F900" s="158"/>
      <c r="G900" s="158"/>
      <c r="H900" s="158"/>
      <c r="I900" s="158"/>
    </row>
    <row r="901" ht="15.75" customHeight="1" spans="4:9" x14ac:dyDescent="0.25">
      <c r="D901" s="158"/>
      <c r="E901" s="158"/>
      <c r="F901" s="158"/>
      <c r="G901" s="158"/>
      <c r="H901" s="158"/>
      <c r="I901" s="158"/>
    </row>
    <row r="902" ht="15.75" customHeight="1" spans="4:9" x14ac:dyDescent="0.25">
      <c r="D902" s="158"/>
      <c r="E902" s="158"/>
      <c r="F902" s="158"/>
      <c r="G902" s="158"/>
      <c r="H902" s="158"/>
      <c r="I902" s="158"/>
    </row>
    <row r="903" ht="15.75" customHeight="1" spans="4:9" x14ac:dyDescent="0.25">
      <c r="D903" s="158"/>
      <c r="E903" s="158"/>
      <c r="F903" s="158"/>
      <c r="G903" s="158"/>
      <c r="H903" s="158"/>
      <c r="I903" s="158"/>
    </row>
    <row r="904" ht="15.75" customHeight="1" spans="4:9" x14ac:dyDescent="0.25">
      <c r="D904" s="158"/>
      <c r="E904" s="158"/>
      <c r="F904" s="158"/>
      <c r="G904" s="158"/>
      <c r="H904" s="158"/>
      <c r="I904" s="158"/>
    </row>
    <row r="905" ht="15.75" customHeight="1" spans="4:9" x14ac:dyDescent="0.25">
      <c r="D905" s="158"/>
      <c r="E905" s="158"/>
      <c r="F905" s="158"/>
      <c r="G905" s="158"/>
      <c r="H905" s="158"/>
      <c r="I905" s="158"/>
    </row>
    <row r="906" ht="15.75" customHeight="1" spans="4:9" x14ac:dyDescent="0.25">
      <c r="D906" s="158"/>
      <c r="E906" s="158"/>
      <c r="F906" s="158"/>
      <c r="G906" s="158"/>
      <c r="H906" s="158"/>
      <c r="I906" s="158"/>
    </row>
    <row r="907" ht="15.75" customHeight="1" spans="4:9" x14ac:dyDescent="0.25">
      <c r="D907" s="158"/>
      <c r="E907" s="158"/>
      <c r="F907" s="158"/>
      <c r="G907" s="158"/>
      <c r="H907" s="158"/>
      <c r="I907" s="158"/>
    </row>
    <row r="908" ht="15.75" customHeight="1" spans="4:9" x14ac:dyDescent="0.25">
      <c r="D908" s="158"/>
      <c r="E908" s="158"/>
      <c r="F908" s="158"/>
      <c r="G908" s="158"/>
      <c r="H908" s="158"/>
      <c r="I908" s="158"/>
    </row>
    <row r="909" ht="15.75" customHeight="1" spans="4:9" x14ac:dyDescent="0.25">
      <c r="D909" s="158"/>
      <c r="E909" s="158"/>
      <c r="F909" s="158"/>
      <c r="G909" s="158"/>
      <c r="H909" s="158"/>
      <c r="I909" s="158"/>
    </row>
    <row r="910" ht="15.75" customHeight="1" spans="4:9" x14ac:dyDescent="0.25">
      <c r="D910" s="158"/>
      <c r="E910" s="158"/>
      <c r="F910" s="158"/>
      <c r="G910" s="158"/>
      <c r="H910" s="158"/>
      <c r="I910" s="158"/>
    </row>
    <row r="911" ht="15.75" customHeight="1" spans="4:9" x14ac:dyDescent="0.25">
      <c r="D911" s="158"/>
      <c r="E911" s="158"/>
      <c r="F911" s="158"/>
      <c r="G911" s="158"/>
      <c r="H911" s="158"/>
      <c r="I911" s="158"/>
    </row>
    <row r="912" ht="15.75" customHeight="1" spans="4:9" x14ac:dyDescent="0.25">
      <c r="D912" s="158"/>
      <c r="E912" s="158"/>
      <c r="F912" s="158"/>
      <c r="G912" s="158"/>
      <c r="H912" s="158"/>
      <c r="I912" s="158"/>
    </row>
    <row r="913" ht="15.75" customHeight="1" spans="4:9" x14ac:dyDescent="0.25">
      <c r="D913" s="158"/>
      <c r="E913" s="158"/>
      <c r="F913" s="158"/>
      <c r="G913" s="158"/>
      <c r="H913" s="158"/>
      <c r="I913" s="158"/>
    </row>
    <row r="914" ht="15.75" customHeight="1" spans="4:9" x14ac:dyDescent="0.25">
      <c r="D914" s="158"/>
      <c r="E914" s="158"/>
      <c r="F914" s="158"/>
      <c r="G914" s="158"/>
      <c r="H914" s="158"/>
      <c r="I914" s="158"/>
    </row>
    <row r="915" ht="15.75" customHeight="1" spans="4:9" x14ac:dyDescent="0.25">
      <c r="D915" s="158"/>
      <c r="E915" s="158"/>
      <c r="F915" s="158"/>
      <c r="G915" s="158"/>
      <c r="H915" s="158"/>
      <c r="I915" s="158"/>
    </row>
    <row r="916" ht="15.75" customHeight="1" spans="4:9" x14ac:dyDescent="0.25">
      <c r="D916" s="158"/>
      <c r="E916" s="158"/>
      <c r="F916" s="158"/>
      <c r="G916" s="158"/>
      <c r="H916" s="158"/>
      <c r="I916" s="158"/>
    </row>
    <row r="917" ht="15.75" customHeight="1" spans="4:9" x14ac:dyDescent="0.25">
      <c r="D917" s="158"/>
      <c r="E917" s="158"/>
      <c r="F917" s="158"/>
      <c r="G917" s="158"/>
      <c r="H917" s="158"/>
      <c r="I917" s="158"/>
    </row>
    <row r="918" ht="15.75" customHeight="1" spans="4:9" x14ac:dyDescent="0.25">
      <c r="D918" s="158"/>
      <c r="E918" s="158"/>
      <c r="F918" s="158"/>
      <c r="G918" s="158"/>
      <c r="H918" s="158"/>
      <c r="I918" s="158"/>
    </row>
    <row r="919" ht="15.75" customHeight="1" spans="4:9" x14ac:dyDescent="0.25">
      <c r="D919" s="158"/>
      <c r="E919" s="158"/>
      <c r="F919" s="158"/>
      <c r="G919" s="158"/>
      <c r="H919" s="158"/>
      <c r="I919" s="158"/>
    </row>
    <row r="920" ht="15.75" customHeight="1" spans="4:9" x14ac:dyDescent="0.25">
      <c r="D920" s="158"/>
      <c r="E920" s="158"/>
      <c r="F920" s="158"/>
      <c r="G920" s="158"/>
      <c r="H920" s="158"/>
      <c r="I920" s="158"/>
    </row>
    <row r="921" ht="15.75" customHeight="1" spans="4:9" x14ac:dyDescent="0.25">
      <c r="D921" s="158"/>
      <c r="E921" s="158"/>
      <c r="F921" s="158"/>
      <c r="G921" s="158"/>
      <c r="H921" s="158"/>
      <c r="I921" s="158"/>
    </row>
    <row r="922" ht="15.75" customHeight="1" spans="4:9" x14ac:dyDescent="0.25">
      <c r="D922" s="158"/>
      <c r="E922" s="158"/>
      <c r="F922" s="158"/>
      <c r="G922" s="158"/>
      <c r="H922" s="158"/>
      <c r="I922" s="158"/>
    </row>
    <row r="923" ht="15.75" customHeight="1" spans="4:9" x14ac:dyDescent="0.25">
      <c r="D923" s="158"/>
      <c r="E923" s="158"/>
      <c r="F923" s="158"/>
      <c r="G923" s="158"/>
      <c r="H923" s="158"/>
      <c r="I923" s="158"/>
    </row>
    <row r="924" ht="15.75" customHeight="1" spans="4:9" x14ac:dyDescent="0.25">
      <c r="D924" s="158"/>
      <c r="E924" s="158"/>
      <c r="F924" s="158"/>
      <c r="G924" s="158"/>
      <c r="H924" s="158"/>
      <c r="I924" s="158"/>
    </row>
    <row r="925" ht="15.75" customHeight="1" spans="4:9" x14ac:dyDescent="0.25">
      <c r="D925" s="158"/>
      <c r="E925" s="158"/>
      <c r="F925" s="158"/>
      <c r="G925" s="158"/>
      <c r="H925" s="158"/>
      <c r="I925" s="158"/>
    </row>
    <row r="926" ht="15.75" customHeight="1" spans="4:9" x14ac:dyDescent="0.25">
      <c r="D926" s="158"/>
      <c r="E926" s="158"/>
      <c r="F926" s="158"/>
      <c r="G926" s="158"/>
      <c r="H926" s="158"/>
      <c r="I926" s="158"/>
    </row>
    <row r="927" ht="15.75" customHeight="1" spans="4:9" x14ac:dyDescent="0.25">
      <c r="D927" s="158"/>
      <c r="E927" s="158"/>
      <c r="F927" s="158"/>
      <c r="G927" s="158"/>
      <c r="H927" s="158"/>
      <c r="I927" s="158"/>
    </row>
    <row r="928" ht="15.75" customHeight="1" spans="4:9" x14ac:dyDescent="0.25">
      <c r="D928" s="158"/>
      <c r="E928" s="158"/>
      <c r="F928" s="158"/>
      <c r="G928" s="158"/>
      <c r="H928" s="158"/>
      <c r="I928" s="158"/>
    </row>
    <row r="929" ht="15.75" customHeight="1" spans="4:9" x14ac:dyDescent="0.25">
      <c r="D929" s="158"/>
      <c r="E929" s="158"/>
      <c r="F929" s="158"/>
      <c r="G929" s="158"/>
      <c r="H929" s="158"/>
      <c r="I929" s="158"/>
    </row>
    <row r="930" ht="15.75" customHeight="1" spans="4:9" x14ac:dyDescent="0.25">
      <c r="D930" s="158"/>
      <c r="E930" s="158"/>
      <c r="F930" s="158"/>
      <c r="G930" s="158"/>
      <c r="H930" s="158"/>
      <c r="I930" s="158"/>
    </row>
    <row r="931" ht="15.75" customHeight="1" spans="4:9" x14ac:dyDescent="0.25">
      <c r="D931" s="158"/>
      <c r="E931" s="158"/>
      <c r="F931" s="158"/>
      <c r="G931" s="158"/>
      <c r="H931" s="158"/>
      <c r="I931" s="158"/>
    </row>
    <row r="932" ht="15.75" customHeight="1" spans="4:9" x14ac:dyDescent="0.25">
      <c r="D932" s="158"/>
      <c r="E932" s="158"/>
      <c r="F932" s="158"/>
      <c r="G932" s="158"/>
      <c r="H932" s="158"/>
      <c r="I932" s="158"/>
    </row>
    <row r="933" ht="15.75" customHeight="1" spans="4:9" x14ac:dyDescent="0.25">
      <c r="D933" s="158"/>
      <c r="E933" s="158"/>
      <c r="F933" s="158"/>
      <c r="G933" s="158"/>
      <c r="H933" s="158"/>
      <c r="I933" s="158"/>
    </row>
    <row r="934" ht="15.75" customHeight="1" spans="4:9" x14ac:dyDescent="0.25">
      <c r="D934" s="158"/>
      <c r="E934" s="158"/>
      <c r="F934" s="158"/>
      <c r="G934" s="158"/>
      <c r="H934" s="158"/>
      <c r="I934" s="158"/>
    </row>
    <row r="935" ht="15.75" customHeight="1" spans="4:9" x14ac:dyDescent="0.25">
      <c r="D935" s="158"/>
      <c r="E935" s="158"/>
      <c r="F935" s="158"/>
      <c r="G935" s="158"/>
      <c r="H935" s="158"/>
      <c r="I935" s="158"/>
    </row>
    <row r="936" ht="15.75" customHeight="1" spans="4:9" x14ac:dyDescent="0.25">
      <c r="D936" s="158"/>
      <c r="E936" s="158"/>
      <c r="F936" s="158"/>
      <c r="G936" s="158"/>
      <c r="H936" s="158"/>
      <c r="I936" s="158"/>
    </row>
    <row r="937" ht="15.75" customHeight="1" spans="4:9" x14ac:dyDescent="0.25">
      <c r="D937" s="158"/>
      <c r="E937" s="158"/>
      <c r="F937" s="158"/>
      <c r="G937" s="158"/>
      <c r="H937" s="158"/>
      <c r="I937" s="158"/>
    </row>
    <row r="938" ht="15.75" customHeight="1" spans="4:9" x14ac:dyDescent="0.25">
      <c r="D938" s="158"/>
      <c r="E938" s="158"/>
      <c r="F938" s="158"/>
      <c r="G938" s="158"/>
      <c r="H938" s="158"/>
      <c r="I938" s="158"/>
    </row>
    <row r="939" ht="15.75" customHeight="1" spans="4:9" x14ac:dyDescent="0.25">
      <c r="D939" s="158"/>
      <c r="E939" s="158"/>
      <c r="F939" s="158"/>
      <c r="G939" s="158"/>
      <c r="H939" s="158"/>
      <c r="I939" s="158"/>
    </row>
    <row r="940" ht="15.75" customHeight="1" spans="4:9" x14ac:dyDescent="0.25">
      <c r="D940" s="158"/>
      <c r="E940" s="158"/>
      <c r="F940" s="158"/>
      <c r="G940" s="158"/>
      <c r="H940" s="158"/>
      <c r="I940" s="158"/>
    </row>
    <row r="941" ht="15.75" customHeight="1" spans="4:9" x14ac:dyDescent="0.25">
      <c r="D941" s="158"/>
      <c r="E941" s="158"/>
      <c r="F941" s="158"/>
      <c r="G941" s="158"/>
      <c r="H941" s="158"/>
      <c r="I941" s="158"/>
    </row>
    <row r="942" ht="15.75" customHeight="1" spans="4:9" x14ac:dyDescent="0.25">
      <c r="D942" s="158"/>
      <c r="E942" s="158"/>
      <c r="F942" s="158"/>
      <c r="G942" s="158"/>
      <c r="H942" s="158"/>
      <c r="I942" s="158"/>
    </row>
    <row r="943" ht="15.75" customHeight="1" spans="4:9" x14ac:dyDescent="0.25">
      <c r="D943" s="158"/>
      <c r="E943" s="158"/>
      <c r="F943" s="158"/>
      <c r="G943" s="158"/>
      <c r="H943" s="158"/>
      <c r="I943" s="158"/>
    </row>
    <row r="944" ht="15.75" customHeight="1" spans="4:9" x14ac:dyDescent="0.25">
      <c r="D944" s="158"/>
      <c r="E944" s="158"/>
      <c r="F944" s="158"/>
      <c r="G944" s="158"/>
      <c r="H944" s="158"/>
      <c r="I944" s="158"/>
    </row>
    <row r="945" ht="15.75" customHeight="1" spans="4:9" x14ac:dyDescent="0.25">
      <c r="D945" s="158"/>
      <c r="E945" s="158"/>
      <c r="F945" s="158"/>
      <c r="G945" s="158"/>
      <c r="H945" s="158"/>
      <c r="I945" s="158"/>
    </row>
    <row r="946" ht="15.75" customHeight="1" spans="4:9" x14ac:dyDescent="0.25">
      <c r="D946" s="158"/>
      <c r="E946" s="158"/>
      <c r="F946" s="158"/>
      <c r="G946" s="158"/>
      <c r="H946" s="158"/>
      <c r="I946" s="158"/>
    </row>
    <row r="947" ht="15.75" customHeight="1" spans="4:9" x14ac:dyDescent="0.25">
      <c r="D947" s="158"/>
      <c r="E947" s="158"/>
      <c r="F947" s="158"/>
      <c r="G947" s="158"/>
      <c r="H947" s="158"/>
      <c r="I947" s="158"/>
    </row>
    <row r="948" ht="15.75" customHeight="1" spans="4:9" x14ac:dyDescent="0.25">
      <c r="D948" s="158"/>
      <c r="E948" s="158"/>
      <c r="F948" s="158"/>
      <c r="G948" s="158"/>
      <c r="H948" s="158"/>
      <c r="I948" s="158"/>
    </row>
    <row r="949" ht="15.75" customHeight="1" spans="4:9" x14ac:dyDescent="0.25">
      <c r="D949" s="158"/>
      <c r="E949" s="158"/>
      <c r="F949" s="158"/>
      <c r="G949" s="158"/>
      <c r="H949" s="158"/>
      <c r="I949" s="158"/>
    </row>
    <row r="950" ht="15.75" customHeight="1" spans="4:9" x14ac:dyDescent="0.25">
      <c r="D950" s="158"/>
      <c r="E950" s="158"/>
      <c r="F950" s="158"/>
      <c r="G950" s="158"/>
      <c r="H950" s="158"/>
      <c r="I950" s="158"/>
    </row>
    <row r="951" ht="15.75" customHeight="1" spans="4:9" x14ac:dyDescent="0.25">
      <c r="D951" s="158"/>
      <c r="E951" s="158"/>
      <c r="F951" s="158"/>
      <c r="G951" s="158"/>
      <c r="H951" s="158"/>
      <c r="I951" s="158"/>
    </row>
    <row r="952" ht="15.75" customHeight="1" spans="4:9" x14ac:dyDescent="0.25">
      <c r="D952" s="158"/>
      <c r="E952" s="158"/>
      <c r="F952" s="158"/>
      <c r="G952" s="158"/>
      <c r="H952" s="158"/>
      <c r="I952" s="158"/>
    </row>
    <row r="953" ht="15.75" customHeight="1" spans="4:9" x14ac:dyDescent="0.25">
      <c r="D953" s="158"/>
      <c r="E953" s="158"/>
      <c r="F953" s="158"/>
      <c r="G953" s="158"/>
      <c r="H953" s="158"/>
      <c r="I953" s="158"/>
    </row>
    <row r="954" ht="15.75" customHeight="1" spans="4:9" x14ac:dyDescent="0.25">
      <c r="D954" s="158"/>
      <c r="E954" s="158"/>
      <c r="F954" s="158"/>
      <c r="G954" s="158"/>
      <c r="H954" s="158"/>
      <c r="I954" s="158"/>
    </row>
    <row r="955" ht="15.75" customHeight="1" spans="4:9" x14ac:dyDescent="0.25">
      <c r="D955" s="158"/>
      <c r="E955" s="158"/>
      <c r="F955" s="158"/>
      <c r="G955" s="158"/>
      <c r="H955" s="158"/>
      <c r="I955" s="158"/>
    </row>
    <row r="956" ht="15.75" customHeight="1" spans="4:9" x14ac:dyDescent="0.25">
      <c r="D956" s="158"/>
      <c r="E956" s="158"/>
      <c r="F956" s="158"/>
      <c r="G956" s="158"/>
      <c r="H956" s="158"/>
      <c r="I956" s="158"/>
    </row>
    <row r="957" ht="15.75" customHeight="1" spans="4:9" x14ac:dyDescent="0.25">
      <c r="D957" s="158"/>
      <c r="E957" s="158"/>
      <c r="F957" s="158"/>
      <c r="G957" s="158"/>
      <c r="H957" s="158"/>
      <c r="I957" s="158"/>
    </row>
    <row r="958" ht="15.75" customHeight="1" spans="4:9" x14ac:dyDescent="0.25">
      <c r="D958" s="158"/>
      <c r="E958" s="158"/>
      <c r="F958" s="158"/>
      <c r="G958" s="158"/>
      <c r="H958" s="158"/>
      <c r="I958" s="158"/>
    </row>
    <row r="959" ht="15.75" customHeight="1" spans="4:9" x14ac:dyDescent="0.25">
      <c r="D959" s="158"/>
      <c r="E959" s="158"/>
      <c r="F959" s="158"/>
      <c r="G959" s="158"/>
      <c r="H959" s="158"/>
      <c r="I959" s="158"/>
    </row>
    <row r="960" ht="15.75" customHeight="1" spans="4:9" x14ac:dyDescent="0.25">
      <c r="D960" s="158"/>
      <c r="E960" s="158"/>
      <c r="F960" s="158"/>
      <c r="G960" s="158"/>
      <c r="H960" s="158"/>
      <c r="I960" s="158"/>
    </row>
    <row r="961" ht="15.75" customHeight="1" spans="4:9" x14ac:dyDescent="0.25">
      <c r="D961" s="158"/>
      <c r="E961" s="158"/>
      <c r="F961" s="158"/>
      <c r="G961" s="158"/>
      <c r="H961" s="158"/>
      <c r="I961" s="158"/>
    </row>
    <row r="962" ht="15.75" customHeight="1" spans="4:9" x14ac:dyDescent="0.25">
      <c r="D962" s="158"/>
      <c r="E962" s="158"/>
      <c r="F962" s="158"/>
      <c r="G962" s="158"/>
      <c r="H962" s="158"/>
      <c r="I962" s="158"/>
    </row>
    <row r="963" ht="15.75" customHeight="1" spans="4:9" x14ac:dyDescent="0.25">
      <c r="D963" s="158"/>
      <c r="E963" s="158"/>
      <c r="F963" s="158"/>
      <c r="G963" s="158"/>
      <c r="H963" s="158"/>
      <c r="I963" s="158"/>
    </row>
    <row r="964" ht="15.75" customHeight="1" spans="4:9" x14ac:dyDescent="0.25">
      <c r="D964" s="158"/>
      <c r="E964" s="158"/>
      <c r="F964" s="158"/>
      <c r="G964" s="158"/>
      <c r="H964" s="158"/>
      <c r="I964" s="158"/>
    </row>
    <row r="965" ht="15.75" customHeight="1" spans="4:9" x14ac:dyDescent="0.25">
      <c r="D965" s="158"/>
      <c r="E965" s="158"/>
      <c r="F965" s="158"/>
      <c r="G965" s="158"/>
      <c r="H965" s="158"/>
      <c r="I965" s="158"/>
    </row>
    <row r="966" ht="15.75" customHeight="1" spans="4:9" x14ac:dyDescent="0.25">
      <c r="D966" s="158"/>
      <c r="E966" s="158"/>
      <c r="F966" s="158"/>
      <c r="G966" s="158"/>
      <c r="H966" s="158"/>
      <c r="I966" s="158"/>
    </row>
    <row r="967" ht="15.75" customHeight="1" spans="4:9" x14ac:dyDescent="0.25">
      <c r="D967" s="158"/>
      <c r="E967" s="158"/>
      <c r="F967" s="158"/>
      <c r="G967" s="158"/>
      <c r="H967" s="158"/>
      <c r="I967" s="158"/>
    </row>
    <row r="968" ht="15.75" customHeight="1" spans="4:9" x14ac:dyDescent="0.25">
      <c r="D968" s="158"/>
      <c r="E968" s="158"/>
      <c r="F968" s="158"/>
      <c r="G968" s="158"/>
      <c r="H968" s="158"/>
      <c r="I968" s="158"/>
    </row>
    <row r="969" ht="15.75" customHeight="1" spans="4:9" x14ac:dyDescent="0.25">
      <c r="D969" s="158"/>
      <c r="E969" s="158"/>
      <c r="F969" s="158"/>
      <c r="G969" s="158"/>
      <c r="H969" s="158"/>
      <c r="I969" s="158"/>
    </row>
    <row r="970" ht="15.75" customHeight="1" spans="4:9" x14ac:dyDescent="0.25">
      <c r="D970" s="158"/>
      <c r="E970" s="158"/>
      <c r="F970" s="158"/>
      <c r="G970" s="158"/>
      <c r="H970" s="158"/>
      <c r="I970" s="158"/>
    </row>
    <row r="971" ht="15.75" customHeight="1" spans="4:9" x14ac:dyDescent="0.25">
      <c r="D971" s="158"/>
      <c r="E971" s="158"/>
      <c r="F971" s="158"/>
      <c r="G971" s="158"/>
      <c r="H971" s="158"/>
      <c r="I971" s="158"/>
    </row>
    <row r="972" ht="15.75" customHeight="1" spans="4:9" x14ac:dyDescent="0.25">
      <c r="D972" s="158"/>
      <c r="E972" s="158"/>
      <c r="F972" s="158"/>
      <c r="G972" s="158"/>
      <c r="H972" s="158"/>
      <c r="I972" s="158"/>
    </row>
    <row r="973" ht="15.75" customHeight="1" spans="4:9" x14ac:dyDescent="0.25">
      <c r="D973" s="158"/>
      <c r="E973" s="158"/>
      <c r="F973" s="158"/>
      <c r="G973" s="158"/>
      <c r="H973" s="158"/>
      <c r="I973" s="158"/>
    </row>
    <row r="974" ht="15.75" customHeight="1" spans="4:9" x14ac:dyDescent="0.25">
      <c r="D974" s="158"/>
      <c r="E974" s="158"/>
      <c r="F974" s="158"/>
      <c r="G974" s="158"/>
      <c r="H974" s="158"/>
      <c r="I974" s="158"/>
    </row>
    <row r="975" ht="15.75" customHeight="1" spans="4:9" x14ac:dyDescent="0.25">
      <c r="D975" s="158"/>
      <c r="E975" s="158"/>
      <c r="F975" s="158"/>
      <c r="G975" s="158"/>
      <c r="H975" s="158"/>
      <c r="I975" s="158"/>
    </row>
    <row r="976" ht="15.75" customHeight="1" spans="4:9" x14ac:dyDescent="0.25">
      <c r="D976" s="158"/>
      <c r="E976" s="158"/>
      <c r="F976" s="158"/>
      <c r="G976" s="158"/>
      <c r="H976" s="158"/>
      <c r="I976" s="158"/>
    </row>
    <row r="977" ht="15.75" customHeight="1" spans="4:9" x14ac:dyDescent="0.25">
      <c r="D977" s="158"/>
      <c r="E977" s="158"/>
      <c r="F977" s="158"/>
      <c r="G977" s="158"/>
      <c r="H977" s="158"/>
      <c r="I977" s="158"/>
    </row>
    <row r="978" ht="15.75" customHeight="1" spans="4:9" x14ac:dyDescent="0.25">
      <c r="D978" s="158"/>
      <c r="E978" s="158"/>
      <c r="F978" s="158"/>
      <c r="G978" s="158"/>
      <c r="H978" s="158"/>
      <c r="I978" s="158"/>
    </row>
    <row r="979" ht="15.75" customHeight="1" spans="4:9" x14ac:dyDescent="0.25">
      <c r="D979" s="158"/>
      <c r="E979" s="158"/>
      <c r="F979" s="158"/>
      <c r="G979" s="158"/>
      <c r="H979" s="158"/>
      <c r="I979" s="158"/>
    </row>
    <row r="980" ht="15.75" customHeight="1" spans="4:9" x14ac:dyDescent="0.25">
      <c r="D980" s="158"/>
      <c r="E980" s="158"/>
      <c r="F980" s="158"/>
      <c r="G980" s="158"/>
      <c r="H980" s="158"/>
      <c r="I980" s="158"/>
    </row>
    <row r="981" ht="15.75" customHeight="1" spans="4:9" x14ac:dyDescent="0.25">
      <c r="D981" s="158"/>
      <c r="E981" s="158"/>
      <c r="F981" s="158"/>
      <c r="G981" s="158"/>
      <c r="H981" s="158"/>
      <c r="I981" s="158"/>
    </row>
    <row r="982" ht="15.75" customHeight="1" spans="4:9" x14ac:dyDescent="0.25">
      <c r="D982" s="158"/>
      <c r="E982" s="158"/>
      <c r="F982" s="158"/>
      <c r="G982" s="158"/>
      <c r="H982" s="158"/>
      <c r="I982" s="158"/>
    </row>
    <row r="983" ht="15.75" customHeight="1" spans="4:9" x14ac:dyDescent="0.25">
      <c r="D983" s="158"/>
      <c r="E983" s="158"/>
      <c r="F983" s="158"/>
      <c r="G983" s="158"/>
      <c r="H983" s="158"/>
      <c r="I983" s="158"/>
    </row>
    <row r="984" ht="15.75" customHeight="1" spans="4:9" x14ac:dyDescent="0.25">
      <c r="D984" s="158"/>
      <c r="E984" s="158"/>
      <c r="F984" s="158"/>
      <c r="G984" s="158"/>
      <c r="H984" s="158"/>
      <c r="I984" s="158"/>
    </row>
    <row r="985" ht="15.75" customHeight="1" spans="4:9" x14ac:dyDescent="0.25">
      <c r="D985" s="158"/>
      <c r="E985" s="158"/>
      <c r="F985" s="158"/>
      <c r="G985" s="158"/>
      <c r="H985" s="158"/>
      <c r="I985" s="158"/>
    </row>
    <row r="986" ht="15.75" customHeight="1" spans="4:9" x14ac:dyDescent="0.25">
      <c r="D986" s="158"/>
      <c r="E986" s="158"/>
      <c r="F986" s="158"/>
      <c r="G986" s="158"/>
      <c r="H986" s="158"/>
      <c r="I986" s="158"/>
    </row>
    <row r="987" ht="15.75" customHeight="1" spans="4:9" x14ac:dyDescent="0.25">
      <c r="D987" s="158"/>
      <c r="E987" s="158"/>
      <c r="F987" s="158"/>
      <c r="G987" s="158"/>
      <c r="H987" s="158"/>
      <c r="I987" s="158"/>
    </row>
    <row r="988" ht="15.75" customHeight="1" spans="4:9" x14ac:dyDescent="0.25">
      <c r="D988" s="158"/>
      <c r="E988" s="158"/>
      <c r="F988" s="158"/>
      <c r="G988" s="158"/>
      <c r="H988" s="158"/>
      <c r="I988" s="158"/>
    </row>
    <row r="989" ht="15.75" customHeight="1" spans="4:9" x14ac:dyDescent="0.25">
      <c r="D989" s="158"/>
      <c r="E989" s="158"/>
      <c r="F989" s="158"/>
      <c r="G989" s="158"/>
      <c r="H989" s="158"/>
      <c r="I989" s="158"/>
    </row>
    <row r="990" ht="15.75" customHeight="1" spans="4:9" x14ac:dyDescent="0.25">
      <c r="D990" s="158"/>
      <c r="E990" s="158"/>
      <c r="F990" s="158"/>
      <c r="G990" s="158"/>
      <c r="H990" s="158"/>
      <c r="I990" s="158"/>
    </row>
    <row r="991" ht="15.75" customHeight="1" spans="4:9" x14ac:dyDescent="0.25">
      <c r="D991" s="158"/>
      <c r="E991" s="158"/>
      <c r="F991" s="158"/>
      <c r="G991" s="158"/>
      <c r="H991" s="158"/>
      <c r="I991" s="158"/>
    </row>
    <row r="992" ht="15.75" customHeight="1" spans="4:9" x14ac:dyDescent="0.25">
      <c r="D992" s="158"/>
      <c r="E992" s="158"/>
      <c r="F992" s="158"/>
      <c r="G992" s="158"/>
      <c r="H992" s="158"/>
      <c r="I992" s="158"/>
    </row>
    <row r="993" ht="15.75" customHeight="1" spans="4:9" x14ac:dyDescent="0.25">
      <c r="D993" s="158"/>
      <c r="E993" s="158"/>
      <c r="F993" s="158"/>
      <c r="G993" s="158"/>
      <c r="H993" s="158"/>
      <c r="I993" s="158"/>
    </row>
    <row r="994" ht="15.75" customHeight="1" spans="4:9" x14ac:dyDescent="0.25">
      <c r="D994" s="158"/>
      <c r="E994" s="158"/>
      <c r="F994" s="158"/>
      <c r="G994" s="158"/>
      <c r="H994" s="158"/>
      <c r="I994" s="158"/>
    </row>
    <row r="995" ht="15.75" customHeight="1" spans="4:9" x14ac:dyDescent="0.25">
      <c r="D995" s="158"/>
      <c r="E995" s="158"/>
      <c r="F995" s="158"/>
      <c r="G995" s="158"/>
      <c r="H995" s="158"/>
      <c r="I995" s="158"/>
    </row>
    <row r="996" ht="15.75" customHeight="1" spans="4:9" x14ac:dyDescent="0.25">
      <c r="D996" s="158"/>
      <c r="E996" s="158"/>
      <c r="F996" s="158"/>
      <c r="G996" s="158"/>
      <c r="H996" s="158"/>
      <c r="I996" s="158"/>
    </row>
    <row r="997" ht="15.75" customHeight="1" spans="4:9" x14ac:dyDescent="0.25">
      <c r="D997" s="158"/>
      <c r="E997" s="158"/>
      <c r="F997" s="158"/>
      <c r="G997" s="158"/>
      <c r="H997" s="158"/>
      <c r="I997" s="158"/>
    </row>
    <row r="998" ht="15.75" customHeight="1" spans="4:9" x14ac:dyDescent="0.25">
      <c r="D998" s="158"/>
      <c r="E998" s="158"/>
      <c r="F998" s="158"/>
      <c r="G998" s="158"/>
      <c r="H998" s="158"/>
      <c r="I998" s="158"/>
    </row>
    <row r="999" ht="15.75" customHeight="1" spans="4:9" x14ac:dyDescent="0.25">
      <c r="D999" s="158"/>
      <c r="E999" s="158"/>
      <c r="F999" s="158"/>
      <c r="G999" s="158"/>
      <c r="H999" s="158"/>
      <c r="I999" s="158"/>
    </row>
    <row r="1000" ht="15.75" customHeight="1" spans="4:9" x14ac:dyDescent="0.25">
      <c r="D1000" s="158"/>
      <c r="E1000" s="158"/>
      <c r="F1000" s="158"/>
      <c r="G1000" s="158"/>
      <c r="H1000" s="158"/>
      <c r="I1000" s="158"/>
    </row>
    <row r="1001" ht="15.75" customHeight="1" spans="4:9" x14ac:dyDescent="0.25">
      <c r="D1001" s="158"/>
      <c r="E1001" s="158"/>
      <c r="F1001" s="158"/>
      <c r="G1001" s="158"/>
      <c r="H1001" s="158"/>
      <c r="I1001" s="158"/>
    </row>
    <row r="1002" ht="15.75" customHeight="1" spans="4:9" x14ac:dyDescent="0.25">
      <c r="D1002" s="158"/>
      <c r="E1002" s="158"/>
      <c r="F1002" s="158"/>
      <c r="G1002" s="158"/>
      <c r="H1002" s="158"/>
      <c r="I1002" s="158"/>
    </row>
    <row r="1003" ht="15.75" customHeight="1" spans="4:9" x14ac:dyDescent="0.25">
      <c r="D1003" s="158"/>
      <c r="E1003" s="158"/>
      <c r="F1003" s="158"/>
      <c r="G1003" s="158"/>
      <c r="H1003" s="158"/>
      <c r="I1003" s="158"/>
    </row>
    <row r="1004" ht="15.75" customHeight="1" spans="4:9" x14ac:dyDescent="0.25">
      <c r="D1004" s="158"/>
      <c r="E1004" s="158"/>
      <c r="F1004" s="158"/>
      <c r="G1004" s="158"/>
      <c r="H1004" s="158"/>
      <c r="I1004" s="158"/>
    </row>
    <row r="1005" ht="15.75" customHeight="1" spans="4:9" x14ac:dyDescent="0.25">
      <c r="D1005" s="158"/>
      <c r="E1005" s="158"/>
      <c r="F1005" s="158"/>
      <c r="G1005" s="158"/>
      <c r="H1005" s="158"/>
      <c r="I1005" s="158"/>
    </row>
    <row r="1006" ht="15.75" customHeight="1" spans="4:9" x14ac:dyDescent="0.25">
      <c r="D1006" s="158"/>
      <c r="E1006" s="158"/>
      <c r="F1006" s="158"/>
      <c r="G1006" s="158"/>
      <c r="H1006" s="158"/>
      <c r="I1006" s="158"/>
    </row>
    <row r="1007" ht="15.75" customHeight="1" spans="4:9" x14ac:dyDescent="0.25">
      <c r="D1007" s="158"/>
      <c r="E1007" s="158"/>
      <c r="F1007" s="158"/>
      <c r="G1007" s="158"/>
      <c r="H1007" s="158"/>
      <c r="I1007" s="158"/>
    </row>
    <row r="1008" ht="15.75" customHeight="1" spans="4:9" x14ac:dyDescent="0.25">
      <c r="D1008" s="158"/>
      <c r="E1008" s="158"/>
      <c r="F1008" s="158"/>
      <c r="G1008" s="158"/>
      <c r="H1008" s="158"/>
      <c r="I1008" s="158"/>
    </row>
    <row r="1009" ht="15.75" customHeight="1" spans="4:9" x14ac:dyDescent="0.25">
      <c r="D1009" s="158"/>
      <c r="E1009" s="158"/>
      <c r="F1009" s="158"/>
      <c r="G1009" s="158"/>
      <c r="H1009" s="158"/>
      <c r="I1009" s="158"/>
    </row>
    <row r="1010" ht="15.75" customHeight="1" spans="4:9" x14ac:dyDescent="0.25">
      <c r="D1010" s="158"/>
      <c r="E1010" s="158"/>
      <c r="F1010" s="158"/>
      <c r="G1010" s="158"/>
      <c r="H1010" s="158"/>
      <c r="I1010" s="158"/>
    </row>
    <row r="1011" ht="15.75" customHeight="1" spans="4:9" x14ac:dyDescent="0.25">
      <c r="D1011" s="158"/>
      <c r="E1011" s="158"/>
      <c r="F1011" s="158"/>
      <c r="G1011" s="158"/>
      <c r="H1011" s="158"/>
      <c r="I1011" s="158"/>
    </row>
    <row r="1012" ht="15.75" customHeight="1" spans="4:9" x14ac:dyDescent="0.25">
      <c r="D1012" s="158"/>
      <c r="E1012" s="158"/>
      <c r="F1012" s="158"/>
      <c r="G1012" s="158"/>
      <c r="H1012" s="158"/>
      <c r="I1012" s="158"/>
    </row>
    <row r="1013" ht="15.75" customHeight="1" spans="4:9" x14ac:dyDescent="0.25">
      <c r="D1013" s="158"/>
      <c r="E1013" s="158"/>
      <c r="F1013" s="158"/>
      <c r="G1013" s="158"/>
      <c r="H1013" s="158"/>
      <c r="I1013" s="158"/>
    </row>
    <row r="1014" ht="15.75" customHeight="1" spans="4:9" x14ac:dyDescent="0.25">
      <c r="D1014" s="158"/>
      <c r="E1014" s="158"/>
      <c r="F1014" s="158"/>
      <c r="G1014" s="158"/>
      <c r="H1014" s="158"/>
      <c r="I1014" s="158"/>
    </row>
    <row r="1015" ht="15.75" customHeight="1" spans="4:9" x14ac:dyDescent="0.25">
      <c r="D1015" s="158"/>
      <c r="E1015" s="158"/>
      <c r="F1015" s="158"/>
      <c r="G1015" s="158"/>
      <c r="H1015" s="158"/>
      <c r="I1015" s="158"/>
    </row>
    <row r="1016" ht="15.75" customHeight="1" spans="4:9" x14ac:dyDescent="0.25">
      <c r="D1016" s="158"/>
      <c r="E1016" s="158"/>
      <c r="F1016" s="158"/>
      <c r="G1016" s="158"/>
      <c r="H1016" s="158"/>
      <c r="I1016" s="158"/>
    </row>
    <row r="1017" ht="15.75" customHeight="1" spans="4:9" x14ac:dyDescent="0.25">
      <c r="D1017" s="158"/>
      <c r="E1017" s="158"/>
      <c r="F1017" s="158"/>
      <c r="G1017" s="158"/>
      <c r="H1017" s="158"/>
      <c r="I1017" s="158"/>
    </row>
    <row r="1018" ht="15.75" customHeight="1" spans="4:9" x14ac:dyDescent="0.25">
      <c r="D1018" s="158"/>
      <c r="E1018" s="158"/>
      <c r="F1018" s="158"/>
      <c r="G1018" s="158"/>
      <c r="H1018" s="158"/>
      <c r="I1018" s="158"/>
    </row>
    <row r="1019" ht="15.75" customHeight="1" spans="4:9" x14ac:dyDescent="0.25">
      <c r="D1019" s="158"/>
      <c r="E1019" s="158"/>
      <c r="F1019" s="158"/>
      <c r="G1019" s="158"/>
      <c r="H1019" s="158"/>
      <c r="I1019" s="158"/>
    </row>
    <row r="1020" ht="15.75" customHeight="1" spans="4:9" x14ac:dyDescent="0.25">
      <c r="D1020" s="158"/>
      <c r="E1020" s="158"/>
      <c r="F1020" s="158"/>
      <c r="G1020" s="158"/>
      <c r="H1020" s="158"/>
      <c r="I1020" s="158"/>
    </row>
    <row r="1021" ht="15.75" customHeight="1" spans="4:9" x14ac:dyDescent="0.25">
      <c r="D1021" s="158"/>
      <c r="E1021" s="158"/>
      <c r="F1021" s="158"/>
      <c r="G1021" s="158"/>
      <c r="H1021" s="158"/>
      <c r="I1021" s="158"/>
    </row>
    <row r="1022" ht="15.75" customHeight="1" spans="4:9" x14ac:dyDescent="0.25">
      <c r="D1022" s="158"/>
      <c r="E1022" s="158"/>
      <c r="F1022" s="158"/>
      <c r="G1022" s="158"/>
      <c r="H1022" s="158"/>
      <c r="I1022" s="158"/>
    </row>
    <row r="1023" ht="15.75" customHeight="1" spans="4:9" x14ac:dyDescent="0.25">
      <c r="D1023" s="158"/>
      <c r="E1023" s="158"/>
      <c r="F1023" s="158"/>
      <c r="G1023" s="158"/>
      <c r="H1023" s="158"/>
      <c r="I1023" s="158"/>
    </row>
    <row r="1024" ht="15.75" customHeight="1" spans="4:9" x14ac:dyDescent="0.25">
      <c r="D1024" s="158"/>
      <c r="E1024" s="158"/>
      <c r="F1024" s="158"/>
      <c r="G1024" s="158"/>
      <c r="H1024" s="158"/>
      <c r="I1024" s="158"/>
    </row>
    <row r="1025" ht="15.75" customHeight="1" spans="4:9" x14ac:dyDescent="0.25">
      <c r="D1025" s="158"/>
      <c r="E1025" s="158"/>
      <c r="F1025" s="158"/>
      <c r="G1025" s="158"/>
      <c r="H1025" s="158"/>
      <c r="I1025" s="158"/>
    </row>
    <row r="1026" ht="15.75" customHeight="1" spans="4:9" x14ac:dyDescent="0.25">
      <c r="D1026" s="158"/>
      <c r="E1026" s="158"/>
      <c r="F1026" s="158"/>
      <c r="G1026" s="158"/>
      <c r="H1026" s="158"/>
      <c r="I1026" s="158"/>
    </row>
    <row r="1027" ht="15.75" customHeight="1" spans="4:9" x14ac:dyDescent="0.25">
      <c r="D1027" s="158"/>
      <c r="E1027" s="158"/>
      <c r="F1027" s="158"/>
      <c r="G1027" s="158"/>
      <c r="H1027" s="158"/>
      <c r="I1027" s="158"/>
    </row>
    <row r="1028" ht="15.75" customHeight="1" spans="4:9" x14ac:dyDescent="0.25">
      <c r="D1028" s="158"/>
      <c r="E1028" s="158"/>
      <c r="F1028" s="158"/>
      <c r="G1028" s="158"/>
      <c r="H1028" s="158"/>
      <c r="I1028" s="158"/>
    </row>
    <row r="1029" ht="15.75" customHeight="1" spans="4:9" x14ac:dyDescent="0.25">
      <c r="D1029" s="158"/>
      <c r="E1029" s="158"/>
      <c r="F1029" s="158"/>
      <c r="G1029" s="158"/>
      <c r="H1029" s="158"/>
      <c r="I1029" s="158"/>
    </row>
    <row r="1030" ht="15.75" customHeight="1" spans="4:9" x14ac:dyDescent="0.25">
      <c r="D1030" s="158"/>
      <c r="E1030" s="158"/>
      <c r="F1030" s="158"/>
      <c r="G1030" s="158"/>
      <c r="H1030" s="158"/>
      <c r="I1030" s="158"/>
    </row>
    <row r="1031" ht="15.75" customHeight="1" spans="4:9" x14ac:dyDescent="0.25">
      <c r="D1031" s="158"/>
      <c r="E1031" s="158"/>
      <c r="F1031" s="158"/>
      <c r="G1031" s="158"/>
      <c r="H1031" s="158"/>
      <c r="I1031" s="158"/>
    </row>
    <row r="1032" ht="15.75" customHeight="1" spans="4:9" x14ac:dyDescent="0.25">
      <c r="D1032" s="158"/>
      <c r="E1032" s="158"/>
      <c r="F1032" s="158"/>
      <c r="G1032" s="158"/>
      <c r="H1032" s="158"/>
      <c r="I1032" s="158"/>
    </row>
    <row r="1033" ht="15.75" customHeight="1" spans="4:9" x14ac:dyDescent="0.25">
      <c r="D1033" s="158"/>
      <c r="E1033" s="158"/>
      <c r="F1033" s="158"/>
      <c r="G1033" s="158"/>
      <c r="H1033" s="158"/>
      <c r="I1033" s="158"/>
    </row>
    <row r="1034" ht="15.75" customHeight="1" spans="4:9" x14ac:dyDescent="0.25">
      <c r="D1034" s="158"/>
      <c r="E1034" s="158"/>
      <c r="F1034" s="158"/>
      <c r="G1034" s="158"/>
      <c r="H1034" s="158"/>
      <c r="I1034" s="158"/>
    </row>
    <row r="1035" ht="15.75" customHeight="1" spans="4:9" x14ac:dyDescent="0.25">
      <c r="D1035" s="158"/>
      <c r="E1035" s="158"/>
      <c r="F1035" s="158"/>
      <c r="G1035" s="158"/>
      <c r="H1035" s="158"/>
      <c r="I1035" s="158"/>
    </row>
    <row r="1036" ht="15.75" customHeight="1" spans="4:9" x14ac:dyDescent="0.25">
      <c r="D1036" s="158"/>
      <c r="E1036" s="158"/>
      <c r="F1036" s="158"/>
      <c r="G1036" s="158"/>
      <c r="H1036" s="158"/>
      <c r="I1036" s="158"/>
    </row>
    <row r="1037" ht="15.75" customHeight="1" spans="4:9" x14ac:dyDescent="0.25">
      <c r="D1037" s="158"/>
      <c r="E1037" s="158"/>
      <c r="F1037" s="158"/>
      <c r="G1037" s="158"/>
      <c r="H1037" s="158"/>
      <c r="I1037" s="158"/>
    </row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</sheetData>
  <sheetProtection sheet="1" algorithmName="SHA-512" hashValue="XFmM8owh90VgGX0Nt7+oEMtyWgYCCU3giPjip8jbtp0X/0n1/wws5GYFGG6TRdbzB5+SaxZoMQ1LQ5PG8AC1Xg==" saltValue="iDUlhZlXI1SRzTuQmiRQ2w==" spinCount="100000" objects="1" scenarios="1"/>
  <autoFilter ref="A2:O189"/>
  <conditionalFormatting sqref="D3:I185">
    <cfRule type="cellIs" dxfId="1" priority="8" operator="lessThan">
      <formula>0.001</formula>
    </cfRule>
    <cfRule type="cellIs" dxfId="2" priority="9" operator="lessThan">
      <formula>0</formula>
    </cfRule>
  </conditionalFormatting>
  <conditionalFormatting sqref="L3:Q185">
    <cfRule type="cellIs" dxfId="3" priority="2" operator="lessThan">
      <formula>0.001</formula>
    </cfRule>
    <cfRule type="cellIs" dxfId="4" priority="3" operator="lessThan">
      <formula>0</formula>
    </cfRule>
  </conditionalFormatting>
  <conditionalFormatting sqref="L4:Q185">
    <cfRule type="cellIs" dxfId="5" priority="4" operator="lessThan">
      <formula>1</formula>
    </cfRule>
  </conditionalFormatting>
  <conditionalFormatting sqref="M3:Q3">
    <cfRule type="cellIs" dxfId="6" priority="18" operator="lessThan">
      <formula>1</formula>
    </cfRule>
  </conditionalFormatting>
  <pageMargins left="0.25" right="0.25" top="0.75" bottom="0.75" header="0.3" footer="0.3"/>
  <pageSetup paperSize="9" orientation="portrait" horizontalDpi="4294967295" verticalDpi="4294967295" scale="3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85"/>
  <sheetViews>
    <sheetView workbookViewId="0" showGridLines="0" zoomScale="66" zoomScaleNormal="75">
      <pane xSplit="3" topLeftCell="D1" activePane="topRight" state="frozen"/>
      <selection pane="topRight" activeCell="T3" sqref="T3"/>
    </sheetView>
  </sheetViews>
  <sheetFormatPr defaultRowHeight="15" outlineLevelRow="0" outlineLevelCol="0" x14ac:dyDescent="0" defaultColWidth="12.625"/>
  <cols>
    <col min="1" max="1" width="14.125" style="271" customWidth="1"/>
    <col min="2" max="2" width="19" style="271" customWidth="1"/>
    <col min="3" max="3" width="51.625" style="271" customWidth="1"/>
    <col min="4" max="4" width="10.375" style="271" customWidth="1"/>
    <col min="5" max="5" width="11.625" style="271" customWidth="1"/>
    <col min="6" max="6" width="13.125" style="271" customWidth="1"/>
    <col min="7" max="7" width="14.625" style="271" customWidth="1"/>
    <col min="8" max="8" width="7.625" style="271" customWidth="1"/>
    <col min="9" max="11" width="12.625" style="271" customWidth="1"/>
    <col min="12" max="12" width="13.125" style="271" customWidth="1"/>
    <col min="13" max="13" width="12.625" style="271" customWidth="1"/>
    <col min="14" max="14" width="12.875" style="271" customWidth="1"/>
    <col min="15" max="15" width="12.625" style="271" customWidth="1"/>
    <col min="16" max="16" width="5.875" style="271" customWidth="1"/>
    <col min="17" max="17" width="11" style="272" customWidth="1"/>
    <col min="18" max="18" width="64.5" style="272" customWidth="1"/>
    <col min="19" max="19" width="11.5" style="272" customWidth="1"/>
    <col min="20" max="20" width="15" style="272" customWidth="1"/>
    <col min="21" max="21" width="21.375" style="273" customWidth="1"/>
    <col min="22" max="22" width="26.5" style="273" customWidth="1"/>
    <col min="23" max="23" width="18.625" style="273" customWidth="1"/>
    <col min="24" max="24" width="17.875" style="273" customWidth="1"/>
    <col min="25" max="25" width="20.5" style="273" customWidth="1"/>
    <col min="26" max="26" width="15.375" style="273" customWidth="1"/>
    <col min="27" max="27" width="11.5" style="274" customWidth="1"/>
    <col min="28" max="28" width="17.625" style="272" customWidth="1"/>
    <col min="29" max="48" width="11.625" style="271" customWidth="1"/>
    <col min="49" max="49" width="10.125" style="271" customWidth="1"/>
    <col min="50" max="50" width="9.125" style="271" customWidth="1"/>
    <col min="51" max="51" width="10.125" style="271" customWidth="1"/>
    <col min="52" max="52" width="6.375" style="271" customWidth="1"/>
    <col min="53" max="54" width="12.625" style="271" customWidth="1"/>
    <col min="55" max="55" width="12.125" style="271" customWidth="1"/>
    <col min="56" max="16384" width="12.625" style="271" customWidth="1"/>
  </cols>
  <sheetData>
    <row r="1" ht="12.75" customHeight="1" spans="4:4" x14ac:dyDescent="0.25">
      <c r="D1" s="275"/>
    </row>
    <row r="2" ht="12.75" customHeight="1" spans="4:26" x14ac:dyDescent="0.25">
      <c r="D2" s="275"/>
      <c r="U2" s="273">
        <f t="shared" ref="U2:Z2" si="0">+U3-J6</f>
        <v>0</v>
      </c>
      <c r="V2" s="273">
        <f t="shared" si="0"/>
        <v>0</v>
      </c>
      <c r="W2" s="273">
        <f t="shared" si="0"/>
        <v>0</v>
      </c>
      <c r="X2" s="273">
        <f t="shared" si="0"/>
        <v>0</v>
      </c>
      <c r="Y2" s="273">
        <f t="shared" si="0"/>
        <v>0</v>
      </c>
      <c r="Z2" s="273">
        <f t="shared" si="0"/>
        <v>0</v>
      </c>
    </row>
    <row r="3" ht="46.5" customHeight="1" spans="21:26" x14ac:dyDescent="0.25">
      <c r="U3" s="276">
        <f t="shared" ref="U3:Z3" si="1">SUM(U9:U76)</f>
        <v>33835274</v>
      </c>
      <c r="V3" s="276">
        <f t="shared" si="1"/>
        <v>26880524</v>
      </c>
      <c r="W3" s="276">
        <f t="shared" si="1"/>
        <v>30800924</v>
      </c>
      <c r="X3" s="276">
        <f t="shared" si="1"/>
        <v>32811394.023446217</v>
      </c>
      <c r="Y3" s="276">
        <f>SUM(Y9:Y76)</f>
        <v>32811394</v>
      </c>
      <c r="Z3" s="276">
        <f t="shared" si="1"/>
        <v>29470034</v>
      </c>
    </row>
    <row r="4" ht="15.75" customHeight="1" spans="21:26" x14ac:dyDescent="0.25">
      <c r="U4" s="277" t="s">
        <v>3</v>
      </c>
      <c r="V4" s="278" t="s">
        <v>236</v>
      </c>
      <c r="W4" s="279" t="s">
        <v>237</v>
      </c>
      <c r="X4" s="280" t="s">
        <v>6</v>
      </c>
      <c r="Y4" s="281" t="s">
        <v>238</v>
      </c>
      <c r="Z4" s="282" t="s">
        <v>239</v>
      </c>
    </row>
    <row r="5" ht="12.75" customHeight="1" spans="10:28" x14ac:dyDescent="0.25">
      <c r="J5" s="283"/>
      <c r="K5" s="283"/>
      <c r="L5" s="283"/>
      <c r="M5" s="283"/>
      <c r="N5" s="283"/>
      <c r="O5" s="283"/>
      <c r="AB5" s="272"/>
    </row>
    <row r="6" ht="15.95" customHeight="1" spans="10:29" x14ac:dyDescent="0.25">
      <c r="J6" s="284">
        <f t="shared" ref="J6:O6" si="2">SUM(J9:J77)</f>
        <v>33835274</v>
      </c>
      <c r="K6" s="284">
        <f t="shared" si="2"/>
        <v>26880524</v>
      </c>
      <c r="L6" s="284">
        <f t="shared" si="2"/>
        <v>30800924</v>
      </c>
      <c r="M6" s="284">
        <f t="shared" si="2"/>
        <v>32811394.023446217</v>
      </c>
      <c r="N6" s="284">
        <f t="shared" si="2"/>
        <v>32811394</v>
      </c>
      <c r="O6" s="284">
        <f t="shared" si="2"/>
        <v>29470034</v>
      </c>
      <c r="T6" s="272"/>
      <c r="AA6" s="274"/>
      <c r="AC6" s="271"/>
    </row>
    <row r="7" ht="13.5" customHeight="1" spans="3:52" x14ac:dyDescent="0.25">
      <c r="C7" s="271"/>
      <c r="D7" s="271"/>
      <c r="E7" s="285" t="s">
        <v>516</v>
      </c>
      <c r="F7" s="286">
        <v>0.1</v>
      </c>
      <c r="G7" s="271"/>
      <c r="H7" s="271"/>
      <c r="I7" s="271"/>
      <c r="J7" s="271"/>
      <c r="K7" s="271"/>
      <c r="L7" s="271"/>
      <c r="M7" s="271"/>
      <c r="N7" s="271"/>
      <c r="O7" s="271"/>
      <c r="Q7" s="272"/>
      <c r="R7" s="272"/>
      <c r="S7" s="272"/>
      <c r="T7" s="272"/>
      <c r="AA7" s="274"/>
      <c r="AB7" s="272"/>
      <c r="AC7" s="287" t="s">
        <v>517</v>
      </c>
      <c r="AD7" s="288"/>
      <c r="AE7" s="287" t="s">
        <v>518</v>
      </c>
      <c r="AF7" s="288"/>
      <c r="AG7" s="287" t="s">
        <v>519</v>
      </c>
      <c r="AH7" s="288"/>
      <c r="AI7" s="287" t="s">
        <v>520</v>
      </c>
      <c r="AJ7" s="288"/>
      <c r="AK7" s="287" t="s">
        <v>521</v>
      </c>
      <c r="AL7" s="288"/>
      <c r="AM7" s="287" t="s">
        <v>522</v>
      </c>
      <c r="AN7" s="288"/>
      <c r="AO7" s="287" t="s">
        <v>523</v>
      </c>
      <c r="AP7" s="288"/>
      <c r="AQ7" s="287" t="s">
        <v>524</v>
      </c>
      <c r="AR7" s="288"/>
      <c r="AS7" s="287" t="s">
        <v>525</v>
      </c>
      <c r="AT7" s="288"/>
      <c r="AU7" s="287" t="s">
        <v>526</v>
      </c>
      <c r="AV7" s="288"/>
      <c r="AW7" s="287" t="s">
        <v>527</v>
      </c>
      <c r="AX7" s="288"/>
      <c r="AY7" s="287" t="s">
        <v>528</v>
      </c>
      <c r="AZ7" s="288"/>
    </row>
    <row r="8" ht="13.5" customHeight="1" spans="1:55" x14ac:dyDescent="0.25">
      <c r="A8" s="289" t="s">
        <v>529</v>
      </c>
      <c r="B8" s="290" t="s">
        <v>530</v>
      </c>
      <c r="C8" s="290" t="s">
        <v>529</v>
      </c>
      <c r="D8" s="290" t="s">
        <v>531</v>
      </c>
      <c r="E8" s="291" t="s">
        <v>252</v>
      </c>
      <c r="F8" s="292" t="s">
        <v>532</v>
      </c>
      <c r="G8" s="290" t="s">
        <v>533</v>
      </c>
      <c r="H8" s="290" t="s">
        <v>534</v>
      </c>
      <c r="I8" s="290" t="s">
        <v>535</v>
      </c>
      <c r="J8" s="293" t="s">
        <v>229</v>
      </c>
      <c r="K8" s="294" t="s">
        <v>230</v>
      </c>
      <c r="L8" s="295" t="s">
        <v>231</v>
      </c>
      <c r="M8" s="296" t="s">
        <v>232</v>
      </c>
      <c r="N8" s="297" t="s">
        <v>233</v>
      </c>
      <c r="O8" s="298" t="s">
        <v>8</v>
      </c>
      <c r="P8" s="271"/>
      <c r="Q8" s="299" t="s">
        <v>536</v>
      </c>
      <c r="R8" s="300" t="s">
        <v>537</v>
      </c>
      <c r="S8" s="299" t="s">
        <v>538</v>
      </c>
      <c r="T8" s="301" t="s">
        <v>539</v>
      </c>
      <c r="U8" s="302" t="str">
        <f>U4</f>
        <v>CASSAFORMA</v>
      </c>
      <c r="V8" s="302" t="str">
        <f>V4</f>
        <v>CASSAFORMA+LTN</v>
      </c>
      <c r="W8" s="302" t="str">
        <f>W4</f>
        <v>Cassf (2p) + LTN</v>
      </c>
      <c r="X8" s="302" t="str">
        <f>X4</f>
        <v>CASSASIP</v>
      </c>
      <c r="Y8" s="302" t="s">
        <v>370</v>
      </c>
      <c r="Z8" s="302" t="s">
        <v>8</v>
      </c>
      <c r="AA8" s="303" t="s">
        <v>540</v>
      </c>
      <c r="AB8" s="304">
        <v>60500000</v>
      </c>
      <c r="AC8" s="305">
        <v>1</v>
      </c>
      <c r="AD8" s="306">
        <f>AC8+1</f>
        <v>2</v>
      </c>
      <c r="AE8" s="306">
        <f t="shared" ref="AE8:AZ8" si="3">AD8+1</f>
        <v>3</v>
      </c>
      <c r="AF8" s="306">
        <f t="shared" si="3"/>
        <v>4</v>
      </c>
      <c r="AG8" s="306">
        <f t="shared" si="3"/>
        <v>5</v>
      </c>
      <c r="AH8" s="306">
        <f t="shared" si="3"/>
        <v>6</v>
      </c>
      <c r="AI8" s="306">
        <f t="shared" si="3"/>
        <v>7</v>
      </c>
      <c r="AJ8" s="306">
        <f t="shared" si="3"/>
        <v>8</v>
      </c>
      <c r="AK8" s="306">
        <f t="shared" si="3"/>
        <v>9</v>
      </c>
      <c r="AL8" s="306">
        <f t="shared" si="3"/>
        <v>10</v>
      </c>
      <c r="AM8" s="306">
        <f t="shared" si="3"/>
        <v>11</v>
      </c>
      <c r="AN8" s="306">
        <f t="shared" si="3"/>
        <v>12</v>
      </c>
      <c r="AO8" s="306">
        <f t="shared" si="3"/>
        <v>13</v>
      </c>
      <c r="AP8" s="306">
        <f t="shared" si="3"/>
        <v>14</v>
      </c>
      <c r="AQ8" s="306">
        <f t="shared" si="3"/>
        <v>15</v>
      </c>
      <c r="AR8" s="306">
        <f t="shared" si="3"/>
        <v>16</v>
      </c>
      <c r="AS8" s="306">
        <f t="shared" si="3"/>
        <v>17</v>
      </c>
      <c r="AT8" s="306">
        <f t="shared" si="3"/>
        <v>18</v>
      </c>
      <c r="AU8" s="306">
        <f t="shared" si="3"/>
        <v>19</v>
      </c>
      <c r="AV8" s="306">
        <f t="shared" si="3"/>
        <v>20</v>
      </c>
      <c r="AW8" s="306">
        <f t="shared" si="3"/>
        <v>21</v>
      </c>
      <c r="AX8" s="306">
        <f t="shared" si="3"/>
        <v>22</v>
      </c>
      <c r="AY8" s="306">
        <f t="shared" si="3"/>
        <v>23</v>
      </c>
      <c r="AZ8" s="307">
        <f t="shared" si="3"/>
        <v>24</v>
      </c>
      <c r="BB8" s="308" t="s">
        <v>541</v>
      </c>
      <c r="BC8" s="309" t="s">
        <v>542</v>
      </c>
    </row>
    <row r="9" ht="15" customHeight="1" spans="1:55" x14ac:dyDescent="0.25">
      <c r="A9" s="310" t="s">
        <v>25</v>
      </c>
      <c r="B9" s="311" t="s">
        <v>543</v>
      </c>
      <c r="C9" s="312" t="s">
        <v>544</v>
      </c>
      <c r="D9" s="313">
        <f>IF('Informacion de Cotización'!B60="SI",1,)</f>
        <v>0</v>
      </c>
      <c r="E9" s="314" t="s">
        <v>545</v>
      </c>
      <c r="F9" s="315">
        <f>+(1+$F$7)*'Base M.O'!D18</f>
        <v>61600.00000000001</v>
      </c>
      <c r="G9" s="315">
        <f t="shared" ref="G9" si="4">F9*D9</f>
        <v>0</v>
      </c>
      <c r="H9" s="316">
        <f t="shared" ref="H9:H40" si="5">+G9/($G$78)</f>
        <v>0</v>
      </c>
      <c r="I9" s="317">
        <f>+H9*($G$79)</f>
        <v>0</v>
      </c>
      <c r="J9" s="318">
        <f>+I9+G9</f>
        <v>0</v>
      </c>
      <c r="K9" s="318">
        <f t="shared" ref="K9:K20" si="6">+I9+G9</f>
        <v>0</v>
      </c>
      <c r="L9" s="318">
        <f t="shared" ref="L9:L24" si="7">+I9+G9</f>
        <v>0</v>
      </c>
      <c r="M9" s="318">
        <f t="shared" ref="M9:M24" si="8">I9+G9</f>
        <v>0</v>
      </c>
      <c r="N9" s="318">
        <f>I9+G9</f>
        <v>0</v>
      </c>
      <c r="O9" s="318">
        <f t="shared" ref="O9:O14" si="9">I9+G9</f>
        <v>0</v>
      </c>
      <c r="P9" s="271"/>
      <c r="Q9" s="319">
        <v>1</v>
      </c>
      <c r="R9" s="320" t="s">
        <v>546</v>
      </c>
      <c r="S9" s="320"/>
      <c r="T9" s="320"/>
      <c r="U9" s="321"/>
      <c r="V9" s="322"/>
      <c r="W9" s="322"/>
      <c r="X9" s="323"/>
      <c r="Y9" s="323"/>
      <c r="Z9" s="323"/>
      <c r="AA9" s="324"/>
      <c r="AB9" s="325"/>
      <c r="AC9" s="326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8"/>
      <c r="BA9" s="329"/>
      <c r="BB9" s="330">
        <f>SUM(AC9:BA9)</f>
        <v>0</v>
      </c>
      <c r="BC9" s="331">
        <f>BB9-AB9</f>
        <v>0</v>
      </c>
    </row>
    <row r="10" ht="15.95" customHeight="1" spans="1:55" x14ac:dyDescent="0.25">
      <c r="A10" s="332" t="s">
        <v>25</v>
      </c>
      <c r="B10" s="333" t="s">
        <v>547</v>
      </c>
      <c r="C10" s="334" t="s">
        <v>548</v>
      </c>
      <c r="D10" s="335">
        <f>D9</f>
        <v>0</v>
      </c>
      <c r="E10" s="336" t="s">
        <v>545</v>
      </c>
      <c r="F10" s="337">
        <f>(1+$F$7)*'Base M.O'!D14</f>
        <v>84700</v>
      </c>
      <c r="G10" s="337">
        <f>F10*D10</f>
        <v>0</v>
      </c>
      <c r="H10" s="338">
        <f t="shared" si="5"/>
        <v>0</v>
      </c>
      <c r="I10" s="339">
        <f t="shared" ref="I10:I40" si="10">+H10*($G$79)</f>
        <v>0</v>
      </c>
      <c r="J10" s="340">
        <f>+I10+G10</f>
        <v>0</v>
      </c>
      <c r="K10" s="340">
        <f t="shared" si="6"/>
        <v>0</v>
      </c>
      <c r="L10" s="340">
        <f t="shared" si="7"/>
        <v>0</v>
      </c>
      <c r="M10" s="340">
        <f t="shared" si="8"/>
        <v>0</v>
      </c>
      <c r="N10" s="340">
        <f t="shared" ref="N10:N77" si="11">I10+G10</f>
        <v>0</v>
      </c>
      <c r="O10" s="340">
        <f t="shared" si="9"/>
        <v>0</v>
      </c>
      <c r="P10" s="271"/>
      <c r="Q10" s="341" t="s">
        <v>549</v>
      </c>
      <c r="R10" s="342" t="s">
        <v>550</v>
      </c>
      <c r="S10" s="343" t="s">
        <v>551</v>
      </c>
      <c r="T10" s="343">
        <v>1</v>
      </c>
      <c r="U10" s="344">
        <f t="shared" ref="U10:Z11" si="12">+J9</f>
        <v>0</v>
      </c>
      <c r="V10" s="344">
        <f t="shared" si="12"/>
        <v>0</v>
      </c>
      <c r="W10" s="344">
        <f t="shared" si="12"/>
        <v>0</v>
      </c>
      <c r="X10" s="345">
        <f t="shared" si="12"/>
        <v>0</v>
      </c>
      <c r="Y10" s="345">
        <f t="shared" si="12"/>
        <v>0</v>
      </c>
      <c r="Z10" s="345">
        <f t="shared" si="12"/>
        <v>0</v>
      </c>
      <c r="AA10" s="346">
        <f>+U10/$U$3</f>
        <v>0</v>
      </c>
      <c r="AB10" s="347">
        <f>+AA10*$AB$8</f>
        <v>0</v>
      </c>
      <c r="AC10" s="348">
        <f>AB10</f>
        <v>0</v>
      </c>
      <c r="AD10" s="349"/>
      <c r="AE10" s="349"/>
      <c r="AF10" s="349"/>
      <c r="AG10" s="349"/>
      <c r="AH10" s="349"/>
      <c r="AI10" s="349"/>
      <c r="AJ10" s="349"/>
      <c r="AK10" s="349"/>
      <c r="AL10" s="349"/>
      <c r="AM10" s="349"/>
      <c r="AN10" s="349"/>
      <c r="AO10" s="349"/>
      <c r="AP10" s="349"/>
      <c r="AQ10" s="349"/>
      <c r="AR10" s="349"/>
      <c r="AS10" s="349"/>
      <c r="AT10" s="349"/>
      <c r="AU10" s="349"/>
      <c r="AV10" s="349"/>
      <c r="AW10" s="349"/>
      <c r="AX10" s="349"/>
      <c r="AY10" s="349"/>
      <c r="AZ10" s="350"/>
      <c r="BA10" s="329"/>
      <c r="BB10" s="351">
        <f t="shared" ref="BB10:BB74" si="13">SUM(AC10:BA10)</f>
        <v>0</v>
      </c>
      <c r="BC10" s="352">
        <f t="shared" ref="BC10:BC74" si="14">BB10-AB10</f>
        <v>0</v>
      </c>
    </row>
    <row r="11" ht="15.95" customHeight="1" spans="1:55" x14ac:dyDescent="0.25">
      <c r="A11" s="332" t="s">
        <v>25</v>
      </c>
      <c r="B11" s="353" t="s">
        <v>552</v>
      </c>
      <c r="C11" s="334" t="s">
        <v>553</v>
      </c>
      <c r="D11" s="335" t="str">
        <f>+IF('Informacion de Cotización'!B46="SI","1","0")</f>
        <v>1</v>
      </c>
      <c r="E11" s="336" t="s">
        <v>545</v>
      </c>
      <c r="F11" s="337">
        <f>(1+$F$7)*'Base M.O'!D6</f>
        <v>462000.00000000006</v>
      </c>
      <c r="G11" s="337">
        <f>F11*D11</f>
        <v>462000.00000000006</v>
      </c>
      <c r="H11" s="338">
        <f t="shared" si="5"/>
        <v>0.021314744169783104</v>
      </c>
      <c r="I11" s="339">
        <f t="shared" si="10"/>
        <v>462000.00000000006</v>
      </c>
      <c r="J11" s="340">
        <f>+I11+G11</f>
        <v>924000.0000000001</v>
      </c>
      <c r="K11" s="340">
        <f t="shared" si="6"/>
        <v>924000.0000000001</v>
      </c>
      <c r="L11" s="340">
        <f t="shared" si="7"/>
        <v>924000.0000000001</v>
      </c>
      <c r="M11" s="340">
        <f t="shared" si="8"/>
        <v>924000.0000000001</v>
      </c>
      <c r="N11" s="340">
        <f t="shared" si="11"/>
        <v>924000.0000000001</v>
      </c>
      <c r="O11" s="340">
        <f t="shared" si="9"/>
        <v>924000.0000000001</v>
      </c>
      <c r="P11" s="271"/>
      <c r="Q11" s="341" t="s">
        <v>554</v>
      </c>
      <c r="R11" s="342" t="s">
        <v>555</v>
      </c>
      <c r="S11" s="343" t="s">
        <v>551</v>
      </c>
      <c r="T11" s="343">
        <v>1</v>
      </c>
      <c r="U11" s="344">
        <f t="shared" si="12"/>
        <v>0</v>
      </c>
      <c r="V11" s="344">
        <f t="shared" si="12"/>
        <v>0</v>
      </c>
      <c r="W11" s="344">
        <f t="shared" si="12"/>
        <v>0</v>
      </c>
      <c r="X11" s="345">
        <f t="shared" si="12"/>
        <v>0</v>
      </c>
      <c r="Y11" s="345">
        <f t="shared" si="12"/>
        <v>0</v>
      </c>
      <c r="Z11" s="345">
        <f t="shared" si="12"/>
        <v>0</v>
      </c>
      <c r="AA11" s="346">
        <f>+U11/$U$3</f>
        <v>0</v>
      </c>
      <c r="AB11" s="347">
        <f>+AA11*$AB$8</f>
        <v>0</v>
      </c>
      <c r="AC11" s="348">
        <f>AB11</f>
        <v>0</v>
      </c>
      <c r="AD11" s="349"/>
      <c r="AE11" s="349"/>
      <c r="AF11" s="349"/>
      <c r="AG11" s="349"/>
      <c r="AH11" s="349"/>
      <c r="AI11" s="349"/>
      <c r="AJ11" s="349"/>
      <c r="AK11" s="349"/>
      <c r="AL11" s="349"/>
      <c r="AM11" s="349"/>
      <c r="AN11" s="349"/>
      <c r="AO11" s="349"/>
      <c r="AP11" s="349"/>
      <c r="AQ11" s="349"/>
      <c r="AR11" s="349"/>
      <c r="AS11" s="349"/>
      <c r="AT11" s="349"/>
      <c r="AU11" s="349"/>
      <c r="AV11" s="349"/>
      <c r="AW11" s="349"/>
      <c r="AX11" s="349"/>
      <c r="AY11" s="349"/>
      <c r="AZ11" s="350"/>
      <c r="BA11" s="329"/>
      <c r="BB11" s="351">
        <f t="shared" si="13"/>
        <v>0</v>
      </c>
      <c r="BC11" s="352">
        <f t="shared" si="14"/>
        <v>0</v>
      </c>
    </row>
    <row r="12" ht="15.95" customHeight="1" spans="1:55" x14ac:dyDescent="0.25">
      <c r="A12" s="332" t="s">
        <v>25</v>
      </c>
      <c r="B12" s="353" t="s">
        <v>552</v>
      </c>
      <c r="C12" s="334" t="s">
        <v>556</v>
      </c>
      <c r="D12" s="335" t="str">
        <f>+IF('Informacion de Cotización'!B44="SI","1","0")</f>
        <v>1</v>
      </c>
      <c r="E12" s="336" t="s">
        <v>545</v>
      </c>
      <c r="F12" s="337">
        <f>(1+$F$7)*'Base M.O'!D7</f>
        <v>246400.00000000003</v>
      </c>
      <c r="G12" s="337">
        <f>F12*D12</f>
        <v>246400.00000000003</v>
      </c>
      <c r="H12" s="338">
        <f t="shared" si="5"/>
        <v>0.011367863557217656</v>
      </c>
      <c r="I12" s="339">
        <f t="shared" si="10"/>
        <v>246400.00000000003</v>
      </c>
      <c r="J12" s="340">
        <f>+I12+G12</f>
        <v>492800.00000000006</v>
      </c>
      <c r="K12" s="340">
        <f t="shared" si="6"/>
        <v>492800.00000000006</v>
      </c>
      <c r="L12" s="340">
        <f t="shared" si="7"/>
        <v>492800.00000000006</v>
      </c>
      <c r="M12" s="340">
        <f t="shared" si="8"/>
        <v>492800.00000000006</v>
      </c>
      <c r="N12" s="340">
        <f t="shared" si="11"/>
        <v>492800.00000000006</v>
      </c>
      <c r="O12" s="340">
        <f t="shared" si="9"/>
        <v>492800.00000000006</v>
      </c>
      <c r="P12" s="271"/>
      <c r="Q12" s="319">
        <v>2</v>
      </c>
      <c r="R12" s="320" t="s">
        <v>557</v>
      </c>
      <c r="S12" s="320"/>
      <c r="T12" s="320"/>
      <c r="U12" s="321"/>
      <c r="V12" s="322"/>
      <c r="W12" s="322"/>
      <c r="X12" s="323"/>
      <c r="Y12" s="323"/>
      <c r="Z12" s="323"/>
      <c r="AA12" s="324"/>
      <c r="AB12" s="325"/>
      <c r="AC12" s="326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8"/>
      <c r="BA12" s="329"/>
      <c r="BB12" s="351">
        <f t="shared" si="13"/>
        <v>0</v>
      </c>
      <c r="BC12" s="352">
        <f t="shared" si="14"/>
        <v>0</v>
      </c>
    </row>
    <row r="13" ht="15" customHeight="1" spans="1:55" x14ac:dyDescent="0.25">
      <c r="A13" s="332" t="s">
        <v>25</v>
      </c>
      <c r="B13" s="353" t="s">
        <v>552</v>
      </c>
      <c r="C13" s="334" t="s">
        <v>558</v>
      </c>
      <c r="D13" s="354">
        <f>IF('Informacion de Cotización'!B49="SI",1,0)</f>
        <v>1</v>
      </c>
      <c r="E13" s="336" t="s">
        <v>545</v>
      </c>
      <c r="F13" s="337">
        <f>(1+$F$7)*'Base M.O'!D11</f>
        <v>215600.00000000003</v>
      </c>
      <c r="G13" s="337">
        <f t="shared" ref="G13:G14" si="15">F13*D13</f>
        <v>215600.00000000003</v>
      </c>
      <c r="H13" s="338">
        <f t="shared" si="5"/>
        <v>0.00994688061256545</v>
      </c>
      <c r="I13" s="339">
        <f t="shared" si="10"/>
        <v>215600.00000000006</v>
      </c>
      <c r="J13" s="340">
        <f t="shared" ref="J13:J20" si="16">+I13+G13</f>
        <v>431200.0000000001</v>
      </c>
      <c r="K13" s="340">
        <f t="shared" si="6"/>
        <v>431200.0000000001</v>
      </c>
      <c r="L13" s="340">
        <f t="shared" si="7"/>
        <v>431200.0000000001</v>
      </c>
      <c r="M13" s="340">
        <f t="shared" si="8"/>
        <v>431200.0000000001</v>
      </c>
      <c r="N13" s="340">
        <f t="shared" si="11"/>
        <v>431200.0000000001</v>
      </c>
      <c r="O13" s="340">
        <f t="shared" si="9"/>
        <v>431200.0000000001</v>
      </c>
      <c r="P13" s="271"/>
      <c r="Q13" s="341" t="s">
        <v>559</v>
      </c>
      <c r="R13" s="355" t="s">
        <v>560</v>
      </c>
      <c r="S13" s="343" t="s">
        <v>551</v>
      </c>
      <c r="T13" s="343">
        <v>1</v>
      </c>
      <c r="U13" s="344">
        <f>+J15</f>
        <v>3388000</v>
      </c>
      <c r="V13" s="344">
        <f>+K15</f>
        <v>3388000</v>
      </c>
      <c r="W13" s="344">
        <f>+L15</f>
        <v>3388000</v>
      </c>
      <c r="X13" s="345">
        <f>+M15</f>
        <v>3388000</v>
      </c>
      <c r="Y13" s="345">
        <f>+N15</f>
        <v>3388000</v>
      </c>
      <c r="Z13" s="345">
        <f>+O17+O16</f>
        <v>3960000</v>
      </c>
      <c r="AA13" s="356">
        <f>+U13/$U$3</f>
        <v>0.1001321874916692</v>
      </c>
      <c r="AB13" s="347">
        <f>+AA13*$AB$8</f>
        <v>6057997.343245987</v>
      </c>
      <c r="AC13" s="348">
        <f>+AB13/3</f>
        <v>2019332.4477486622</v>
      </c>
      <c r="AD13" s="349">
        <f>AC13</f>
        <v>2019332.4477486622</v>
      </c>
      <c r="AE13" s="349">
        <f>AD13</f>
        <v>2019332.4477486622</v>
      </c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49"/>
      <c r="AX13" s="349"/>
      <c r="AY13" s="349"/>
      <c r="AZ13" s="350"/>
      <c r="BA13" s="329"/>
      <c r="BB13" s="351">
        <f t="shared" si="13"/>
        <v>6057997.343245987</v>
      </c>
      <c r="BC13" s="352">
        <f t="shared" si="14"/>
        <v>0</v>
      </c>
    </row>
    <row r="14" ht="15" customHeight="1" spans="1:55" x14ac:dyDescent="0.25">
      <c r="A14" s="357" t="s">
        <v>25</v>
      </c>
      <c r="B14" s="358" t="s">
        <v>552</v>
      </c>
      <c r="C14" s="359" t="s">
        <v>561</v>
      </c>
      <c r="D14" s="360">
        <f>IF('Informacion de Cotización'!B42="SI",1,0)</f>
        <v>1</v>
      </c>
      <c r="E14" s="361" t="s">
        <v>562</v>
      </c>
      <c r="F14" s="362">
        <f>(1+$F$7)*'Base M.O'!D12</f>
        <v>385000.00000000006</v>
      </c>
      <c r="G14" s="362">
        <f t="shared" si="15"/>
        <v>385000.00000000006</v>
      </c>
      <c r="H14" s="363">
        <f t="shared" si="5"/>
        <v>0.01776228680815259</v>
      </c>
      <c r="I14" s="364">
        <f t="shared" si="10"/>
        <v>385000.00000000006</v>
      </c>
      <c r="J14" s="365">
        <f t="shared" si="16"/>
        <v>770000.0000000001</v>
      </c>
      <c r="K14" s="365">
        <f t="shared" si="6"/>
        <v>770000.0000000001</v>
      </c>
      <c r="L14" s="365">
        <f t="shared" si="7"/>
        <v>770000.0000000001</v>
      </c>
      <c r="M14" s="365">
        <f t="shared" si="8"/>
        <v>770000.0000000001</v>
      </c>
      <c r="N14" s="365">
        <f t="shared" si="11"/>
        <v>770000.0000000001</v>
      </c>
      <c r="O14" s="365">
        <f t="shared" si="9"/>
        <v>770000.0000000001</v>
      </c>
      <c r="P14" s="271"/>
      <c r="Q14" s="341" t="s">
        <v>563</v>
      </c>
      <c r="R14" s="355" t="s">
        <v>564</v>
      </c>
      <c r="S14" s="343" t="s">
        <v>551</v>
      </c>
      <c r="T14" s="343">
        <v>1</v>
      </c>
      <c r="U14" s="344">
        <f t="shared" ref="U14:Z15" si="17">+J18</f>
        <v>847000</v>
      </c>
      <c r="V14" s="344">
        <f t="shared" si="17"/>
        <v>847000</v>
      </c>
      <c r="W14" s="344">
        <f t="shared" si="17"/>
        <v>847000</v>
      </c>
      <c r="X14" s="345">
        <f t="shared" si="17"/>
        <v>847000</v>
      </c>
      <c r="Y14" s="345">
        <f t="shared" si="17"/>
        <v>847000</v>
      </c>
      <c r="Z14" s="345">
        <f t="shared" si="17"/>
        <v>847000</v>
      </c>
      <c r="AA14" s="356">
        <f>+U14/$U$3</f>
        <v>0.0250330468729173</v>
      </c>
      <c r="AB14" s="347">
        <f>+AA14*$AB$8</f>
        <v>1514499.3358114967</v>
      </c>
      <c r="AC14" s="348"/>
      <c r="AD14" s="349">
        <f>AB14/2</f>
        <v>757249.6679057484</v>
      </c>
      <c r="AE14" s="349">
        <f>AD14</f>
        <v>757249.6679057484</v>
      </c>
      <c r="AF14" s="349"/>
      <c r="AG14" s="349"/>
      <c r="AH14" s="349"/>
      <c r="AI14" s="349"/>
      <c r="AJ14" s="349"/>
      <c r="AK14" s="349"/>
      <c r="AL14" s="349"/>
      <c r="AM14" s="349"/>
      <c r="AN14" s="349"/>
      <c r="AO14" s="349"/>
      <c r="AP14" s="349"/>
      <c r="AQ14" s="349"/>
      <c r="AR14" s="349"/>
      <c r="AS14" s="349"/>
      <c r="AT14" s="349"/>
      <c r="AU14" s="349"/>
      <c r="AV14" s="349"/>
      <c r="AW14" s="349"/>
      <c r="AX14" s="349"/>
      <c r="AY14" s="349"/>
      <c r="AZ14" s="350"/>
      <c r="BA14" s="329"/>
      <c r="BB14" s="351">
        <f t="shared" si="13"/>
        <v>1514499.3358114967</v>
      </c>
      <c r="BC14" s="352">
        <f t="shared" si="14"/>
        <v>0</v>
      </c>
    </row>
    <row r="15" ht="15" customHeight="1" spans="1:55" x14ac:dyDescent="0.25">
      <c r="A15" s="366" t="s">
        <v>557</v>
      </c>
      <c r="B15" s="367" t="s">
        <v>565</v>
      </c>
      <c r="C15" s="312" t="s">
        <v>566</v>
      </c>
      <c r="D15" s="313">
        <f>+'Informacion de Cotización'!B9</f>
        <v>200</v>
      </c>
      <c r="E15" s="314" t="s">
        <v>39</v>
      </c>
      <c r="F15" s="315">
        <f>(1+$F$7)*'Base M.O'!D16</f>
        <v>8470</v>
      </c>
      <c r="G15" s="315">
        <f t="shared" ref="G15:G24" si="18">F15*D15</f>
        <v>1694000</v>
      </c>
      <c r="H15" s="316">
        <f t="shared" si="5"/>
        <v>0.07815406195587138</v>
      </c>
      <c r="I15" s="317">
        <f t="shared" si="10"/>
        <v>1694000</v>
      </c>
      <c r="J15" s="318">
        <f t="shared" si="16"/>
        <v>3388000</v>
      </c>
      <c r="K15" s="318">
        <f t="shared" si="6"/>
        <v>3388000</v>
      </c>
      <c r="L15" s="318">
        <f t="shared" si="7"/>
        <v>3388000</v>
      </c>
      <c r="M15" s="318">
        <f t="shared" si="8"/>
        <v>3388000</v>
      </c>
      <c r="N15" s="318">
        <f t="shared" si="11"/>
        <v>3388000</v>
      </c>
      <c r="O15" s="318"/>
      <c r="P15" s="271"/>
      <c r="Q15" s="341" t="s">
        <v>567</v>
      </c>
      <c r="R15" s="355" t="s">
        <v>568</v>
      </c>
      <c r="S15" s="343" t="s">
        <v>551</v>
      </c>
      <c r="T15" s="343">
        <v>1</v>
      </c>
      <c r="U15" s="344">
        <f t="shared" si="17"/>
        <v>254100</v>
      </c>
      <c r="V15" s="344">
        <f t="shared" si="17"/>
        <v>254100</v>
      </c>
      <c r="W15" s="344">
        <f t="shared" si="17"/>
        <v>254100</v>
      </c>
      <c r="X15" s="345">
        <f t="shared" si="17"/>
        <v>254100</v>
      </c>
      <c r="Y15" s="345">
        <f t="shared" si="17"/>
        <v>254100</v>
      </c>
      <c r="Z15" s="345">
        <f t="shared" si="17"/>
        <v>254100</v>
      </c>
      <c r="AA15" s="356">
        <f>+U15/$U$3</f>
        <v>0.007509914061875189</v>
      </c>
      <c r="AB15" s="347">
        <f>+AA15*$AB$8</f>
        <v>454349.80074344896</v>
      </c>
      <c r="AC15" s="348"/>
      <c r="AD15" s="349"/>
      <c r="AE15" s="349">
        <f>AB15/2</f>
        <v>227174.90037172448</v>
      </c>
      <c r="AF15" s="349">
        <f>AE15</f>
        <v>227174.90037172448</v>
      </c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V15" s="349"/>
      <c r="AW15" s="349"/>
      <c r="AX15" s="349"/>
      <c r="AY15" s="349"/>
      <c r="AZ15" s="350"/>
      <c r="BA15" s="329"/>
      <c r="BB15" s="351">
        <f t="shared" si="13"/>
        <v>454349.80074344896</v>
      </c>
      <c r="BC15" s="352">
        <f t="shared" si="14"/>
        <v>0</v>
      </c>
    </row>
    <row r="16" ht="15" customHeight="1" spans="1:55" x14ac:dyDescent="0.25">
      <c r="A16" s="368" t="s">
        <v>557</v>
      </c>
      <c r="B16" s="369" t="s">
        <v>565</v>
      </c>
      <c r="C16" s="370" t="s">
        <v>569</v>
      </c>
      <c r="D16" s="371">
        <f>'Informacion de Cotización'!B19/3.5</f>
        <v>0</v>
      </c>
      <c r="E16" s="372" t="s">
        <v>570</v>
      </c>
      <c r="F16" s="373">
        <f>(1+$F$7)*'Base M.O'!D19</f>
        <v>13860.000000000002</v>
      </c>
      <c r="G16" s="337">
        <f t="shared" ref="G16" si="19">F16*D16</f>
        <v>0</v>
      </c>
      <c r="H16" s="338">
        <f t="shared" si="5"/>
        <v>0</v>
      </c>
      <c r="I16" s="339">
        <f t="shared" si="10"/>
        <v>0</v>
      </c>
      <c r="J16" s="374"/>
      <c r="K16" s="374"/>
      <c r="L16" s="374"/>
      <c r="M16" s="374"/>
      <c r="N16" s="374"/>
      <c r="O16" s="374">
        <f>I16+G16</f>
        <v>0</v>
      </c>
      <c r="P16" s="271"/>
      <c r="Q16" s="319">
        <v>3</v>
      </c>
      <c r="R16" s="320" t="s">
        <v>571</v>
      </c>
      <c r="S16" s="320"/>
      <c r="T16" s="320"/>
      <c r="U16" s="321"/>
      <c r="V16" s="322"/>
      <c r="W16" s="322"/>
      <c r="X16" s="323"/>
      <c r="Y16" s="323"/>
      <c r="Z16" s="323"/>
      <c r="AA16" s="324"/>
      <c r="AB16" s="325"/>
      <c r="AC16" s="326"/>
      <c r="AD16" s="327"/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8"/>
      <c r="BA16" s="329"/>
      <c r="BB16" s="351">
        <f t="shared" si="13"/>
        <v>0</v>
      </c>
      <c r="BC16" s="352">
        <f t="shared" si="14"/>
        <v>0</v>
      </c>
    </row>
    <row r="17" ht="15" customHeight="1" spans="1:55" x14ac:dyDescent="0.25">
      <c r="A17" s="368" t="s">
        <v>557</v>
      </c>
      <c r="B17" s="369" t="s">
        <v>565</v>
      </c>
      <c r="C17" s="370" t="s">
        <v>572</v>
      </c>
      <c r="D17" s="371">
        <f>+'Informacion de Cotización'!B9</f>
        <v>200</v>
      </c>
      <c r="E17" s="372" t="s">
        <v>39</v>
      </c>
      <c r="F17" s="373">
        <f>(1+$F$7)*'Base M.O'!D17</f>
        <v>9900</v>
      </c>
      <c r="G17" s="337">
        <f t="shared" si="18"/>
        <v>1980000</v>
      </c>
      <c r="H17" s="338">
        <f t="shared" si="5"/>
        <v>0.09134890358478473</v>
      </c>
      <c r="I17" s="339">
        <f t="shared" si="10"/>
        <v>1980000.0000000002</v>
      </c>
      <c r="J17" s="374"/>
      <c r="K17" s="374"/>
      <c r="L17" s="374"/>
      <c r="M17" s="374"/>
      <c r="N17" s="374"/>
      <c r="O17" s="374">
        <f>I17+G17</f>
        <v>3960000</v>
      </c>
      <c r="P17" s="271"/>
      <c r="Q17" s="341" t="s">
        <v>573</v>
      </c>
      <c r="R17" s="375" t="s">
        <v>574</v>
      </c>
      <c r="S17" s="343" t="s">
        <v>551</v>
      </c>
      <c r="T17" s="343">
        <v>1</v>
      </c>
      <c r="U17" s="344">
        <f t="shared" ref="U17:Y19" si="20">+J25</f>
        <v>0</v>
      </c>
      <c r="V17" s="344">
        <f t="shared" si="20"/>
        <v>0</v>
      </c>
      <c r="W17" s="344">
        <f t="shared" si="20"/>
        <v>0</v>
      </c>
      <c r="X17" s="345">
        <f t="shared" si="20"/>
        <v>0</v>
      </c>
      <c r="Y17" s="345">
        <f t="shared" si="20"/>
        <v>0</v>
      </c>
      <c r="Z17" s="345">
        <f>+O29+O31</f>
        <v>0</v>
      </c>
      <c r="AA17" s="356">
        <f>+U17/$U$3</f>
        <v>0</v>
      </c>
      <c r="AB17" s="347">
        <f>+AA17*$AB$8</f>
        <v>0</v>
      </c>
      <c r="AC17" s="348"/>
      <c r="AD17" s="349"/>
      <c r="AE17" s="349"/>
      <c r="AF17" s="349">
        <f>AB17/4</f>
        <v>0</v>
      </c>
      <c r="AG17" s="349">
        <f>AF17</f>
        <v>0</v>
      </c>
      <c r="AH17" s="349">
        <f>AG17</f>
        <v>0</v>
      </c>
      <c r="AI17" s="349">
        <f>AH17</f>
        <v>0</v>
      </c>
      <c r="AJ17" s="349"/>
      <c r="AK17" s="349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49"/>
      <c r="AX17" s="349"/>
      <c r="AY17" s="349"/>
      <c r="AZ17" s="350"/>
      <c r="BA17" s="329"/>
      <c r="BB17" s="351">
        <f t="shared" si="13"/>
        <v>0</v>
      </c>
      <c r="BC17" s="352">
        <f t="shared" si="14"/>
        <v>0</v>
      </c>
    </row>
    <row r="18" ht="15" customHeight="1" spans="1:55" x14ac:dyDescent="0.25">
      <c r="A18" s="368" t="s">
        <v>557</v>
      </c>
      <c r="B18" s="369" t="s">
        <v>565</v>
      </c>
      <c r="C18" s="334" t="s">
        <v>575</v>
      </c>
      <c r="D18" s="335">
        <f>'Informacion de Cotización'!B11+'Informacion de Cotización'!B12</f>
        <v>50</v>
      </c>
      <c r="E18" s="336" t="s">
        <v>39</v>
      </c>
      <c r="F18" s="337">
        <f>(1+$F$7)*'Base M.O'!D16</f>
        <v>8470</v>
      </c>
      <c r="G18" s="337">
        <f t="shared" si="18"/>
        <v>423500</v>
      </c>
      <c r="H18" s="338">
        <f t="shared" si="5"/>
        <v>0.019538515488967845</v>
      </c>
      <c r="I18" s="339">
        <f t="shared" si="10"/>
        <v>423500</v>
      </c>
      <c r="J18" s="340">
        <f t="shared" si="16"/>
        <v>847000</v>
      </c>
      <c r="K18" s="340">
        <f t="shared" si="6"/>
        <v>847000</v>
      </c>
      <c r="L18" s="340">
        <f t="shared" si="7"/>
        <v>847000</v>
      </c>
      <c r="M18" s="340">
        <f>I18+G18</f>
        <v>847000</v>
      </c>
      <c r="N18" s="340">
        <f t="shared" si="11"/>
        <v>847000</v>
      </c>
      <c r="O18" s="340">
        <f>I18+G18</f>
        <v>847000</v>
      </c>
      <c r="P18" s="271"/>
      <c r="Q18" s="341" t="s">
        <v>576</v>
      </c>
      <c r="R18" s="375" t="s">
        <v>577</v>
      </c>
      <c r="S18" s="343" t="s">
        <v>551</v>
      </c>
      <c r="T18" s="343">
        <v>1</v>
      </c>
      <c r="U18" s="344">
        <f t="shared" si="20"/>
        <v>60984.00000000001</v>
      </c>
      <c r="V18" s="344">
        <f t="shared" si="20"/>
        <v>60984.00000000001</v>
      </c>
      <c r="W18" s="344">
        <f t="shared" si="20"/>
        <v>60984.00000000001</v>
      </c>
      <c r="X18" s="345">
        <f t="shared" si="20"/>
        <v>60984.00000000001</v>
      </c>
      <c r="Y18" s="345">
        <f t="shared" si="20"/>
        <v>60984.00000000001</v>
      </c>
      <c r="Z18" s="345">
        <f>+O26</f>
        <v>60984.00000000001</v>
      </c>
      <c r="AA18" s="356">
        <f>+U18/$U$3</f>
        <v>0.0018023793748500458</v>
      </c>
      <c r="AB18" s="347">
        <f>+AA18*$AB$8</f>
        <v>109043.95217842777</v>
      </c>
      <c r="AC18" s="348"/>
      <c r="AD18" s="349"/>
      <c r="AE18" s="349"/>
      <c r="AF18" s="349"/>
      <c r="AG18" s="349"/>
      <c r="AH18" s="349"/>
      <c r="AI18" s="349">
        <f>AB18</f>
        <v>109043.95217842777</v>
      </c>
      <c r="AJ18" s="349"/>
      <c r="AK18" s="349"/>
      <c r="AL18" s="349"/>
      <c r="AM18" s="349"/>
      <c r="AN18" s="349"/>
      <c r="AO18" s="349"/>
      <c r="AP18" s="349"/>
      <c r="AQ18" s="349"/>
      <c r="AR18" s="349"/>
      <c r="AS18" s="349"/>
      <c r="AT18" s="349"/>
      <c r="AU18" s="349"/>
      <c r="AV18" s="349"/>
      <c r="AW18" s="349"/>
      <c r="AX18" s="349"/>
      <c r="AY18" s="349"/>
      <c r="AZ18" s="350"/>
      <c r="BA18" s="329"/>
      <c r="BB18" s="351">
        <f t="shared" si="13"/>
        <v>109043.95217842777</v>
      </c>
      <c r="BC18" s="352">
        <f t="shared" si="14"/>
        <v>0</v>
      </c>
    </row>
    <row r="19" ht="15" customHeight="1" spans="1:55" x14ac:dyDescent="0.25">
      <c r="A19" s="368" t="s">
        <v>557</v>
      </c>
      <c r="B19" s="369" t="s">
        <v>565</v>
      </c>
      <c r="C19" s="334" t="s">
        <v>578</v>
      </c>
      <c r="D19" s="335">
        <f>+'Informacion de Cotización'!B13+'Informacion de Cotización'!B14</f>
        <v>15</v>
      </c>
      <c r="E19" s="336" t="s">
        <v>39</v>
      </c>
      <c r="F19" s="337">
        <f>(1+$F$7)*'Base M.O'!D16</f>
        <v>8470</v>
      </c>
      <c r="G19" s="337">
        <f t="shared" si="18"/>
        <v>127050</v>
      </c>
      <c r="H19" s="338">
        <f t="shared" si="5"/>
        <v>0.005861554646690353</v>
      </c>
      <c r="I19" s="339">
        <f t="shared" si="10"/>
        <v>127050</v>
      </c>
      <c r="J19" s="340">
        <f t="shared" si="16"/>
        <v>254100</v>
      </c>
      <c r="K19" s="340">
        <f t="shared" si="6"/>
        <v>254100</v>
      </c>
      <c r="L19" s="340">
        <f t="shared" si="7"/>
        <v>254100</v>
      </c>
      <c r="M19" s="340">
        <f t="shared" si="8"/>
        <v>254100</v>
      </c>
      <c r="N19" s="340">
        <f t="shared" si="11"/>
        <v>254100</v>
      </c>
      <c r="O19" s="340">
        <f>I19+G19</f>
        <v>254100</v>
      </c>
      <c r="P19" s="271"/>
      <c r="Q19" s="341" t="s">
        <v>579</v>
      </c>
      <c r="R19" s="375" t="s">
        <v>580</v>
      </c>
      <c r="S19" s="343" t="s">
        <v>551</v>
      </c>
      <c r="T19" s="343">
        <v>1</v>
      </c>
      <c r="U19" s="344">
        <f t="shared" si="20"/>
        <v>2002000.0000000002</v>
      </c>
      <c r="V19" s="344">
        <f t="shared" si="20"/>
        <v>0</v>
      </c>
      <c r="W19" s="344">
        <f t="shared" si="20"/>
        <v>0</v>
      </c>
      <c r="X19" s="345">
        <f t="shared" si="20"/>
        <v>0</v>
      </c>
      <c r="Y19" s="345">
        <f t="shared" si="20"/>
        <v>0</v>
      </c>
      <c r="Z19" s="345">
        <f>+O27</f>
        <v>0</v>
      </c>
      <c r="AA19" s="356">
        <f>+U19/$U$3</f>
        <v>0.059169019881440896</v>
      </c>
      <c r="AB19" s="347">
        <f>+AA19*$AB$8</f>
        <v>3579725.702827174</v>
      </c>
      <c r="AC19" s="348"/>
      <c r="AD19" s="349"/>
      <c r="AE19" s="349"/>
      <c r="AF19" s="349"/>
      <c r="AG19" s="349">
        <f>AB19/3</f>
        <v>1193241.9009423915</v>
      </c>
      <c r="AH19" s="349">
        <f>AG19</f>
        <v>1193241.9009423915</v>
      </c>
      <c r="AI19" s="349">
        <f>AH19</f>
        <v>1193241.9009423915</v>
      </c>
      <c r="AJ19" s="349"/>
      <c r="AK19" s="349"/>
      <c r="AL19" s="349"/>
      <c r="AM19" s="349"/>
      <c r="AN19" s="349"/>
      <c r="AO19" s="349"/>
      <c r="AP19" s="349"/>
      <c r="AQ19" s="349"/>
      <c r="AR19" s="349"/>
      <c r="AS19" s="349"/>
      <c r="AT19" s="349"/>
      <c r="AU19" s="349"/>
      <c r="AV19" s="349"/>
      <c r="AW19" s="349"/>
      <c r="AX19" s="349"/>
      <c r="AY19" s="349"/>
      <c r="AZ19" s="350"/>
      <c r="BA19" s="329"/>
      <c r="BB19" s="351">
        <f t="shared" si="13"/>
        <v>3579725.702827174</v>
      </c>
      <c r="BC19" s="352">
        <f t="shared" si="14"/>
        <v>0</v>
      </c>
    </row>
    <row r="20" ht="15" customHeight="1" spans="1:55" x14ac:dyDescent="0.25">
      <c r="A20" s="376" t="s">
        <v>557</v>
      </c>
      <c r="B20" s="377" t="s">
        <v>565</v>
      </c>
      <c r="C20" s="359" t="s">
        <v>581</v>
      </c>
      <c r="D20" s="378">
        <f>+'Informacion de Cotización'!B40</f>
        <v>1</v>
      </c>
      <c r="E20" s="361" t="s">
        <v>545</v>
      </c>
      <c r="F20" s="362">
        <f>(1+$F$7)*'Base M.O'!D24</f>
        <v>246400.00000000003</v>
      </c>
      <c r="G20" s="362">
        <f t="shared" si="18"/>
        <v>246400.00000000003</v>
      </c>
      <c r="H20" s="363">
        <f t="shared" si="5"/>
        <v>0.011367863557217656</v>
      </c>
      <c r="I20" s="364">
        <f t="shared" si="10"/>
        <v>246400.00000000003</v>
      </c>
      <c r="J20" s="365">
        <f t="shared" si="16"/>
        <v>492800.00000000006</v>
      </c>
      <c r="K20" s="365">
        <f t="shared" si="6"/>
        <v>492800.00000000006</v>
      </c>
      <c r="L20" s="365">
        <f t="shared" si="7"/>
        <v>492800.00000000006</v>
      </c>
      <c r="M20" s="365">
        <f t="shared" si="8"/>
        <v>492800.00000000006</v>
      </c>
      <c r="N20" s="365">
        <f t="shared" si="11"/>
        <v>492800.00000000006</v>
      </c>
      <c r="O20" s="365">
        <f>I20+G20</f>
        <v>492800.00000000006</v>
      </c>
      <c r="P20" s="271"/>
      <c r="Q20" s="341" t="s">
        <v>582</v>
      </c>
      <c r="R20" s="336" t="s">
        <v>583</v>
      </c>
      <c r="S20" s="343" t="s">
        <v>551</v>
      </c>
      <c r="T20" s="343">
        <v>1</v>
      </c>
      <c r="U20" s="344">
        <f t="shared" ref="U20:Z20" si="21">+J69</f>
        <v>258720</v>
      </c>
      <c r="V20" s="344">
        <f t="shared" si="21"/>
        <v>258720</v>
      </c>
      <c r="W20" s="344">
        <f t="shared" si="21"/>
        <v>258720</v>
      </c>
      <c r="X20" s="345">
        <f t="shared" si="21"/>
        <v>258720</v>
      </c>
      <c r="Y20" s="345">
        <f t="shared" si="21"/>
        <v>258720</v>
      </c>
      <c r="Z20" s="345">
        <f t="shared" si="21"/>
        <v>258720</v>
      </c>
      <c r="AA20" s="356">
        <f>+U20/$U$3</f>
        <v>0.007646457953909284</v>
      </c>
      <c r="AB20" s="347">
        <f>+AA20*$AB$8</f>
        <v>462610.7062115117</v>
      </c>
      <c r="AC20" s="348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>
        <f>AB20</f>
        <v>462610.7062115117</v>
      </c>
      <c r="AP20" s="349"/>
      <c r="AQ20" s="349"/>
      <c r="AR20" s="349"/>
      <c r="AS20" s="349"/>
      <c r="AT20" s="349"/>
      <c r="AU20" s="349"/>
      <c r="AV20" s="349"/>
      <c r="AW20" s="349"/>
      <c r="AX20" s="349"/>
      <c r="AY20" s="349"/>
      <c r="AZ20" s="350"/>
      <c r="BA20" s="329"/>
      <c r="BB20" s="351">
        <f t="shared" si="13"/>
        <v>462610.7062115117</v>
      </c>
      <c r="BC20" s="352">
        <f t="shared" si="14"/>
        <v>0</v>
      </c>
    </row>
    <row r="21" ht="15" customHeight="1" spans="1:55" x14ac:dyDescent="0.25">
      <c r="A21" s="379" t="s">
        <v>30</v>
      </c>
      <c r="B21" s="380" t="s">
        <v>584</v>
      </c>
      <c r="C21" s="312" t="s">
        <v>585</v>
      </c>
      <c r="D21" s="381">
        <f>+'Informacion de Cotización'!B9</f>
        <v>200</v>
      </c>
      <c r="E21" s="314" t="s">
        <v>39</v>
      </c>
      <c r="F21" s="315">
        <f>(1+$F$7)*'Base M.O'!D57</f>
        <v>8800</v>
      </c>
      <c r="G21" s="315">
        <f t="shared" si="18"/>
        <v>1760000</v>
      </c>
      <c r="H21" s="316">
        <f t="shared" si="5"/>
        <v>0.08119902540869753</v>
      </c>
      <c r="I21" s="317">
        <f t="shared" si="10"/>
        <v>1760000</v>
      </c>
      <c r="J21" s="382"/>
      <c r="K21" s="382"/>
      <c r="L21" s="318">
        <f t="shared" si="7"/>
        <v>3520000</v>
      </c>
      <c r="M21" s="318">
        <f t="shared" si="8"/>
        <v>3520000</v>
      </c>
      <c r="N21" s="318">
        <f t="shared" si="11"/>
        <v>3520000</v>
      </c>
      <c r="O21" s="318"/>
      <c r="P21" s="271"/>
      <c r="Q21" s="319">
        <v>4</v>
      </c>
      <c r="R21" s="320" t="s">
        <v>586</v>
      </c>
      <c r="S21" s="320"/>
      <c r="T21" s="320"/>
      <c r="U21" s="321"/>
      <c r="V21" s="322"/>
      <c r="W21" s="322"/>
      <c r="X21" s="323"/>
      <c r="Y21" s="323"/>
      <c r="Z21" s="323"/>
      <c r="AA21" s="324"/>
      <c r="AB21" s="325"/>
      <c r="AC21" s="326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8"/>
      <c r="BA21" s="329"/>
      <c r="BB21" s="351">
        <f t="shared" si="13"/>
        <v>0</v>
      </c>
      <c r="BC21" s="352">
        <f t="shared" si="14"/>
        <v>0</v>
      </c>
    </row>
    <row r="22" ht="15.75" customHeight="1" spans="1:55" x14ac:dyDescent="0.25">
      <c r="A22" s="383" t="s">
        <v>30</v>
      </c>
      <c r="B22" s="384" t="s">
        <v>584</v>
      </c>
      <c r="C22" s="334" t="s">
        <v>587</v>
      </c>
      <c r="D22" s="385">
        <f>'Informacion de Cotización'!B9</f>
        <v>200</v>
      </c>
      <c r="E22" s="336" t="s">
        <v>39</v>
      </c>
      <c r="F22" s="337">
        <f>(1+$F$7)*'Base M.O'!D59</f>
        <v>2156</v>
      </c>
      <c r="G22" s="337">
        <f t="shared" si="18"/>
        <v>431200</v>
      </c>
      <c r="H22" s="338">
        <f t="shared" si="5"/>
        <v>0.019893761225130896</v>
      </c>
      <c r="I22" s="339">
        <f t="shared" si="10"/>
        <v>431200</v>
      </c>
      <c r="J22" s="382"/>
      <c r="K22" s="340">
        <f t="shared" ref="K22:K24" si="22">+I22+G22</f>
        <v>862400</v>
      </c>
      <c r="L22" s="340">
        <f t="shared" si="7"/>
        <v>862400</v>
      </c>
      <c r="M22" s="340">
        <f t="shared" si="8"/>
        <v>862400</v>
      </c>
      <c r="N22" s="340">
        <f t="shared" si="11"/>
        <v>862400</v>
      </c>
      <c r="O22" s="340">
        <f>I22+G22</f>
        <v>862400</v>
      </c>
      <c r="P22" s="271"/>
      <c r="Q22" s="341" t="s">
        <v>588</v>
      </c>
      <c r="R22" s="375" t="s">
        <v>589</v>
      </c>
      <c r="S22" s="343" t="s">
        <v>551</v>
      </c>
      <c r="T22" s="343">
        <v>1</v>
      </c>
      <c r="U22" s="344">
        <f>+J21</f>
        <v>0</v>
      </c>
      <c r="V22" s="344">
        <f>+K21</f>
        <v>0</v>
      </c>
      <c r="W22" s="344">
        <f>+L21</f>
        <v>3520000</v>
      </c>
      <c r="X22" s="345">
        <f>+M21+M32</f>
        <v>3520000</v>
      </c>
      <c r="Y22" s="345">
        <f>+N21+N32</f>
        <v>3520000</v>
      </c>
      <c r="Z22" s="345">
        <f>O28</f>
        <v>0</v>
      </c>
      <c r="AA22" s="356">
        <f>+U22/$U$3</f>
        <v>0</v>
      </c>
      <c r="AB22" s="347">
        <f>+AA22*$AB$8</f>
        <v>0</v>
      </c>
      <c r="AC22" s="348"/>
      <c r="AD22" s="349"/>
      <c r="AE22" s="349"/>
      <c r="AF22" s="349"/>
      <c r="AG22" s="349">
        <f>AB22/4</f>
        <v>0</v>
      </c>
      <c r="AH22" s="349">
        <f>AG22</f>
        <v>0</v>
      </c>
      <c r="AI22" s="349">
        <f>AH22</f>
        <v>0</v>
      </c>
      <c r="AJ22" s="349">
        <f>AI22</f>
        <v>0</v>
      </c>
      <c r="AK22" s="349"/>
      <c r="AL22" s="349"/>
      <c r="AM22" s="349"/>
      <c r="AN22" s="349"/>
      <c r="AO22" s="349"/>
      <c r="AP22" s="349"/>
      <c r="AQ22" s="349"/>
      <c r="AR22" s="349"/>
      <c r="AS22" s="349"/>
      <c r="AT22" s="349"/>
      <c r="AU22" s="349"/>
      <c r="AV22" s="349"/>
      <c r="AW22" s="349"/>
      <c r="AX22" s="349"/>
      <c r="AY22" s="349"/>
      <c r="AZ22" s="350"/>
      <c r="BA22" s="329"/>
      <c r="BB22" s="351">
        <f t="shared" si="13"/>
        <v>0</v>
      </c>
      <c r="BC22" s="352">
        <f t="shared" si="14"/>
        <v>0</v>
      </c>
    </row>
    <row r="23" ht="15.75" customHeight="1" spans="1:55" x14ac:dyDescent="0.25">
      <c r="A23" s="383" t="s">
        <v>30</v>
      </c>
      <c r="B23" s="384" t="s">
        <v>584</v>
      </c>
      <c r="C23" s="334" t="s">
        <v>590</v>
      </c>
      <c r="D23" s="385">
        <f>+'Informacion de Cotización'!B10</f>
        <v>50</v>
      </c>
      <c r="E23" s="336" t="s">
        <v>39</v>
      </c>
      <c r="F23" s="337">
        <f>(1+$F$7)*'Base M.O'!D57</f>
        <v>8800</v>
      </c>
      <c r="G23" s="337">
        <f t="shared" si="18"/>
        <v>440000</v>
      </c>
      <c r="H23" s="338">
        <f t="shared" si="5"/>
        <v>0.020299756352174382</v>
      </c>
      <c r="I23" s="339">
        <f t="shared" si="10"/>
        <v>440000</v>
      </c>
      <c r="J23" s="382"/>
      <c r="K23" s="340">
        <f t="shared" si="22"/>
        <v>880000</v>
      </c>
      <c r="L23" s="340">
        <f t="shared" si="7"/>
        <v>880000</v>
      </c>
      <c r="M23" s="340">
        <f t="shared" si="8"/>
        <v>880000</v>
      </c>
      <c r="N23" s="340">
        <f t="shared" si="11"/>
        <v>880000</v>
      </c>
      <c r="O23" s="340"/>
      <c r="P23" s="271"/>
      <c r="Q23" s="341" t="s">
        <v>591</v>
      </c>
      <c r="R23" s="375" t="s">
        <v>592</v>
      </c>
      <c r="S23" s="343" t="s">
        <v>551</v>
      </c>
      <c r="T23" s="343">
        <v>1</v>
      </c>
      <c r="U23" s="344">
        <f>+J23</f>
        <v>0</v>
      </c>
      <c r="V23" s="344">
        <f>+K23</f>
        <v>880000</v>
      </c>
      <c r="W23" s="344">
        <f>+L23</f>
        <v>880000</v>
      </c>
      <c r="X23" s="345">
        <f>+M23+M33</f>
        <v>880000</v>
      </c>
      <c r="Y23" s="345">
        <f>+N23+N33</f>
        <v>880000</v>
      </c>
      <c r="Z23" s="345">
        <f>O30</f>
        <v>0</v>
      </c>
      <c r="AA23" s="356">
        <f>+U23/$U$3</f>
        <v>0</v>
      </c>
      <c r="AB23" s="347">
        <f>+AA23*$AB$8</f>
        <v>0</v>
      </c>
      <c r="AC23" s="348"/>
      <c r="AD23" s="349"/>
      <c r="AE23" s="349"/>
      <c r="AF23" s="349"/>
      <c r="AG23" s="349"/>
      <c r="AH23" s="349"/>
      <c r="AI23" s="349">
        <f>AB23/4</f>
        <v>0</v>
      </c>
      <c r="AJ23" s="349">
        <f>AI23</f>
        <v>0</v>
      </c>
      <c r="AK23" s="349">
        <f>AJ23</f>
        <v>0</v>
      </c>
      <c r="AL23" s="349">
        <f>AK23</f>
        <v>0</v>
      </c>
      <c r="AM23" s="349"/>
      <c r="AN23" s="349"/>
      <c r="AO23" s="349"/>
      <c r="AP23" s="349"/>
      <c r="AQ23" s="349"/>
      <c r="AR23" s="349"/>
      <c r="AS23" s="349"/>
      <c r="AT23" s="349"/>
      <c r="AU23" s="349"/>
      <c r="AV23" s="349"/>
      <c r="AW23" s="349"/>
      <c r="AX23" s="349"/>
      <c r="AY23" s="349"/>
      <c r="AZ23" s="350"/>
      <c r="BA23" s="329"/>
      <c r="BB23" s="351">
        <f t="shared" si="13"/>
        <v>0</v>
      </c>
      <c r="BC23" s="352">
        <f t="shared" si="14"/>
        <v>0</v>
      </c>
    </row>
    <row r="24" ht="15.75" customHeight="1" spans="1:55" x14ac:dyDescent="0.25">
      <c r="A24" s="383" t="s">
        <v>30</v>
      </c>
      <c r="B24" s="384" t="s">
        <v>584</v>
      </c>
      <c r="C24" s="334" t="s">
        <v>593</v>
      </c>
      <c r="D24" s="385">
        <f>'Informacion de Cotización'!B10</f>
        <v>50</v>
      </c>
      <c r="E24" s="336" t="s">
        <v>39</v>
      </c>
      <c r="F24" s="337">
        <f>(1+$F$7)*'Base M.O'!D60</f>
        <v>2926.0000000000005</v>
      </c>
      <c r="G24" s="337">
        <f t="shared" si="18"/>
        <v>146300.00000000003</v>
      </c>
      <c r="H24" s="338">
        <f t="shared" si="5"/>
        <v>0.0067496689870979835</v>
      </c>
      <c r="I24" s="339">
        <f t="shared" si="10"/>
        <v>146300.00000000003</v>
      </c>
      <c r="J24" s="382"/>
      <c r="K24" s="340">
        <f t="shared" si="22"/>
        <v>292600.00000000006</v>
      </c>
      <c r="L24" s="340">
        <f t="shared" si="7"/>
        <v>292600.00000000006</v>
      </c>
      <c r="M24" s="340">
        <f t="shared" si="8"/>
        <v>292600.00000000006</v>
      </c>
      <c r="N24" s="340">
        <f t="shared" si="11"/>
        <v>292600.00000000006</v>
      </c>
      <c r="O24" s="340">
        <f>I24+G24</f>
        <v>292600.00000000006</v>
      </c>
      <c r="P24" s="271"/>
      <c r="Q24" s="341" t="s">
        <v>594</v>
      </c>
      <c r="R24" s="375" t="s">
        <v>595</v>
      </c>
      <c r="S24" s="343" t="s">
        <v>551</v>
      </c>
      <c r="T24" s="343">
        <v>1</v>
      </c>
      <c r="U24" s="344">
        <f t="shared" ref="U24:Z25" si="23">+J37</f>
        <v>264000</v>
      </c>
      <c r="V24" s="344">
        <f t="shared" si="23"/>
        <v>264000</v>
      </c>
      <c r="W24" s="344">
        <f t="shared" si="23"/>
        <v>264000</v>
      </c>
      <c r="X24" s="345">
        <f t="shared" si="23"/>
        <v>264000</v>
      </c>
      <c r="Y24" s="345">
        <f t="shared" si="23"/>
        <v>264000</v>
      </c>
      <c r="Z24" s="345">
        <f t="shared" si="23"/>
        <v>264000</v>
      </c>
      <c r="AA24" s="356">
        <f>+U24/$U$3</f>
        <v>0.007802508116233963</v>
      </c>
      <c r="AB24" s="347">
        <f>+AA24*$AB$8</f>
        <v>472051.74103215476</v>
      </c>
      <c r="AC24" s="348"/>
      <c r="AD24" s="349"/>
      <c r="AE24" s="349"/>
      <c r="AF24" s="349"/>
      <c r="AG24" s="349"/>
      <c r="AH24" s="349"/>
      <c r="AI24" s="349"/>
      <c r="AJ24" s="349"/>
      <c r="AK24" s="349"/>
      <c r="AL24" s="349"/>
      <c r="AM24" s="349"/>
      <c r="AN24" s="349"/>
      <c r="AO24" s="349"/>
      <c r="AP24" s="349"/>
      <c r="AQ24" s="349"/>
      <c r="AR24" s="349">
        <f>AB24</f>
        <v>472051.74103215476</v>
      </c>
      <c r="AS24" s="349"/>
      <c r="AT24" s="349"/>
      <c r="AU24" s="349"/>
      <c r="AV24" s="349"/>
      <c r="AW24" s="349"/>
      <c r="AX24" s="349"/>
      <c r="AY24" s="349"/>
      <c r="AZ24" s="350"/>
      <c r="BA24" s="329"/>
      <c r="BB24" s="351">
        <f t="shared" si="13"/>
        <v>472051.74103215476</v>
      </c>
      <c r="BC24" s="352">
        <f t="shared" si="14"/>
        <v>0</v>
      </c>
    </row>
    <row r="25" ht="15.75" customHeight="1" spans="1:55" x14ac:dyDescent="0.25">
      <c r="A25" s="383" t="s">
        <v>30</v>
      </c>
      <c r="B25" s="386" t="s">
        <v>596</v>
      </c>
      <c r="C25" s="334" t="s">
        <v>597</v>
      </c>
      <c r="D25" s="385">
        <f>Materiales!D100*1.2*3</f>
        <v>0</v>
      </c>
      <c r="E25" s="336" t="s">
        <v>39</v>
      </c>
      <c r="F25" s="337">
        <f>(1+$F$7)*'Base M.O'!D45</f>
        <v>3388.0000000000005</v>
      </c>
      <c r="G25" s="337">
        <f t="shared" ref="G25:G77" si="24">F25*D25</f>
        <v>0</v>
      </c>
      <c r="H25" s="338">
        <f t="shared" si="5"/>
        <v>0</v>
      </c>
      <c r="I25" s="339">
        <f t="shared" si="10"/>
        <v>0</v>
      </c>
      <c r="J25" s="340">
        <f t="shared" ref="J25:J60" si="25">+I25+G25</f>
        <v>0</v>
      </c>
      <c r="K25" s="340">
        <f>+I25+G25</f>
        <v>0</v>
      </c>
      <c r="L25" s="340">
        <f>+I25+G25</f>
        <v>0</v>
      </c>
      <c r="M25" s="340">
        <f>I25+G25</f>
        <v>0</v>
      </c>
      <c r="N25" s="340"/>
      <c r="O25" s="340"/>
      <c r="P25" s="271"/>
      <c r="Q25" s="341" t="s">
        <v>598</v>
      </c>
      <c r="R25" s="375" t="s">
        <v>599</v>
      </c>
      <c r="S25" s="343" t="s">
        <v>551</v>
      </c>
      <c r="T25" s="343">
        <v>1</v>
      </c>
      <c r="U25" s="344">
        <f t="shared" si="23"/>
        <v>880000</v>
      </c>
      <c r="V25" s="344">
        <f t="shared" si="23"/>
        <v>880000</v>
      </c>
      <c r="W25" s="344">
        <f t="shared" si="23"/>
        <v>880000</v>
      </c>
      <c r="X25" s="345">
        <f t="shared" si="23"/>
        <v>880000</v>
      </c>
      <c r="Y25" s="345">
        <f t="shared" si="23"/>
        <v>880000</v>
      </c>
      <c r="Z25" s="345">
        <f t="shared" si="23"/>
        <v>880000</v>
      </c>
      <c r="AA25" s="356">
        <f>+U25/$U$3</f>
        <v>0.026008360387446545</v>
      </c>
      <c r="AB25" s="347">
        <f>+AA25*$AB$8</f>
        <v>1573505.8034405159</v>
      </c>
      <c r="AC25" s="348"/>
      <c r="AD25" s="349"/>
      <c r="AE25" s="349"/>
      <c r="AF25" s="349"/>
      <c r="AG25" s="349"/>
      <c r="AH25" s="349"/>
      <c r="AI25" s="349"/>
      <c r="AJ25" s="349"/>
      <c r="AK25" s="349"/>
      <c r="AL25" s="349"/>
      <c r="AM25" s="349"/>
      <c r="AN25" s="349"/>
      <c r="AO25" s="349"/>
      <c r="AP25" s="349"/>
      <c r="AQ25" s="349"/>
      <c r="AR25" s="349"/>
      <c r="AS25" s="349">
        <f>AB25</f>
        <v>1573505.8034405159</v>
      </c>
      <c r="AT25" s="349"/>
      <c r="AU25" s="349"/>
      <c r="AV25" s="349"/>
      <c r="AW25" s="349"/>
      <c r="AX25" s="349"/>
      <c r="AY25" s="349"/>
      <c r="AZ25" s="350"/>
      <c r="BA25" s="329"/>
      <c r="BB25" s="351">
        <f t="shared" si="13"/>
        <v>1573505.8034405159</v>
      </c>
      <c r="BC25" s="352">
        <f t="shared" si="14"/>
        <v>0</v>
      </c>
    </row>
    <row r="26" ht="15.75" customHeight="1" spans="1:55" x14ac:dyDescent="0.25">
      <c r="A26" s="383" t="s">
        <v>30</v>
      </c>
      <c r="B26" s="386" t="s">
        <v>596</v>
      </c>
      <c r="C26" s="334" t="s">
        <v>600</v>
      </c>
      <c r="D26" s="335">
        <f>+IF('Informacion de Cotización'!B11&gt;0,9,0)+IF('Informacion de Cotización'!B13&gt;0,9,0)</f>
        <v>9</v>
      </c>
      <c r="E26" s="336" t="s">
        <v>32</v>
      </c>
      <c r="F26" s="337">
        <f>(1+$F$7)*'Base M.O'!D45</f>
        <v>3388.0000000000005</v>
      </c>
      <c r="G26" s="337">
        <f t="shared" si="24"/>
        <v>30492.000000000004</v>
      </c>
      <c r="H26" s="338">
        <f t="shared" si="5"/>
        <v>0.0014067731152056849</v>
      </c>
      <c r="I26" s="339">
        <f t="shared" si="10"/>
        <v>30492.000000000004</v>
      </c>
      <c r="J26" s="340">
        <f t="shared" si="25"/>
        <v>60984.00000000001</v>
      </c>
      <c r="K26" s="340">
        <f>+I26+G26</f>
        <v>60984.00000000001</v>
      </c>
      <c r="L26" s="340">
        <f>+I26+G26</f>
        <v>60984.00000000001</v>
      </c>
      <c r="M26" s="340">
        <f>I26+G26</f>
        <v>60984.00000000001</v>
      </c>
      <c r="N26" s="340">
        <f t="shared" si="11"/>
        <v>60984.00000000001</v>
      </c>
      <c r="O26" s="340">
        <f>I26+G26</f>
        <v>60984.00000000001</v>
      </c>
      <c r="P26" s="271"/>
      <c r="Q26" s="319">
        <v>5</v>
      </c>
      <c r="R26" s="320" t="s">
        <v>601</v>
      </c>
      <c r="S26" s="320"/>
      <c r="T26" s="320"/>
      <c r="U26" s="321"/>
      <c r="V26" s="322"/>
      <c r="W26" s="322"/>
      <c r="X26" s="323"/>
      <c r="Y26" s="323"/>
      <c r="Z26" s="323"/>
      <c r="AA26" s="324"/>
      <c r="AB26" s="325"/>
      <c r="AC26" s="326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  <c r="AR26" s="327"/>
      <c r="AS26" s="327"/>
      <c r="AT26" s="327"/>
      <c r="AU26" s="327"/>
      <c r="AV26" s="327"/>
      <c r="AW26" s="327"/>
      <c r="AX26" s="327"/>
      <c r="AY26" s="327"/>
      <c r="AZ26" s="328"/>
      <c r="BA26" s="329"/>
      <c r="BB26" s="351">
        <f t="shared" si="13"/>
        <v>0</v>
      </c>
      <c r="BC26" s="352">
        <f t="shared" si="14"/>
        <v>0</v>
      </c>
    </row>
    <row r="27" ht="15.75" customHeight="1" spans="1:55" x14ac:dyDescent="0.25">
      <c r="A27" s="383" t="s">
        <v>30</v>
      </c>
      <c r="B27" s="386" t="s">
        <v>596</v>
      </c>
      <c r="C27" s="334" t="s">
        <v>602</v>
      </c>
      <c r="D27" s="335">
        <f>+('Informacion de Cotización'!B9+'Informacion de Cotización'!B10)</f>
        <v>250</v>
      </c>
      <c r="E27" s="336" t="s">
        <v>32</v>
      </c>
      <c r="F27" s="337">
        <f>(1+$F$7)*'Base M.O'!D48</f>
        <v>4004.0000000000005</v>
      </c>
      <c r="G27" s="337">
        <f t="shared" si="24"/>
        <v>1001000.0000000001</v>
      </c>
      <c r="H27" s="338">
        <f t="shared" si="5"/>
        <v>0.04618194570119673</v>
      </c>
      <c r="I27" s="339">
        <f t="shared" si="10"/>
        <v>1001000.0000000001</v>
      </c>
      <c r="J27" s="340">
        <f t="shared" si="25"/>
        <v>2002000.0000000002</v>
      </c>
      <c r="K27" s="382"/>
      <c r="L27" s="382"/>
      <c r="M27" s="382"/>
      <c r="N27" s="382"/>
      <c r="O27" s="382"/>
      <c r="P27" s="271"/>
      <c r="Q27" s="341" t="s">
        <v>603</v>
      </c>
      <c r="R27" s="387" t="s">
        <v>604</v>
      </c>
      <c r="S27" s="343" t="s">
        <v>551</v>
      </c>
      <c r="T27" s="343">
        <v>1</v>
      </c>
      <c r="U27" s="344">
        <f t="shared" ref="U27:Z30" si="26">+J40</f>
        <v>0</v>
      </c>
      <c r="V27" s="344">
        <f t="shared" si="26"/>
        <v>0</v>
      </c>
      <c r="W27" s="344">
        <f t="shared" si="26"/>
        <v>0</v>
      </c>
      <c r="X27" s="345">
        <f t="shared" si="26"/>
        <v>0</v>
      </c>
      <c r="Y27" s="345">
        <f t="shared" si="26"/>
        <v>0</v>
      </c>
      <c r="Z27" s="345">
        <f t="shared" si="26"/>
        <v>0</v>
      </c>
      <c r="AA27" s="356">
        <f t="shared" ref="AA27:AA33" si="27">+U27/$U$3</f>
        <v>0</v>
      </c>
      <c r="AB27" s="347">
        <f t="shared" ref="AB27:AB34" si="28">+AA27*$AB$8</f>
        <v>0</v>
      </c>
      <c r="AC27" s="348"/>
      <c r="AD27" s="349"/>
      <c r="AE27" s="349"/>
      <c r="AF27" s="349"/>
      <c r="AG27" s="349"/>
      <c r="AH27" s="349">
        <f>AB27/5</f>
        <v>0</v>
      </c>
      <c r="AI27" s="349">
        <f>AH27</f>
        <v>0</v>
      </c>
      <c r="AJ27" s="349">
        <f>AI27</f>
        <v>0</v>
      </c>
      <c r="AK27" s="349">
        <f>AJ27</f>
        <v>0</v>
      </c>
      <c r="AL27" s="349">
        <f>AK27</f>
        <v>0</v>
      </c>
      <c r="AM27" s="349"/>
      <c r="AN27" s="349"/>
      <c r="AO27" s="349"/>
      <c r="AP27" s="349"/>
      <c r="AQ27" s="349"/>
      <c r="AR27" s="349"/>
      <c r="AS27" s="349"/>
      <c r="AT27" s="349"/>
      <c r="AU27" s="349"/>
      <c r="AV27" s="349"/>
      <c r="AW27" s="349"/>
      <c r="AX27" s="349"/>
      <c r="AY27" s="349"/>
      <c r="AZ27" s="350"/>
      <c r="BA27" s="329"/>
      <c r="BB27" s="351">
        <f t="shared" si="13"/>
        <v>0</v>
      </c>
      <c r="BC27" s="352">
        <f t="shared" si="14"/>
        <v>0</v>
      </c>
    </row>
    <row r="28" ht="15.75" customHeight="1" spans="1:55" x14ac:dyDescent="0.25">
      <c r="A28" s="383" t="s">
        <v>30</v>
      </c>
      <c r="B28" s="388" t="s">
        <v>8</v>
      </c>
      <c r="C28" s="334" t="s">
        <v>605</v>
      </c>
      <c r="D28" s="335">
        <f>+'Informacion de Cotización'!B19+'Informacion de Cotización'!B20</f>
        <v>0</v>
      </c>
      <c r="E28" s="336" t="s">
        <v>32</v>
      </c>
      <c r="F28" s="337">
        <f>(1+$F$7)*'Base M.O'!D50</f>
        <v>10010</v>
      </c>
      <c r="G28" s="337">
        <f t="shared" ref="G28:G29" si="29">F28*D28</f>
        <v>0</v>
      </c>
      <c r="H28" s="338">
        <f t="shared" si="5"/>
        <v>0</v>
      </c>
      <c r="I28" s="339">
        <f t="shared" si="10"/>
        <v>0</v>
      </c>
      <c r="J28" s="340"/>
      <c r="K28" s="382"/>
      <c r="L28" s="382"/>
      <c r="M28" s="382"/>
      <c r="N28" s="382"/>
      <c r="O28" s="340">
        <f t="shared" ref="O28:O77" si="30">I28+G28</f>
        <v>0</v>
      </c>
      <c r="P28" s="271"/>
      <c r="Q28" s="341" t="s">
        <v>606</v>
      </c>
      <c r="R28" s="387" t="s">
        <v>607</v>
      </c>
      <c r="S28" s="343" t="s">
        <v>551</v>
      </c>
      <c r="T28" s="343">
        <v>1</v>
      </c>
      <c r="U28" s="344">
        <f t="shared" si="26"/>
        <v>0</v>
      </c>
      <c r="V28" s="344">
        <f t="shared" si="26"/>
        <v>0</v>
      </c>
      <c r="W28" s="344">
        <f t="shared" si="26"/>
        <v>0</v>
      </c>
      <c r="X28" s="345">
        <f t="shared" si="26"/>
        <v>0</v>
      </c>
      <c r="Y28" s="345">
        <f t="shared" si="26"/>
        <v>0</v>
      </c>
      <c r="Z28" s="345">
        <f t="shared" si="26"/>
        <v>0</v>
      </c>
      <c r="AA28" s="356">
        <f t="shared" si="27"/>
        <v>0</v>
      </c>
      <c r="AB28" s="347">
        <f t="shared" si="28"/>
        <v>0</v>
      </c>
      <c r="AC28" s="348"/>
      <c r="AD28" s="349"/>
      <c r="AE28" s="349"/>
      <c r="AF28" s="349"/>
      <c r="AG28" s="349"/>
      <c r="AH28" s="349"/>
      <c r="AI28" s="349"/>
      <c r="AJ28" s="349">
        <f>AB28/5</f>
        <v>0</v>
      </c>
      <c r="AK28" s="349">
        <f>AJ28</f>
        <v>0</v>
      </c>
      <c r="AL28" s="349">
        <f>AK28</f>
        <v>0</v>
      </c>
      <c r="AM28" s="349">
        <f>AL28</f>
        <v>0</v>
      </c>
      <c r="AN28" s="349">
        <f>AM28</f>
        <v>0</v>
      </c>
      <c r="AO28" s="349"/>
      <c r="AP28" s="349"/>
      <c r="AQ28" s="349"/>
      <c r="AR28" s="349"/>
      <c r="AS28" s="349"/>
      <c r="AT28" s="349"/>
      <c r="AU28" s="349"/>
      <c r="AV28" s="349"/>
      <c r="AW28" s="349"/>
      <c r="AX28" s="349"/>
      <c r="AY28" s="349"/>
      <c r="AZ28" s="350"/>
      <c r="BA28" s="329"/>
      <c r="BB28" s="351">
        <f t="shared" si="13"/>
        <v>0</v>
      </c>
      <c r="BC28" s="352">
        <f t="shared" si="14"/>
        <v>0</v>
      </c>
    </row>
    <row r="29" ht="17.1" customHeight="1" spans="1:55" x14ac:dyDescent="0.25">
      <c r="A29" s="383" t="s">
        <v>30</v>
      </c>
      <c r="B29" s="388" t="s">
        <v>8</v>
      </c>
      <c r="C29" s="334" t="s">
        <v>608</v>
      </c>
      <c r="D29" s="335">
        <f>+(('Informacion de Cotización'!B19)+('Informacion de Cotización'!B20))*('Informacion de Cotización'!B23)</f>
        <v>0</v>
      </c>
      <c r="E29" s="336" t="s">
        <v>39</v>
      </c>
      <c r="F29" s="337">
        <f>(1+$F$7)*'Base M.O'!D51</f>
        <v>6600.000000000001</v>
      </c>
      <c r="G29" s="337">
        <f t="shared" si="29"/>
        <v>0</v>
      </c>
      <c r="H29" s="338">
        <f t="shared" si="5"/>
        <v>0</v>
      </c>
      <c r="I29" s="339">
        <f t="shared" si="10"/>
        <v>0</v>
      </c>
      <c r="J29" s="340"/>
      <c r="K29" s="382"/>
      <c r="L29" s="382"/>
      <c r="M29" s="382"/>
      <c r="N29" s="382"/>
      <c r="O29" s="340">
        <f t="shared" si="30"/>
        <v>0</v>
      </c>
      <c r="P29" s="271"/>
      <c r="Q29" s="341" t="s">
        <v>609</v>
      </c>
      <c r="R29" s="387" t="s">
        <v>610</v>
      </c>
      <c r="S29" s="343" t="s">
        <v>551</v>
      </c>
      <c r="T29" s="343">
        <v>1</v>
      </c>
      <c r="U29" s="344">
        <f t="shared" si="26"/>
        <v>3234000.0000000005</v>
      </c>
      <c r="V29" s="344">
        <f t="shared" si="26"/>
        <v>0</v>
      </c>
      <c r="W29" s="344">
        <f t="shared" si="26"/>
        <v>0</v>
      </c>
      <c r="X29" s="345">
        <f t="shared" si="26"/>
        <v>0</v>
      </c>
      <c r="Y29" s="345">
        <f t="shared" si="26"/>
        <v>0</v>
      </c>
      <c r="Z29" s="345">
        <f t="shared" si="26"/>
        <v>0</v>
      </c>
      <c r="AA29" s="356">
        <f t="shared" si="27"/>
        <v>0.09558072442386606</v>
      </c>
      <c r="AB29" s="347">
        <f t="shared" si="28"/>
        <v>5782633.827643896</v>
      </c>
      <c r="AC29" s="348"/>
      <c r="AD29" s="349"/>
      <c r="AE29" s="349"/>
      <c r="AF29" s="349"/>
      <c r="AG29" s="349"/>
      <c r="AH29" s="349"/>
      <c r="AI29" s="349"/>
      <c r="AJ29" s="349"/>
      <c r="AK29" s="349"/>
      <c r="AL29" s="349"/>
      <c r="AM29" s="349"/>
      <c r="AN29" s="349"/>
      <c r="AO29" s="349">
        <f>AB29</f>
        <v>5782633.827643896</v>
      </c>
      <c r="AP29" s="349"/>
      <c r="AQ29" s="349"/>
      <c r="AR29" s="349"/>
      <c r="AS29" s="349"/>
      <c r="AT29" s="349"/>
      <c r="AU29" s="349"/>
      <c r="AV29" s="349"/>
      <c r="AW29" s="349"/>
      <c r="AX29" s="349"/>
      <c r="AY29" s="349"/>
      <c r="AZ29" s="350"/>
      <c r="BA29" s="329"/>
      <c r="BB29" s="351">
        <f t="shared" si="13"/>
        <v>5782633.827643896</v>
      </c>
      <c r="BC29" s="352">
        <f t="shared" si="14"/>
        <v>0</v>
      </c>
    </row>
    <row r="30" ht="15.75" customHeight="1" spans="1:55" x14ac:dyDescent="0.25">
      <c r="A30" s="383" t="s">
        <v>30</v>
      </c>
      <c r="B30" s="388" t="s">
        <v>8</v>
      </c>
      <c r="C30" s="334" t="s">
        <v>611</v>
      </c>
      <c r="D30" s="335">
        <f>+'Informacion de Cotización'!B21+'Informacion de Cotización'!B22</f>
        <v>0</v>
      </c>
      <c r="E30" s="336" t="s">
        <v>32</v>
      </c>
      <c r="F30" s="337">
        <f>(1+$F$7)*'Base M.O'!D53</f>
        <v>7700.000000000001</v>
      </c>
      <c r="G30" s="337">
        <f t="shared" ref="G30:G31" si="31">F30*D30</f>
        <v>0</v>
      </c>
      <c r="H30" s="338">
        <f t="shared" si="5"/>
        <v>0</v>
      </c>
      <c r="I30" s="339">
        <f t="shared" si="10"/>
        <v>0</v>
      </c>
      <c r="J30" s="340"/>
      <c r="K30" s="382"/>
      <c r="L30" s="382"/>
      <c r="M30" s="382"/>
      <c r="N30" s="382"/>
      <c r="O30" s="340">
        <f t="shared" si="30"/>
        <v>0</v>
      </c>
      <c r="P30" s="271"/>
      <c r="Q30" s="341" t="s">
        <v>612</v>
      </c>
      <c r="R30" s="387" t="s">
        <v>613</v>
      </c>
      <c r="S30" s="343" t="s">
        <v>551</v>
      </c>
      <c r="T30" s="343">
        <v>1</v>
      </c>
      <c r="U30" s="344">
        <f t="shared" si="26"/>
        <v>1232000.0000000002</v>
      </c>
      <c r="V30" s="344">
        <f t="shared" si="26"/>
        <v>0</v>
      </c>
      <c r="W30" s="344">
        <f t="shared" si="26"/>
        <v>0</v>
      </c>
      <c r="X30" s="345">
        <f t="shared" si="26"/>
        <v>0</v>
      </c>
      <c r="Y30" s="345">
        <f t="shared" si="26"/>
        <v>0</v>
      </c>
      <c r="Z30" s="345">
        <f t="shared" si="26"/>
        <v>0</v>
      </c>
      <c r="AA30" s="356">
        <f t="shared" si="27"/>
        <v>0.03641170454242517</v>
      </c>
      <c r="AB30" s="347">
        <f t="shared" si="28"/>
        <v>2202908.1248167227</v>
      </c>
      <c r="AC30" s="348"/>
      <c r="AD30" s="349"/>
      <c r="AE30" s="349"/>
      <c r="AF30" s="349"/>
      <c r="AG30" s="349"/>
      <c r="AH30" s="349"/>
      <c r="AI30" s="349"/>
      <c r="AJ30" s="349"/>
      <c r="AK30" s="349">
        <f>AB30</f>
        <v>2202908.1248167227</v>
      </c>
      <c r="AL30" s="349"/>
      <c r="AM30" s="349"/>
      <c r="AN30" s="349"/>
      <c r="AO30" s="349"/>
      <c r="AP30" s="349"/>
      <c r="AQ30" s="349"/>
      <c r="AR30" s="349"/>
      <c r="AS30" s="349"/>
      <c r="AT30" s="349"/>
      <c r="AU30" s="349"/>
      <c r="AV30" s="349"/>
      <c r="AW30" s="349"/>
      <c r="AX30" s="349"/>
      <c r="AY30" s="349"/>
      <c r="AZ30" s="350"/>
      <c r="BA30" s="329"/>
      <c r="BB30" s="351">
        <f t="shared" si="13"/>
        <v>2202908.1248167227</v>
      </c>
      <c r="BC30" s="352">
        <f t="shared" si="14"/>
        <v>0</v>
      </c>
    </row>
    <row r="31" ht="15.75" customHeight="1" spans="1:55" x14ac:dyDescent="0.25">
      <c r="A31" s="383" t="s">
        <v>30</v>
      </c>
      <c r="B31" s="388" t="s">
        <v>8</v>
      </c>
      <c r="C31" s="334" t="s">
        <v>614</v>
      </c>
      <c r="D31" s="335">
        <f>+(('Informacion de Cotización'!B21)+('Informacion de Cotización'!B22))*('Informacion de Cotización'!B24)</f>
        <v>0</v>
      </c>
      <c r="E31" s="336" t="s">
        <v>39</v>
      </c>
      <c r="F31" s="337">
        <f>(1+$F$7)*'Base M.O'!D54</f>
        <v>6930.000000000001</v>
      </c>
      <c r="G31" s="337">
        <f t="shared" si="31"/>
        <v>0</v>
      </c>
      <c r="H31" s="338">
        <f t="shared" si="5"/>
        <v>0</v>
      </c>
      <c r="I31" s="339">
        <f t="shared" si="10"/>
        <v>0</v>
      </c>
      <c r="J31" s="340"/>
      <c r="K31" s="382"/>
      <c r="L31" s="382"/>
      <c r="M31" s="382"/>
      <c r="N31" s="382"/>
      <c r="O31" s="382">
        <f t="shared" si="30"/>
        <v>0</v>
      </c>
      <c r="P31" s="271"/>
      <c r="Q31" s="341" t="s">
        <v>615</v>
      </c>
      <c r="R31" s="387" t="s">
        <v>616</v>
      </c>
      <c r="S31" s="343" t="s">
        <v>551</v>
      </c>
      <c r="T31" s="343">
        <v>1</v>
      </c>
      <c r="U31" s="344">
        <f t="shared" ref="U31:Z31" si="32">+J44+J45</f>
        <v>0</v>
      </c>
      <c r="V31" s="344">
        <f t="shared" si="32"/>
        <v>0</v>
      </c>
      <c r="W31" s="344">
        <f t="shared" si="32"/>
        <v>0</v>
      </c>
      <c r="X31" s="344">
        <f t="shared" si="32"/>
        <v>0</v>
      </c>
      <c r="Y31" s="344">
        <f t="shared" si="32"/>
        <v>0</v>
      </c>
      <c r="Z31" s="344">
        <f t="shared" si="32"/>
        <v>0</v>
      </c>
      <c r="AA31" s="356">
        <f t="shared" si="27"/>
        <v>0</v>
      </c>
      <c r="AB31" s="347">
        <f t="shared" si="28"/>
        <v>0</v>
      </c>
      <c r="AC31" s="348"/>
      <c r="AD31" s="349"/>
      <c r="AE31" s="349"/>
      <c r="AF31" s="349"/>
      <c r="AG31" s="349"/>
      <c r="AH31" s="349"/>
      <c r="AI31" s="349"/>
      <c r="AJ31" s="349"/>
      <c r="AK31" s="349"/>
      <c r="AL31" s="349"/>
      <c r="AM31" s="349">
        <f>AB31/3</f>
        <v>0</v>
      </c>
      <c r="AN31" s="349">
        <f>AM31</f>
        <v>0</v>
      </c>
      <c r="AO31" s="349">
        <f>AN31</f>
        <v>0</v>
      </c>
      <c r="AP31" s="349"/>
      <c r="AQ31" s="349"/>
      <c r="AR31" s="349"/>
      <c r="AS31" s="349"/>
      <c r="AT31" s="349"/>
      <c r="AU31" s="349"/>
      <c r="AV31" s="349"/>
      <c r="AW31" s="349"/>
      <c r="AX31" s="349"/>
      <c r="AY31" s="349"/>
      <c r="AZ31" s="350"/>
      <c r="BA31" s="329"/>
      <c r="BB31" s="351">
        <f t="shared" si="13"/>
        <v>0</v>
      </c>
      <c r="BC31" s="352">
        <f t="shared" si="14"/>
        <v>0</v>
      </c>
    </row>
    <row r="32" ht="15.75" customHeight="1" spans="1:55" x14ac:dyDescent="0.25">
      <c r="A32" s="383" t="s">
        <v>30</v>
      </c>
      <c r="B32" s="388" t="s">
        <v>617</v>
      </c>
      <c r="C32" s="334" t="s">
        <v>618</v>
      </c>
      <c r="D32" s="335">
        <f>+(('Informacion de Cotización'!B19)+('Informacion de Cotización'!B20))*('Informacion de Cotización'!B23)</f>
        <v>0</v>
      </c>
      <c r="E32" s="336" t="s">
        <v>39</v>
      </c>
      <c r="F32" s="337">
        <f>+(1+$F$7)*'Base M.O'!D52</f>
        <v>8470</v>
      </c>
      <c r="G32" s="337">
        <f t="shared" ref="G32:G33" si="33">F32*D32</f>
        <v>0</v>
      </c>
      <c r="H32" s="338">
        <f t="shared" si="5"/>
        <v>0</v>
      </c>
      <c r="I32" s="339">
        <f t="shared" si="10"/>
        <v>0</v>
      </c>
      <c r="J32" s="340"/>
      <c r="K32" s="382"/>
      <c r="L32" s="382"/>
      <c r="M32" s="340">
        <f>I32+G32</f>
        <v>0</v>
      </c>
      <c r="N32" s="340">
        <f>I32+G32</f>
        <v>0</v>
      </c>
      <c r="O32" s="382"/>
      <c r="P32" s="271"/>
      <c r="Q32" s="341" t="s">
        <v>619</v>
      </c>
      <c r="R32" s="387" t="s">
        <v>620</v>
      </c>
      <c r="S32" s="343" t="s">
        <v>551</v>
      </c>
      <c r="T32" s="343">
        <v>1</v>
      </c>
      <c r="U32" s="344">
        <f t="shared" ref="U32:Z33" si="34">+J49</f>
        <v>0</v>
      </c>
      <c r="V32" s="344">
        <f t="shared" si="34"/>
        <v>0</v>
      </c>
      <c r="W32" s="344">
        <f t="shared" si="34"/>
        <v>0</v>
      </c>
      <c r="X32" s="345">
        <f t="shared" si="34"/>
        <v>0</v>
      </c>
      <c r="Y32" s="345">
        <f t="shared" si="34"/>
        <v>0</v>
      </c>
      <c r="Z32" s="345">
        <f t="shared" si="34"/>
        <v>0</v>
      </c>
      <c r="AA32" s="356">
        <f t="shared" si="27"/>
        <v>0</v>
      </c>
      <c r="AB32" s="347">
        <f t="shared" si="28"/>
        <v>0</v>
      </c>
      <c r="AC32" s="348"/>
      <c r="AD32" s="349"/>
      <c r="AE32" s="349"/>
      <c r="AF32" s="349"/>
      <c r="AG32" s="349"/>
      <c r="AH32" s="349"/>
      <c r="AI32" s="349"/>
      <c r="AJ32" s="349"/>
      <c r="AK32" s="349"/>
      <c r="AL32" s="349"/>
      <c r="AM32" s="349">
        <f>AB32/2</f>
        <v>0</v>
      </c>
      <c r="AN32" s="349">
        <f>AM32</f>
        <v>0</v>
      </c>
      <c r="AO32" s="349"/>
      <c r="AP32" s="349"/>
      <c r="AQ32" s="349"/>
      <c r="AR32" s="349"/>
      <c r="AS32" s="349"/>
      <c r="AT32" s="349"/>
      <c r="AU32" s="349"/>
      <c r="AV32" s="349"/>
      <c r="AW32" s="349"/>
      <c r="AX32" s="349"/>
      <c r="AY32" s="349"/>
      <c r="AZ32" s="350"/>
      <c r="BA32" s="329"/>
      <c r="BB32" s="351">
        <f t="shared" si="13"/>
        <v>0</v>
      </c>
      <c r="BC32" s="352">
        <f t="shared" si="14"/>
        <v>0</v>
      </c>
    </row>
    <row r="33" ht="15.75" customHeight="1" spans="1:55" x14ac:dyDescent="0.25">
      <c r="A33" s="383" t="s">
        <v>30</v>
      </c>
      <c r="B33" s="388" t="s">
        <v>617</v>
      </c>
      <c r="C33" s="334" t="s">
        <v>621</v>
      </c>
      <c r="D33" s="335">
        <f>+(('Informacion de Cotización'!B21)+('Informacion de Cotización'!B22))*('Informacion de Cotización'!B24)</f>
        <v>0</v>
      </c>
      <c r="E33" s="336" t="s">
        <v>39</v>
      </c>
      <c r="F33" s="337">
        <f>+(1+$F$7)*'Base M.O'!D52</f>
        <v>8470</v>
      </c>
      <c r="G33" s="337">
        <f t="shared" si="33"/>
        <v>0</v>
      </c>
      <c r="H33" s="338">
        <f t="shared" si="5"/>
        <v>0</v>
      </c>
      <c r="I33" s="339">
        <f t="shared" si="10"/>
        <v>0</v>
      </c>
      <c r="J33" s="340"/>
      <c r="K33" s="382"/>
      <c r="L33" s="382"/>
      <c r="M33" s="340">
        <f>I33+G33</f>
        <v>0</v>
      </c>
      <c r="N33" s="340">
        <f>I33+G33</f>
        <v>0</v>
      </c>
      <c r="O33" s="382"/>
      <c r="P33" s="271"/>
      <c r="Q33" s="341" t="s">
        <v>622</v>
      </c>
      <c r="R33" s="389" t="s">
        <v>623</v>
      </c>
      <c r="S33" s="343" t="s">
        <v>551</v>
      </c>
      <c r="T33" s="343">
        <v>1</v>
      </c>
      <c r="U33" s="344">
        <f t="shared" si="34"/>
        <v>110880.00000000001</v>
      </c>
      <c r="V33" s="344">
        <f t="shared" si="34"/>
        <v>110880.00000000001</v>
      </c>
      <c r="W33" s="344">
        <f t="shared" si="34"/>
        <v>110880.00000000001</v>
      </c>
      <c r="X33" s="345">
        <f t="shared" si="34"/>
        <v>0</v>
      </c>
      <c r="Y33" s="345">
        <f t="shared" si="34"/>
        <v>0</v>
      </c>
      <c r="Z33" s="345">
        <f t="shared" si="34"/>
        <v>110880.00000000001</v>
      </c>
      <c r="AA33" s="356">
        <f t="shared" si="27"/>
        <v>0.003277053408818265</v>
      </c>
      <c r="AB33" s="347">
        <f t="shared" si="28"/>
        <v>198261.73123350504</v>
      </c>
      <c r="AC33" s="348"/>
      <c r="AD33" s="349"/>
      <c r="AE33" s="349"/>
      <c r="AF33" s="349"/>
      <c r="AG33" s="349"/>
      <c r="AH33" s="349"/>
      <c r="AI33" s="349"/>
      <c r="AJ33" s="349"/>
      <c r="AK33" s="349"/>
      <c r="AL33" s="349"/>
      <c r="AM33" s="349"/>
      <c r="AN33" s="349"/>
      <c r="AO33" s="349">
        <f>AB33/2</f>
        <v>99130.86561675252</v>
      </c>
      <c r="AP33" s="349">
        <f>AO33</f>
        <v>99130.86561675252</v>
      </c>
      <c r="AQ33" s="349"/>
      <c r="AR33" s="349"/>
      <c r="AS33" s="349"/>
      <c r="AT33" s="349"/>
      <c r="AU33" s="349"/>
      <c r="AV33" s="349"/>
      <c r="AW33" s="349"/>
      <c r="AX33" s="349"/>
      <c r="AY33" s="349"/>
      <c r="AZ33" s="350"/>
      <c r="BA33" s="329"/>
      <c r="BB33" s="351">
        <f t="shared" si="13"/>
        <v>198261.73123350504</v>
      </c>
      <c r="BC33" s="352">
        <f t="shared" si="14"/>
        <v>0</v>
      </c>
    </row>
    <row r="34" ht="15.75" customHeight="1" spans="1:55" x14ac:dyDescent="0.25">
      <c r="A34" s="383" t="s">
        <v>30</v>
      </c>
      <c r="B34" s="353" t="s">
        <v>552</v>
      </c>
      <c r="C34" s="334" t="s">
        <v>624</v>
      </c>
      <c r="D34" s="335" t="str">
        <f>+IF('Informacion de Cotización'!B45="SI","1","0")</f>
        <v>1</v>
      </c>
      <c r="E34" s="336" t="s">
        <v>545</v>
      </c>
      <c r="F34" s="337">
        <f>(1+$F$7)*'Base M.O'!D5</f>
        <v>462000.00000000006</v>
      </c>
      <c r="G34" s="337">
        <f t="shared" si="24"/>
        <v>462000.00000000006</v>
      </c>
      <c r="H34" s="338">
        <f t="shared" si="5"/>
        <v>0.021314744169783104</v>
      </c>
      <c r="I34" s="339">
        <f t="shared" si="10"/>
        <v>462000.00000000006</v>
      </c>
      <c r="J34" s="340">
        <f t="shared" si="25"/>
        <v>924000.0000000001</v>
      </c>
      <c r="K34" s="340">
        <f t="shared" ref="K34:K41" si="35">+I34+G34</f>
        <v>924000.0000000001</v>
      </c>
      <c r="L34" s="340">
        <f t="shared" ref="L34:L41" si="36">+I34+G34</f>
        <v>924000.0000000001</v>
      </c>
      <c r="M34" s="340">
        <f t="shared" ref="M34:M39" si="37">I34+G34</f>
        <v>924000.0000000001</v>
      </c>
      <c r="N34" s="340">
        <f t="shared" si="11"/>
        <v>924000.0000000001</v>
      </c>
      <c r="O34" s="340">
        <f>(I34+G34)*1.2</f>
        <v>1108800</v>
      </c>
      <c r="P34" s="271"/>
      <c r="Q34" s="390" t="s">
        <v>625</v>
      </c>
      <c r="R34" s="389" t="s">
        <v>218</v>
      </c>
      <c r="S34" s="343" t="s">
        <v>551</v>
      </c>
      <c r="T34" s="343">
        <v>1</v>
      </c>
      <c r="U34" s="344">
        <f t="shared" ref="U34:Z34" si="38">J53+J54</f>
        <v>0</v>
      </c>
      <c r="V34" s="344">
        <f t="shared" si="38"/>
        <v>0</v>
      </c>
      <c r="W34" s="344">
        <f t="shared" si="38"/>
        <v>0</v>
      </c>
      <c r="X34" s="344">
        <f t="shared" si="38"/>
        <v>0</v>
      </c>
      <c r="Y34" s="344">
        <f t="shared" si="38"/>
        <v>0</v>
      </c>
      <c r="Z34" s="344">
        <f t="shared" si="38"/>
        <v>0</v>
      </c>
      <c r="AA34" s="356">
        <f>+U34/$U$3</f>
        <v>0</v>
      </c>
      <c r="AB34" s="347">
        <f t="shared" si="28"/>
        <v>0</v>
      </c>
      <c r="AC34" s="348"/>
      <c r="AD34" s="349"/>
      <c r="AE34" s="349"/>
      <c r="AF34" s="349"/>
      <c r="AG34" s="349"/>
      <c r="AH34" s="349"/>
      <c r="AI34" s="349"/>
      <c r="AJ34" s="349"/>
      <c r="AK34" s="349"/>
      <c r="AL34" s="349"/>
      <c r="AM34" s="349"/>
      <c r="AN34" s="349"/>
      <c r="AO34" s="349"/>
      <c r="AP34" s="349"/>
      <c r="AQ34" s="349">
        <f>AB34/3</f>
        <v>0</v>
      </c>
      <c r="AR34" s="349">
        <f>AQ34</f>
        <v>0</v>
      </c>
      <c r="AS34" s="349">
        <f>AR34</f>
        <v>0</v>
      </c>
      <c r="AT34" s="349"/>
      <c r="AU34" s="349"/>
      <c r="AV34" s="349"/>
      <c r="AW34" s="349"/>
      <c r="AX34" s="349"/>
      <c r="AY34" s="349"/>
      <c r="AZ34" s="350"/>
      <c r="BA34" s="329"/>
      <c r="BB34" s="351"/>
      <c r="BC34" s="352"/>
    </row>
    <row r="35" ht="15.75" customHeight="1" spans="1:55" x14ac:dyDescent="0.25">
      <c r="A35" s="383" t="s">
        <v>30</v>
      </c>
      <c r="B35" s="353" t="s">
        <v>552</v>
      </c>
      <c r="C35" s="334" t="s">
        <v>626</v>
      </c>
      <c r="D35" s="335" t="str">
        <f>+IF('Informacion de Cotización'!B47="SI","1","0")</f>
        <v>1</v>
      </c>
      <c r="E35" s="336" t="s">
        <v>545</v>
      </c>
      <c r="F35" s="337">
        <f>(1+$F$7)*'Base M.O'!D9</f>
        <v>323400</v>
      </c>
      <c r="G35" s="337">
        <f t="shared" si="24"/>
        <v>323400</v>
      </c>
      <c r="H35" s="338">
        <f t="shared" si="5"/>
        <v>0.014920320918848172</v>
      </c>
      <c r="I35" s="339">
        <f t="shared" si="10"/>
        <v>323400</v>
      </c>
      <c r="J35" s="340">
        <f t="shared" si="25"/>
        <v>646800</v>
      </c>
      <c r="K35" s="340">
        <f t="shared" si="35"/>
        <v>646800</v>
      </c>
      <c r="L35" s="340">
        <f t="shared" si="36"/>
        <v>646800</v>
      </c>
      <c r="M35" s="340">
        <f t="shared" si="37"/>
        <v>646800</v>
      </c>
      <c r="N35" s="340">
        <f t="shared" si="11"/>
        <v>646800</v>
      </c>
      <c r="O35" s="340">
        <f>(I35+G35)*1.2</f>
        <v>776160</v>
      </c>
      <c r="P35" s="271"/>
      <c r="Q35" s="391">
        <v>6</v>
      </c>
      <c r="R35" s="320" t="s">
        <v>340</v>
      </c>
      <c r="S35" s="320"/>
      <c r="T35" s="320"/>
      <c r="U35" s="321"/>
      <c r="V35" s="322"/>
      <c r="W35" s="322"/>
      <c r="X35" s="323"/>
      <c r="Y35" s="323"/>
      <c r="Z35" s="323"/>
      <c r="AA35" s="324"/>
      <c r="AB35" s="325"/>
      <c r="AC35" s="326"/>
      <c r="AD35" s="327"/>
      <c r="AE35" s="327"/>
      <c r="AF35" s="327"/>
      <c r="AG35" s="327"/>
      <c r="AH35" s="327"/>
      <c r="AI35" s="327"/>
      <c r="AJ35" s="327"/>
      <c r="AK35" s="327"/>
      <c r="AL35" s="327"/>
      <c r="AM35" s="327"/>
      <c r="AN35" s="327"/>
      <c r="AO35" s="327"/>
      <c r="AP35" s="327"/>
      <c r="AQ35" s="327"/>
      <c r="AR35" s="327"/>
      <c r="AS35" s="327"/>
      <c r="AT35" s="327"/>
      <c r="AU35" s="327"/>
      <c r="AV35" s="327"/>
      <c r="AW35" s="327"/>
      <c r="AX35" s="327"/>
      <c r="AY35" s="327"/>
      <c r="AZ35" s="328"/>
      <c r="BA35" s="329"/>
      <c r="BB35" s="351">
        <f t="shared" si="13"/>
        <v>0</v>
      </c>
      <c r="BC35" s="352">
        <f t="shared" si="14"/>
        <v>0</v>
      </c>
    </row>
    <row r="36" ht="15.75" customHeight="1" spans="1:55" x14ac:dyDescent="0.25">
      <c r="A36" s="383" t="s">
        <v>30</v>
      </c>
      <c r="B36" s="353" t="s">
        <v>552</v>
      </c>
      <c r="C36" s="334" t="s">
        <v>627</v>
      </c>
      <c r="D36" s="335" t="str">
        <f>D35</f>
        <v>1</v>
      </c>
      <c r="E36" s="336" t="s">
        <v>545</v>
      </c>
      <c r="F36" s="337">
        <f>(1+$F$7)*'Base M.O'!D8</f>
        <v>154000</v>
      </c>
      <c r="G36" s="337">
        <f t="shared" si="24"/>
        <v>154000</v>
      </c>
      <c r="H36" s="338">
        <f t="shared" si="5"/>
        <v>0.007104914723261034</v>
      </c>
      <c r="I36" s="339">
        <f t="shared" si="10"/>
        <v>154000</v>
      </c>
      <c r="J36" s="340">
        <f t="shared" si="25"/>
        <v>308000</v>
      </c>
      <c r="K36" s="340">
        <f t="shared" si="35"/>
        <v>308000</v>
      </c>
      <c r="L36" s="340">
        <f t="shared" si="36"/>
        <v>308000</v>
      </c>
      <c r="M36" s="340">
        <f t="shared" si="37"/>
        <v>308000</v>
      </c>
      <c r="N36" s="340">
        <f t="shared" si="11"/>
        <v>308000</v>
      </c>
      <c r="O36" s="340">
        <f>(I36+G36)*1.2</f>
        <v>369600</v>
      </c>
      <c r="P36" s="271"/>
      <c r="Q36" s="341" t="s">
        <v>628</v>
      </c>
      <c r="R36" s="387" t="s">
        <v>629</v>
      </c>
      <c r="S36" s="343" t="s">
        <v>551</v>
      </c>
      <c r="T36" s="343">
        <v>1</v>
      </c>
      <c r="U36" s="344">
        <f t="shared" ref="U36:Z36" si="39">+J48</f>
        <v>554400</v>
      </c>
      <c r="V36" s="344">
        <f t="shared" si="39"/>
        <v>554400</v>
      </c>
      <c r="W36" s="344">
        <f t="shared" si="39"/>
        <v>554400</v>
      </c>
      <c r="X36" s="345">
        <f t="shared" si="39"/>
        <v>554400</v>
      </c>
      <c r="Y36" s="345">
        <f t="shared" si="39"/>
        <v>554400</v>
      </c>
      <c r="Z36" s="345">
        <f t="shared" si="39"/>
        <v>554400</v>
      </c>
      <c r="AA36" s="356">
        <f>+U36/$U$3</f>
        <v>0.016385267044091323</v>
      </c>
      <c r="AB36" s="347">
        <f>+AA36*$AB$8</f>
        <v>991308.656167525</v>
      </c>
      <c r="AC36" s="348"/>
      <c r="AD36" s="349"/>
      <c r="AE36" s="349"/>
      <c r="AF36" s="349"/>
      <c r="AG36" s="349"/>
      <c r="AH36" s="349"/>
      <c r="AI36" s="349"/>
      <c r="AJ36" s="349"/>
      <c r="AK36" s="349"/>
      <c r="AL36" s="349"/>
      <c r="AM36" s="349"/>
      <c r="AN36" s="349"/>
      <c r="AO36" s="349"/>
      <c r="AP36" s="349"/>
      <c r="AQ36" s="349">
        <f>AB36</f>
        <v>991308.656167525</v>
      </c>
      <c r="AR36" s="349"/>
      <c r="AS36" s="349"/>
      <c r="AT36" s="349"/>
      <c r="AU36" s="349"/>
      <c r="AV36" s="349"/>
      <c r="AW36" s="349"/>
      <c r="AX36" s="349"/>
      <c r="AY36" s="349"/>
      <c r="AZ36" s="350"/>
      <c r="BA36" s="329"/>
      <c r="BB36" s="351">
        <f t="shared" si="13"/>
        <v>991308.656167525</v>
      </c>
      <c r="BC36" s="352">
        <f t="shared" si="14"/>
        <v>0</v>
      </c>
    </row>
    <row r="37" ht="15.75" customHeight="1" spans="1:55" x14ac:dyDescent="0.25">
      <c r="A37" s="383" t="s">
        <v>30</v>
      </c>
      <c r="B37" s="384" t="s">
        <v>584</v>
      </c>
      <c r="C37" s="334" t="s">
        <v>630</v>
      </c>
      <c r="D37" s="335">
        <f>'Informacion de Cotización'!B13+'Informacion de Cotización'!B14</f>
        <v>15</v>
      </c>
      <c r="E37" s="336" t="s">
        <v>39</v>
      </c>
      <c r="F37" s="337">
        <f>(1+$F$7)*'Base M.O'!D58</f>
        <v>8800</v>
      </c>
      <c r="G37" s="337">
        <f t="shared" si="24"/>
        <v>132000</v>
      </c>
      <c r="H37" s="338">
        <f t="shared" si="5"/>
        <v>0.006089926905652315</v>
      </c>
      <c r="I37" s="339">
        <f t="shared" si="10"/>
        <v>132000</v>
      </c>
      <c r="J37" s="340">
        <f t="shared" si="25"/>
        <v>264000</v>
      </c>
      <c r="K37" s="340">
        <f t="shared" si="35"/>
        <v>264000</v>
      </c>
      <c r="L37" s="340">
        <f t="shared" si="36"/>
        <v>264000</v>
      </c>
      <c r="M37" s="340">
        <f t="shared" si="37"/>
        <v>264000</v>
      </c>
      <c r="N37" s="340">
        <f t="shared" si="11"/>
        <v>264000</v>
      </c>
      <c r="O37" s="340">
        <f t="shared" si="30"/>
        <v>264000</v>
      </c>
      <c r="P37" s="271"/>
      <c r="Q37" s="319">
        <v>7</v>
      </c>
      <c r="R37" s="320" t="s">
        <v>631</v>
      </c>
      <c r="S37" s="320"/>
      <c r="T37" s="320"/>
      <c r="U37" s="321"/>
      <c r="V37" s="322"/>
      <c r="W37" s="322"/>
      <c r="X37" s="323"/>
      <c r="Y37" s="323"/>
      <c r="Z37" s="323"/>
      <c r="AA37" s="324"/>
      <c r="AB37" s="325"/>
      <c r="AC37" s="326"/>
      <c r="AD37" s="327"/>
      <c r="AE37" s="327"/>
      <c r="AF37" s="327"/>
      <c r="AG37" s="327"/>
      <c r="AH37" s="327"/>
      <c r="AI37" s="327"/>
      <c r="AJ37" s="327"/>
      <c r="AK37" s="327"/>
      <c r="AL37" s="327"/>
      <c r="AM37" s="327"/>
      <c r="AN37" s="327"/>
      <c r="AO37" s="327"/>
      <c r="AP37" s="327"/>
      <c r="AQ37" s="327"/>
      <c r="AR37" s="327"/>
      <c r="AS37" s="327"/>
      <c r="AT37" s="327"/>
      <c r="AU37" s="327"/>
      <c r="AV37" s="327"/>
      <c r="AW37" s="327"/>
      <c r="AX37" s="327"/>
      <c r="AY37" s="327"/>
      <c r="AZ37" s="328"/>
      <c r="BA37" s="329"/>
      <c r="BB37" s="351">
        <f t="shared" si="13"/>
        <v>0</v>
      </c>
      <c r="BC37" s="352">
        <f t="shared" si="14"/>
        <v>0</v>
      </c>
    </row>
    <row r="38" ht="15.75" customHeight="1" spans="1:55" x14ac:dyDescent="0.25">
      <c r="A38" s="383" t="s">
        <v>30</v>
      </c>
      <c r="B38" s="384" t="s">
        <v>584</v>
      </c>
      <c r="C38" s="334" t="s">
        <v>632</v>
      </c>
      <c r="D38" s="335">
        <f>'Informacion de Cotización'!B12+'Informacion de Cotización'!B11</f>
        <v>50</v>
      </c>
      <c r="E38" s="336" t="s">
        <v>39</v>
      </c>
      <c r="F38" s="337">
        <f>(1+$F$7)*'Base M.O'!D58</f>
        <v>8800</v>
      </c>
      <c r="G38" s="337">
        <f t="shared" si="24"/>
        <v>440000</v>
      </c>
      <c r="H38" s="338">
        <f t="shared" si="5"/>
        <v>0.020299756352174382</v>
      </c>
      <c r="I38" s="339">
        <f t="shared" si="10"/>
        <v>440000</v>
      </c>
      <c r="J38" s="340">
        <f t="shared" si="25"/>
        <v>880000</v>
      </c>
      <c r="K38" s="340">
        <f t="shared" si="35"/>
        <v>880000</v>
      </c>
      <c r="L38" s="340">
        <f t="shared" si="36"/>
        <v>880000</v>
      </c>
      <c r="M38" s="340">
        <f t="shared" si="37"/>
        <v>880000</v>
      </c>
      <c r="N38" s="340">
        <f t="shared" si="11"/>
        <v>880000</v>
      </c>
      <c r="O38" s="340">
        <f t="shared" si="30"/>
        <v>880000</v>
      </c>
      <c r="P38" s="271"/>
      <c r="Q38" s="341" t="s">
        <v>633</v>
      </c>
      <c r="R38" s="375" t="s">
        <v>634</v>
      </c>
      <c r="S38" s="343" t="s">
        <v>551</v>
      </c>
      <c r="T38" s="343">
        <v>1</v>
      </c>
      <c r="U38" s="344">
        <f t="shared" ref="U38:Z38" si="40">+J22</f>
        <v>0</v>
      </c>
      <c r="V38" s="344">
        <f t="shared" si="40"/>
        <v>862400</v>
      </c>
      <c r="W38" s="344">
        <f t="shared" si="40"/>
        <v>862400</v>
      </c>
      <c r="X38" s="345">
        <f t="shared" si="40"/>
        <v>862400</v>
      </c>
      <c r="Y38" s="345">
        <f t="shared" si="40"/>
        <v>862400</v>
      </c>
      <c r="Z38" s="345">
        <f t="shared" si="40"/>
        <v>862400</v>
      </c>
      <c r="AA38" s="356">
        <f>+U38/$U$3</f>
        <v>0</v>
      </c>
      <c r="AB38" s="347">
        <f>+AA38*$AB$8</f>
        <v>0</v>
      </c>
      <c r="AC38" s="348"/>
      <c r="AD38" s="349"/>
      <c r="AE38" s="349"/>
      <c r="AF38" s="349"/>
      <c r="AG38" s="349"/>
      <c r="AH38" s="349"/>
      <c r="AI38" s="349"/>
      <c r="AJ38" s="349"/>
      <c r="AK38" s="349">
        <f>AB38</f>
        <v>0</v>
      </c>
      <c r="AL38" s="349"/>
      <c r="AM38" s="349"/>
      <c r="AN38" s="349"/>
      <c r="AO38" s="349"/>
      <c r="AP38" s="349"/>
      <c r="AQ38" s="349"/>
      <c r="AR38" s="349"/>
      <c r="AS38" s="349"/>
      <c r="AT38" s="349"/>
      <c r="AU38" s="349"/>
      <c r="AV38" s="349"/>
      <c r="AW38" s="349"/>
      <c r="AX38" s="349"/>
      <c r="AY38" s="349"/>
      <c r="AZ38" s="350"/>
      <c r="BA38" s="329"/>
      <c r="BB38" s="351">
        <f t="shared" si="13"/>
        <v>0</v>
      </c>
      <c r="BC38" s="352">
        <f t="shared" si="14"/>
        <v>0</v>
      </c>
    </row>
    <row r="39" ht="15.75" customHeight="1" spans="1:55" x14ac:dyDescent="0.25">
      <c r="A39" s="392" t="s">
        <v>30</v>
      </c>
      <c r="B39" s="393" t="s">
        <v>547</v>
      </c>
      <c r="C39" s="359" t="s">
        <v>635</v>
      </c>
      <c r="D39" s="378">
        <f>'Informacion de Cotización'!B33</f>
        <v>0</v>
      </c>
      <c r="E39" s="361" t="s">
        <v>545</v>
      </c>
      <c r="F39" s="362">
        <f>(1+$F$7)*'Base M.O'!D13</f>
        <v>13200.000000000002</v>
      </c>
      <c r="G39" s="362">
        <f t="shared" si="24"/>
        <v>0</v>
      </c>
      <c r="H39" s="363">
        <f t="shared" si="5"/>
        <v>0</v>
      </c>
      <c r="I39" s="364">
        <f t="shared" si="10"/>
        <v>0</v>
      </c>
      <c r="J39" s="365">
        <f t="shared" si="25"/>
        <v>0</v>
      </c>
      <c r="K39" s="365">
        <f t="shared" si="35"/>
        <v>0</v>
      </c>
      <c r="L39" s="365">
        <f t="shared" si="36"/>
        <v>0</v>
      </c>
      <c r="M39" s="365">
        <f t="shared" si="37"/>
        <v>0</v>
      </c>
      <c r="N39" s="365">
        <f t="shared" si="11"/>
        <v>0</v>
      </c>
      <c r="O39" s="365">
        <f>(I39+G39)*1.2</f>
        <v>0</v>
      </c>
      <c r="P39" s="271"/>
      <c r="Q39" s="341" t="s">
        <v>636</v>
      </c>
      <c r="R39" s="375" t="s">
        <v>593</v>
      </c>
      <c r="S39" s="343" t="s">
        <v>551</v>
      </c>
      <c r="T39" s="343">
        <v>1</v>
      </c>
      <c r="U39" s="344">
        <f t="shared" ref="U39:Z39" si="41">+J24</f>
        <v>0</v>
      </c>
      <c r="V39" s="344">
        <f t="shared" si="41"/>
        <v>292600.00000000006</v>
      </c>
      <c r="W39" s="344">
        <f t="shared" si="41"/>
        <v>292600.00000000006</v>
      </c>
      <c r="X39" s="345">
        <f t="shared" si="41"/>
        <v>292600.00000000006</v>
      </c>
      <c r="Y39" s="345">
        <f t="shared" si="41"/>
        <v>292600.00000000006</v>
      </c>
      <c r="Z39" s="345">
        <f t="shared" si="41"/>
        <v>292600.00000000006</v>
      </c>
      <c r="AA39" s="356">
        <f>+U39/$U$3</f>
        <v>0</v>
      </c>
      <c r="AB39" s="347">
        <f>+AA39*$AB$8</f>
        <v>0</v>
      </c>
      <c r="AC39" s="348"/>
      <c r="AD39" s="349"/>
      <c r="AE39" s="349"/>
      <c r="AF39" s="349"/>
      <c r="AG39" s="349"/>
      <c r="AH39" s="349"/>
      <c r="AI39" s="349"/>
      <c r="AJ39" s="349"/>
      <c r="AK39" s="349"/>
      <c r="AL39" s="349"/>
      <c r="AM39" s="349"/>
      <c r="AN39" s="349"/>
      <c r="AO39" s="349"/>
      <c r="AP39" s="349"/>
      <c r="AQ39" s="349">
        <f>AB39</f>
        <v>0</v>
      </c>
      <c r="AR39" s="349"/>
      <c r="AS39" s="349"/>
      <c r="AT39" s="349"/>
      <c r="AU39" s="349"/>
      <c r="AV39" s="349"/>
      <c r="AW39" s="349"/>
      <c r="AX39" s="349"/>
      <c r="AY39" s="349"/>
      <c r="AZ39" s="350"/>
      <c r="BA39" s="329"/>
      <c r="BB39" s="351">
        <f t="shared" si="13"/>
        <v>0</v>
      </c>
      <c r="BC39" s="352">
        <f t="shared" si="14"/>
        <v>0</v>
      </c>
    </row>
    <row r="40" ht="15.75" customHeight="1" spans="1:55" x14ac:dyDescent="0.25">
      <c r="A40" s="394" t="s">
        <v>34</v>
      </c>
      <c r="B40" s="367" t="s">
        <v>637</v>
      </c>
      <c r="C40" s="312" t="s">
        <v>638</v>
      </c>
      <c r="D40" s="313">
        <f>+(('Informacion de Cotización'!B19)+('Informacion de Cotización'!B20))*('Informacion de Cotización'!B23)*2-D49</f>
        <v>0</v>
      </c>
      <c r="E40" s="314" t="s">
        <v>39</v>
      </c>
      <c r="F40" s="315">
        <f>(1+$F$7)*'Base M.O'!D25</f>
        <v>5852.000000000001</v>
      </c>
      <c r="G40" s="315">
        <f t="shared" si="24"/>
        <v>0</v>
      </c>
      <c r="H40" s="316">
        <f t="shared" si="5"/>
        <v>0</v>
      </c>
      <c r="I40" s="317">
        <f t="shared" si="10"/>
        <v>0</v>
      </c>
      <c r="J40" s="318">
        <f t="shared" si="25"/>
        <v>0</v>
      </c>
      <c r="K40" s="318">
        <f t="shared" si="35"/>
        <v>0</v>
      </c>
      <c r="L40" s="318">
        <f t="shared" si="36"/>
        <v>0</v>
      </c>
      <c r="M40" s="318"/>
      <c r="N40" s="318"/>
      <c r="O40" s="318">
        <f t="shared" si="30"/>
        <v>0</v>
      </c>
      <c r="P40" s="271"/>
      <c r="Q40" s="341" t="s">
        <v>639</v>
      </c>
      <c r="R40" s="375" t="s">
        <v>640</v>
      </c>
      <c r="S40" s="343" t="s">
        <v>551</v>
      </c>
      <c r="T40" s="343">
        <v>1</v>
      </c>
      <c r="U40" s="344">
        <f>+J60</f>
        <v>519750.00000000006</v>
      </c>
      <c r="V40" s="344">
        <f>+K61</f>
        <v>0</v>
      </c>
      <c r="W40" s="344">
        <f>+L61</f>
        <v>0</v>
      </c>
      <c r="X40" s="345">
        <f>+M61+M60</f>
        <v>519750.00000000006</v>
      </c>
      <c r="Y40" s="345">
        <f>+N61+N60</f>
        <v>519750.00000000006</v>
      </c>
      <c r="Z40" s="345">
        <f>+O61+O60</f>
        <v>519750.00000000006</v>
      </c>
      <c r="AA40" s="356">
        <f>+U40/$U$3</f>
        <v>0.015361187853835617</v>
      </c>
      <c r="AB40" s="347">
        <f>+AA40*$AB$8</f>
        <v>929351.8651570549</v>
      </c>
      <c r="AC40" s="348"/>
      <c r="AD40" s="349"/>
      <c r="AE40" s="349"/>
      <c r="AF40" s="349"/>
      <c r="AG40" s="349"/>
      <c r="AH40" s="349"/>
      <c r="AI40" s="349"/>
      <c r="AJ40" s="349"/>
      <c r="AK40" s="349"/>
      <c r="AL40" s="349"/>
      <c r="AM40" s="349"/>
      <c r="AN40" s="349"/>
      <c r="AO40" s="349"/>
      <c r="AP40" s="349">
        <f>AB40</f>
        <v>929351.8651570549</v>
      </c>
      <c r="AQ40" s="349"/>
      <c r="AR40" s="349"/>
      <c r="AS40" s="349"/>
      <c r="AT40" s="349"/>
      <c r="AU40" s="349"/>
      <c r="AV40" s="349"/>
      <c r="AW40" s="349"/>
      <c r="AX40" s="349"/>
      <c r="AY40" s="349"/>
      <c r="AZ40" s="350"/>
      <c r="BA40" s="329"/>
      <c r="BB40" s="351">
        <f t="shared" si="13"/>
        <v>929351.8651570549</v>
      </c>
      <c r="BC40" s="352">
        <f t="shared" si="14"/>
        <v>0</v>
      </c>
    </row>
    <row r="41" ht="15.75" customHeight="1" spans="1:55" x14ac:dyDescent="0.25">
      <c r="A41" s="395" t="s">
        <v>34</v>
      </c>
      <c r="B41" s="369" t="s">
        <v>637</v>
      </c>
      <c r="C41" s="334" t="s">
        <v>641</v>
      </c>
      <c r="D41" s="335">
        <f>+('Informacion de Cotización'!B21+'Informacion de Cotización'!B22)*'Informacion de Cotización'!B24*2</f>
        <v>0</v>
      </c>
      <c r="E41" s="336" t="s">
        <v>39</v>
      </c>
      <c r="F41" s="337">
        <f>(1+$F$7)*'Base M.O'!D26</f>
        <v>6468.000000000001</v>
      </c>
      <c r="G41" s="337">
        <f t="shared" si="24"/>
        <v>0</v>
      </c>
      <c r="H41" s="338">
        <f t="shared" ref="H41:H72" si="42">+G41/($G$78)</f>
        <v>0</v>
      </c>
      <c r="I41" s="339">
        <f t="shared" ref="I41:I72" si="43">+H41*($G$79)</f>
        <v>0</v>
      </c>
      <c r="J41" s="340">
        <f t="shared" si="25"/>
        <v>0</v>
      </c>
      <c r="K41" s="340">
        <f t="shared" si="35"/>
        <v>0</v>
      </c>
      <c r="L41" s="340">
        <f t="shared" si="36"/>
        <v>0</v>
      </c>
      <c r="M41" s="340"/>
      <c r="N41" s="340"/>
      <c r="O41" s="340">
        <f t="shared" si="30"/>
        <v>0</v>
      </c>
      <c r="P41" s="271"/>
      <c r="Q41" s="341" t="s">
        <v>642</v>
      </c>
      <c r="R41" s="396" t="s">
        <v>643</v>
      </c>
      <c r="S41" s="343" t="s">
        <v>551</v>
      </c>
      <c r="T41" s="343">
        <v>1</v>
      </c>
      <c r="U41" s="344">
        <f>+J62</f>
        <v>0</v>
      </c>
      <c r="V41" s="344">
        <f>+K62</f>
        <v>0</v>
      </c>
      <c r="W41" s="344">
        <f>+L62</f>
        <v>0</v>
      </c>
      <c r="X41" s="345">
        <f>+M62</f>
        <v>0</v>
      </c>
      <c r="Y41" s="345">
        <f>+N62</f>
        <v>0</v>
      </c>
      <c r="Z41" s="345">
        <f>+O62</f>
        <v>0</v>
      </c>
      <c r="AA41" s="356">
        <f>+U41/$U$3</f>
        <v>0</v>
      </c>
      <c r="AB41" s="347">
        <f>+AA41*$AB$8</f>
        <v>0</v>
      </c>
      <c r="AC41" s="348"/>
      <c r="AD41" s="349"/>
      <c r="AE41" s="349"/>
      <c r="AF41" s="349"/>
      <c r="AG41" s="349"/>
      <c r="AH41" s="349"/>
      <c r="AI41" s="349"/>
      <c r="AJ41" s="349"/>
      <c r="AK41" s="349"/>
      <c r="AL41" s="349"/>
      <c r="AM41" s="349"/>
      <c r="AN41" s="349"/>
      <c r="AO41" s="349"/>
      <c r="AP41" s="349">
        <f>AB41</f>
        <v>0</v>
      </c>
      <c r="AQ41" s="349"/>
      <c r="AR41" s="349"/>
      <c r="AS41" s="349"/>
      <c r="AT41" s="349"/>
      <c r="AU41" s="349"/>
      <c r="AV41" s="349"/>
      <c r="AW41" s="349"/>
      <c r="AX41" s="349"/>
      <c r="AY41" s="349"/>
      <c r="AZ41" s="350"/>
      <c r="BA41" s="329"/>
      <c r="BB41" s="351">
        <f t="shared" si="13"/>
        <v>0</v>
      </c>
      <c r="BC41" s="352">
        <f t="shared" si="14"/>
        <v>0</v>
      </c>
    </row>
    <row r="42" ht="15.75" customHeight="1" spans="1:55" x14ac:dyDescent="0.25">
      <c r="A42" s="395" t="s">
        <v>34</v>
      </c>
      <c r="B42" s="369" t="s">
        <v>637</v>
      </c>
      <c r="C42" s="334" t="s">
        <v>644</v>
      </c>
      <c r="D42" s="335">
        <f>+('Informacion de Cotización'!B9+'Informacion de Cotización'!B10)</f>
        <v>250</v>
      </c>
      <c r="E42" s="336" t="s">
        <v>39</v>
      </c>
      <c r="F42" s="337">
        <f>(1+$F$7)*'Base M.O'!D26</f>
        <v>6468.000000000001</v>
      </c>
      <c r="G42" s="337">
        <f t="shared" si="24"/>
        <v>1617000.0000000002</v>
      </c>
      <c r="H42" s="338">
        <f t="shared" si="42"/>
        <v>0.07460160459424087</v>
      </c>
      <c r="I42" s="339">
        <f t="shared" si="43"/>
        <v>1617000.0000000002</v>
      </c>
      <c r="J42" s="340">
        <f t="shared" si="25"/>
        <v>3234000.0000000005</v>
      </c>
      <c r="K42" s="382"/>
      <c r="L42" s="382"/>
      <c r="M42" s="382"/>
      <c r="N42" s="382"/>
      <c r="O42" s="382"/>
      <c r="P42" s="271"/>
      <c r="Q42" s="319">
        <v>8</v>
      </c>
      <c r="R42" s="320" t="s">
        <v>645</v>
      </c>
      <c r="S42" s="320"/>
      <c r="T42" s="320"/>
      <c r="U42" s="321"/>
      <c r="V42" s="322"/>
      <c r="W42" s="322"/>
      <c r="X42" s="323"/>
      <c r="Y42" s="323"/>
      <c r="Z42" s="323"/>
      <c r="AA42" s="324"/>
      <c r="AB42" s="325"/>
      <c r="AC42" s="326"/>
      <c r="AD42" s="327"/>
      <c r="AE42" s="327"/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  <c r="AT42" s="327"/>
      <c r="AU42" s="327"/>
      <c r="AV42" s="327"/>
      <c r="AW42" s="327"/>
      <c r="AX42" s="327"/>
      <c r="AY42" s="327"/>
      <c r="AZ42" s="328"/>
      <c r="BA42" s="329"/>
      <c r="BB42" s="351">
        <f t="shared" si="13"/>
        <v>0</v>
      </c>
      <c r="BC42" s="352">
        <f t="shared" si="14"/>
        <v>0</v>
      </c>
    </row>
    <row r="43" ht="15.75" customHeight="1" spans="1:55" x14ac:dyDescent="0.25">
      <c r="A43" s="395" t="s">
        <v>34</v>
      </c>
      <c r="B43" s="369" t="s">
        <v>637</v>
      </c>
      <c r="C43" s="334" t="s">
        <v>646</v>
      </c>
      <c r="D43" s="335">
        <f>+'Informacion de Cotización'!B9</f>
        <v>200</v>
      </c>
      <c r="E43" s="336" t="s">
        <v>39</v>
      </c>
      <c r="F43" s="337">
        <f>(1+$F$7)* 'Base M.O'!D30</f>
        <v>3080.0000000000005</v>
      </c>
      <c r="G43" s="337">
        <f t="shared" si="24"/>
        <v>616000.0000000001</v>
      </c>
      <c r="H43" s="338">
        <f t="shared" si="42"/>
        <v>0.028419658893044143</v>
      </c>
      <c r="I43" s="339">
        <f t="shared" si="43"/>
        <v>616000.0000000001</v>
      </c>
      <c r="J43" s="340">
        <f t="shared" si="25"/>
        <v>1232000.0000000002</v>
      </c>
      <c r="K43" s="382"/>
      <c r="L43" s="382"/>
      <c r="M43" s="382"/>
      <c r="N43" s="382"/>
      <c r="O43" s="382"/>
      <c r="P43" s="271"/>
      <c r="Q43" s="341" t="s">
        <v>647</v>
      </c>
      <c r="R43" s="334" t="s">
        <v>648</v>
      </c>
      <c r="S43" s="343" t="s">
        <v>551</v>
      </c>
      <c r="T43" s="343">
        <v>1</v>
      </c>
      <c r="U43" s="344">
        <f t="shared" ref="U43:Z43" si="44">+J52</f>
        <v>1386000.0000000002</v>
      </c>
      <c r="V43" s="344">
        <f t="shared" si="44"/>
        <v>1386000.0000000002</v>
      </c>
      <c r="W43" s="344">
        <f t="shared" si="44"/>
        <v>1386000.0000000002</v>
      </c>
      <c r="X43" s="345">
        <f t="shared" si="44"/>
        <v>1386000.0000000002</v>
      </c>
      <c r="Y43" s="345">
        <f t="shared" si="44"/>
        <v>1386000.0000000002</v>
      </c>
      <c r="Z43" s="345">
        <f t="shared" si="44"/>
        <v>1386000.0000000002</v>
      </c>
      <c r="AA43" s="356">
        <f>+U43/$U$3</f>
        <v>0.040963167610228314</v>
      </c>
      <c r="AB43" s="347">
        <f>+AA43*$AB$8</f>
        <v>2478271.640418813</v>
      </c>
      <c r="AC43" s="348"/>
      <c r="AD43" s="349"/>
      <c r="AE43" s="349"/>
      <c r="AF43" s="349"/>
      <c r="AG43" s="349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>
        <f>AB43</f>
        <v>2478271.640418813</v>
      </c>
      <c r="AR43" s="349"/>
      <c r="AS43" s="349"/>
      <c r="AT43" s="349"/>
      <c r="AU43" s="349"/>
      <c r="AV43" s="349"/>
      <c r="AW43" s="349"/>
      <c r="AX43" s="349"/>
      <c r="AY43" s="349"/>
      <c r="AZ43" s="350"/>
      <c r="BA43" s="329"/>
      <c r="BB43" s="351">
        <f t="shared" si="13"/>
        <v>2478271.640418813</v>
      </c>
      <c r="BC43" s="352">
        <f t="shared" si="14"/>
        <v>0</v>
      </c>
    </row>
    <row r="44" ht="15.95" customHeight="1" spans="1:55" x14ac:dyDescent="0.25">
      <c r="A44" s="395" t="s">
        <v>34</v>
      </c>
      <c r="B44" s="369" t="s">
        <v>637</v>
      </c>
      <c r="C44" s="334" t="s">
        <v>649</v>
      </c>
      <c r="D44" s="335">
        <f>+'Informacion de Cotización'!B19*'Informacion de Cotización'!B23+'Informacion de Cotización'!B21*'Informacion de Cotización'!B24+('Informacion de Cotización'!B20*2+'Informacion de Cotización'!B22*2)*2.7-D49-('Informacion de Cotización'!B37+'Informacion de Cotización'!B38)*6*2.8-D45</f>
        <v>0</v>
      </c>
      <c r="E44" s="336" t="s">
        <v>39</v>
      </c>
      <c r="F44" s="337">
        <f>(1+$F$7)*'Base M.O'!D28</f>
        <v>3080.0000000000005</v>
      </c>
      <c r="G44" s="337">
        <f t="shared" si="24"/>
        <v>0</v>
      </c>
      <c r="H44" s="338">
        <f t="shared" si="42"/>
        <v>0</v>
      </c>
      <c r="I44" s="339">
        <f t="shared" si="43"/>
        <v>0</v>
      </c>
      <c r="J44" s="340">
        <f t="shared" si="25"/>
        <v>0</v>
      </c>
      <c r="K44" s="340">
        <f>+I44+G44</f>
        <v>0</v>
      </c>
      <c r="L44" s="340">
        <f>+I44+G44</f>
        <v>0</v>
      </c>
      <c r="M44" s="340"/>
      <c r="N44" s="340"/>
      <c r="O44" s="340">
        <f t="shared" si="30"/>
        <v>0</v>
      </c>
      <c r="P44" s="271"/>
      <c r="Q44" s="341" t="s">
        <v>650</v>
      </c>
      <c r="R44" s="334" t="s">
        <v>651</v>
      </c>
      <c r="S44" s="343" t="s">
        <v>551</v>
      </c>
      <c r="T44" s="343">
        <v>1</v>
      </c>
      <c r="U44" s="345">
        <f>+J47+J46</f>
        <v>2002000.0000000002</v>
      </c>
      <c r="V44" s="344">
        <f>+K47</f>
        <v>0</v>
      </c>
      <c r="W44" s="344">
        <f>L46</f>
        <v>400400.00000000006</v>
      </c>
      <c r="X44" s="345">
        <f>+M47+M46</f>
        <v>2002000.0000000002</v>
      </c>
      <c r="Y44" s="345">
        <f>+N47+N46</f>
        <v>2002000.0000000002</v>
      </c>
      <c r="Z44" s="345">
        <f>+O47+O46</f>
        <v>2002000.0000000002</v>
      </c>
      <c r="AA44" s="356">
        <f>+U44/$U$3</f>
        <v>0.059169019881440896</v>
      </c>
      <c r="AB44" s="347">
        <f>+AA44*$AB$8</f>
        <v>3579725.702827174</v>
      </c>
      <c r="AC44" s="348"/>
      <c r="AD44" s="349"/>
      <c r="AE44" s="349"/>
      <c r="AF44" s="349"/>
      <c r="AG44" s="349"/>
      <c r="AH44" s="349"/>
      <c r="AI44" s="349"/>
      <c r="AJ44" s="349"/>
      <c r="AK44" s="349"/>
      <c r="AL44" s="349"/>
      <c r="AM44" s="349"/>
      <c r="AN44" s="349"/>
      <c r="AO44" s="349"/>
      <c r="AP44" s="349"/>
      <c r="AQ44" s="349">
        <f>AB44</f>
        <v>3579725.702827174</v>
      </c>
      <c r="AR44" s="349"/>
      <c r="AS44" s="349"/>
      <c r="AT44" s="349"/>
      <c r="AU44" s="349"/>
      <c r="AV44" s="349"/>
      <c r="AW44" s="349"/>
      <c r="AX44" s="349"/>
      <c r="AY44" s="349"/>
      <c r="AZ44" s="350"/>
      <c r="BA44" s="329"/>
      <c r="BB44" s="351">
        <f t="shared" si="13"/>
        <v>3579725.702827174</v>
      </c>
      <c r="BC44" s="352">
        <f t="shared" si="14"/>
        <v>0</v>
      </c>
    </row>
    <row r="45" ht="15.75" customHeight="1" spans="1:55" x14ac:dyDescent="0.25">
      <c r="A45" s="395" t="s">
        <v>34</v>
      </c>
      <c r="B45" s="369" t="s">
        <v>637</v>
      </c>
      <c r="C45" s="334" t="s">
        <v>652</v>
      </c>
      <c r="D45" s="335">
        <f>'Informacion de Cotización'!B21*'Informacion de Cotización'!B24</f>
        <v>0</v>
      </c>
      <c r="E45" s="336" t="s">
        <v>39</v>
      </c>
      <c r="F45" s="337">
        <f>(1+$F$7)*'Base M.O'!D27</f>
        <v>3520.0000000000005</v>
      </c>
      <c r="G45" s="337">
        <f t="shared" ref="G45" si="45">F45*D45</f>
        <v>0</v>
      </c>
      <c r="H45" s="338">
        <f t="shared" si="42"/>
        <v>0</v>
      </c>
      <c r="I45" s="339">
        <f t="shared" si="43"/>
        <v>0</v>
      </c>
      <c r="J45" s="340">
        <f t="shared" ref="J45" si="46">+I45+G45</f>
        <v>0</v>
      </c>
      <c r="K45" s="340">
        <f>+I45+G45</f>
        <v>0</v>
      </c>
      <c r="L45" s="340">
        <f>+I45+G45</f>
        <v>0</v>
      </c>
      <c r="M45" s="340"/>
      <c r="N45" s="340"/>
      <c r="O45" s="340">
        <f t="shared" ref="O45" si="47">I45+G45</f>
        <v>0</v>
      </c>
      <c r="P45" s="271"/>
      <c r="Q45" s="341" t="s">
        <v>653</v>
      </c>
      <c r="R45" s="375" t="s">
        <v>222</v>
      </c>
      <c r="S45" s="343" t="s">
        <v>551</v>
      </c>
      <c r="T45" s="343">
        <v>1</v>
      </c>
      <c r="U45" s="344">
        <f t="shared" ref="U45:Z46" si="48">+J55</f>
        <v>280280.00000000006</v>
      </c>
      <c r="V45" s="344">
        <f t="shared" si="48"/>
        <v>280280.00000000006</v>
      </c>
      <c r="W45" s="344">
        <f t="shared" si="48"/>
        <v>280280.00000000006</v>
      </c>
      <c r="X45" s="345">
        <f t="shared" si="48"/>
        <v>280280.00000000006</v>
      </c>
      <c r="Y45" s="345">
        <f t="shared" si="48"/>
        <v>280280.00000000006</v>
      </c>
      <c r="Z45" s="345">
        <f t="shared" si="48"/>
        <v>280280.00000000006</v>
      </c>
      <c r="AA45" s="356">
        <f>+U45/$U$3</f>
        <v>0.008283662783401726</v>
      </c>
      <c r="AB45" s="347">
        <f>+AA45*$AB$8</f>
        <v>501161.5983958044</v>
      </c>
      <c r="AC45" s="348"/>
      <c r="AD45" s="349"/>
      <c r="AE45" s="349"/>
      <c r="AF45" s="349"/>
      <c r="AG45" s="349"/>
      <c r="AH45" s="349"/>
      <c r="AI45" s="349"/>
      <c r="AJ45" s="349"/>
      <c r="AK45" s="349"/>
      <c r="AL45" s="349"/>
      <c r="AM45" s="349"/>
      <c r="AN45" s="349"/>
      <c r="AO45" s="349"/>
      <c r="AP45" s="349"/>
      <c r="AQ45" s="349"/>
      <c r="AR45" s="349">
        <f>AB45</f>
        <v>501161.5983958044</v>
      </c>
      <c r="AS45" s="349"/>
      <c r="AT45" s="349"/>
      <c r="AU45" s="349"/>
      <c r="AV45" s="349"/>
      <c r="AW45" s="349"/>
      <c r="AX45" s="349"/>
      <c r="AY45" s="349"/>
      <c r="AZ45" s="350"/>
      <c r="BA45" s="329"/>
      <c r="BB45" s="351">
        <f t="shared" si="13"/>
        <v>501161.5983958044</v>
      </c>
      <c r="BC45" s="352">
        <f t="shared" si="14"/>
        <v>0</v>
      </c>
    </row>
    <row r="46" ht="15.75" customHeight="1" spans="1:55" x14ac:dyDescent="0.25">
      <c r="A46" s="395" t="s">
        <v>34</v>
      </c>
      <c r="B46" s="369" t="s">
        <v>637</v>
      </c>
      <c r="C46" s="334" t="s">
        <v>654</v>
      </c>
      <c r="D46" s="335">
        <f>'Informacion de Cotización'!B10+'Informacion de Cotización'!B26</f>
        <v>50</v>
      </c>
      <c r="E46" s="336" t="s">
        <v>39</v>
      </c>
      <c r="F46" s="337">
        <f>(1+$F$7)*'Base M.O'!D29</f>
        <v>4004.0000000000005</v>
      </c>
      <c r="G46" s="337">
        <f t="shared" si="24"/>
        <v>200200.00000000003</v>
      </c>
      <c r="H46" s="338">
        <f t="shared" si="42"/>
        <v>0.009236389140239346</v>
      </c>
      <c r="I46" s="339">
        <f t="shared" si="43"/>
        <v>200200.00000000003</v>
      </c>
      <c r="J46" s="340">
        <f t="shared" si="25"/>
        <v>400400.00000000006</v>
      </c>
      <c r="K46" s="382"/>
      <c r="L46" s="340">
        <f>+I46+G46</f>
        <v>400400.00000000006</v>
      </c>
      <c r="M46" s="340">
        <f>I46+G46</f>
        <v>400400.00000000006</v>
      </c>
      <c r="N46" s="340">
        <f t="shared" si="11"/>
        <v>400400.00000000006</v>
      </c>
      <c r="O46" s="340">
        <f t="shared" si="30"/>
        <v>400400.00000000006</v>
      </c>
      <c r="P46" s="271"/>
      <c r="Q46" s="341" t="s">
        <v>655</v>
      </c>
      <c r="R46" s="375" t="s">
        <v>656</v>
      </c>
      <c r="S46" s="343" t="s">
        <v>551</v>
      </c>
      <c r="T46" s="343">
        <v>1</v>
      </c>
      <c r="U46" s="344">
        <f t="shared" si="48"/>
        <v>1016400</v>
      </c>
      <c r="V46" s="344">
        <f t="shared" si="48"/>
        <v>1016400</v>
      </c>
      <c r="W46" s="344">
        <f t="shared" si="48"/>
        <v>1016400</v>
      </c>
      <c r="X46" s="345">
        <f t="shared" si="48"/>
        <v>1016400.0234462186</v>
      </c>
      <c r="Y46" s="345">
        <f t="shared" si="48"/>
        <v>1016400</v>
      </c>
      <c r="Z46" s="345">
        <f t="shared" si="48"/>
        <v>1016400</v>
      </c>
      <c r="AA46" s="356">
        <f>+U46/$U$3</f>
        <v>0.030039656247500757</v>
      </c>
      <c r="AB46" s="347">
        <f>+AA46*$AB$8</f>
        <v>1817399.2029737958</v>
      </c>
      <c r="AC46" s="348"/>
      <c r="AD46" s="349"/>
      <c r="AE46" s="349"/>
      <c r="AF46" s="349"/>
      <c r="AG46" s="349"/>
      <c r="AH46" s="349"/>
      <c r="AI46" s="349"/>
      <c r="AJ46" s="349"/>
      <c r="AK46" s="349"/>
      <c r="AL46" s="349"/>
      <c r="AM46" s="349"/>
      <c r="AN46" s="349"/>
      <c r="AO46" s="349"/>
      <c r="AP46" s="349"/>
      <c r="AQ46" s="349"/>
      <c r="AR46" s="349">
        <f>AB46</f>
        <v>1817399.2029737958</v>
      </c>
      <c r="AS46" s="349"/>
      <c r="AT46" s="349"/>
      <c r="AU46" s="349"/>
      <c r="AV46" s="349"/>
      <c r="AW46" s="349"/>
      <c r="AX46" s="349"/>
      <c r="AY46" s="349"/>
      <c r="AZ46" s="350"/>
      <c r="BA46" s="329"/>
      <c r="BB46" s="351">
        <f t="shared" si="13"/>
        <v>1817399.2029737958</v>
      </c>
      <c r="BC46" s="352">
        <f t="shared" si="14"/>
        <v>0</v>
      </c>
    </row>
    <row r="47" ht="15.75" customHeight="1" spans="1:55" x14ac:dyDescent="0.25">
      <c r="A47" s="395" t="s">
        <v>34</v>
      </c>
      <c r="B47" s="369" t="s">
        <v>657</v>
      </c>
      <c r="C47" s="334" t="s">
        <v>658</v>
      </c>
      <c r="D47" s="335">
        <f>+'Informacion de Cotización'!B9</f>
        <v>200</v>
      </c>
      <c r="E47" s="336" t="s">
        <v>39</v>
      </c>
      <c r="F47" s="337">
        <f>+(1+$F$7)*'Base M.O'!D29</f>
        <v>4004.0000000000005</v>
      </c>
      <c r="G47" s="337">
        <f t="shared" si="24"/>
        <v>800800.0000000001</v>
      </c>
      <c r="H47" s="338">
        <f t="shared" si="42"/>
        <v>0.03694555656095738</v>
      </c>
      <c r="I47" s="339">
        <f t="shared" si="43"/>
        <v>800800.0000000001</v>
      </c>
      <c r="J47" s="340">
        <f t="shared" si="25"/>
        <v>1601600.0000000002</v>
      </c>
      <c r="K47" s="382"/>
      <c r="L47" s="382"/>
      <c r="M47" s="340">
        <f>I47+G47</f>
        <v>1601600.0000000002</v>
      </c>
      <c r="N47" s="340">
        <f t="shared" si="11"/>
        <v>1601600.0000000002</v>
      </c>
      <c r="O47" s="340">
        <f t="shared" si="30"/>
        <v>1601600.0000000002</v>
      </c>
      <c r="P47" s="271"/>
      <c r="Q47" s="341" t="s">
        <v>659</v>
      </c>
      <c r="R47" s="375" t="s">
        <v>660</v>
      </c>
      <c r="S47" s="343" t="s">
        <v>551</v>
      </c>
      <c r="T47" s="343">
        <v>1</v>
      </c>
      <c r="U47" s="344">
        <f t="shared" ref="U47:Z47" si="49">+J57+J51</f>
        <v>0</v>
      </c>
      <c r="V47" s="344">
        <f t="shared" si="49"/>
        <v>0</v>
      </c>
      <c r="W47" s="344">
        <f t="shared" si="49"/>
        <v>0</v>
      </c>
      <c r="X47" s="345">
        <f t="shared" si="49"/>
        <v>0</v>
      </c>
      <c r="Y47" s="345">
        <f t="shared" si="49"/>
        <v>0</v>
      </c>
      <c r="Z47" s="345">
        <f t="shared" si="49"/>
        <v>0</v>
      </c>
      <c r="AA47" s="356">
        <f>+U47/$U$3</f>
        <v>0</v>
      </c>
      <c r="AB47" s="347">
        <f>+AA47*$AB$8</f>
        <v>0</v>
      </c>
      <c r="AC47" s="348"/>
      <c r="AD47" s="349"/>
      <c r="AE47" s="349"/>
      <c r="AF47" s="349"/>
      <c r="AG47" s="349"/>
      <c r="AH47" s="349"/>
      <c r="AI47" s="349"/>
      <c r="AJ47" s="349"/>
      <c r="AK47" s="349"/>
      <c r="AL47" s="349"/>
      <c r="AM47" s="349"/>
      <c r="AN47" s="349"/>
      <c r="AO47" s="349"/>
      <c r="AP47" s="349"/>
      <c r="AQ47" s="349"/>
      <c r="AR47" s="349"/>
      <c r="AS47" s="349">
        <f>AB47</f>
        <v>0</v>
      </c>
      <c r="AT47" s="349"/>
      <c r="AU47" s="349"/>
      <c r="AV47" s="349"/>
      <c r="AW47" s="349"/>
      <c r="AX47" s="349"/>
      <c r="AY47" s="349"/>
      <c r="AZ47" s="350"/>
      <c r="BA47" s="329"/>
      <c r="BB47" s="351">
        <f t="shared" si="13"/>
        <v>0</v>
      </c>
      <c r="BC47" s="352">
        <f t="shared" si="14"/>
        <v>0</v>
      </c>
    </row>
    <row r="48" ht="15.75" customHeight="1" spans="1:55" x14ac:dyDescent="0.25">
      <c r="A48" s="395" t="s">
        <v>34</v>
      </c>
      <c r="B48" s="369" t="s">
        <v>565</v>
      </c>
      <c r="C48" s="334" t="s">
        <v>661</v>
      </c>
      <c r="D48" s="335">
        <f>IF('Informacion de Cotización'!B10&gt;0,1,0)</f>
        <v>1</v>
      </c>
      <c r="E48" s="336" t="s">
        <v>545</v>
      </c>
      <c r="F48" s="337">
        <f>(1+$F$7)*'Base M.O'!D23</f>
        <v>277200</v>
      </c>
      <c r="G48" s="337">
        <f t="shared" si="24"/>
        <v>277200</v>
      </c>
      <c r="H48" s="338">
        <f t="shared" si="42"/>
        <v>0.012788846501869861</v>
      </c>
      <c r="I48" s="339">
        <f t="shared" si="43"/>
        <v>277200</v>
      </c>
      <c r="J48" s="340">
        <f t="shared" si="25"/>
        <v>554400</v>
      </c>
      <c r="K48" s="340">
        <f t="shared" ref="K48:K59" si="50">+I48+G48</f>
        <v>554400</v>
      </c>
      <c r="L48" s="340">
        <f t="shared" ref="L48:L59" si="51">+I48+G48</f>
        <v>554400</v>
      </c>
      <c r="M48" s="340">
        <f>I48+G48</f>
        <v>554400</v>
      </c>
      <c r="N48" s="340">
        <f t="shared" si="11"/>
        <v>554400</v>
      </c>
      <c r="O48" s="340">
        <f t="shared" si="30"/>
        <v>554400</v>
      </c>
      <c r="P48" s="271"/>
      <c r="Q48" s="319">
        <v>9</v>
      </c>
      <c r="R48" s="320" t="s">
        <v>662</v>
      </c>
      <c r="S48" s="320"/>
      <c r="T48" s="320"/>
      <c r="U48" s="321"/>
      <c r="V48" s="322"/>
      <c r="W48" s="322"/>
      <c r="X48" s="323"/>
      <c r="Y48" s="323"/>
      <c r="Z48" s="323"/>
      <c r="AA48" s="324"/>
      <c r="AB48" s="325"/>
      <c r="AC48" s="326"/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7"/>
      <c r="AX48" s="327"/>
      <c r="AY48" s="327"/>
      <c r="AZ48" s="328"/>
      <c r="BA48" s="329"/>
      <c r="BB48" s="351">
        <f t="shared" si="13"/>
        <v>0</v>
      </c>
      <c r="BC48" s="352">
        <f t="shared" si="14"/>
        <v>0</v>
      </c>
    </row>
    <row r="49" ht="15.75" customHeight="1" spans="1:55" x14ac:dyDescent="0.25">
      <c r="A49" s="395" t="s">
        <v>34</v>
      </c>
      <c r="B49" s="369" t="s">
        <v>565</v>
      </c>
      <c r="C49" s="334" t="s">
        <v>663</v>
      </c>
      <c r="D49" s="335">
        <f>+'Informacion de Cotización'!B27</f>
        <v>0</v>
      </c>
      <c r="E49" s="336" t="s">
        <v>39</v>
      </c>
      <c r="F49" s="337">
        <f>(1+$F$7)*'Base M.O'!D31</f>
        <v>13860.000000000002</v>
      </c>
      <c r="G49" s="337">
        <f t="shared" si="24"/>
        <v>0</v>
      </c>
      <c r="H49" s="338">
        <f t="shared" si="42"/>
        <v>0</v>
      </c>
      <c r="I49" s="339">
        <f t="shared" si="43"/>
        <v>0</v>
      </c>
      <c r="J49" s="340">
        <f t="shared" si="25"/>
        <v>0</v>
      </c>
      <c r="K49" s="340">
        <f t="shared" si="50"/>
        <v>0</v>
      </c>
      <c r="L49" s="340">
        <f t="shared" si="51"/>
        <v>0</v>
      </c>
      <c r="M49" s="340"/>
      <c r="N49" s="340"/>
      <c r="O49" s="340">
        <f t="shared" si="30"/>
        <v>0</v>
      </c>
      <c r="P49" s="271"/>
      <c r="Q49" s="341" t="s">
        <v>664</v>
      </c>
      <c r="R49" s="375" t="s">
        <v>665</v>
      </c>
      <c r="S49" s="343" t="s">
        <v>551</v>
      </c>
      <c r="T49" s="343">
        <v>1</v>
      </c>
      <c r="U49" s="344">
        <f t="shared" ref="U49:Z49" si="52">+J70+J71+J74+J75</f>
        <v>4312000.000000001</v>
      </c>
      <c r="V49" s="344">
        <f t="shared" si="52"/>
        <v>4312000.000000001</v>
      </c>
      <c r="W49" s="344">
        <f t="shared" si="52"/>
        <v>4312000.000000001</v>
      </c>
      <c r="X49" s="345">
        <f t="shared" si="52"/>
        <v>4312000.000000001</v>
      </c>
      <c r="Y49" s="345">
        <f t="shared" si="52"/>
        <v>4312000.000000001</v>
      </c>
      <c r="Z49" s="345">
        <f t="shared" si="52"/>
        <v>4312000.000000001</v>
      </c>
      <c r="AA49" s="356">
        <f>+U49/$U$3</f>
        <v>0.1274409658984881</v>
      </c>
      <c r="AB49" s="347">
        <f>+AA49*$AB$8</f>
        <v>7710178.43685853</v>
      </c>
      <c r="AC49" s="348"/>
      <c r="AD49" s="349"/>
      <c r="AE49" s="349"/>
      <c r="AF49" s="349"/>
      <c r="AG49" s="349"/>
      <c r="AH49" s="349"/>
      <c r="AI49" s="349"/>
      <c r="AJ49" s="349"/>
      <c r="AK49" s="349"/>
      <c r="AL49" s="349"/>
      <c r="AM49" s="349"/>
      <c r="AN49" s="349"/>
      <c r="AO49" s="349"/>
      <c r="AP49" s="349"/>
      <c r="AQ49" s="349"/>
      <c r="AR49" s="349"/>
      <c r="AS49" s="349">
        <f>AB49/3</f>
        <v>2570059.478952843</v>
      </c>
      <c r="AT49" s="349">
        <f>AS49</f>
        <v>2570059.478952843</v>
      </c>
      <c r="AU49" s="349">
        <f>AT49</f>
        <v>2570059.478952843</v>
      </c>
      <c r="AV49" s="349"/>
      <c r="AW49" s="349"/>
      <c r="AX49" s="349"/>
      <c r="AY49" s="349"/>
      <c r="AZ49" s="350"/>
      <c r="BA49" s="329"/>
      <c r="BB49" s="351">
        <f t="shared" si="13"/>
        <v>7710178.436858529</v>
      </c>
      <c r="BC49" s="352">
        <f t="shared" si="14"/>
        <v>0</v>
      </c>
    </row>
    <row r="50" ht="15.75" customHeight="1" spans="1:55" x14ac:dyDescent="0.25">
      <c r="A50" s="395" t="s">
        <v>34</v>
      </c>
      <c r="B50" s="369" t="s">
        <v>637</v>
      </c>
      <c r="C50" s="334" t="s">
        <v>666</v>
      </c>
      <c r="D50" s="335">
        <f>D26</f>
        <v>9</v>
      </c>
      <c r="E50" s="336" t="s">
        <v>32</v>
      </c>
      <c r="F50" s="337">
        <f>(1+$F$7)*'Base M.O'!D34</f>
        <v>6160.000000000001</v>
      </c>
      <c r="G50" s="337">
        <f t="shared" si="24"/>
        <v>55440.00000000001</v>
      </c>
      <c r="H50" s="338">
        <f t="shared" si="42"/>
        <v>0.0025577693003739728</v>
      </c>
      <c r="I50" s="339">
        <f t="shared" si="43"/>
        <v>55440.00000000001</v>
      </c>
      <c r="J50" s="340">
        <f t="shared" si="25"/>
        <v>110880.00000000001</v>
      </c>
      <c r="K50" s="340">
        <f t="shared" si="50"/>
        <v>110880.00000000001</v>
      </c>
      <c r="L50" s="340">
        <f t="shared" si="51"/>
        <v>110880.00000000001</v>
      </c>
      <c r="M50" s="340"/>
      <c r="N50" s="340"/>
      <c r="O50" s="340">
        <f t="shared" si="30"/>
        <v>110880.00000000001</v>
      </c>
      <c r="P50" s="271"/>
      <c r="Q50" s="341" t="s">
        <v>667</v>
      </c>
      <c r="R50" s="375" t="s">
        <v>668</v>
      </c>
      <c r="S50" s="343" t="s">
        <v>551</v>
      </c>
      <c r="T50" s="343">
        <v>1</v>
      </c>
      <c r="U50" s="344">
        <f t="shared" ref="U50:Z50" si="53">+J72+J73</f>
        <v>770000.0000000001</v>
      </c>
      <c r="V50" s="344">
        <f t="shared" si="53"/>
        <v>770000.0000000001</v>
      </c>
      <c r="W50" s="344">
        <f t="shared" si="53"/>
        <v>770000.0000000001</v>
      </c>
      <c r="X50" s="345">
        <f t="shared" si="53"/>
        <v>770000.0000000001</v>
      </c>
      <c r="Y50" s="345">
        <f t="shared" si="53"/>
        <v>770000.0000000001</v>
      </c>
      <c r="Z50" s="345">
        <f t="shared" si="53"/>
        <v>770000.0000000001</v>
      </c>
      <c r="AA50" s="356">
        <f>+U50/$U$3</f>
        <v>0.02275731533901573</v>
      </c>
      <c r="AB50" s="347">
        <f>+AA50*$AB$8</f>
        <v>1376817.5780104515</v>
      </c>
      <c r="AC50" s="348"/>
      <c r="AD50" s="349"/>
      <c r="AE50" s="349"/>
      <c r="AF50" s="349"/>
      <c r="AG50" s="349"/>
      <c r="AH50" s="349"/>
      <c r="AI50" s="349"/>
      <c r="AJ50" s="349"/>
      <c r="AK50" s="349"/>
      <c r="AL50" s="349"/>
      <c r="AM50" s="349"/>
      <c r="AN50" s="349"/>
      <c r="AO50" s="349"/>
      <c r="AP50" s="349"/>
      <c r="AQ50" s="349"/>
      <c r="AR50" s="349"/>
      <c r="AS50" s="349"/>
      <c r="AT50" s="349">
        <f>AB50/3</f>
        <v>458939.1926701505</v>
      </c>
      <c r="AU50" s="349">
        <f>AT50</f>
        <v>458939.1926701505</v>
      </c>
      <c r="AV50" s="349">
        <f>AU50</f>
        <v>458939.1926701505</v>
      </c>
      <c r="AW50" s="349"/>
      <c r="AX50" s="349"/>
      <c r="AY50" s="349"/>
      <c r="AZ50" s="350"/>
      <c r="BA50" s="329"/>
      <c r="BB50" s="351">
        <f t="shared" si="13"/>
        <v>1376817.5780104515</v>
      </c>
      <c r="BC50" s="352">
        <f t="shared" si="14"/>
        <v>0</v>
      </c>
    </row>
    <row r="51" ht="15.75" customHeight="1" spans="1:55" x14ac:dyDescent="0.25">
      <c r="A51" s="395" t="s">
        <v>34</v>
      </c>
      <c r="B51" s="369" t="s">
        <v>565</v>
      </c>
      <c r="C51" s="334" t="s">
        <v>669</v>
      </c>
      <c r="D51" s="335">
        <f>'Informacion de Cotización'!B8</f>
        <v>0</v>
      </c>
      <c r="E51" s="336" t="s">
        <v>32</v>
      </c>
      <c r="F51" s="337">
        <f>(1+$F$7)*'Base M.O'!D36</f>
        <v>6600.000000000001</v>
      </c>
      <c r="G51" s="337">
        <f t="shared" si="24"/>
        <v>0</v>
      </c>
      <c r="H51" s="338">
        <f t="shared" si="42"/>
        <v>0</v>
      </c>
      <c r="I51" s="339">
        <f t="shared" si="43"/>
        <v>0</v>
      </c>
      <c r="J51" s="340">
        <f t="shared" si="25"/>
        <v>0</v>
      </c>
      <c r="K51" s="340">
        <f t="shared" si="50"/>
        <v>0</v>
      </c>
      <c r="L51" s="340">
        <f t="shared" si="51"/>
        <v>0</v>
      </c>
      <c r="M51" s="340">
        <f>I51+G51</f>
        <v>0</v>
      </c>
      <c r="N51" s="340">
        <f t="shared" si="11"/>
        <v>0</v>
      </c>
      <c r="O51" s="340">
        <f t="shared" si="30"/>
        <v>0</v>
      </c>
      <c r="P51" s="271"/>
      <c r="Q51" s="341" t="s">
        <v>670</v>
      </c>
      <c r="R51" s="375" t="s">
        <v>671</v>
      </c>
      <c r="S51" s="343" t="s">
        <v>551</v>
      </c>
      <c r="T51" s="343">
        <v>1</v>
      </c>
      <c r="U51" s="344">
        <f t="shared" ref="U51:Z51" si="54">+J77+J76</f>
        <v>83160.00000000001</v>
      </c>
      <c r="V51" s="344">
        <f t="shared" si="54"/>
        <v>83160.00000000001</v>
      </c>
      <c r="W51" s="344">
        <f t="shared" si="54"/>
        <v>83160.00000000001</v>
      </c>
      <c r="X51" s="345">
        <f t="shared" si="54"/>
        <v>83160.00000000001</v>
      </c>
      <c r="Y51" s="345">
        <f t="shared" si="54"/>
        <v>83160.00000000001</v>
      </c>
      <c r="Z51" s="345">
        <f t="shared" si="54"/>
        <v>83160.00000000001</v>
      </c>
      <c r="AA51" s="356">
        <f>+U51/$U$3</f>
        <v>0.002457790056613699</v>
      </c>
      <c r="AB51" s="347">
        <f>+AA51*$AB$8</f>
        <v>148696.2984251288</v>
      </c>
      <c r="AC51" s="348"/>
      <c r="AD51" s="349"/>
      <c r="AE51" s="349"/>
      <c r="AF51" s="349"/>
      <c r="AG51" s="349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349"/>
      <c r="AS51" s="349"/>
      <c r="AT51" s="349"/>
      <c r="AU51" s="349">
        <f>AB51/2</f>
        <v>74348.1492125644</v>
      </c>
      <c r="AV51" s="349">
        <f>AU51</f>
        <v>74348.1492125644</v>
      </c>
      <c r="AW51" s="349"/>
      <c r="AX51" s="349"/>
      <c r="AY51" s="349"/>
      <c r="AZ51" s="350"/>
      <c r="BA51" s="329"/>
      <c r="BB51" s="351">
        <f t="shared" si="13"/>
        <v>148696.2984251288</v>
      </c>
      <c r="BC51" s="352">
        <f t="shared" si="14"/>
        <v>0</v>
      </c>
    </row>
    <row r="52" ht="15.75" customHeight="1" spans="1:55" x14ac:dyDescent="0.25">
      <c r="A52" s="395" t="s">
        <v>34</v>
      </c>
      <c r="B52" s="369" t="s">
        <v>565</v>
      </c>
      <c r="C52" s="334" t="s">
        <v>672</v>
      </c>
      <c r="D52" s="335">
        <f>+'Informacion de Cotización'!B9+'Informacion de Cotización'!B12+'Informacion de Cotización'!B13</f>
        <v>225</v>
      </c>
      <c r="E52" s="336" t="s">
        <v>39</v>
      </c>
      <c r="F52" s="337">
        <f>(1+$F$7)*'Base M.O'!D28</f>
        <v>3080.0000000000005</v>
      </c>
      <c r="G52" s="337">
        <f t="shared" si="24"/>
        <v>693000.0000000001</v>
      </c>
      <c r="H52" s="338">
        <f t="shared" si="42"/>
        <v>0.03197211625467466</v>
      </c>
      <c r="I52" s="339">
        <f t="shared" si="43"/>
        <v>693000.0000000001</v>
      </c>
      <c r="J52" s="340">
        <f t="shared" si="25"/>
        <v>1386000.0000000002</v>
      </c>
      <c r="K52" s="340">
        <f t="shared" si="50"/>
        <v>1386000.0000000002</v>
      </c>
      <c r="L52" s="340">
        <f t="shared" si="51"/>
        <v>1386000.0000000002</v>
      </c>
      <c r="M52" s="340">
        <f>I52+G52</f>
        <v>1386000.0000000002</v>
      </c>
      <c r="N52" s="340">
        <f t="shared" si="11"/>
        <v>1386000.0000000002</v>
      </c>
      <c r="O52" s="340">
        <f t="shared" si="30"/>
        <v>1386000.0000000002</v>
      </c>
      <c r="P52" s="271"/>
      <c r="Q52" s="319">
        <v>10</v>
      </c>
      <c r="R52" s="320" t="s">
        <v>673</v>
      </c>
      <c r="S52" s="320"/>
      <c r="T52" s="320"/>
      <c r="U52" s="321"/>
      <c r="V52" s="322"/>
      <c r="W52" s="322"/>
      <c r="X52" s="323"/>
      <c r="Y52" s="323"/>
      <c r="Z52" s="323"/>
      <c r="AA52" s="324"/>
      <c r="AB52" s="325"/>
      <c r="AC52" s="326"/>
      <c r="AD52" s="327"/>
      <c r="AE52" s="327"/>
      <c r="AF52" s="327"/>
      <c r="AG52" s="327"/>
      <c r="AH52" s="327"/>
      <c r="AI52" s="327"/>
      <c r="AJ52" s="327"/>
      <c r="AK52" s="327"/>
      <c r="AL52" s="327"/>
      <c r="AM52" s="327"/>
      <c r="AN52" s="327"/>
      <c r="AO52" s="327"/>
      <c r="AP52" s="327"/>
      <c r="AQ52" s="327"/>
      <c r="AR52" s="327"/>
      <c r="AS52" s="327"/>
      <c r="AT52" s="327"/>
      <c r="AU52" s="327"/>
      <c r="AV52" s="327"/>
      <c r="AW52" s="327"/>
      <c r="AX52" s="327"/>
      <c r="AY52" s="327"/>
      <c r="AZ52" s="328"/>
      <c r="BA52" s="329"/>
      <c r="BB52" s="351">
        <f t="shared" si="13"/>
        <v>0</v>
      </c>
      <c r="BC52" s="352">
        <f t="shared" si="14"/>
        <v>0</v>
      </c>
    </row>
    <row r="53" ht="15.75" customHeight="1" spans="1:55" x14ac:dyDescent="0.25">
      <c r="A53" s="395" t="s">
        <v>34</v>
      </c>
      <c r="B53" s="369" t="s">
        <v>565</v>
      </c>
      <c r="C53" s="334" t="s">
        <v>674</v>
      </c>
      <c r="D53" s="335">
        <f>IF('Informacion de Cotización'!B52="Si",+'Informacion de Cotización'!B19+'Informacion de Cotización'!B21,FALSE)</f>
        <v>0</v>
      </c>
      <c r="E53" s="336" t="s">
        <v>39</v>
      </c>
      <c r="F53" s="337">
        <f>(1+$F$7)*'Base M.O'!D42</f>
        <v>5940.000000000001</v>
      </c>
      <c r="G53" s="337">
        <f t="shared" si="24"/>
        <v>0</v>
      </c>
      <c r="H53" s="338">
        <f t="shared" si="42"/>
        <v>0</v>
      </c>
      <c r="I53" s="339">
        <f t="shared" si="43"/>
        <v>0</v>
      </c>
      <c r="J53" s="340">
        <f t="shared" si="25"/>
        <v>0</v>
      </c>
      <c r="K53" s="340">
        <f t="shared" si="50"/>
        <v>0</v>
      </c>
      <c r="L53" s="340">
        <f t="shared" si="51"/>
        <v>0</v>
      </c>
      <c r="M53" s="340">
        <f>I53+G53</f>
        <v>0</v>
      </c>
      <c r="N53" s="340">
        <f t="shared" si="11"/>
        <v>0</v>
      </c>
      <c r="O53" s="340">
        <f t="shared" si="30"/>
        <v>0</v>
      </c>
      <c r="P53" s="271"/>
      <c r="Q53" s="341" t="s">
        <v>675</v>
      </c>
      <c r="R53" s="375" t="s">
        <v>676</v>
      </c>
      <c r="S53" s="343" t="s">
        <v>551</v>
      </c>
      <c r="T53" s="343">
        <v>1</v>
      </c>
      <c r="U53" s="344">
        <f t="shared" ref="U53:Z56" si="55">+J63</f>
        <v>1478400</v>
      </c>
      <c r="V53" s="344">
        <f t="shared" si="55"/>
        <v>1478400</v>
      </c>
      <c r="W53" s="344">
        <f t="shared" si="55"/>
        <v>1478400</v>
      </c>
      <c r="X53" s="345">
        <f t="shared" si="55"/>
        <v>1478400</v>
      </c>
      <c r="Y53" s="345">
        <f t="shared" si="55"/>
        <v>1478400</v>
      </c>
      <c r="Z53" s="345">
        <f t="shared" si="55"/>
        <v>1478400</v>
      </c>
      <c r="AA53" s="356">
        <f>+U53/$U$3</f>
        <v>0.04369404545091019</v>
      </c>
      <c r="AB53" s="347">
        <f>+AA53*$AB$8</f>
        <v>2643489.749780067</v>
      </c>
      <c r="AC53" s="348"/>
      <c r="AD53" s="349"/>
      <c r="AE53" s="349"/>
      <c r="AF53" s="349"/>
      <c r="AG53" s="349"/>
      <c r="AH53" s="349"/>
      <c r="AI53" s="349"/>
      <c r="AJ53" s="349"/>
      <c r="AK53" s="349"/>
      <c r="AL53" s="349"/>
      <c r="AM53" s="349"/>
      <c r="AN53" s="349"/>
      <c r="AO53" s="349"/>
      <c r="AP53" s="349"/>
      <c r="AQ53" s="349"/>
      <c r="AR53" s="349">
        <f>AB53/3</f>
        <v>881163.249926689</v>
      </c>
      <c r="AS53" s="349">
        <f>AR53</f>
        <v>881163.249926689</v>
      </c>
      <c r="AT53" s="349">
        <f>AS53</f>
        <v>881163.249926689</v>
      </c>
      <c r="AU53" s="349"/>
      <c r="AV53" s="349"/>
      <c r="AW53" s="349"/>
      <c r="AX53" s="349"/>
      <c r="AY53" s="349"/>
      <c r="AZ53" s="350"/>
      <c r="BA53" s="329"/>
      <c r="BB53" s="351">
        <f t="shared" si="13"/>
        <v>2643489.749780067</v>
      </c>
      <c r="BC53" s="352">
        <f t="shared" si="14"/>
        <v>0</v>
      </c>
    </row>
    <row r="54" ht="15.75" customHeight="1" spans="1:55" x14ac:dyDescent="0.25">
      <c r="A54" s="395" t="s">
        <v>34</v>
      </c>
      <c r="B54" s="369" t="s">
        <v>565</v>
      </c>
      <c r="C54" s="334" t="s">
        <v>677</v>
      </c>
      <c r="D54" s="335">
        <f>IF('Informacion de Cotización'!B53="Si",+'Informacion de Cotización'!B29*4+'Informacion de Cotización'!B30*5+'Informacion de Cotización'!B31*6+'Informacion de Cotización'!B32*8,FALSE)</f>
        <v>0</v>
      </c>
      <c r="E54" s="336" t="s">
        <v>39</v>
      </c>
      <c r="F54" s="337">
        <f>(1+$F$7)*'Base M.O'!D43</f>
        <v>3300.0000000000005</v>
      </c>
      <c r="G54" s="337">
        <f t="shared" si="24"/>
        <v>0</v>
      </c>
      <c r="H54" s="338">
        <f t="shared" si="42"/>
        <v>0</v>
      </c>
      <c r="I54" s="339">
        <f t="shared" si="43"/>
        <v>0</v>
      </c>
      <c r="J54" s="340">
        <f t="shared" si="25"/>
        <v>0</v>
      </c>
      <c r="K54" s="340">
        <f t="shared" si="50"/>
        <v>0</v>
      </c>
      <c r="L54" s="340">
        <f t="shared" si="51"/>
        <v>0</v>
      </c>
      <c r="M54" s="340">
        <f>I54+G54</f>
        <v>0</v>
      </c>
      <c r="N54" s="340">
        <f t="shared" si="11"/>
        <v>0</v>
      </c>
      <c r="O54" s="340">
        <f t="shared" si="30"/>
        <v>0</v>
      </c>
      <c r="P54" s="271"/>
      <c r="Q54" s="341" t="s">
        <v>678</v>
      </c>
      <c r="R54" s="375" t="s">
        <v>679</v>
      </c>
      <c r="S54" s="343" t="s">
        <v>551</v>
      </c>
      <c r="T54" s="343">
        <v>1</v>
      </c>
      <c r="U54" s="344">
        <f t="shared" si="55"/>
        <v>369600</v>
      </c>
      <c r="V54" s="344">
        <f t="shared" si="55"/>
        <v>369600</v>
      </c>
      <c r="W54" s="344">
        <f t="shared" si="55"/>
        <v>369600</v>
      </c>
      <c r="X54" s="345">
        <f t="shared" si="55"/>
        <v>369600</v>
      </c>
      <c r="Y54" s="345">
        <f t="shared" si="55"/>
        <v>369600</v>
      </c>
      <c r="Z54" s="345">
        <f t="shared" si="55"/>
        <v>369600</v>
      </c>
      <c r="AA54" s="356">
        <f>+U54/$U$3</f>
        <v>0.010923511362727548</v>
      </c>
      <c r="AB54" s="347">
        <f>+AA54*$AB$8</f>
        <v>660872.4374450167</v>
      </c>
      <c r="AC54" s="348"/>
      <c r="AD54" s="349"/>
      <c r="AE54" s="349"/>
      <c r="AF54" s="349"/>
      <c r="AG54" s="349"/>
      <c r="AH54" s="349"/>
      <c r="AI54" s="349"/>
      <c r="AJ54" s="349"/>
      <c r="AK54" s="349"/>
      <c r="AL54" s="349"/>
      <c r="AM54" s="349"/>
      <c r="AN54" s="349"/>
      <c r="AO54" s="349"/>
      <c r="AP54" s="349"/>
      <c r="AQ54" s="349"/>
      <c r="AR54" s="349"/>
      <c r="AS54" s="349">
        <f>AB54/3</f>
        <v>220290.81248167224</v>
      </c>
      <c r="AT54" s="349">
        <f>AS54</f>
        <v>220290.81248167224</v>
      </c>
      <c r="AU54" s="349">
        <f>AT54</f>
        <v>220290.81248167224</v>
      </c>
      <c r="AV54" s="349"/>
      <c r="AW54" s="349"/>
      <c r="AX54" s="349"/>
      <c r="AY54" s="349"/>
      <c r="AZ54" s="350"/>
      <c r="BA54" s="329"/>
      <c r="BB54" s="351">
        <f t="shared" si="13"/>
        <v>660872.4374450167</v>
      </c>
      <c r="BC54" s="352">
        <f t="shared" si="14"/>
        <v>0</v>
      </c>
    </row>
    <row r="55" ht="15.75" customHeight="1" spans="1:55" x14ac:dyDescent="0.25">
      <c r="A55" s="395" t="s">
        <v>34</v>
      </c>
      <c r="B55" s="369" t="s">
        <v>565</v>
      </c>
      <c r="C55" s="334" t="s">
        <v>680</v>
      </c>
      <c r="D55" s="335">
        <f>+IF('Informacion de Cotización'!B56="SI",35,0)</f>
        <v>35</v>
      </c>
      <c r="E55" s="336" t="s">
        <v>32</v>
      </c>
      <c r="F55" s="337">
        <f>(1+$F$7)*'Base M.O'!D40</f>
        <v>4004.0000000000005</v>
      </c>
      <c r="G55" s="337">
        <f t="shared" si="24"/>
        <v>140140.00000000003</v>
      </c>
      <c r="H55" s="338">
        <f t="shared" si="42"/>
        <v>0.006465472398167542</v>
      </c>
      <c r="I55" s="339">
        <f t="shared" si="43"/>
        <v>140140.00000000003</v>
      </c>
      <c r="J55" s="340">
        <f t="shared" si="25"/>
        <v>280280.00000000006</v>
      </c>
      <c r="K55" s="340">
        <f t="shared" si="50"/>
        <v>280280.00000000006</v>
      </c>
      <c r="L55" s="340">
        <f t="shared" si="51"/>
        <v>280280.00000000006</v>
      </c>
      <c r="M55" s="340">
        <f>I55+G55</f>
        <v>280280.00000000006</v>
      </c>
      <c r="N55" s="340">
        <f t="shared" si="11"/>
        <v>280280.00000000006</v>
      </c>
      <c r="O55" s="340">
        <f t="shared" si="30"/>
        <v>280280.00000000006</v>
      </c>
      <c r="P55" s="271"/>
      <c r="Q55" s="341" t="s">
        <v>675</v>
      </c>
      <c r="R55" s="375" t="s">
        <v>681</v>
      </c>
      <c r="S55" s="343" t="s">
        <v>551</v>
      </c>
      <c r="T55" s="343">
        <v>1</v>
      </c>
      <c r="U55" s="344">
        <f t="shared" si="55"/>
        <v>2464000.0000000005</v>
      </c>
      <c r="V55" s="344">
        <f t="shared" si="55"/>
        <v>2464000.0000000005</v>
      </c>
      <c r="W55" s="344">
        <f t="shared" si="55"/>
        <v>2464000.0000000005</v>
      </c>
      <c r="X55" s="345">
        <f t="shared" si="55"/>
        <v>2464000.0000000005</v>
      </c>
      <c r="Y55" s="345">
        <f t="shared" si="55"/>
        <v>2464000.0000000005</v>
      </c>
      <c r="Z55" s="345">
        <f t="shared" si="55"/>
        <v>2464000.0000000005</v>
      </c>
      <c r="AA55" s="356">
        <f>+U55/$U$3</f>
        <v>0.07282340908485034</v>
      </c>
      <c r="AB55" s="347">
        <f>+AA55*$AB$8</f>
        <v>4405816.249633445</v>
      </c>
      <c r="AC55" s="348"/>
      <c r="AD55" s="349"/>
      <c r="AE55" s="349"/>
      <c r="AF55" s="349"/>
      <c r="AG55" s="349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349">
        <f>AB55/3</f>
        <v>1468605.4165444819</v>
      </c>
      <c r="AS55" s="349">
        <f>AC55/3</f>
        <v>0</v>
      </c>
      <c r="AT55" s="349">
        <f>AD55/3</f>
        <v>0</v>
      </c>
      <c r="AU55" s="349"/>
      <c r="AV55" s="349"/>
      <c r="AW55" s="349"/>
      <c r="AX55" s="349"/>
      <c r="AY55" s="349"/>
      <c r="AZ55" s="350"/>
      <c r="BA55" s="329"/>
      <c r="BB55" s="351">
        <f t="shared" si="13"/>
        <v>1468605.4165444819</v>
      </c>
      <c r="BC55" s="352">
        <f t="shared" si="14"/>
        <v>-2937210.8330889633</v>
      </c>
    </row>
    <row r="56" ht="15.75" customHeight="1" spans="1:55" x14ac:dyDescent="0.25">
      <c r="A56" s="395" t="s">
        <v>34</v>
      </c>
      <c r="B56" s="369" t="s">
        <v>565</v>
      </c>
      <c r="C56" s="334" t="s">
        <v>682</v>
      </c>
      <c r="D56" s="397">
        <f>IF('Informacion de Cotización'!B58="SI",60,0)</f>
        <v>60</v>
      </c>
      <c r="E56" s="336" t="s">
        <v>39</v>
      </c>
      <c r="F56" s="337">
        <f>(1+$F$7)*'Base M.O'!D16</f>
        <v>8470</v>
      </c>
      <c r="G56" s="337">
        <f t="shared" si="24"/>
        <v>508200</v>
      </c>
      <c r="H56" s="338">
        <f t="shared" si="42"/>
        <v>0.02344621858676141</v>
      </c>
      <c r="I56" s="339">
        <f t="shared" si="43"/>
        <v>508200</v>
      </c>
      <c r="J56" s="340">
        <f t="shared" si="25"/>
        <v>1016400</v>
      </c>
      <c r="K56" s="340">
        <f t="shared" si="50"/>
        <v>1016400</v>
      </c>
      <c r="L56" s="340">
        <f t="shared" si="51"/>
        <v>1016400</v>
      </c>
      <c r="M56" s="340">
        <f>+J56+H56</f>
        <v>1016400.0234462186</v>
      </c>
      <c r="N56" s="340">
        <f t="shared" si="11"/>
        <v>1016400</v>
      </c>
      <c r="O56" s="340">
        <f t="shared" si="30"/>
        <v>1016400</v>
      </c>
      <c r="P56" s="271"/>
      <c r="Q56" s="341" t="s">
        <v>678</v>
      </c>
      <c r="R56" s="387" t="s">
        <v>683</v>
      </c>
      <c r="S56" s="343" t="s">
        <v>551</v>
      </c>
      <c r="T56" s="343">
        <v>1</v>
      </c>
      <c r="U56" s="344">
        <f t="shared" si="55"/>
        <v>616000.0000000001</v>
      </c>
      <c r="V56" s="344">
        <f t="shared" si="55"/>
        <v>616000.0000000001</v>
      </c>
      <c r="W56" s="344">
        <f t="shared" si="55"/>
        <v>616000.0000000001</v>
      </c>
      <c r="X56" s="345">
        <f t="shared" si="55"/>
        <v>616000.0000000001</v>
      </c>
      <c r="Y56" s="345">
        <f t="shared" si="55"/>
        <v>616000.0000000001</v>
      </c>
      <c r="Z56" s="345">
        <f t="shared" si="55"/>
        <v>616000.0000000001</v>
      </c>
      <c r="AA56" s="356">
        <f>+U56/$U$3</f>
        <v>0.018205852271212585</v>
      </c>
      <c r="AB56" s="347">
        <f>+AA56*$AB$8</f>
        <v>1101454.0624083614</v>
      </c>
      <c r="AC56" s="348"/>
      <c r="AD56" s="349"/>
      <c r="AE56" s="349"/>
      <c r="AF56" s="349"/>
      <c r="AG56" s="349"/>
      <c r="AH56" s="349"/>
      <c r="AI56" s="349"/>
      <c r="AJ56" s="349"/>
      <c r="AK56" s="349"/>
      <c r="AL56" s="349"/>
      <c r="AM56" s="349"/>
      <c r="AN56" s="349"/>
      <c r="AO56" s="349"/>
      <c r="AP56" s="349"/>
      <c r="AQ56" s="349"/>
      <c r="AR56" s="349"/>
      <c r="AS56" s="349">
        <f>AB56/3</f>
        <v>367151.35413612047</v>
      </c>
      <c r="AT56" s="349">
        <f>AC56/3</f>
        <v>0</v>
      </c>
      <c r="AU56" s="349">
        <f>AD56/3</f>
        <v>0</v>
      </c>
      <c r="AV56" s="349"/>
      <c r="AW56" s="349"/>
      <c r="AX56" s="349"/>
      <c r="AY56" s="349"/>
      <c r="AZ56" s="350"/>
      <c r="BA56" s="329"/>
      <c r="BB56" s="351">
        <f t="shared" si="13"/>
        <v>367151.35413612047</v>
      </c>
      <c r="BC56" s="352">
        <f t="shared" si="14"/>
        <v>-734302.7082722408</v>
      </c>
    </row>
    <row r="57" ht="15.75" customHeight="1" spans="1:55" x14ac:dyDescent="0.25">
      <c r="A57" s="395" t="s">
        <v>34</v>
      </c>
      <c r="B57" s="369" t="s">
        <v>565</v>
      </c>
      <c r="C57" s="334" t="s">
        <v>684</v>
      </c>
      <c r="D57" s="335">
        <f>+'Informacion de Cotización'!B19/3</f>
        <v>0</v>
      </c>
      <c r="E57" s="336" t="s">
        <v>32</v>
      </c>
      <c r="F57" s="337">
        <f>(1+$F$7)*'Base M.O'!D36</f>
        <v>6600.000000000001</v>
      </c>
      <c r="G57" s="337">
        <f t="shared" si="24"/>
        <v>0</v>
      </c>
      <c r="H57" s="338">
        <f t="shared" si="42"/>
        <v>0</v>
      </c>
      <c r="I57" s="339">
        <f t="shared" si="43"/>
        <v>0</v>
      </c>
      <c r="J57" s="340">
        <f t="shared" si="25"/>
        <v>0</v>
      </c>
      <c r="K57" s="340">
        <f t="shared" si="50"/>
        <v>0</v>
      </c>
      <c r="L57" s="340">
        <f t="shared" si="51"/>
        <v>0</v>
      </c>
      <c r="M57" s="340">
        <f>I57+G57</f>
        <v>0</v>
      </c>
      <c r="N57" s="340">
        <f t="shared" si="11"/>
        <v>0</v>
      </c>
      <c r="O57" s="340">
        <f t="shared" si="30"/>
        <v>0</v>
      </c>
      <c r="P57" s="271"/>
      <c r="Q57" s="341" t="s">
        <v>685</v>
      </c>
      <c r="R57" s="375" t="s">
        <v>686</v>
      </c>
      <c r="S57" s="343" t="s">
        <v>551</v>
      </c>
      <c r="T57" s="343">
        <v>1</v>
      </c>
      <c r="U57" s="344">
        <f t="shared" ref="U57:Z57" si="56">+J67+J68</f>
        <v>0</v>
      </c>
      <c r="V57" s="344">
        <f t="shared" si="56"/>
        <v>0</v>
      </c>
      <c r="W57" s="344">
        <f t="shared" si="56"/>
        <v>0</v>
      </c>
      <c r="X57" s="345">
        <f t="shared" si="56"/>
        <v>0</v>
      </c>
      <c r="Y57" s="345">
        <f t="shared" si="56"/>
        <v>0</v>
      </c>
      <c r="Z57" s="345">
        <f t="shared" si="56"/>
        <v>0</v>
      </c>
      <c r="AA57" s="356">
        <f>+U57/$U$3</f>
        <v>0</v>
      </c>
      <c r="AB57" s="347">
        <f>+AA57*$AB$8</f>
        <v>0</v>
      </c>
      <c r="AC57" s="348"/>
      <c r="AD57" s="349"/>
      <c r="AE57" s="349"/>
      <c r="AF57" s="349"/>
      <c r="AG57" s="349"/>
      <c r="AH57" s="349"/>
      <c r="AI57" s="349"/>
      <c r="AJ57" s="349"/>
      <c r="AK57" s="349"/>
      <c r="AL57" s="349"/>
      <c r="AM57" s="349"/>
      <c r="AN57" s="349"/>
      <c r="AO57" s="349"/>
      <c r="AP57" s="349"/>
      <c r="AQ57" s="349"/>
      <c r="AR57" s="349"/>
      <c r="AS57" s="349"/>
      <c r="AT57" s="349"/>
      <c r="AU57" s="349">
        <f>AB57/2</f>
        <v>0</v>
      </c>
      <c r="AV57" s="349">
        <f>AU57</f>
        <v>0</v>
      </c>
      <c r="AW57" s="349"/>
      <c r="AX57" s="349"/>
      <c r="AY57" s="349"/>
      <c r="AZ57" s="350"/>
      <c r="BA57" s="329"/>
      <c r="BB57" s="351">
        <f t="shared" si="13"/>
        <v>0</v>
      </c>
      <c r="BC57" s="352">
        <f t="shared" si="14"/>
        <v>0</v>
      </c>
    </row>
    <row r="58" ht="15.75" customHeight="1" spans="1:55" x14ac:dyDescent="0.25">
      <c r="A58" s="395" t="s">
        <v>34</v>
      </c>
      <c r="B58" s="369" t="s">
        <v>565</v>
      </c>
      <c r="C58" s="334" t="s">
        <v>687</v>
      </c>
      <c r="D58" s="335" t="str">
        <f>+IF('Informacion de Cotización'!B61="SI",('Informacion de Cotización'!B7-'Informacion de Cotización'!B8),"0")</f>
        <v>0</v>
      </c>
      <c r="E58" s="336" t="s">
        <v>32</v>
      </c>
      <c r="F58" s="337">
        <f>(1+$F$7)*'Base M.O'!D44</f>
        <v>6622.000000000001</v>
      </c>
      <c r="G58" s="337">
        <f t="shared" si="24"/>
        <v>0</v>
      </c>
      <c r="H58" s="338">
        <f t="shared" si="42"/>
        <v>0</v>
      </c>
      <c r="I58" s="339">
        <f t="shared" si="43"/>
        <v>0</v>
      </c>
      <c r="J58" s="340">
        <f t="shared" si="25"/>
        <v>0</v>
      </c>
      <c r="K58" s="340">
        <f t="shared" si="50"/>
        <v>0</v>
      </c>
      <c r="L58" s="340">
        <f t="shared" si="51"/>
        <v>0</v>
      </c>
      <c r="M58" s="340">
        <f>I58+G58</f>
        <v>0</v>
      </c>
      <c r="N58" s="340">
        <f t="shared" si="11"/>
        <v>0</v>
      </c>
      <c r="O58" s="340">
        <f t="shared" si="30"/>
        <v>0</v>
      </c>
      <c r="P58" s="271"/>
      <c r="Q58" s="319">
        <v>11</v>
      </c>
      <c r="R58" s="320" t="s">
        <v>688</v>
      </c>
      <c r="S58" s="320"/>
      <c r="T58" s="320"/>
      <c r="U58" s="321"/>
      <c r="V58" s="322"/>
      <c r="W58" s="322"/>
      <c r="X58" s="323"/>
      <c r="Y58" s="323"/>
      <c r="Z58" s="323"/>
      <c r="AA58" s="324"/>
      <c r="AB58" s="325"/>
      <c r="AC58" s="326"/>
      <c r="AD58" s="327"/>
      <c r="AE58" s="327"/>
      <c r="AF58" s="327"/>
      <c r="AG58" s="327"/>
      <c r="AH58" s="327"/>
      <c r="AI58" s="327"/>
      <c r="AJ58" s="327"/>
      <c r="AK58" s="327"/>
      <c r="AL58" s="327"/>
      <c r="AM58" s="327"/>
      <c r="AN58" s="327"/>
      <c r="AO58" s="327"/>
      <c r="AP58" s="327"/>
      <c r="AQ58" s="327"/>
      <c r="AR58" s="327"/>
      <c r="AS58" s="327"/>
      <c r="AT58" s="327"/>
      <c r="AU58" s="327"/>
      <c r="AV58" s="327"/>
      <c r="AW58" s="327"/>
      <c r="AX58" s="327"/>
      <c r="AY58" s="327"/>
      <c r="AZ58" s="328"/>
      <c r="BA58" s="329"/>
      <c r="BB58" s="351">
        <f t="shared" si="13"/>
        <v>0</v>
      </c>
      <c r="BC58" s="352">
        <f t="shared" si="14"/>
        <v>0</v>
      </c>
    </row>
    <row r="59" ht="15.95" customHeight="1" spans="1:55" x14ac:dyDescent="0.25">
      <c r="A59" s="395" t="s">
        <v>34</v>
      </c>
      <c r="B59" s="353" t="s">
        <v>552</v>
      </c>
      <c r="C59" s="334" t="s">
        <v>689</v>
      </c>
      <c r="D59" s="335">
        <f>IF('Informacion de Cotización'!B45="SI",1,)</f>
        <v>1</v>
      </c>
      <c r="E59" s="336" t="s">
        <v>545</v>
      </c>
      <c r="F59" s="337">
        <f>(1+$F$7)*'Base M.O'!D10</f>
        <v>231000.00000000003</v>
      </c>
      <c r="G59" s="337">
        <f t="shared" si="24"/>
        <v>231000.00000000003</v>
      </c>
      <c r="H59" s="338">
        <f t="shared" si="42"/>
        <v>0.010657372084891552</v>
      </c>
      <c r="I59" s="339">
        <f t="shared" si="43"/>
        <v>231000.00000000003</v>
      </c>
      <c r="J59" s="340">
        <f t="shared" si="25"/>
        <v>462000.00000000006</v>
      </c>
      <c r="K59" s="340">
        <f t="shared" si="50"/>
        <v>462000.00000000006</v>
      </c>
      <c r="L59" s="340">
        <f t="shared" si="51"/>
        <v>462000.00000000006</v>
      </c>
      <c r="M59" s="340">
        <f>I59+G59</f>
        <v>462000.00000000006</v>
      </c>
      <c r="N59" s="340">
        <f t="shared" si="11"/>
        <v>462000.00000000006</v>
      </c>
      <c r="O59" s="340">
        <f t="shared" si="30"/>
        <v>462000.00000000006</v>
      </c>
      <c r="P59" s="271"/>
      <c r="Q59" s="341" t="s">
        <v>690</v>
      </c>
      <c r="R59" s="375" t="s">
        <v>691</v>
      </c>
      <c r="S59" s="343" t="s">
        <v>551</v>
      </c>
      <c r="T59" s="343">
        <v>1</v>
      </c>
      <c r="U59" s="344">
        <f t="shared" ref="U59:Z62" si="57">+J11</f>
        <v>924000.0000000001</v>
      </c>
      <c r="V59" s="344">
        <f t="shared" si="57"/>
        <v>924000.0000000001</v>
      </c>
      <c r="W59" s="344">
        <f t="shared" si="57"/>
        <v>924000.0000000001</v>
      </c>
      <c r="X59" s="345">
        <f t="shared" si="57"/>
        <v>924000.0000000001</v>
      </c>
      <c r="Y59" s="345">
        <f t="shared" si="57"/>
        <v>924000.0000000001</v>
      </c>
      <c r="Z59" s="345">
        <f t="shared" si="57"/>
        <v>924000.0000000001</v>
      </c>
      <c r="AA59" s="356">
        <f>+U59/$U$3</f>
        <v>0.027308778406818876</v>
      </c>
      <c r="AB59" s="347">
        <f>+AA59*$AB$8</f>
        <v>1652181.093612542</v>
      </c>
      <c r="AC59" s="348"/>
      <c r="AD59" s="349">
        <f>AB59/2</f>
        <v>826090.546806271</v>
      </c>
      <c r="AE59" s="349">
        <f>AD59</f>
        <v>826090.546806271</v>
      </c>
      <c r="AF59" s="349"/>
      <c r="AG59" s="349"/>
      <c r="AH59" s="349"/>
      <c r="AI59" s="349"/>
      <c r="AJ59" s="349"/>
      <c r="AK59" s="349"/>
      <c r="AL59" s="349"/>
      <c r="AM59" s="349"/>
      <c r="AN59" s="349"/>
      <c r="AO59" s="349"/>
      <c r="AP59" s="349"/>
      <c r="AQ59" s="349"/>
      <c r="AR59" s="349"/>
      <c r="AS59" s="349"/>
      <c r="AT59" s="349"/>
      <c r="AU59" s="349"/>
      <c r="AV59" s="349"/>
      <c r="AW59" s="349"/>
      <c r="AX59" s="349"/>
      <c r="AY59" s="349"/>
      <c r="AZ59" s="350"/>
      <c r="BA59" s="329"/>
      <c r="BB59" s="351">
        <f t="shared" si="13"/>
        <v>1652181.093612542</v>
      </c>
      <c r="BC59" s="352">
        <f t="shared" si="14"/>
        <v>0</v>
      </c>
    </row>
    <row r="60" ht="15.95" customHeight="1" spans="1:55" x14ac:dyDescent="0.25">
      <c r="A60" s="395" t="s">
        <v>34</v>
      </c>
      <c r="B60" s="369" t="s">
        <v>657</v>
      </c>
      <c r="C60" s="334" t="s">
        <v>692</v>
      </c>
      <c r="D60" s="335">
        <f>Materiales!D139</f>
        <v>39.375</v>
      </c>
      <c r="E60" s="336" t="s">
        <v>448</v>
      </c>
      <c r="F60" s="337">
        <f>(1+$F$7)*'Base M.O'!D21</f>
        <v>6600.000000000001</v>
      </c>
      <c r="G60" s="337">
        <f t="shared" si="24"/>
        <v>259875.00000000003</v>
      </c>
      <c r="H60" s="338">
        <f t="shared" si="42"/>
        <v>0.011989543595502996</v>
      </c>
      <c r="I60" s="339">
        <f t="shared" si="43"/>
        <v>259875.00000000003</v>
      </c>
      <c r="J60" s="340">
        <f t="shared" si="25"/>
        <v>519750.00000000006</v>
      </c>
      <c r="K60" s="340"/>
      <c r="L60" s="340"/>
      <c r="M60" s="340">
        <f>I60+G60</f>
        <v>519750.00000000006</v>
      </c>
      <c r="N60" s="340">
        <f t="shared" si="11"/>
        <v>519750.00000000006</v>
      </c>
      <c r="O60" s="340">
        <f t="shared" si="30"/>
        <v>519750.00000000006</v>
      </c>
      <c r="P60" s="271"/>
      <c r="Q60" s="341" t="s">
        <v>693</v>
      </c>
      <c r="R60" s="375" t="s">
        <v>694</v>
      </c>
      <c r="S60" s="343" t="s">
        <v>551</v>
      </c>
      <c r="T60" s="343">
        <v>1</v>
      </c>
      <c r="U60" s="344">
        <f t="shared" si="57"/>
        <v>492800.00000000006</v>
      </c>
      <c r="V60" s="344">
        <f t="shared" si="57"/>
        <v>492800.00000000006</v>
      </c>
      <c r="W60" s="344">
        <f t="shared" si="57"/>
        <v>492800.00000000006</v>
      </c>
      <c r="X60" s="345">
        <f t="shared" si="57"/>
        <v>492800.00000000006</v>
      </c>
      <c r="Y60" s="345">
        <f t="shared" si="57"/>
        <v>492800.00000000006</v>
      </c>
      <c r="Z60" s="345">
        <f t="shared" si="57"/>
        <v>492800.00000000006</v>
      </c>
      <c r="AA60" s="356">
        <f>+U60/$U$3</f>
        <v>0.014564681816970067</v>
      </c>
      <c r="AB60" s="347">
        <f>+AA60*$AB$8</f>
        <v>881163.2499266891</v>
      </c>
      <c r="AC60" s="348"/>
      <c r="AD60" s="349"/>
      <c r="AE60" s="349">
        <f>AB60/2</f>
        <v>440581.62496334454</v>
      </c>
      <c r="AF60" s="349"/>
      <c r="AG60" s="349"/>
      <c r="AH60" s="349"/>
      <c r="AI60" s="349"/>
      <c r="AJ60" s="349"/>
      <c r="AK60" s="349"/>
      <c r="AL60" s="349">
        <f>AE60</f>
        <v>440581.62496334454</v>
      </c>
      <c r="AM60" s="349"/>
      <c r="AN60" s="349"/>
      <c r="AO60" s="349"/>
      <c r="AP60" s="349"/>
      <c r="AQ60" s="349"/>
      <c r="AR60" s="349"/>
      <c r="AS60" s="349"/>
      <c r="AT60" s="349"/>
      <c r="AU60" s="349"/>
      <c r="AV60" s="349"/>
      <c r="AW60" s="349"/>
      <c r="AX60" s="349"/>
      <c r="AY60" s="349"/>
      <c r="AZ60" s="350"/>
      <c r="BA60" s="329"/>
      <c r="BB60" s="351">
        <f t="shared" si="13"/>
        <v>881163.2499266891</v>
      </c>
      <c r="BC60" s="352">
        <f t="shared" si="14"/>
        <v>0</v>
      </c>
    </row>
    <row r="61" ht="15.95" customHeight="1" spans="1:55" x14ac:dyDescent="0.25">
      <c r="A61" s="395" t="s">
        <v>34</v>
      </c>
      <c r="B61" s="369" t="s">
        <v>657</v>
      </c>
      <c r="C61" s="334" t="s">
        <v>695</v>
      </c>
      <c r="D61" s="335">
        <f>+Materiales!F139</f>
        <v>0</v>
      </c>
      <c r="E61" s="336" t="s">
        <v>448</v>
      </c>
      <c r="F61" s="337">
        <f>(1+$F$7)*'Base M.O'!D21</f>
        <v>6600.000000000001</v>
      </c>
      <c r="G61" s="337">
        <f t="shared" si="24"/>
        <v>0</v>
      </c>
      <c r="H61" s="338">
        <f t="shared" si="42"/>
        <v>0</v>
      </c>
      <c r="I61" s="339">
        <f t="shared" si="43"/>
        <v>0</v>
      </c>
      <c r="J61" s="382"/>
      <c r="K61" s="340">
        <f t="shared" ref="K61:K77" si="58">+I61+G61</f>
        <v>0</v>
      </c>
      <c r="L61" s="340">
        <f t="shared" ref="L61:L77" si="59">+I61+G61</f>
        <v>0</v>
      </c>
      <c r="M61" s="340">
        <f t="shared" ref="M61:M77" si="60">I61+G61</f>
        <v>0</v>
      </c>
      <c r="N61" s="340">
        <f t="shared" si="11"/>
        <v>0</v>
      </c>
      <c r="O61" s="340">
        <f t="shared" si="30"/>
        <v>0</v>
      </c>
      <c r="P61" s="271"/>
      <c r="Q61" s="341" t="s">
        <v>696</v>
      </c>
      <c r="R61" s="375" t="s">
        <v>697</v>
      </c>
      <c r="S61" s="343" t="s">
        <v>551</v>
      </c>
      <c r="T61" s="343">
        <v>1</v>
      </c>
      <c r="U61" s="344">
        <f t="shared" si="57"/>
        <v>431200.0000000001</v>
      </c>
      <c r="V61" s="344">
        <f t="shared" si="57"/>
        <v>431200.0000000001</v>
      </c>
      <c r="W61" s="344">
        <f t="shared" si="57"/>
        <v>431200.0000000001</v>
      </c>
      <c r="X61" s="345">
        <f t="shared" si="57"/>
        <v>431200.0000000001</v>
      </c>
      <c r="Y61" s="345">
        <f t="shared" si="57"/>
        <v>431200.0000000001</v>
      </c>
      <c r="Z61" s="345">
        <f t="shared" si="57"/>
        <v>431200.0000000001</v>
      </c>
      <c r="AA61" s="356">
        <f>+U61/$U$3</f>
        <v>0.01274409658984881</v>
      </c>
      <c r="AB61" s="347">
        <f>+AA61*$AB$8</f>
        <v>771017.8436858531</v>
      </c>
      <c r="AC61" s="348"/>
      <c r="AD61" s="349">
        <f>AB61</f>
        <v>771017.8436858531</v>
      </c>
      <c r="AE61" s="349"/>
      <c r="AF61" s="349"/>
      <c r="AG61" s="349"/>
      <c r="AH61" s="349"/>
      <c r="AI61" s="349"/>
      <c r="AJ61" s="349"/>
      <c r="AK61" s="349"/>
      <c r="AL61" s="349"/>
      <c r="AM61" s="349"/>
      <c r="AN61" s="349"/>
      <c r="AO61" s="349"/>
      <c r="AP61" s="349"/>
      <c r="AQ61" s="349"/>
      <c r="AR61" s="349"/>
      <c r="AS61" s="349"/>
      <c r="AT61" s="349"/>
      <c r="AU61" s="349"/>
      <c r="AV61" s="349"/>
      <c r="AW61" s="349"/>
      <c r="AX61" s="349"/>
      <c r="AY61" s="349"/>
      <c r="AZ61" s="350"/>
      <c r="BA61" s="329"/>
      <c r="BB61" s="351">
        <f t="shared" si="13"/>
        <v>771017.8436858531</v>
      </c>
      <c r="BC61" s="352">
        <f t="shared" si="14"/>
        <v>0</v>
      </c>
    </row>
    <row r="62" ht="15.75" customHeight="1" spans="1:55" x14ac:dyDescent="0.25">
      <c r="A62" s="398" t="s">
        <v>34</v>
      </c>
      <c r="B62" s="369" t="s">
        <v>657</v>
      </c>
      <c r="C62" s="359" t="s">
        <v>698</v>
      </c>
      <c r="D62" s="378">
        <f>Materiales!D140*2</f>
        <v>0</v>
      </c>
      <c r="E62" s="361" t="s">
        <v>32</v>
      </c>
      <c r="F62" s="362">
        <f>(1+$F$7)*'Base M.O'!D35</f>
        <v>1540.0000000000002</v>
      </c>
      <c r="G62" s="362">
        <f t="shared" si="24"/>
        <v>0</v>
      </c>
      <c r="H62" s="363">
        <f t="shared" si="42"/>
        <v>0</v>
      </c>
      <c r="I62" s="364">
        <f t="shared" si="43"/>
        <v>0</v>
      </c>
      <c r="J62" s="365">
        <f t="shared" ref="J62:J77" si="61">+I62+G62</f>
        <v>0</v>
      </c>
      <c r="K62" s="365">
        <f t="shared" si="58"/>
        <v>0</v>
      </c>
      <c r="L62" s="365">
        <f t="shared" si="59"/>
        <v>0</v>
      </c>
      <c r="M62" s="365">
        <f t="shared" si="60"/>
        <v>0</v>
      </c>
      <c r="N62" s="365">
        <f t="shared" si="11"/>
        <v>0</v>
      </c>
      <c r="O62" s="365">
        <f t="shared" si="30"/>
        <v>0</v>
      </c>
      <c r="P62" s="271"/>
      <c r="Q62" s="341" t="s">
        <v>699</v>
      </c>
      <c r="R62" s="375" t="s">
        <v>700</v>
      </c>
      <c r="S62" s="343" t="s">
        <v>551</v>
      </c>
      <c r="T62" s="343">
        <v>1</v>
      </c>
      <c r="U62" s="344">
        <f t="shared" si="57"/>
        <v>770000.0000000001</v>
      </c>
      <c r="V62" s="344">
        <f t="shared" si="57"/>
        <v>770000.0000000001</v>
      </c>
      <c r="W62" s="344">
        <f t="shared" si="57"/>
        <v>770000.0000000001</v>
      </c>
      <c r="X62" s="345">
        <f t="shared" si="57"/>
        <v>770000.0000000001</v>
      </c>
      <c r="Y62" s="345">
        <f t="shared" si="57"/>
        <v>770000.0000000001</v>
      </c>
      <c r="Z62" s="345">
        <f t="shared" si="57"/>
        <v>770000.0000000001</v>
      </c>
      <c r="AA62" s="356">
        <f>+U62/$U$3</f>
        <v>0.02275731533901573</v>
      </c>
      <c r="AB62" s="347">
        <f>+AA62*$AB$8</f>
        <v>1376817.5780104515</v>
      </c>
      <c r="AC62" s="348"/>
      <c r="AD62" s="349"/>
      <c r="AE62" s="349">
        <f>AB62</f>
        <v>1376817.5780104515</v>
      </c>
      <c r="AF62" s="349"/>
      <c r="AG62" s="349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349"/>
      <c r="AS62" s="349"/>
      <c r="AT62" s="349"/>
      <c r="AU62" s="349"/>
      <c r="AV62" s="349"/>
      <c r="AW62" s="349"/>
      <c r="AX62" s="349"/>
      <c r="AY62" s="349"/>
      <c r="AZ62" s="350"/>
      <c r="BA62" s="329"/>
      <c r="BB62" s="351">
        <f t="shared" si="13"/>
        <v>1376817.5780104515</v>
      </c>
      <c r="BC62" s="352">
        <f t="shared" si="14"/>
        <v>0</v>
      </c>
    </row>
    <row r="63" ht="15.75" customHeight="1" spans="1:55" x14ac:dyDescent="0.25">
      <c r="A63" s="399" t="s">
        <v>21</v>
      </c>
      <c r="B63" s="400" t="s">
        <v>701</v>
      </c>
      <c r="C63" s="312" t="s">
        <v>702</v>
      </c>
      <c r="D63" s="313">
        <f>+IF('Informacion de Cotización'!B54="SI",('Informacion de Cotización'!B9),"0")</f>
        <v>200</v>
      </c>
      <c r="E63" s="314" t="s">
        <v>39</v>
      </c>
      <c r="F63" s="315">
        <f>(1+$F$7)*'Base M.O'!D68</f>
        <v>3696.0000000000005</v>
      </c>
      <c r="G63" s="315">
        <f t="shared" si="24"/>
        <v>739200.0000000001</v>
      </c>
      <c r="H63" s="316">
        <f t="shared" si="42"/>
        <v>0.034103590671652965</v>
      </c>
      <c r="I63" s="317">
        <f t="shared" si="43"/>
        <v>739200</v>
      </c>
      <c r="J63" s="318">
        <f t="shared" si="61"/>
        <v>1478400</v>
      </c>
      <c r="K63" s="318">
        <f t="shared" si="58"/>
        <v>1478400</v>
      </c>
      <c r="L63" s="318">
        <f t="shared" si="59"/>
        <v>1478400</v>
      </c>
      <c r="M63" s="318">
        <f t="shared" si="60"/>
        <v>1478400</v>
      </c>
      <c r="N63" s="318">
        <f t="shared" si="11"/>
        <v>1478400</v>
      </c>
      <c r="O63" s="318">
        <f t="shared" si="30"/>
        <v>1478400</v>
      </c>
      <c r="P63" s="271"/>
      <c r="Q63" s="341" t="s">
        <v>703</v>
      </c>
      <c r="R63" s="375" t="s">
        <v>704</v>
      </c>
      <c r="S63" s="343" t="s">
        <v>551</v>
      </c>
      <c r="T63" s="343">
        <v>1</v>
      </c>
      <c r="U63" s="344">
        <f t="shared" ref="U63:Z63" si="62">+J34+J59</f>
        <v>1386000.0000000002</v>
      </c>
      <c r="V63" s="344">
        <f t="shared" si="62"/>
        <v>1386000.0000000002</v>
      </c>
      <c r="W63" s="344">
        <f t="shared" si="62"/>
        <v>1386000.0000000002</v>
      </c>
      <c r="X63" s="345">
        <f t="shared" si="62"/>
        <v>1386000.0000000002</v>
      </c>
      <c r="Y63" s="345">
        <f t="shared" si="62"/>
        <v>1386000.0000000002</v>
      </c>
      <c r="Z63" s="345">
        <f t="shared" si="62"/>
        <v>1570800</v>
      </c>
      <c r="AA63" s="356">
        <f>+U63/$U$3</f>
        <v>0.040963167610228314</v>
      </c>
      <c r="AB63" s="347">
        <f>+AA63*$AB$8</f>
        <v>2478271.640418813</v>
      </c>
      <c r="AC63" s="348"/>
      <c r="AD63" s="349"/>
      <c r="AE63" s="349"/>
      <c r="AF63" s="349"/>
      <c r="AG63" s="349"/>
      <c r="AH63" s="349"/>
      <c r="AI63" s="349">
        <f>AB63/2</f>
        <v>1239135.8202094065</v>
      </c>
      <c r="AJ63" s="349">
        <f>AI63</f>
        <v>1239135.8202094065</v>
      </c>
      <c r="AK63" s="349"/>
      <c r="AL63" s="349"/>
      <c r="AM63" s="349"/>
      <c r="AN63" s="349"/>
      <c r="AO63" s="349"/>
      <c r="AP63" s="349"/>
      <c r="AQ63" s="349"/>
      <c r="AR63" s="349"/>
      <c r="AS63" s="349"/>
      <c r="AT63" s="349"/>
      <c r="AU63" s="349"/>
      <c r="AV63" s="349"/>
      <c r="AW63" s="349"/>
      <c r="AX63" s="349"/>
      <c r="AY63" s="349"/>
      <c r="AZ63" s="350"/>
      <c r="BA63" s="329"/>
      <c r="BB63" s="351">
        <f t="shared" si="13"/>
        <v>2478271.640418813</v>
      </c>
      <c r="BC63" s="352">
        <f t="shared" si="14"/>
        <v>0</v>
      </c>
    </row>
    <row r="64" ht="15.75" customHeight="1" spans="1:55" x14ac:dyDescent="0.25">
      <c r="A64" s="401" t="s">
        <v>21</v>
      </c>
      <c r="B64" s="402" t="s">
        <v>701</v>
      </c>
      <c r="C64" s="334" t="s">
        <v>705</v>
      </c>
      <c r="D64" s="335">
        <f>+IF('Informacion de Cotización'!B54="SI",'Informacion de Cotización'!B10,"0")</f>
        <v>50</v>
      </c>
      <c r="E64" s="336" t="s">
        <v>39</v>
      </c>
      <c r="F64" s="337">
        <f>(1+$F$7)*'Base M.O'!D68</f>
        <v>3696.0000000000005</v>
      </c>
      <c r="G64" s="337">
        <f t="shared" si="24"/>
        <v>184800.00000000003</v>
      </c>
      <c r="H64" s="338">
        <f t="shared" si="42"/>
        <v>0.008525897667913241</v>
      </c>
      <c r="I64" s="339">
        <f t="shared" si="43"/>
        <v>184800</v>
      </c>
      <c r="J64" s="340">
        <f t="shared" si="61"/>
        <v>369600</v>
      </c>
      <c r="K64" s="340">
        <f t="shared" si="58"/>
        <v>369600</v>
      </c>
      <c r="L64" s="340">
        <f t="shared" si="59"/>
        <v>369600</v>
      </c>
      <c r="M64" s="340">
        <f t="shared" si="60"/>
        <v>369600</v>
      </c>
      <c r="N64" s="340">
        <f t="shared" si="11"/>
        <v>369600</v>
      </c>
      <c r="O64" s="340">
        <f t="shared" si="30"/>
        <v>369600</v>
      </c>
      <c r="P64" s="271"/>
      <c r="Q64" s="319">
        <v>12</v>
      </c>
      <c r="R64" s="320" t="s">
        <v>706</v>
      </c>
      <c r="S64" s="320"/>
      <c r="T64" s="320"/>
      <c r="U64" s="321"/>
      <c r="V64" s="322"/>
      <c r="W64" s="322"/>
      <c r="X64" s="323"/>
      <c r="Y64" s="323"/>
      <c r="Z64" s="323"/>
      <c r="AA64" s="324"/>
      <c r="AB64" s="325"/>
      <c r="AC64" s="326"/>
      <c r="AD64" s="327"/>
      <c r="AE64" s="327"/>
      <c r="AF64" s="327"/>
      <c r="AG64" s="327"/>
      <c r="AH64" s="327"/>
      <c r="AI64" s="327"/>
      <c r="AJ64" s="327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7"/>
      <c r="AX64" s="327"/>
      <c r="AY64" s="327"/>
      <c r="AZ64" s="328"/>
      <c r="BA64" s="329"/>
      <c r="BB64" s="351">
        <f t="shared" si="13"/>
        <v>0</v>
      </c>
      <c r="BC64" s="352">
        <f t="shared" si="14"/>
        <v>0</v>
      </c>
    </row>
    <row r="65" ht="15.75" customHeight="1" spans="1:55" x14ac:dyDescent="0.25">
      <c r="A65" s="401" t="s">
        <v>21</v>
      </c>
      <c r="B65" s="402" t="s">
        <v>707</v>
      </c>
      <c r="C65" s="334" t="s">
        <v>708</v>
      </c>
      <c r="D65" s="335">
        <f>+IF('Informacion de Cotización'!B55="SI",'Informacion de Cotización'!B9,"0")</f>
        <v>200</v>
      </c>
      <c r="E65" s="336" t="s">
        <v>39</v>
      </c>
      <c r="F65" s="337">
        <f>(1+$F$7)*'Base M.O'!D63</f>
        <v>6160.000000000001</v>
      </c>
      <c r="G65" s="337">
        <f t="shared" si="24"/>
        <v>1232000.0000000002</v>
      </c>
      <c r="H65" s="338">
        <f t="shared" si="42"/>
        <v>0.056839317786088285</v>
      </c>
      <c r="I65" s="339">
        <f t="shared" si="43"/>
        <v>1232000.0000000002</v>
      </c>
      <c r="J65" s="340">
        <f t="shared" si="61"/>
        <v>2464000.0000000005</v>
      </c>
      <c r="K65" s="340">
        <f t="shared" si="58"/>
        <v>2464000.0000000005</v>
      </c>
      <c r="L65" s="340">
        <f t="shared" si="59"/>
        <v>2464000.0000000005</v>
      </c>
      <c r="M65" s="340">
        <f t="shared" si="60"/>
        <v>2464000.0000000005</v>
      </c>
      <c r="N65" s="340">
        <f t="shared" si="11"/>
        <v>2464000.0000000005</v>
      </c>
      <c r="O65" s="340">
        <f t="shared" si="30"/>
        <v>2464000.0000000005</v>
      </c>
      <c r="P65" s="271"/>
      <c r="Q65" s="341" t="s">
        <v>709</v>
      </c>
      <c r="R65" s="375" t="s">
        <v>710</v>
      </c>
      <c r="S65" s="343" t="s">
        <v>551</v>
      </c>
      <c r="T65" s="343">
        <v>1</v>
      </c>
      <c r="U65" s="344">
        <f t="shared" ref="U65:Z65" si="63">+J39</f>
        <v>0</v>
      </c>
      <c r="V65" s="344">
        <f t="shared" si="63"/>
        <v>0</v>
      </c>
      <c r="W65" s="344">
        <f t="shared" si="63"/>
        <v>0</v>
      </c>
      <c r="X65" s="345">
        <f t="shared" si="63"/>
        <v>0</v>
      </c>
      <c r="Y65" s="345">
        <f t="shared" si="63"/>
        <v>0</v>
      </c>
      <c r="Z65" s="345">
        <f t="shared" si="63"/>
        <v>0</v>
      </c>
      <c r="AA65" s="356">
        <f>+U65/$U$3</f>
        <v>0</v>
      </c>
      <c r="AB65" s="347">
        <f>+AA65*$AB$8</f>
        <v>0</v>
      </c>
      <c r="AC65" s="348"/>
      <c r="AD65" s="349"/>
      <c r="AE65" s="349"/>
      <c r="AF65" s="349"/>
      <c r="AG65" s="349"/>
      <c r="AH65" s="349"/>
      <c r="AI65" s="349">
        <f>AB65/4</f>
        <v>0</v>
      </c>
      <c r="AJ65" s="349"/>
      <c r="AK65" s="349">
        <f>AI65</f>
        <v>0</v>
      </c>
      <c r="AL65" s="349"/>
      <c r="AM65" s="349">
        <f>AK65</f>
        <v>0</v>
      </c>
      <c r="AN65" s="349"/>
      <c r="AO65" s="349"/>
      <c r="AP65" s="349"/>
      <c r="AQ65" s="349"/>
      <c r="AR65" s="349"/>
      <c r="AS65" s="349"/>
      <c r="AT65" s="349"/>
      <c r="AU65" s="349"/>
      <c r="AV65" s="349"/>
      <c r="AW65" s="349"/>
      <c r="AX65" s="349"/>
      <c r="AY65" s="349">
        <f>AM65</f>
        <v>0</v>
      </c>
      <c r="AZ65" s="350"/>
      <c r="BA65" s="329"/>
      <c r="BB65" s="351">
        <f t="shared" si="13"/>
        <v>0</v>
      </c>
      <c r="BC65" s="352">
        <f t="shared" si="14"/>
        <v>0</v>
      </c>
    </row>
    <row r="66" ht="15.75" customHeight="1" spans="1:55" x14ac:dyDescent="0.25">
      <c r="A66" s="401" t="s">
        <v>21</v>
      </c>
      <c r="B66" s="402" t="s">
        <v>707</v>
      </c>
      <c r="C66" s="334" t="s">
        <v>711</v>
      </c>
      <c r="D66" s="335">
        <f>+IF('Informacion de Cotización'!$B$55="SI",('Informacion de Cotización'!B10),"0")</f>
        <v>50</v>
      </c>
      <c r="E66" s="336" t="s">
        <v>39</v>
      </c>
      <c r="F66" s="337">
        <f>(1+$F$7)*'Base M.O'!D63</f>
        <v>6160.000000000001</v>
      </c>
      <c r="G66" s="337">
        <f t="shared" si="24"/>
        <v>308000.00000000006</v>
      </c>
      <c r="H66" s="338">
        <f t="shared" si="42"/>
        <v>0.014209829446522071</v>
      </c>
      <c r="I66" s="339">
        <f t="shared" si="43"/>
        <v>308000.00000000006</v>
      </c>
      <c r="J66" s="340">
        <f t="shared" si="61"/>
        <v>616000.0000000001</v>
      </c>
      <c r="K66" s="340">
        <f t="shared" si="58"/>
        <v>616000.0000000001</v>
      </c>
      <c r="L66" s="340">
        <f t="shared" si="59"/>
        <v>616000.0000000001</v>
      </c>
      <c r="M66" s="340">
        <f t="shared" si="60"/>
        <v>616000.0000000001</v>
      </c>
      <c r="N66" s="340">
        <f t="shared" si="11"/>
        <v>616000.0000000001</v>
      </c>
      <c r="O66" s="340">
        <f t="shared" si="30"/>
        <v>616000.0000000001</v>
      </c>
      <c r="P66" s="271"/>
      <c r="Q66" s="319">
        <v>13</v>
      </c>
      <c r="R66" s="320" t="s">
        <v>712</v>
      </c>
      <c r="S66" s="320"/>
      <c r="T66" s="320"/>
      <c r="U66" s="321"/>
      <c r="V66" s="322"/>
      <c r="W66" s="322"/>
      <c r="X66" s="323"/>
      <c r="Y66" s="323"/>
      <c r="Z66" s="323"/>
      <c r="AA66" s="324"/>
      <c r="AB66" s="325"/>
      <c r="AC66" s="326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8"/>
      <c r="BA66" s="329"/>
      <c r="BB66" s="351">
        <f t="shared" si="13"/>
        <v>0</v>
      </c>
      <c r="BC66" s="352">
        <f t="shared" si="14"/>
        <v>0</v>
      </c>
    </row>
    <row r="67" ht="15.75" customHeight="1" spans="1:55" x14ac:dyDescent="0.25">
      <c r="A67" s="401" t="s">
        <v>21</v>
      </c>
      <c r="B67" s="402" t="s">
        <v>707</v>
      </c>
      <c r="C67" s="334" t="s">
        <v>713</v>
      </c>
      <c r="D67" s="335">
        <f>+IF('Informacion de Cotización'!$B$55="SI",+'Informacion de Cotización'!B19+'Informacion de Cotización'!B20+'Informacion de Cotización'!B22, "0")</f>
        <v>0</v>
      </c>
      <c r="E67" s="336" t="s">
        <v>32</v>
      </c>
      <c r="F67" s="337">
        <f>(1+$F$7)*'Base M.O'!D64</f>
        <v>6930.000000000001</v>
      </c>
      <c r="G67" s="337">
        <f t="shared" si="24"/>
        <v>0</v>
      </c>
      <c r="H67" s="338">
        <f t="shared" si="42"/>
        <v>0</v>
      </c>
      <c r="I67" s="339">
        <f t="shared" si="43"/>
        <v>0</v>
      </c>
      <c r="J67" s="340">
        <f t="shared" si="61"/>
        <v>0</v>
      </c>
      <c r="K67" s="340">
        <f t="shared" si="58"/>
        <v>0</v>
      </c>
      <c r="L67" s="340">
        <f t="shared" si="59"/>
        <v>0</v>
      </c>
      <c r="M67" s="340">
        <f t="shared" si="60"/>
        <v>0</v>
      </c>
      <c r="N67" s="340">
        <f t="shared" si="11"/>
        <v>0</v>
      </c>
      <c r="O67" s="340">
        <f t="shared" si="30"/>
        <v>0</v>
      </c>
      <c r="P67" s="271"/>
      <c r="Q67" s="341" t="s">
        <v>714</v>
      </c>
      <c r="R67" s="375" t="s">
        <v>715</v>
      </c>
      <c r="S67" s="343" t="s">
        <v>551</v>
      </c>
      <c r="T67" s="343">
        <v>1</v>
      </c>
      <c r="U67" s="344">
        <f t="shared" ref="U67:Z67" si="64">+J36</f>
        <v>308000</v>
      </c>
      <c r="V67" s="344">
        <f t="shared" si="64"/>
        <v>308000</v>
      </c>
      <c r="W67" s="344">
        <f t="shared" si="64"/>
        <v>308000</v>
      </c>
      <c r="X67" s="345">
        <f t="shared" si="64"/>
        <v>308000</v>
      </c>
      <c r="Y67" s="345">
        <f t="shared" si="64"/>
        <v>308000</v>
      </c>
      <c r="Z67" s="345">
        <f t="shared" si="64"/>
        <v>369600</v>
      </c>
      <c r="AA67" s="356">
        <f>+U67/$U$3</f>
        <v>0.00910292613560629</v>
      </c>
      <c r="AB67" s="347">
        <f>+AA67*$AB$8</f>
        <v>550727.0312041806</v>
      </c>
      <c r="AC67" s="348">
        <f>AB67/4</f>
        <v>137681.75780104514</v>
      </c>
      <c r="AD67" s="349"/>
      <c r="AE67" s="349"/>
      <c r="AF67" s="349"/>
      <c r="AG67" s="349">
        <f>AC67</f>
        <v>137681.75780104514</v>
      </c>
      <c r="AH67" s="349"/>
      <c r="AI67" s="349"/>
      <c r="AJ67" s="349"/>
      <c r="AK67" s="349"/>
      <c r="AL67" s="349"/>
      <c r="AM67" s="349">
        <f>AG67</f>
        <v>137681.75780104514</v>
      </c>
      <c r="AN67" s="349"/>
      <c r="AO67" s="349"/>
      <c r="AP67" s="349"/>
      <c r="AQ67" s="349"/>
      <c r="AR67" s="349"/>
      <c r="AS67" s="349"/>
      <c r="AT67" s="349"/>
      <c r="AU67" s="349"/>
      <c r="AV67" s="349"/>
      <c r="AW67" s="349"/>
      <c r="AX67" s="349">
        <f>AM67</f>
        <v>137681.75780104514</v>
      </c>
      <c r="AY67" s="349"/>
      <c r="AZ67" s="350"/>
      <c r="BA67" s="329"/>
      <c r="BB67" s="351">
        <f t="shared" si="13"/>
        <v>550727.0312041806</v>
      </c>
      <c r="BC67" s="352">
        <f t="shared" si="14"/>
        <v>0</v>
      </c>
    </row>
    <row r="68" ht="15.75" customHeight="1" spans="1:55" x14ac:dyDescent="0.25">
      <c r="A68" s="401" t="s">
        <v>21</v>
      </c>
      <c r="B68" s="402" t="s">
        <v>707</v>
      </c>
      <c r="C68" s="334" t="s">
        <v>716</v>
      </c>
      <c r="D68" s="335">
        <f>+IF('Informacion de Cotización'!$B$55="SI",'Informacion de Cotización'!B31*1.5, "0")</f>
        <v>0</v>
      </c>
      <c r="E68" s="336" t="s">
        <v>32</v>
      </c>
      <c r="F68" s="337">
        <f>(1+$F$7)*'Base M.O'!D65</f>
        <v>7700.000000000001</v>
      </c>
      <c r="G68" s="337">
        <f t="shared" si="24"/>
        <v>0</v>
      </c>
      <c r="H68" s="338">
        <f t="shared" si="42"/>
        <v>0</v>
      </c>
      <c r="I68" s="339">
        <f t="shared" si="43"/>
        <v>0</v>
      </c>
      <c r="J68" s="340">
        <f t="shared" si="61"/>
        <v>0</v>
      </c>
      <c r="K68" s="340">
        <f t="shared" si="58"/>
        <v>0</v>
      </c>
      <c r="L68" s="340">
        <f t="shared" si="59"/>
        <v>0</v>
      </c>
      <c r="M68" s="340">
        <f t="shared" si="60"/>
        <v>0</v>
      </c>
      <c r="N68" s="340">
        <f t="shared" si="11"/>
        <v>0</v>
      </c>
      <c r="O68" s="340">
        <f t="shared" si="30"/>
        <v>0</v>
      </c>
      <c r="P68" s="271"/>
      <c r="Q68" s="341" t="s">
        <v>717</v>
      </c>
      <c r="R68" s="375" t="s">
        <v>718</v>
      </c>
      <c r="S68" s="343" t="s">
        <v>551</v>
      </c>
      <c r="T68" s="343">
        <v>1</v>
      </c>
      <c r="U68" s="344">
        <f t="shared" ref="U68:Z68" si="65">+J35</f>
        <v>646800</v>
      </c>
      <c r="V68" s="344">
        <f t="shared" si="65"/>
        <v>646800</v>
      </c>
      <c r="W68" s="344">
        <f t="shared" si="65"/>
        <v>646800</v>
      </c>
      <c r="X68" s="345">
        <f t="shared" si="65"/>
        <v>646800</v>
      </c>
      <c r="Y68" s="345">
        <f t="shared" si="65"/>
        <v>646800</v>
      </c>
      <c r="Z68" s="345">
        <f t="shared" si="65"/>
        <v>776160</v>
      </c>
      <c r="AA68" s="356">
        <f>+U68/$U$3</f>
        <v>0.01911614488477321</v>
      </c>
      <c r="AB68" s="347">
        <f>+AA68*$AB$8</f>
        <v>1156526.7655287792</v>
      </c>
      <c r="AC68" s="348"/>
      <c r="AD68" s="349"/>
      <c r="AE68" s="349"/>
      <c r="AF68" s="349">
        <f>AB68</f>
        <v>1156526.7655287792</v>
      </c>
      <c r="AG68" s="349"/>
      <c r="AH68" s="349"/>
      <c r="AI68" s="349"/>
      <c r="AJ68" s="349"/>
      <c r="AK68" s="349"/>
      <c r="AL68" s="349"/>
      <c r="AM68" s="349"/>
      <c r="AN68" s="349"/>
      <c r="AO68" s="349"/>
      <c r="AP68" s="349"/>
      <c r="AQ68" s="349"/>
      <c r="AR68" s="349"/>
      <c r="AS68" s="349"/>
      <c r="AT68" s="349"/>
      <c r="AU68" s="349"/>
      <c r="AV68" s="349"/>
      <c r="AW68" s="349"/>
      <c r="AX68" s="349"/>
      <c r="AY68" s="349"/>
      <c r="AZ68" s="350"/>
      <c r="BA68" s="329"/>
      <c r="BB68" s="351">
        <f t="shared" si="13"/>
        <v>1156526.7655287792</v>
      </c>
      <c r="BC68" s="352">
        <f t="shared" si="14"/>
        <v>0</v>
      </c>
    </row>
    <row r="69" ht="15.75" customHeight="1" spans="1:55" x14ac:dyDescent="0.25">
      <c r="A69" s="401" t="s">
        <v>21</v>
      </c>
      <c r="B69" s="402" t="s">
        <v>701</v>
      </c>
      <c r="C69" s="334" t="s">
        <v>719</v>
      </c>
      <c r="D69" s="335">
        <f>3*'Informacion de Cotización'!B25</f>
        <v>30</v>
      </c>
      <c r="E69" s="336" t="s">
        <v>39</v>
      </c>
      <c r="F69" s="337">
        <f>(1+$F$7)*'Base M.O'!D70</f>
        <v>4312</v>
      </c>
      <c r="G69" s="337">
        <f t="shared" si="24"/>
        <v>129360</v>
      </c>
      <c r="H69" s="338">
        <f t="shared" si="42"/>
        <v>0.005968128367539269</v>
      </c>
      <c r="I69" s="339">
        <f t="shared" si="43"/>
        <v>129360</v>
      </c>
      <c r="J69" s="340">
        <f t="shared" si="61"/>
        <v>258720</v>
      </c>
      <c r="K69" s="340">
        <f t="shared" si="58"/>
        <v>258720</v>
      </c>
      <c r="L69" s="340">
        <f t="shared" si="59"/>
        <v>258720</v>
      </c>
      <c r="M69" s="340">
        <f t="shared" si="60"/>
        <v>258720</v>
      </c>
      <c r="N69" s="340">
        <f t="shared" si="11"/>
        <v>258720</v>
      </c>
      <c r="O69" s="340">
        <f t="shared" si="30"/>
        <v>258720</v>
      </c>
      <c r="P69" s="271"/>
      <c r="Q69" s="403">
        <v>14</v>
      </c>
      <c r="R69" s="320" t="s">
        <v>720</v>
      </c>
      <c r="S69" s="320"/>
      <c r="T69" s="320"/>
      <c r="U69" s="321"/>
      <c r="V69" s="322"/>
      <c r="W69" s="322"/>
      <c r="X69" s="323"/>
      <c r="Y69" s="323"/>
      <c r="Z69" s="323"/>
      <c r="AA69" s="324"/>
      <c r="AB69" s="325"/>
      <c r="AC69" s="326"/>
      <c r="AD69" s="327"/>
      <c r="AE69" s="327"/>
      <c r="AF69" s="327"/>
      <c r="AG69" s="327"/>
      <c r="AH69" s="327"/>
      <c r="AI69" s="327"/>
      <c r="AJ69" s="327"/>
      <c r="AK69" s="327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7"/>
      <c r="AX69" s="327"/>
      <c r="AY69" s="327"/>
      <c r="AZ69" s="328"/>
      <c r="BA69" s="329"/>
      <c r="BB69" s="351">
        <f t="shared" si="13"/>
        <v>0</v>
      </c>
      <c r="BC69" s="352">
        <f t="shared" si="14"/>
        <v>0</v>
      </c>
    </row>
    <row r="70" ht="15.75" customHeight="1" spans="1:55" x14ac:dyDescent="0.25">
      <c r="A70" s="401" t="s">
        <v>21</v>
      </c>
      <c r="B70" s="404" t="s">
        <v>721</v>
      </c>
      <c r="C70" s="334" t="s">
        <v>722</v>
      </c>
      <c r="D70" s="335">
        <f>'Informacion de Cotización'!B9</f>
        <v>200</v>
      </c>
      <c r="E70" s="336" t="s">
        <v>39</v>
      </c>
      <c r="F70" s="337">
        <f>(1+$F$7)*'Base M.O'!D53</f>
        <v>7700.000000000001</v>
      </c>
      <c r="G70" s="337">
        <f t="shared" si="24"/>
        <v>1540000.0000000002</v>
      </c>
      <c r="H70" s="338">
        <f t="shared" si="42"/>
        <v>0.07104914723261035</v>
      </c>
      <c r="I70" s="339">
        <f t="shared" si="43"/>
        <v>1540000.0000000002</v>
      </c>
      <c r="J70" s="340">
        <f t="shared" si="61"/>
        <v>3080000.0000000005</v>
      </c>
      <c r="K70" s="340">
        <f t="shared" si="58"/>
        <v>3080000.0000000005</v>
      </c>
      <c r="L70" s="340">
        <f t="shared" si="59"/>
        <v>3080000.0000000005</v>
      </c>
      <c r="M70" s="340">
        <f t="shared" si="60"/>
        <v>3080000.0000000005</v>
      </c>
      <c r="N70" s="340">
        <f t="shared" si="11"/>
        <v>3080000.0000000005</v>
      </c>
      <c r="O70" s="340">
        <f t="shared" si="30"/>
        <v>3080000.0000000005</v>
      </c>
      <c r="P70" s="271"/>
      <c r="Q70" s="341" t="s">
        <v>723</v>
      </c>
      <c r="R70" s="375" t="s">
        <v>724</v>
      </c>
      <c r="S70" s="343" t="s">
        <v>551</v>
      </c>
      <c r="T70" s="343">
        <v>1</v>
      </c>
      <c r="U70" s="344">
        <f t="shared" ref="U70:Z70" si="66">+J58</f>
        <v>0</v>
      </c>
      <c r="V70" s="344">
        <f t="shared" si="66"/>
        <v>0</v>
      </c>
      <c r="W70" s="344">
        <f t="shared" si="66"/>
        <v>0</v>
      </c>
      <c r="X70" s="345">
        <f t="shared" si="66"/>
        <v>0</v>
      </c>
      <c r="Y70" s="345">
        <f t="shared" si="66"/>
        <v>0</v>
      </c>
      <c r="Z70" s="345">
        <f t="shared" si="66"/>
        <v>0</v>
      </c>
      <c r="AA70" s="356">
        <f t="shared" ref="AA70:AA76" si="67">+U70/$U$3</f>
        <v>0</v>
      </c>
      <c r="AB70" s="347">
        <f t="shared" ref="AB70:AB76" si="68">+AA70*$AB$8</f>
        <v>0</v>
      </c>
      <c r="AC70" s="348"/>
      <c r="AD70" s="349"/>
      <c r="AE70" s="349"/>
      <c r="AF70" s="349"/>
      <c r="AG70" s="349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349"/>
      <c r="AS70" s="349"/>
      <c r="AT70" s="349"/>
      <c r="AU70" s="349"/>
      <c r="AV70" s="349">
        <f>AB70/2</f>
        <v>0</v>
      </c>
      <c r="AW70" s="349">
        <f>AV70</f>
        <v>0</v>
      </c>
      <c r="AX70" s="349"/>
      <c r="AY70" s="349"/>
      <c r="AZ70" s="350"/>
      <c r="BA70" s="329"/>
      <c r="BB70" s="351">
        <f t="shared" si="13"/>
        <v>0</v>
      </c>
      <c r="BC70" s="352">
        <f t="shared" si="14"/>
        <v>0</v>
      </c>
    </row>
    <row r="71" ht="15.75" customHeight="1" spans="1:55" x14ac:dyDescent="0.25">
      <c r="A71" s="401" t="s">
        <v>21</v>
      </c>
      <c r="B71" s="404" t="s">
        <v>721</v>
      </c>
      <c r="C71" s="334" t="s">
        <v>725</v>
      </c>
      <c r="D71" s="335">
        <f>'Informacion de Cotización'!B19+'Informacion de Cotización'!B20*2</f>
        <v>0</v>
      </c>
      <c r="E71" s="336" t="s">
        <v>32</v>
      </c>
      <c r="F71" s="337">
        <f>(1+$F$7)*'Base M.O'!D55</f>
        <v>1232</v>
      </c>
      <c r="G71" s="337">
        <f t="shared" si="24"/>
        <v>0</v>
      </c>
      <c r="H71" s="338">
        <f t="shared" si="42"/>
        <v>0</v>
      </c>
      <c r="I71" s="339">
        <f t="shared" si="43"/>
        <v>0</v>
      </c>
      <c r="J71" s="340">
        <f t="shared" si="61"/>
        <v>0</v>
      </c>
      <c r="K71" s="340">
        <f t="shared" si="58"/>
        <v>0</v>
      </c>
      <c r="L71" s="340">
        <f t="shared" si="59"/>
        <v>0</v>
      </c>
      <c r="M71" s="340">
        <f t="shared" si="60"/>
        <v>0</v>
      </c>
      <c r="N71" s="340">
        <f t="shared" si="11"/>
        <v>0</v>
      </c>
      <c r="O71" s="340">
        <f t="shared" si="30"/>
        <v>0</v>
      </c>
      <c r="P71" s="271"/>
      <c r="Q71" s="341" t="s">
        <v>726</v>
      </c>
      <c r="R71" s="375" t="s">
        <v>727</v>
      </c>
      <c r="S71" s="343" t="s">
        <v>551</v>
      </c>
      <c r="T71" s="343">
        <v>1</v>
      </c>
      <c r="U71" s="344">
        <f t="shared" ref="U71:Z71" si="69">+J20</f>
        <v>492800.00000000006</v>
      </c>
      <c r="V71" s="344">
        <f t="shared" si="69"/>
        <v>492800.00000000006</v>
      </c>
      <c r="W71" s="344">
        <f t="shared" si="69"/>
        <v>492800.00000000006</v>
      </c>
      <c r="X71" s="345">
        <f t="shared" si="69"/>
        <v>492800.00000000006</v>
      </c>
      <c r="Y71" s="345">
        <f t="shared" si="69"/>
        <v>492800.00000000006</v>
      </c>
      <c r="Z71" s="345">
        <f t="shared" si="69"/>
        <v>492800.00000000006</v>
      </c>
      <c r="AA71" s="356">
        <f t="shared" si="67"/>
        <v>0.014564681816970067</v>
      </c>
      <c r="AB71" s="347">
        <f t="shared" si="68"/>
        <v>881163.2499266891</v>
      </c>
      <c r="AC71" s="348"/>
      <c r="AD71" s="349"/>
      <c r="AE71" s="349"/>
      <c r="AF71" s="349"/>
      <c r="AG71" s="349"/>
      <c r="AH71" s="349"/>
      <c r="AI71" s="349"/>
      <c r="AJ71" s="349"/>
      <c r="AK71" s="349"/>
      <c r="AL71" s="349"/>
      <c r="AM71" s="349"/>
      <c r="AN71" s="349"/>
      <c r="AO71" s="349"/>
      <c r="AP71" s="349">
        <f>AB71</f>
        <v>881163.2499266891</v>
      </c>
      <c r="AQ71" s="349"/>
      <c r="AR71" s="349"/>
      <c r="AS71" s="349"/>
      <c r="AT71" s="349"/>
      <c r="AU71" s="349"/>
      <c r="AV71" s="349"/>
      <c r="AW71" s="349"/>
      <c r="AX71" s="349"/>
      <c r="AY71" s="349"/>
      <c r="AZ71" s="350"/>
      <c r="BA71" s="329"/>
      <c r="BB71" s="351">
        <f t="shared" si="13"/>
        <v>881163.2499266891</v>
      </c>
      <c r="BC71" s="352">
        <f t="shared" si="14"/>
        <v>0</v>
      </c>
    </row>
    <row r="72" ht="15.75" customHeight="1" spans="1:55" x14ac:dyDescent="0.25">
      <c r="A72" s="401" t="s">
        <v>21</v>
      </c>
      <c r="B72" s="404" t="s">
        <v>721</v>
      </c>
      <c r="C72" s="334" t="s">
        <v>728</v>
      </c>
      <c r="D72" s="335">
        <f>'Informacion de Cotización'!B10</f>
        <v>50</v>
      </c>
      <c r="E72" s="336" t="s">
        <v>39</v>
      </c>
      <c r="F72" s="337">
        <f>(1+$F$7)*'Base M.O'!D53</f>
        <v>7700.000000000001</v>
      </c>
      <c r="G72" s="337">
        <f t="shared" si="24"/>
        <v>385000.00000000006</v>
      </c>
      <c r="H72" s="338">
        <f t="shared" si="42"/>
        <v>0.01776228680815259</v>
      </c>
      <c r="I72" s="339">
        <f t="shared" si="43"/>
        <v>385000.00000000006</v>
      </c>
      <c r="J72" s="340">
        <f t="shared" si="61"/>
        <v>770000.0000000001</v>
      </c>
      <c r="K72" s="340">
        <f t="shared" si="58"/>
        <v>770000.0000000001</v>
      </c>
      <c r="L72" s="340">
        <f t="shared" si="59"/>
        <v>770000.0000000001</v>
      </c>
      <c r="M72" s="340">
        <f t="shared" si="60"/>
        <v>770000.0000000001</v>
      </c>
      <c r="N72" s="340">
        <f t="shared" si="11"/>
        <v>770000.0000000001</v>
      </c>
      <c r="O72" s="340">
        <f t="shared" si="30"/>
        <v>770000.0000000001</v>
      </c>
      <c r="P72" s="271"/>
      <c r="Q72" s="341" t="s">
        <v>729</v>
      </c>
      <c r="R72" s="375" t="s">
        <v>730</v>
      </c>
      <c r="S72" s="343" t="s">
        <v>551</v>
      </c>
      <c r="T72" s="343">
        <v>1</v>
      </c>
      <c r="U72" s="344">
        <v>0</v>
      </c>
      <c r="V72" s="344">
        <v>0</v>
      </c>
      <c r="W72" s="344">
        <v>0</v>
      </c>
      <c r="X72" s="345">
        <v>0</v>
      </c>
      <c r="Y72" s="345">
        <v>0</v>
      </c>
      <c r="Z72" s="345">
        <v>0</v>
      </c>
      <c r="AA72" s="356">
        <f t="shared" si="67"/>
        <v>0</v>
      </c>
      <c r="AB72" s="347">
        <f t="shared" si="68"/>
        <v>0</v>
      </c>
      <c r="AC72" s="348"/>
      <c r="AD72" s="349"/>
      <c r="AE72" s="349"/>
      <c r="AF72" s="349"/>
      <c r="AG72" s="349"/>
      <c r="AH72" s="349"/>
      <c r="AI72" s="349"/>
      <c r="AJ72" s="349"/>
      <c r="AK72" s="349"/>
      <c r="AL72" s="349"/>
      <c r="AM72" s="349"/>
      <c r="AN72" s="349"/>
      <c r="AO72" s="349"/>
      <c r="AP72" s="349"/>
      <c r="AQ72" s="349"/>
      <c r="AR72" s="349"/>
      <c r="AS72" s="349"/>
      <c r="AT72" s="349"/>
      <c r="AU72" s="349"/>
      <c r="AV72" s="349"/>
      <c r="AW72" s="349"/>
      <c r="AX72" s="349">
        <f>AB72/2</f>
        <v>0</v>
      </c>
      <c r="AY72" s="349">
        <f>AX72</f>
        <v>0</v>
      </c>
      <c r="AZ72" s="350"/>
      <c r="BA72" s="329"/>
      <c r="BB72" s="351">
        <f t="shared" si="13"/>
        <v>0</v>
      </c>
      <c r="BC72" s="352">
        <f t="shared" si="14"/>
        <v>0</v>
      </c>
    </row>
    <row r="73" ht="15.75" customHeight="1" spans="1:55" x14ac:dyDescent="0.25">
      <c r="A73" s="401" t="s">
        <v>21</v>
      </c>
      <c r="B73" s="404" t="s">
        <v>721</v>
      </c>
      <c r="C73" s="334" t="s">
        <v>731</v>
      </c>
      <c r="D73" s="335">
        <f>'Informacion de Cotización'!B21+'Informacion de Cotización'!B22*2</f>
        <v>0</v>
      </c>
      <c r="E73" s="336" t="s">
        <v>32</v>
      </c>
      <c r="F73" s="337">
        <f>(1+$F$7)*'Base M.O'!D55</f>
        <v>1232</v>
      </c>
      <c r="G73" s="337">
        <f t="shared" si="24"/>
        <v>0</v>
      </c>
      <c r="H73" s="338">
        <f t="shared" ref="H73:H77" si="70">+G73/($G$78)</f>
        <v>0</v>
      </c>
      <c r="I73" s="339">
        <f t="shared" ref="I73:I77" si="71">+H73*($G$79)</f>
        <v>0</v>
      </c>
      <c r="J73" s="340">
        <f t="shared" si="61"/>
        <v>0</v>
      </c>
      <c r="K73" s="340">
        <f t="shared" si="58"/>
        <v>0</v>
      </c>
      <c r="L73" s="340">
        <f t="shared" si="59"/>
        <v>0</v>
      </c>
      <c r="M73" s="340">
        <f t="shared" si="60"/>
        <v>0</v>
      </c>
      <c r="N73" s="340">
        <f t="shared" si="11"/>
        <v>0</v>
      </c>
      <c r="O73" s="340">
        <f t="shared" si="30"/>
        <v>0</v>
      </c>
      <c r="P73" s="271"/>
      <c r="Q73" s="341" t="s">
        <v>732</v>
      </c>
      <c r="R73" s="375" t="s">
        <v>733</v>
      </c>
      <c r="S73" s="343" t="s">
        <v>551</v>
      </c>
      <c r="T73" s="343">
        <v>1</v>
      </c>
      <c r="U73" s="344">
        <v>0</v>
      </c>
      <c r="V73" s="344">
        <v>0</v>
      </c>
      <c r="W73" s="344">
        <v>0</v>
      </c>
      <c r="X73" s="345">
        <v>0</v>
      </c>
      <c r="Y73" s="345">
        <v>0</v>
      </c>
      <c r="Z73" s="345">
        <v>0</v>
      </c>
      <c r="AA73" s="356">
        <f t="shared" si="67"/>
        <v>0</v>
      </c>
      <c r="AB73" s="347">
        <f t="shared" si="68"/>
        <v>0</v>
      </c>
      <c r="AC73" s="348"/>
      <c r="AD73" s="349"/>
      <c r="AE73" s="349"/>
      <c r="AF73" s="349"/>
      <c r="AG73" s="349"/>
      <c r="AH73" s="349"/>
      <c r="AI73" s="349"/>
      <c r="AJ73" s="349"/>
      <c r="AK73" s="349"/>
      <c r="AL73" s="349"/>
      <c r="AM73" s="349"/>
      <c r="AN73" s="349"/>
      <c r="AO73" s="349"/>
      <c r="AP73" s="349"/>
      <c r="AQ73" s="349"/>
      <c r="AR73" s="349"/>
      <c r="AS73" s="349"/>
      <c r="AT73" s="349"/>
      <c r="AU73" s="349"/>
      <c r="AV73" s="349">
        <f>AB73/4</f>
        <v>0</v>
      </c>
      <c r="AW73" s="349">
        <f>AV73</f>
        <v>0</v>
      </c>
      <c r="AX73" s="349">
        <f>AW73</f>
        <v>0</v>
      </c>
      <c r="AY73" s="349">
        <f>AX73</f>
        <v>0</v>
      </c>
      <c r="AZ73" s="350"/>
      <c r="BA73" s="329"/>
      <c r="BB73" s="351">
        <f t="shared" si="13"/>
        <v>0</v>
      </c>
      <c r="BC73" s="352">
        <f t="shared" si="14"/>
        <v>0</v>
      </c>
    </row>
    <row r="74" ht="15.75" customHeight="1" spans="1:55" x14ac:dyDescent="0.25">
      <c r="A74" s="401" t="s">
        <v>21</v>
      </c>
      <c r="B74" s="404" t="s">
        <v>721</v>
      </c>
      <c r="C74" s="334" t="s">
        <v>734</v>
      </c>
      <c r="D74" s="335">
        <f>'Informacion de Cotización'!B11+'Informacion de Cotización'!B12</f>
        <v>50</v>
      </c>
      <c r="E74" s="336" t="s">
        <v>39</v>
      </c>
      <c r="F74" s="337">
        <f>(1+$F$7)*'Base M.O'!D53</f>
        <v>7700.000000000001</v>
      </c>
      <c r="G74" s="337">
        <f t="shared" si="24"/>
        <v>385000.00000000006</v>
      </c>
      <c r="H74" s="338">
        <f t="shared" si="70"/>
        <v>0.01776228680815259</v>
      </c>
      <c r="I74" s="339">
        <f t="shared" si="71"/>
        <v>385000.00000000006</v>
      </c>
      <c r="J74" s="340">
        <f t="shared" si="61"/>
        <v>770000.0000000001</v>
      </c>
      <c r="K74" s="340">
        <f t="shared" si="58"/>
        <v>770000.0000000001</v>
      </c>
      <c r="L74" s="340">
        <f t="shared" si="59"/>
        <v>770000.0000000001</v>
      </c>
      <c r="M74" s="340">
        <f t="shared" si="60"/>
        <v>770000.0000000001</v>
      </c>
      <c r="N74" s="340">
        <f t="shared" si="11"/>
        <v>770000.0000000001</v>
      </c>
      <c r="O74" s="340">
        <f t="shared" si="30"/>
        <v>770000.0000000001</v>
      </c>
      <c r="P74" s="271"/>
      <c r="Q74" s="341" t="s">
        <v>735</v>
      </c>
      <c r="R74" s="405" t="s">
        <v>736</v>
      </c>
      <c r="S74" s="343" t="s">
        <v>551</v>
      </c>
      <c r="T74" s="343">
        <v>1</v>
      </c>
      <c r="U74" s="344">
        <v>0</v>
      </c>
      <c r="V74" s="344">
        <v>0</v>
      </c>
      <c r="W74" s="344">
        <v>0</v>
      </c>
      <c r="X74" s="345">
        <v>0</v>
      </c>
      <c r="Y74" s="345">
        <v>0</v>
      </c>
      <c r="Z74" s="345">
        <v>0</v>
      </c>
      <c r="AA74" s="356">
        <f t="shared" si="67"/>
        <v>0</v>
      </c>
      <c r="AB74" s="347">
        <f t="shared" si="68"/>
        <v>0</v>
      </c>
      <c r="AC74" s="348"/>
      <c r="AD74" s="349"/>
      <c r="AE74" s="349"/>
      <c r="AF74" s="349"/>
      <c r="AG74" s="349"/>
      <c r="AH74" s="349"/>
      <c r="AI74" s="349"/>
      <c r="AJ74" s="349"/>
      <c r="AK74" s="349"/>
      <c r="AL74" s="349"/>
      <c r="AM74" s="349"/>
      <c r="AN74" s="349"/>
      <c r="AO74" s="349"/>
      <c r="AP74" s="349"/>
      <c r="AQ74" s="349"/>
      <c r="AR74" s="349"/>
      <c r="AS74" s="349"/>
      <c r="AT74" s="349"/>
      <c r="AU74" s="349"/>
      <c r="AV74" s="349"/>
      <c r="AW74" s="349">
        <f>AB74</f>
        <v>0</v>
      </c>
      <c r="AX74" s="349"/>
      <c r="AY74" s="349"/>
      <c r="AZ74" s="350"/>
      <c r="BA74" s="329"/>
      <c r="BB74" s="351">
        <f t="shared" si="13"/>
        <v>0</v>
      </c>
      <c r="BC74" s="352">
        <f t="shared" si="14"/>
        <v>0</v>
      </c>
    </row>
    <row r="75" ht="15.75" customHeight="1" spans="1:55" x14ac:dyDescent="0.25">
      <c r="A75" s="401" t="s">
        <v>21</v>
      </c>
      <c r="B75" s="404" t="s">
        <v>721</v>
      </c>
      <c r="C75" s="334" t="s">
        <v>737</v>
      </c>
      <c r="D75" s="335">
        <f>D48</f>
        <v>1</v>
      </c>
      <c r="E75" s="336" t="s">
        <v>545</v>
      </c>
      <c r="F75" s="337">
        <f>(1+$F$7)*'Base M.O'!D56</f>
        <v>231000.00000000003</v>
      </c>
      <c r="G75" s="337">
        <f t="shared" si="24"/>
        <v>231000.00000000003</v>
      </c>
      <c r="H75" s="338">
        <f t="shared" si="70"/>
        <v>0.010657372084891552</v>
      </c>
      <c r="I75" s="339">
        <f t="shared" si="71"/>
        <v>231000.00000000003</v>
      </c>
      <c r="J75" s="340">
        <f t="shared" si="61"/>
        <v>462000.00000000006</v>
      </c>
      <c r="K75" s="340">
        <f t="shared" si="58"/>
        <v>462000.00000000006</v>
      </c>
      <c r="L75" s="340">
        <f t="shared" si="59"/>
        <v>462000.00000000006</v>
      </c>
      <c r="M75" s="340">
        <f t="shared" si="60"/>
        <v>462000.00000000006</v>
      </c>
      <c r="N75" s="340">
        <f t="shared" si="11"/>
        <v>462000.00000000006</v>
      </c>
      <c r="O75" s="340">
        <f t="shared" si="30"/>
        <v>462000.00000000006</v>
      </c>
      <c r="P75" s="271"/>
      <c r="Q75" s="341" t="s">
        <v>738</v>
      </c>
      <c r="R75" s="405" t="s">
        <v>739</v>
      </c>
      <c r="S75" s="343" t="s">
        <v>551</v>
      </c>
      <c r="T75" s="343">
        <v>1</v>
      </c>
      <c r="U75" s="344">
        <v>0</v>
      </c>
      <c r="V75" s="344">
        <v>0</v>
      </c>
      <c r="W75" s="344">
        <v>0</v>
      </c>
      <c r="X75" s="345">
        <v>0</v>
      </c>
      <c r="Y75" s="345">
        <v>0</v>
      </c>
      <c r="Z75" s="345">
        <v>0</v>
      </c>
      <c r="AA75" s="356">
        <f t="shared" si="67"/>
        <v>0</v>
      </c>
      <c r="AB75" s="347">
        <f t="shared" si="68"/>
        <v>0</v>
      </c>
      <c r="AC75" s="348"/>
      <c r="AD75" s="349"/>
      <c r="AE75" s="349"/>
      <c r="AF75" s="349"/>
      <c r="AG75" s="34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349"/>
      <c r="AS75" s="349"/>
      <c r="AT75" s="349"/>
      <c r="AU75" s="349"/>
      <c r="AV75" s="349"/>
      <c r="AW75" s="349"/>
      <c r="AX75" s="349">
        <f>AB75</f>
        <v>0</v>
      </c>
      <c r="AY75" s="349"/>
      <c r="AZ75" s="350"/>
      <c r="BA75" s="329"/>
      <c r="BB75" s="351">
        <f t="shared" ref="BB75:BB76" si="72">SUM(AC75:BA75)</f>
        <v>0</v>
      </c>
      <c r="BC75" s="352">
        <f t="shared" ref="BC75:BC77" si="73">BB75-AB75</f>
        <v>0</v>
      </c>
    </row>
    <row r="76" ht="15.75" customHeight="1" spans="1:55" x14ac:dyDescent="0.25">
      <c r="A76" s="401" t="s">
        <v>21</v>
      </c>
      <c r="B76" s="404" t="s">
        <v>721</v>
      </c>
      <c r="C76" s="334" t="s">
        <v>740</v>
      </c>
      <c r="D76" s="335">
        <f>IF('Informacion de Cotización'!B56="Si",1,)</f>
        <v>1</v>
      </c>
      <c r="E76" s="336" t="s">
        <v>545</v>
      </c>
      <c r="F76" s="337">
        <f>(1+$F$7)*'Base M.O'!D54*6</f>
        <v>41580.00000000001</v>
      </c>
      <c r="G76" s="337">
        <f t="shared" si="24"/>
        <v>41580.00000000001</v>
      </c>
      <c r="H76" s="338">
        <f t="shared" si="70"/>
        <v>0.0019183269752804796</v>
      </c>
      <c r="I76" s="339">
        <f t="shared" si="71"/>
        <v>41580.00000000001</v>
      </c>
      <c r="J76" s="340">
        <f t="shared" si="61"/>
        <v>83160.00000000001</v>
      </c>
      <c r="K76" s="340">
        <f t="shared" si="58"/>
        <v>83160.00000000001</v>
      </c>
      <c r="L76" s="340">
        <f t="shared" si="59"/>
        <v>83160.00000000001</v>
      </c>
      <c r="M76" s="340">
        <f t="shared" si="60"/>
        <v>83160.00000000001</v>
      </c>
      <c r="N76" s="340">
        <f t="shared" si="11"/>
        <v>83160.00000000001</v>
      </c>
      <c r="O76" s="340">
        <f t="shared" si="30"/>
        <v>83160.00000000001</v>
      </c>
      <c r="P76" s="271"/>
      <c r="Q76" s="341" t="s">
        <v>741</v>
      </c>
      <c r="R76" s="405" t="s">
        <v>742</v>
      </c>
      <c r="S76" s="343" t="s">
        <v>551</v>
      </c>
      <c r="T76" s="343">
        <v>1</v>
      </c>
      <c r="U76" s="344">
        <v>0</v>
      </c>
      <c r="V76" s="344">
        <v>0</v>
      </c>
      <c r="W76" s="344">
        <v>0</v>
      </c>
      <c r="X76" s="345">
        <v>0</v>
      </c>
      <c r="Y76" s="345">
        <v>0</v>
      </c>
      <c r="Z76" s="345">
        <v>0</v>
      </c>
      <c r="AA76" s="406">
        <f t="shared" si="67"/>
        <v>0</v>
      </c>
      <c r="AB76" s="407">
        <f t="shared" si="68"/>
        <v>0</v>
      </c>
      <c r="AC76" s="408"/>
      <c r="AD76" s="409"/>
      <c r="AE76" s="409"/>
      <c r="AF76" s="409"/>
      <c r="AG76" s="409"/>
      <c r="AH76" s="409"/>
      <c r="AI76" s="409"/>
      <c r="AJ76" s="409"/>
      <c r="AK76" s="409"/>
      <c r="AL76" s="409"/>
      <c r="AM76" s="409"/>
      <c r="AN76" s="409"/>
      <c r="AO76" s="409"/>
      <c r="AP76" s="409"/>
      <c r="AQ76" s="409"/>
      <c r="AR76" s="409"/>
      <c r="AS76" s="409"/>
      <c r="AT76" s="409"/>
      <c r="AU76" s="409"/>
      <c r="AV76" s="409"/>
      <c r="AW76" s="409"/>
      <c r="AX76" s="409">
        <f>AB76</f>
        <v>0</v>
      </c>
      <c r="AY76" s="409"/>
      <c r="AZ76" s="410"/>
      <c r="BA76" s="329"/>
      <c r="BB76" s="411">
        <f t="shared" si="72"/>
        <v>0</v>
      </c>
      <c r="BC76" s="412">
        <f t="shared" si="73"/>
        <v>0</v>
      </c>
    </row>
    <row r="77" ht="15.75" customHeight="1" spans="1:55" x14ac:dyDescent="0.25">
      <c r="A77" s="413" t="s">
        <v>21</v>
      </c>
      <c r="B77" s="414" t="s">
        <v>721</v>
      </c>
      <c r="C77" s="359" t="s">
        <v>743</v>
      </c>
      <c r="D77" s="378">
        <f>+'Informacion de Cotización'!B37+'Informacion de Cotización'!B38</f>
        <v>0</v>
      </c>
      <c r="E77" s="361" t="s">
        <v>744</v>
      </c>
      <c r="F77" s="362">
        <f>(1+$F$7)*'Base M.O'!D54*13</f>
        <v>90090.00000000001</v>
      </c>
      <c r="G77" s="362">
        <f t="shared" si="24"/>
        <v>0</v>
      </c>
      <c r="H77" s="363">
        <f t="shared" si="70"/>
        <v>0</v>
      </c>
      <c r="I77" s="364">
        <f t="shared" si="71"/>
        <v>0</v>
      </c>
      <c r="J77" s="365">
        <f t="shared" si="61"/>
        <v>0</v>
      </c>
      <c r="K77" s="365">
        <f t="shared" si="58"/>
        <v>0</v>
      </c>
      <c r="L77" s="365">
        <f t="shared" si="59"/>
        <v>0</v>
      </c>
      <c r="M77" s="365">
        <f t="shared" si="60"/>
        <v>0</v>
      </c>
      <c r="N77" s="365">
        <f t="shared" si="11"/>
        <v>0</v>
      </c>
      <c r="O77" s="365">
        <f t="shared" si="30"/>
        <v>0</v>
      </c>
      <c r="P77" s="271"/>
      <c r="X77" s="273"/>
      <c r="Y77" s="273"/>
      <c r="Z77" s="273"/>
      <c r="AA77" s="415">
        <f>SUM(AA10:AA76)</f>
        <v>0.9999999999999999</v>
      </c>
      <c r="AB77" s="304">
        <f>SUM(AC77:AZ77)</f>
        <v>56828486.45863882</v>
      </c>
      <c r="AC77" s="416">
        <f t="shared" ref="AC77:AZ77" si="74">SUM(AC9:AC76)</f>
        <v>2157014.205549707</v>
      </c>
      <c r="AD77" s="417">
        <f t="shared" si="74"/>
        <v>4373690.506146535</v>
      </c>
      <c r="AE77" s="417">
        <f t="shared" si="74"/>
        <v>5647246.765806202</v>
      </c>
      <c r="AF77" s="417">
        <f t="shared" si="74"/>
        <v>1383701.6659005038</v>
      </c>
      <c r="AG77" s="417">
        <f t="shared" si="74"/>
        <v>1330923.6587434367</v>
      </c>
      <c r="AH77" s="417">
        <f t="shared" si="74"/>
        <v>1193241.9009423915</v>
      </c>
      <c r="AI77" s="417">
        <f t="shared" si="74"/>
        <v>2541421.673330226</v>
      </c>
      <c r="AJ77" s="417">
        <f t="shared" si="74"/>
        <v>1239135.8202094065</v>
      </c>
      <c r="AK77" s="417">
        <f t="shared" si="74"/>
        <v>2202908.1248167227</v>
      </c>
      <c r="AL77" s="417">
        <f t="shared" si="74"/>
        <v>440581.62496334454</v>
      </c>
      <c r="AM77" s="417">
        <f t="shared" si="74"/>
        <v>137681.75780104514</v>
      </c>
      <c r="AN77" s="417">
        <f t="shared" si="74"/>
        <v>0</v>
      </c>
      <c r="AO77" s="417">
        <f t="shared" si="74"/>
        <v>6344375.399472161</v>
      </c>
      <c r="AP77" s="417">
        <f t="shared" si="74"/>
        <v>1909645.9807004966</v>
      </c>
      <c r="AQ77" s="417">
        <f t="shared" si="74"/>
        <v>7049305.999413513</v>
      </c>
      <c r="AR77" s="417">
        <f t="shared" si="74"/>
        <v>5140381.208872926</v>
      </c>
      <c r="AS77" s="417">
        <f t="shared" si="74"/>
        <v>5612170.698937841</v>
      </c>
      <c r="AT77" s="417">
        <f t="shared" si="74"/>
        <v>4130452.734031355</v>
      </c>
      <c r="AU77" s="417">
        <f t="shared" si="74"/>
        <v>3323637.6333172303</v>
      </c>
      <c r="AV77" s="417">
        <f t="shared" si="74"/>
        <v>533287.3418827149</v>
      </c>
      <c r="AW77" s="417">
        <f t="shared" si="74"/>
        <v>0</v>
      </c>
      <c r="AX77" s="417">
        <f t="shared" si="74"/>
        <v>137681.75780104514</v>
      </c>
      <c r="AY77" s="417">
        <f t="shared" si="74"/>
        <v>0</v>
      </c>
      <c r="AZ77" s="418">
        <f t="shared" si="74"/>
        <v>0</v>
      </c>
      <c r="BA77" s="329"/>
      <c r="BB77" s="419">
        <f>SUM(AC77:BA77)</f>
        <v>56828486.45863882</v>
      </c>
      <c r="BC77" s="420">
        <f t="shared" si="73"/>
        <v>0</v>
      </c>
    </row>
    <row r="78" ht="15.75" customHeight="1" spans="1:52" x14ac:dyDescent="0.25">
      <c r="A78" s="271"/>
      <c r="B78" s="271"/>
      <c r="C78" s="271"/>
      <c r="D78" s="275"/>
      <c r="E78" s="421" t="s">
        <v>745</v>
      </c>
      <c r="F78" s="422"/>
      <c r="G78" s="423">
        <f t="shared" ref="G78:I78" si="75">SUM(G9:G77)</f>
        <v>21675137</v>
      </c>
      <c r="H78" s="424">
        <f t="shared" si="75"/>
        <v>1</v>
      </c>
      <c r="I78" s="425">
        <f t="shared" si="75"/>
        <v>21675137</v>
      </c>
      <c r="P78" s="271"/>
      <c r="AB78" s="272"/>
      <c r="AC78" s="305">
        <f>AC8</f>
        <v>1</v>
      </c>
      <c r="AD78" s="305">
        <f t="shared" ref="AD78:AZ78" si="76">AD8</f>
        <v>2</v>
      </c>
      <c r="AE78" s="305">
        <f t="shared" si="76"/>
        <v>3</v>
      </c>
      <c r="AF78" s="305">
        <f t="shared" si="76"/>
        <v>4</v>
      </c>
      <c r="AG78" s="305">
        <f t="shared" si="76"/>
        <v>5</v>
      </c>
      <c r="AH78" s="305">
        <f t="shared" si="76"/>
        <v>6</v>
      </c>
      <c r="AI78" s="305">
        <f t="shared" si="76"/>
        <v>7</v>
      </c>
      <c r="AJ78" s="305">
        <f t="shared" si="76"/>
        <v>8</v>
      </c>
      <c r="AK78" s="305">
        <f t="shared" si="76"/>
        <v>9</v>
      </c>
      <c r="AL78" s="305">
        <f t="shared" si="76"/>
        <v>10</v>
      </c>
      <c r="AM78" s="305">
        <f t="shared" si="76"/>
        <v>11</v>
      </c>
      <c r="AN78" s="305">
        <f t="shared" si="76"/>
        <v>12</v>
      </c>
      <c r="AO78" s="305">
        <f t="shared" si="76"/>
        <v>13</v>
      </c>
      <c r="AP78" s="305">
        <f t="shared" si="76"/>
        <v>14</v>
      </c>
      <c r="AQ78" s="305">
        <f t="shared" si="76"/>
        <v>15</v>
      </c>
      <c r="AR78" s="305">
        <f t="shared" si="76"/>
        <v>16</v>
      </c>
      <c r="AS78" s="305">
        <f t="shared" si="76"/>
        <v>17</v>
      </c>
      <c r="AT78" s="305">
        <f t="shared" si="76"/>
        <v>18</v>
      </c>
      <c r="AU78" s="305">
        <f t="shared" si="76"/>
        <v>19</v>
      </c>
      <c r="AV78" s="305">
        <f t="shared" si="76"/>
        <v>20</v>
      </c>
      <c r="AW78" s="305">
        <f t="shared" si="76"/>
        <v>21</v>
      </c>
      <c r="AX78" s="305">
        <f t="shared" si="76"/>
        <v>22</v>
      </c>
      <c r="AY78" s="305">
        <f t="shared" si="76"/>
        <v>23</v>
      </c>
      <c r="AZ78" s="305">
        <f t="shared" si="76"/>
        <v>24</v>
      </c>
    </row>
    <row r="79" ht="15.75" customHeight="1" spans="4:28" x14ac:dyDescent="0.25">
      <c r="D79" s="275"/>
      <c r="E79" s="426" t="s">
        <v>746</v>
      </c>
      <c r="F79" s="427"/>
      <c r="G79" s="428">
        <f>G78</f>
        <v>21675137</v>
      </c>
      <c r="H79" s="429"/>
      <c r="I79" s="430"/>
      <c r="J79" s="430"/>
      <c r="K79" s="430"/>
      <c r="L79" s="430"/>
      <c r="M79" s="430"/>
      <c r="N79" s="430"/>
      <c r="O79" s="430"/>
      <c r="P79" s="271"/>
      <c r="AB79" s="272"/>
    </row>
    <row r="80" ht="15.75" customHeight="1" spans="4:28" x14ac:dyDescent="0.25">
      <c r="D80" s="275"/>
      <c r="H80" s="429"/>
      <c r="I80" s="430"/>
      <c r="J80" s="430"/>
      <c r="K80" s="430"/>
      <c r="L80" s="430"/>
      <c r="M80" s="430"/>
      <c r="N80" s="430"/>
      <c r="O80" s="430"/>
      <c r="P80" s="271"/>
      <c r="AB80" s="272"/>
    </row>
    <row r="81" ht="15.75" customHeight="1" spans="16:28" x14ac:dyDescent="0.25">
      <c r="P81" s="271"/>
      <c r="AB81" s="272"/>
    </row>
    <row r="82" ht="15.75" customHeight="1" spans="16:28" x14ac:dyDescent="0.25">
      <c r="P82" s="271"/>
      <c r="AB82" s="272"/>
    </row>
    <row r="83" ht="15.75" customHeight="1" spans="4:28" x14ac:dyDescent="0.25">
      <c r="D83" s="275"/>
      <c r="H83" s="431"/>
      <c r="I83" s="431"/>
      <c r="J83" s="431"/>
      <c r="K83" s="431"/>
      <c r="L83" s="431"/>
      <c r="M83" s="431"/>
      <c r="N83" s="431"/>
      <c r="O83" s="431"/>
      <c r="P83" s="271"/>
      <c r="AB83" s="272"/>
    </row>
    <row r="84" ht="15.75" customHeight="1" spans="4:28" x14ac:dyDescent="0.25">
      <c r="D84" s="275"/>
      <c r="P84" s="271"/>
      <c r="AB84" s="272"/>
    </row>
    <row r="85" ht="15.75" customHeight="1" spans="4:28" x14ac:dyDescent="0.25">
      <c r="D85" s="275"/>
      <c r="P85" s="271"/>
      <c r="AB85" s="272"/>
    </row>
    <row r="86" ht="15.75" customHeight="1" spans="8:28" x14ac:dyDescent="0.25">
      <c r="H86" s="431"/>
      <c r="P86" s="271"/>
      <c r="AB86" s="272"/>
    </row>
    <row r="87" ht="15.75" customHeight="1" spans="16:28" x14ac:dyDescent="0.25">
      <c r="P87" s="271"/>
      <c r="AB87" s="272"/>
    </row>
    <row r="88" ht="15.75" customHeight="1" spans="16:28" x14ac:dyDescent="0.25">
      <c r="P88" s="271"/>
      <c r="AB88" s="272"/>
    </row>
    <row r="89" ht="15.75" customHeight="1" spans="16:28" x14ac:dyDescent="0.25">
      <c r="P89" s="271"/>
      <c r="AB89" s="272"/>
    </row>
    <row r="90" ht="15.75" customHeight="1" spans="16:28" x14ac:dyDescent="0.25">
      <c r="P90" s="271"/>
      <c r="AB90" s="272"/>
    </row>
    <row r="91" ht="15.75" customHeight="1" spans="16:28" x14ac:dyDescent="0.25">
      <c r="P91" s="271"/>
      <c r="AB91" s="272"/>
    </row>
    <row r="92" ht="15.75" customHeight="1" spans="16:28" x14ac:dyDescent="0.25">
      <c r="P92" s="271"/>
      <c r="AB92" s="272"/>
    </row>
    <row r="93" ht="15.75" customHeight="1" spans="16:28" x14ac:dyDescent="0.25">
      <c r="P93" s="271"/>
      <c r="AB93" s="272"/>
    </row>
    <row r="94" ht="15.75" customHeight="1" spans="16:16" x14ac:dyDescent="0.25">
      <c r="P94" s="271"/>
    </row>
    <row r="95" ht="15.75" customHeight="1" spans="16:16" x14ac:dyDescent="0.25">
      <c r="P95" s="271"/>
    </row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spans="28:28" x14ac:dyDescent="0.25">
      <c r="AB103" s="272"/>
    </row>
    <row r="104" ht="15.75" customHeight="1" spans="28:28" x14ac:dyDescent="0.25">
      <c r="AB104" s="272"/>
    </row>
    <row r="105" ht="15.75" customHeight="1" spans="16:16" x14ac:dyDescent="0.25">
      <c r="P105" s="271"/>
    </row>
    <row r="106" ht="15.75" customHeight="1" spans="16:16" x14ac:dyDescent="0.25">
      <c r="P106" s="271"/>
    </row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36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spans="4:4" x14ac:dyDescent="0.25">
      <c r="D179" s="275"/>
    </row>
    <row r="180" ht="15.75" customHeight="1" spans="4:4" x14ac:dyDescent="0.25">
      <c r="D180" s="275"/>
    </row>
    <row r="181" ht="15.75" customHeight="1" spans="4:4" x14ac:dyDescent="0.25">
      <c r="D181" s="275"/>
    </row>
    <row r="182" ht="15.75" customHeight="1" spans="4:4" x14ac:dyDescent="0.25">
      <c r="D182" s="275"/>
    </row>
    <row r="183" ht="15.75" customHeight="1" spans="4:4" x14ac:dyDescent="0.25">
      <c r="D183" s="275"/>
    </row>
    <row r="184" ht="15.75" customHeight="1" spans="4:4" x14ac:dyDescent="0.25">
      <c r="D184" s="275"/>
    </row>
    <row r="185" ht="15.75" customHeight="1" spans="4:4" x14ac:dyDescent="0.25">
      <c r="D185" s="275"/>
    </row>
    <row r="186" ht="15.75" customHeight="1" spans="4:4" x14ac:dyDescent="0.25">
      <c r="D186" s="275"/>
    </row>
    <row r="187" ht="15.75" customHeight="1" spans="4:4" x14ac:dyDescent="0.25">
      <c r="D187" s="275"/>
    </row>
    <row r="188" ht="15.75" customHeight="1" spans="4:4" x14ac:dyDescent="0.25">
      <c r="D188" s="275"/>
    </row>
    <row r="189" ht="15.75" customHeight="1" spans="4:4" x14ac:dyDescent="0.25">
      <c r="D189" s="275"/>
    </row>
    <row r="190" ht="15.75" customHeight="1" spans="4:4" x14ac:dyDescent="0.25">
      <c r="D190" s="275"/>
    </row>
    <row r="191" ht="15.75" customHeight="1" spans="4:4" x14ac:dyDescent="0.25">
      <c r="D191" s="275"/>
    </row>
    <row r="192" ht="15.75" customHeight="1" spans="4:4" x14ac:dyDescent="0.25">
      <c r="D192" s="275"/>
    </row>
    <row r="193" ht="15.75" customHeight="1" spans="4:4" x14ac:dyDescent="0.25">
      <c r="D193" s="275"/>
    </row>
    <row r="194" ht="15.75" customHeight="1" spans="4:4" x14ac:dyDescent="0.25">
      <c r="D194" s="275"/>
    </row>
    <row r="195" ht="15.75" customHeight="1" spans="4:4" x14ac:dyDescent="0.25">
      <c r="D195" s="275"/>
    </row>
    <row r="196" ht="15.75" customHeight="1" spans="4:4" x14ac:dyDescent="0.25">
      <c r="D196" s="275"/>
    </row>
    <row r="197" ht="15.75" customHeight="1" spans="4:4" x14ac:dyDescent="0.25">
      <c r="D197" s="275"/>
    </row>
    <row r="198" ht="15.75" customHeight="1" spans="4:4" x14ac:dyDescent="0.25">
      <c r="D198" s="275"/>
    </row>
    <row r="199" ht="15.75" customHeight="1" spans="4:4" x14ac:dyDescent="0.25">
      <c r="D199" s="275"/>
    </row>
    <row r="200" ht="15.75" customHeight="1" spans="4:4" x14ac:dyDescent="0.25">
      <c r="D200" s="275"/>
    </row>
    <row r="201" ht="15.75" customHeight="1" spans="4:4" x14ac:dyDescent="0.25">
      <c r="D201" s="275"/>
    </row>
    <row r="202" ht="15.75" customHeight="1" spans="4:4" x14ac:dyDescent="0.25">
      <c r="D202" s="275"/>
    </row>
    <row r="203" ht="15.75" customHeight="1" spans="4:4" x14ac:dyDescent="0.25">
      <c r="D203" s="275"/>
    </row>
    <row r="204" ht="15.75" customHeight="1" spans="4:4" x14ac:dyDescent="0.25">
      <c r="D204" s="275"/>
    </row>
    <row r="205" ht="15.75" customHeight="1" spans="4:4" x14ac:dyDescent="0.25">
      <c r="D205" s="275"/>
    </row>
    <row r="206" ht="15.75" customHeight="1" spans="4:4" x14ac:dyDescent="0.25">
      <c r="D206" s="275"/>
    </row>
    <row r="207" ht="15.75" customHeight="1" spans="4:4" x14ac:dyDescent="0.25">
      <c r="D207" s="275"/>
    </row>
    <row r="208" ht="15.75" customHeight="1" spans="4:4" x14ac:dyDescent="0.25">
      <c r="D208" s="275"/>
    </row>
    <row r="209" ht="15.75" customHeight="1" spans="4:4" x14ac:dyDescent="0.25">
      <c r="D209" s="275"/>
    </row>
    <row r="210" ht="15.75" customHeight="1" spans="4:4" x14ac:dyDescent="0.25">
      <c r="D210" s="275"/>
    </row>
    <row r="211" ht="15.75" customHeight="1" spans="4:4" x14ac:dyDescent="0.25">
      <c r="D211" s="275"/>
    </row>
    <row r="212" ht="15.75" customHeight="1" spans="4:4" x14ac:dyDescent="0.25">
      <c r="D212" s="275"/>
    </row>
    <row r="213" ht="15.75" customHeight="1" spans="4:4" x14ac:dyDescent="0.25">
      <c r="D213" s="275"/>
    </row>
    <row r="214" ht="15.75" customHeight="1" spans="4:4" x14ac:dyDescent="0.25">
      <c r="D214" s="275"/>
    </row>
    <row r="215" ht="15.75" customHeight="1" spans="4:4" x14ac:dyDescent="0.25">
      <c r="D215" s="275"/>
    </row>
    <row r="216" ht="15.75" customHeight="1" spans="4:4" x14ac:dyDescent="0.25">
      <c r="D216" s="275"/>
    </row>
    <row r="217" ht="15.75" customHeight="1" spans="4:4" x14ac:dyDescent="0.25">
      <c r="D217" s="275"/>
    </row>
    <row r="218" ht="15.75" customHeight="1" spans="4:4" x14ac:dyDescent="0.25">
      <c r="D218" s="275"/>
    </row>
    <row r="219" ht="15.75" customHeight="1" spans="4:4" x14ac:dyDescent="0.25">
      <c r="D219" s="275"/>
    </row>
    <row r="220" ht="15.75" customHeight="1" spans="4:4" x14ac:dyDescent="0.25">
      <c r="D220" s="275"/>
    </row>
    <row r="221" ht="15.75" customHeight="1" spans="4:4" x14ac:dyDescent="0.25">
      <c r="D221" s="275"/>
    </row>
    <row r="222" ht="15.75" customHeight="1" spans="4:4" x14ac:dyDescent="0.25">
      <c r="D222" s="275"/>
    </row>
    <row r="223" ht="15.75" customHeight="1" spans="4:4" x14ac:dyDescent="0.25">
      <c r="D223" s="275"/>
    </row>
    <row r="224" ht="15.75" customHeight="1" spans="4:4" x14ac:dyDescent="0.25">
      <c r="D224" s="275"/>
    </row>
    <row r="225" ht="15.75" customHeight="1" spans="4:4" x14ac:dyDescent="0.25">
      <c r="D225" s="275"/>
    </row>
    <row r="226" ht="15.75" customHeight="1" spans="4:4" x14ac:dyDescent="0.25">
      <c r="D226" s="275"/>
    </row>
    <row r="227" ht="15.75" customHeight="1" spans="4:4" x14ac:dyDescent="0.25">
      <c r="D227" s="275"/>
    </row>
    <row r="228" ht="15.75" customHeight="1" spans="4:4" x14ac:dyDescent="0.25">
      <c r="D228" s="275"/>
    </row>
    <row r="229" ht="15.75" customHeight="1" spans="4:4" x14ac:dyDescent="0.25">
      <c r="D229" s="275"/>
    </row>
    <row r="230" ht="15.75" customHeight="1" spans="4:4" x14ac:dyDescent="0.25">
      <c r="D230" s="275"/>
    </row>
    <row r="231" ht="15.75" customHeight="1" spans="4:4" x14ac:dyDescent="0.25">
      <c r="D231" s="275"/>
    </row>
    <row r="232" ht="15.75" customHeight="1" spans="4:4" x14ac:dyDescent="0.25">
      <c r="D232" s="275"/>
    </row>
    <row r="233" ht="15.75" customHeight="1" spans="4:4" x14ac:dyDescent="0.25">
      <c r="D233" s="275"/>
    </row>
    <row r="234" ht="15.75" customHeight="1" spans="4:4" x14ac:dyDescent="0.25">
      <c r="D234" s="275"/>
    </row>
    <row r="235" ht="15.75" customHeight="1" spans="4:4" x14ac:dyDescent="0.25">
      <c r="D235" s="275"/>
    </row>
    <row r="236" ht="15.75" customHeight="1" spans="4:4" x14ac:dyDescent="0.25">
      <c r="D236" s="275"/>
    </row>
    <row r="237" ht="15.75" customHeight="1" spans="4:4" x14ac:dyDescent="0.25">
      <c r="D237" s="275"/>
    </row>
    <row r="238" ht="15.75" customHeight="1" spans="4:4" x14ac:dyDescent="0.25">
      <c r="D238" s="275"/>
    </row>
    <row r="239" ht="15.75" customHeight="1" spans="4:4" x14ac:dyDescent="0.25">
      <c r="D239" s="275"/>
    </row>
    <row r="240" ht="15.75" customHeight="1" spans="4:4" x14ac:dyDescent="0.25">
      <c r="D240" s="275"/>
    </row>
    <row r="241" ht="15.75" customHeight="1" spans="4:4" x14ac:dyDescent="0.25">
      <c r="D241" s="275"/>
    </row>
    <row r="242" ht="15.75" customHeight="1" spans="4:4" x14ac:dyDescent="0.25">
      <c r="D242" s="275"/>
    </row>
    <row r="243" ht="15.75" customHeight="1" spans="4:4" x14ac:dyDescent="0.25">
      <c r="D243" s="275"/>
    </row>
    <row r="244" ht="15.75" customHeight="1" spans="4:4" x14ac:dyDescent="0.25">
      <c r="D244" s="275"/>
    </row>
    <row r="245" ht="15.75" customHeight="1" spans="4:4" x14ac:dyDescent="0.25">
      <c r="D245" s="275"/>
    </row>
    <row r="246" ht="15.75" customHeight="1" spans="4:4" x14ac:dyDescent="0.25">
      <c r="D246" s="275"/>
    </row>
    <row r="247" ht="15.75" customHeight="1" spans="4:4" x14ac:dyDescent="0.25">
      <c r="D247" s="275"/>
    </row>
    <row r="248" ht="15.75" customHeight="1" spans="4:4" x14ac:dyDescent="0.25">
      <c r="D248" s="275"/>
    </row>
    <row r="249" ht="15.75" customHeight="1" spans="4:4" x14ac:dyDescent="0.25">
      <c r="D249" s="275"/>
    </row>
    <row r="250" ht="15.75" customHeight="1" spans="4:4" x14ac:dyDescent="0.25">
      <c r="D250" s="275"/>
    </row>
    <row r="251" ht="15.75" customHeight="1" spans="4:4" x14ac:dyDescent="0.25">
      <c r="D251" s="275"/>
    </row>
    <row r="252" ht="15.75" customHeight="1" spans="4:4" x14ac:dyDescent="0.25">
      <c r="D252" s="275"/>
    </row>
    <row r="253" ht="15.75" customHeight="1" spans="4:4" x14ac:dyDescent="0.25">
      <c r="D253" s="275"/>
    </row>
    <row r="254" ht="15.75" customHeight="1" spans="4:4" x14ac:dyDescent="0.25">
      <c r="D254" s="275"/>
    </row>
    <row r="255" ht="15.75" customHeight="1" spans="4:4" x14ac:dyDescent="0.25">
      <c r="D255" s="275"/>
    </row>
    <row r="256" ht="15.75" customHeight="1" spans="4:4" x14ac:dyDescent="0.25">
      <c r="D256" s="275"/>
    </row>
    <row r="257" ht="15.75" customHeight="1" spans="4:4" x14ac:dyDescent="0.25">
      <c r="D257" s="275"/>
    </row>
    <row r="258" ht="15.75" customHeight="1" spans="4:4" x14ac:dyDescent="0.25">
      <c r="D258" s="275"/>
    </row>
    <row r="259" ht="15.75" customHeight="1" spans="4:4" x14ac:dyDescent="0.25">
      <c r="D259" s="275"/>
    </row>
    <row r="260" ht="15.75" customHeight="1" spans="4:4" x14ac:dyDescent="0.25">
      <c r="D260" s="275"/>
    </row>
    <row r="261" ht="15.75" customHeight="1" spans="4:4" x14ac:dyDescent="0.25">
      <c r="D261" s="275"/>
    </row>
    <row r="262" ht="15.75" customHeight="1" spans="4:4" x14ac:dyDescent="0.25">
      <c r="D262" s="275"/>
    </row>
    <row r="263" ht="15.75" customHeight="1" spans="4:4" x14ac:dyDescent="0.25">
      <c r="D263" s="275"/>
    </row>
    <row r="264" ht="15.75" customHeight="1" spans="4:4" x14ac:dyDescent="0.25">
      <c r="D264" s="275"/>
    </row>
    <row r="265" ht="15.75" customHeight="1" spans="4:4" x14ac:dyDescent="0.25">
      <c r="D265" s="275"/>
    </row>
    <row r="266" ht="15.75" customHeight="1" spans="4:4" x14ac:dyDescent="0.25">
      <c r="D266" s="275"/>
    </row>
    <row r="267" ht="15.75" customHeight="1" spans="4:4" x14ac:dyDescent="0.25">
      <c r="D267" s="275"/>
    </row>
    <row r="268" ht="15.75" customHeight="1" spans="4:4" x14ac:dyDescent="0.25">
      <c r="D268" s="275"/>
    </row>
    <row r="269" ht="15.75" customHeight="1" spans="4:4" x14ac:dyDescent="0.25">
      <c r="D269" s="275"/>
    </row>
    <row r="270" ht="15.75" customHeight="1" spans="4:4" x14ac:dyDescent="0.25">
      <c r="D270" s="275"/>
    </row>
    <row r="271" ht="15.75" customHeight="1" spans="4:4" x14ac:dyDescent="0.25">
      <c r="D271" s="275"/>
    </row>
    <row r="272" ht="15.75" customHeight="1" spans="4:4" x14ac:dyDescent="0.25">
      <c r="D272" s="275"/>
    </row>
    <row r="273" ht="15.75" customHeight="1" spans="4:4" x14ac:dyDescent="0.25">
      <c r="D273" s="275"/>
    </row>
    <row r="274" ht="15.75" customHeight="1" spans="4:4" x14ac:dyDescent="0.25">
      <c r="D274" s="275"/>
    </row>
    <row r="275" ht="15.75" customHeight="1" spans="4:4" x14ac:dyDescent="0.25">
      <c r="D275" s="275"/>
    </row>
    <row r="276" ht="15.75" customHeight="1" spans="4:4" x14ac:dyDescent="0.25">
      <c r="D276" s="275"/>
    </row>
    <row r="277" ht="15.75" customHeight="1" spans="4:4" x14ac:dyDescent="0.25">
      <c r="D277" s="275"/>
    </row>
    <row r="278" ht="15.75" customHeight="1" spans="4:4" x14ac:dyDescent="0.25">
      <c r="D278" s="275"/>
    </row>
    <row r="279" ht="15.75" customHeight="1" spans="4:4" x14ac:dyDescent="0.25">
      <c r="D279" s="275"/>
    </row>
    <row r="280" ht="15.75" customHeight="1" spans="4:4" x14ac:dyDescent="0.25">
      <c r="D280" s="275"/>
    </row>
    <row r="281" ht="15.75" customHeight="1" spans="4:4" x14ac:dyDescent="0.25">
      <c r="D281" s="275"/>
    </row>
    <row r="282" ht="15.75" customHeight="1" spans="4:4" x14ac:dyDescent="0.25">
      <c r="D282" s="275"/>
    </row>
    <row r="283" ht="15.75" customHeight="1" spans="4:4" x14ac:dyDescent="0.25">
      <c r="D283" s="275"/>
    </row>
    <row r="284" ht="15.75" customHeight="1" spans="4:4" x14ac:dyDescent="0.25">
      <c r="D284" s="275"/>
    </row>
    <row r="285" ht="15.75" customHeight="1" spans="4:4" x14ac:dyDescent="0.25">
      <c r="D285" s="275"/>
    </row>
    <row r="286" ht="15.75" customHeight="1" spans="4:4" x14ac:dyDescent="0.25">
      <c r="D286" s="275"/>
    </row>
    <row r="287" ht="15.75" customHeight="1" spans="4:4" x14ac:dyDescent="0.25">
      <c r="D287" s="275"/>
    </row>
    <row r="288" ht="15.75" customHeight="1" spans="4:4" x14ac:dyDescent="0.25">
      <c r="D288" s="275"/>
    </row>
    <row r="289" ht="15.75" customHeight="1" spans="4:4" x14ac:dyDescent="0.25">
      <c r="D289" s="275"/>
    </row>
    <row r="290" ht="15.75" customHeight="1" spans="4:4" x14ac:dyDescent="0.25">
      <c r="D290" s="275"/>
    </row>
    <row r="291" ht="15.75" customHeight="1" spans="4:4" x14ac:dyDescent="0.25">
      <c r="D291" s="275"/>
    </row>
    <row r="292" ht="15.75" customHeight="1" spans="4:4" x14ac:dyDescent="0.25">
      <c r="D292" s="275"/>
    </row>
    <row r="293" ht="15.75" customHeight="1" spans="4:4" x14ac:dyDescent="0.25">
      <c r="D293" s="275"/>
    </row>
    <row r="294" ht="15.75" customHeight="1" spans="4:4" x14ac:dyDescent="0.25">
      <c r="D294" s="275"/>
    </row>
    <row r="295" ht="15.75" customHeight="1" spans="4:4" x14ac:dyDescent="0.25">
      <c r="D295" s="275"/>
    </row>
    <row r="296" ht="15.75" customHeight="1" spans="4:4" x14ac:dyDescent="0.25">
      <c r="D296" s="275"/>
    </row>
    <row r="297" ht="15.75" customHeight="1" spans="4:4" x14ac:dyDescent="0.25">
      <c r="D297" s="275"/>
    </row>
    <row r="298" ht="15.75" customHeight="1" spans="4:4" x14ac:dyDescent="0.25">
      <c r="D298" s="275"/>
    </row>
    <row r="299" ht="15.75" customHeight="1" spans="4:4" x14ac:dyDescent="0.25">
      <c r="D299" s="275"/>
    </row>
    <row r="300" ht="15.75" customHeight="1" spans="4:4" x14ac:dyDescent="0.25">
      <c r="D300" s="275"/>
    </row>
    <row r="301" ht="15.75" customHeight="1" spans="4:4" x14ac:dyDescent="0.25">
      <c r="D301" s="275"/>
    </row>
    <row r="302" ht="15.75" customHeight="1" spans="4:4" x14ac:dyDescent="0.25">
      <c r="D302" s="275"/>
    </row>
    <row r="303" ht="15.75" customHeight="1" spans="4:4" x14ac:dyDescent="0.25">
      <c r="D303" s="275"/>
    </row>
    <row r="304" ht="15.75" customHeight="1" spans="4:4" x14ac:dyDescent="0.25">
      <c r="D304" s="275"/>
    </row>
    <row r="305" ht="15.75" customHeight="1" spans="4:4" x14ac:dyDescent="0.25">
      <c r="D305" s="275"/>
    </row>
    <row r="306" ht="15.75" customHeight="1" spans="4:4" x14ac:dyDescent="0.25">
      <c r="D306" s="275"/>
    </row>
    <row r="307" ht="15.75" customHeight="1" spans="4:4" x14ac:dyDescent="0.25">
      <c r="D307" s="275"/>
    </row>
    <row r="308" ht="15.75" customHeight="1" spans="4:4" x14ac:dyDescent="0.25">
      <c r="D308" s="275"/>
    </row>
    <row r="309" ht="15.75" customHeight="1" spans="4:4" x14ac:dyDescent="0.25">
      <c r="D309" s="275"/>
    </row>
    <row r="310" ht="15.75" customHeight="1" spans="4:4" x14ac:dyDescent="0.25">
      <c r="D310" s="275"/>
    </row>
    <row r="311" ht="15.75" customHeight="1" spans="4:4" x14ac:dyDescent="0.25">
      <c r="D311" s="275"/>
    </row>
    <row r="312" ht="15.75" customHeight="1" spans="4:4" x14ac:dyDescent="0.25">
      <c r="D312" s="275"/>
    </row>
    <row r="313" ht="15.75" customHeight="1" spans="4:4" x14ac:dyDescent="0.25">
      <c r="D313" s="275"/>
    </row>
    <row r="314" ht="15.75" customHeight="1" spans="4:4" x14ac:dyDescent="0.25">
      <c r="D314" s="275"/>
    </row>
    <row r="315" ht="15.75" customHeight="1" spans="4:4" x14ac:dyDescent="0.25">
      <c r="D315" s="275"/>
    </row>
    <row r="316" ht="15.75" customHeight="1" spans="4:4" x14ac:dyDescent="0.25">
      <c r="D316" s="275"/>
    </row>
    <row r="317" ht="15.75" customHeight="1" spans="4:4" x14ac:dyDescent="0.25">
      <c r="D317" s="275"/>
    </row>
    <row r="318" ht="15.75" customHeight="1" spans="4:4" x14ac:dyDescent="0.25">
      <c r="D318" s="275"/>
    </row>
    <row r="319" ht="15.75" customHeight="1" spans="4:4" x14ac:dyDescent="0.25">
      <c r="D319" s="275"/>
    </row>
    <row r="320" ht="15.75" customHeight="1" spans="4:4" x14ac:dyDescent="0.25">
      <c r="D320" s="275"/>
    </row>
    <row r="321" ht="15.75" customHeight="1" spans="4:4" x14ac:dyDescent="0.25">
      <c r="D321" s="275"/>
    </row>
    <row r="322" ht="15.75" customHeight="1" spans="4:4" x14ac:dyDescent="0.25">
      <c r="D322" s="275"/>
    </row>
    <row r="323" ht="15.75" customHeight="1" spans="4:4" x14ac:dyDescent="0.25">
      <c r="D323" s="275"/>
    </row>
    <row r="324" ht="15.75" customHeight="1" spans="4:4" x14ac:dyDescent="0.25">
      <c r="D324" s="275"/>
    </row>
    <row r="325" ht="15.75" customHeight="1" spans="4:4" x14ac:dyDescent="0.25">
      <c r="D325" s="275"/>
    </row>
    <row r="326" ht="15.75" customHeight="1" spans="4:4" x14ac:dyDescent="0.25">
      <c r="D326" s="275"/>
    </row>
    <row r="327" ht="15.75" customHeight="1" spans="4:4" x14ac:dyDescent="0.25">
      <c r="D327" s="275"/>
    </row>
    <row r="328" ht="15.75" customHeight="1" spans="4:4" x14ac:dyDescent="0.25">
      <c r="D328" s="275"/>
    </row>
    <row r="329" ht="15.75" customHeight="1" spans="4:4" x14ac:dyDescent="0.25">
      <c r="D329" s="275"/>
    </row>
    <row r="330" ht="15.75" customHeight="1" spans="4:4" x14ac:dyDescent="0.25">
      <c r="D330" s="275"/>
    </row>
    <row r="331" ht="15.75" customHeight="1" spans="4:4" x14ac:dyDescent="0.25">
      <c r="D331" s="275"/>
    </row>
    <row r="332" ht="15.75" customHeight="1" spans="4:4" x14ac:dyDescent="0.25">
      <c r="D332" s="275"/>
    </row>
    <row r="333" ht="15.75" customHeight="1" spans="4:4" x14ac:dyDescent="0.25">
      <c r="D333" s="275"/>
    </row>
    <row r="334" ht="15.75" customHeight="1" spans="4:4" x14ac:dyDescent="0.25">
      <c r="D334" s="275"/>
    </row>
    <row r="335" ht="15.75" customHeight="1" spans="4:4" x14ac:dyDescent="0.25">
      <c r="D335" s="275"/>
    </row>
    <row r="336" ht="15.75" customHeight="1" spans="4:4" x14ac:dyDescent="0.25">
      <c r="D336" s="275"/>
    </row>
    <row r="337" ht="15.75" customHeight="1" spans="4:4" x14ac:dyDescent="0.25">
      <c r="D337" s="275"/>
    </row>
    <row r="338" ht="15.75" customHeight="1" spans="4:4" x14ac:dyDescent="0.25">
      <c r="D338" s="275"/>
    </row>
    <row r="339" ht="15.75" customHeight="1" spans="4:4" x14ac:dyDescent="0.25">
      <c r="D339" s="275"/>
    </row>
    <row r="340" ht="15.75" customHeight="1" spans="4:4" x14ac:dyDescent="0.25">
      <c r="D340" s="275"/>
    </row>
    <row r="341" ht="15.75" customHeight="1" spans="4:4" x14ac:dyDescent="0.25">
      <c r="D341" s="275"/>
    </row>
    <row r="342" ht="15.75" customHeight="1" spans="4:4" x14ac:dyDescent="0.25">
      <c r="D342" s="275"/>
    </row>
    <row r="343" ht="15.75" customHeight="1" spans="4:4" x14ac:dyDescent="0.25">
      <c r="D343" s="275"/>
    </row>
    <row r="344" ht="15.75" customHeight="1" spans="4:4" x14ac:dyDescent="0.25">
      <c r="D344" s="275"/>
    </row>
    <row r="345" ht="15.75" customHeight="1" spans="4:4" x14ac:dyDescent="0.25">
      <c r="D345" s="275"/>
    </row>
    <row r="346" ht="15.75" customHeight="1" spans="4:4" x14ac:dyDescent="0.25">
      <c r="D346" s="275"/>
    </row>
    <row r="347" ht="15.75" customHeight="1" spans="4:4" x14ac:dyDescent="0.25">
      <c r="D347" s="275"/>
    </row>
    <row r="348" ht="15.75" customHeight="1" spans="4:4" x14ac:dyDescent="0.25">
      <c r="D348" s="275"/>
    </row>
    <row r="349" ht="15.75" customHeight="1" spans="4:4" x14ac:dyDescent="0.25">
      <c r="D349" s="275"/>
    </row>
    <row r="350" ht="15.75" customHeight="1" spans="4:4" x14ac:dyDescent="0.25">
      <c r="D350" s="275"/>
    </row>
    <row r="351" ht="15.75" customHeight="1" spans="4:4" x14ac:dyDescent="0.25">
      <c r="D351" s="275"/>
    </row>
    <row r="352" ht="15.75" customHeight="1" spans="4:4" x14ac:dyDescent="0.25">
      <c r="D352" s="275"/>
    </row>
    <row r="353" ht="15.75" customHeight="1" spans="4:4" x14ac:dyDescent="0.25">
      <c r="D353" s="275"/>
    </row>
    <row r="354" ht="15.75" customHeight="1" spans="4:4" x14ac:dyDescent="0.25">
      <c r="D354" s="275"/>
    </row>
    <row r="355" ht="15.75" customHeight="1" spans="4:4" x14ac:dyDescent="0.25">
      <c r="D355" s="275"/>
    </row>
    <row r="356" ht="15.75" customHeight="1" spans="4:4" x14ac:dyDescent="0.25">
      <c r="D356" s="275"/>
    </row>
    <row r="357" ht="15.75" customHeight="1" spans="4:4" x14ac:dyDescent="0.25">
      <c r="D357" s="275"/>
    </row>
    <row r="358" ht="15.75" customHeight="1" spans="4:4" x14ac:dyDescent="0.25">
      <c r="D358" s="275"/>
    </row>
    <row r="359" ht="15.75" customHeight="1" spans="4:4" x14ac:dyDescent="0.25">
      <c r="D359" s="275"/>
    </row>
    <row r="360" ht="15.75" customHeight="1" spans="4:4" x14ac:dyDescent="0.25">
      <c r="D360" s="275"/>
    </row>
    <row r="361" ht="15.75" customHeight="1" spans="4:4" x14ac:dyDescent="0.25">
      <c r="D361" s="275"/>
    </row>
    <row r="362" ht="15.75" customHeight="1" spans="4:4" x14ac:dyDescent="0.25">
      <c r="D362" s="275"/>
    </row>
    <row r="363" ht="15.75" customHeight="1" spans="4:4" x14ac:dyDescent="0.25">
      <c r="D363" s="275"/>
    </row>
    <row r="364" ht="15.75" customHeight="1" spans="4:4" x14ac:dyDescent="0.25">
      <c r="D364" s="275"/>
    </row>
    <row r="365" ht="15.75" customHeight="1" spans="4:4" x14ac:dyDescent="0.25">
      <c r="D365" s="275"/>
    </row>
    <row r="366" ht="15.75" customHeight="1" spans="4:4" x14ac:dyDescent="0.25">
      <c r="D366" s="275"/>
    </row>
    <row r="367" ht="15.75" customHeight="1" spans="4:4" x14ac:dyDescent="0.25">
      <c r="D367" s="275"/>
    </row>
    <row r="368" ht="15.75" customHeight="1" spans="4:4" x14ac:dyDescent="0.25">
      <c r="D368" s="275"/>
    </row>
    <row r="369" ht="15.75" customHeight="1" spans="4:4" x14ac:dyDescent="0.25">
      <c r="D369" s="275"/>
    </row>
    <row r="370" ht="15.75" customHeight="1" spans="4:4" x14ac:dyDescent="0.25">
      <c r="D370" s="275"/>
    </row>
    <row r="371" ht="15.75" customHeight="1" spans="4:4" x14ac:dyDescent="0.25">
      <c r="D371" s="275"/>
    </row>
    <row r="372" ht="15.75" customHeight="1" spans="4:4" x14ac:dyDescent="0.25">
      <c r="D372" s="275"/>
    </row>
    <row r="373" ht="15.75" customHeight="1" spans="4:4" x14ac:dyDescent="0.25">
      <c r="D373" s="275"/>
    </row>
    <row r="374" ht="15.75" customHeight="1" spans="4:4" x14ac:dyDescent="0.25">
      <c r="D374" s="275"/>
    </row>
    <row r="375" ht="15.75" customHeight="1" spans="4:4" x14ac:dyDescent="0.25">
      <c r="D375" s="275"/>
    </row>
    <row r="376" ht="15.75" customHeight="1" spans="4:4" x14ac:dyDescent="0.25">
      <c r="D376" s="275"/>
    </row>
    <row r="377" ht="15.75" customHeight="1" spans="4:4" x14ac:dyDescent="0.25">
      <c r="D377" s="275"/>
    </row>
    <row r="378" ht="15.75" customHeight="1" spans="4:4" x14ac:dyDescent="0.25">
      <c r="D378" s="275"/>
    </row>
    <row r="379" ht="15.75" customHeight="1" spans="4:4" x14ac:dyDescent="0.25">
      <c r="D379" s="275"/>
    </row>
    <row r="380" ht="15.75" customHeight="1" spans="4:4" x14ac:dyDescent="0.25">
      <c r="D380" s="275"/>
    </row>
    <row r="381" ht="15.75" customHeight="1" spans="4:4" x14ac:dyDescent="0.25">
      <c r="D381" s="275"/>
    </row>
    <row r="382" ht="15.75" customHeight="1" spans="4:4" x14ac:dyDescent="0.25">
      <c r="D382" s="275"/>
    </row>
    <row r="383" ht="15.75" customHeight="1" spans="4:4" x14ac:dyDescent="0.25">
      <c r="D383" s="275"/>
    </row>
    <row r="384" ht="15.75" customHeight="1" spans="4:4" x14ac:dyDescent="0.25">
      <c r="D384" s="275"/>
    </row>
    <row r="385" ht="15.75" customHeight="1" spans="4:4" x14ac:dyDescent="0.25">
      <c r="D385" s="275"/>
    </row>
    <row r="386" ht="15.75" customHeight="1" spans="4:4" x14ac:dyDescent="0.25">
      <c r="D386" s="275"/>
    </row>
    <row r="387" ht="15.75" customHeight="1" spans="4:4" x14ac:dyDescent="0.25">
      <c r="D387" s="275"/>
    </row>
    <row r="388" ht="15.75" customHeight="1" spans="4:4" x14ac:dyDescent="0.25">
      <c r="D388" s="275"/>
    </row>
    <row r="389" ht="15.75" customHeight="1" spans="4:4" x14ac:dyDescent="0.25">
      <c r="D389" s="275"/>
    </row>
    <row r="390" ht="15.75" customHeight="1" spans="4:4" x14ac:dyDescent="0.25">
      <c r="D390" s="275"/>
    </row>
    <row r="391" ht="15.75" customHeight="1" spans="4:4" x14ac:dyDescent="0.25">
      <c r="D391" s="275"/>
    </row>
    <row r="392" ht="15.75" customHeight="1" spans="4:4" x14ac:dyDescent="0.25">
      <c r="D392" s="275"/>
    </row>
    <row r="393" ht="15.75" customHeight="1" spans="4:4" x14ac:dyDescent="0.25">
      <c r="D393" s="275"/>
    </row>
    <row r="394" ht="15.75" customHeight="1" spans="4:4" x14ac:dyDescent="0.25">
      <c r="D394" s="275"/>
    </row>
    <row r="395" ht="15.75" customHeight="1" spans="4:4" x14ac:dyDescent="0.25">
      <c r="D395" s="275"/>
    </row>
    <row r="396" ht="15.75" customHeight="1" spans="4:4" x14ac:dyDescent="0.25">
      <c r="D396" s="275"/>
    </row>
    <row r="397" ht="15.75" customHeight="1" spans="4:4" x14ac:dyDescent="0.25">
      <c r="D397" s="275"/>
    </row>
    <row r="398" ht="15.75" customHeight="1" spans="4:4" x14ac:dyDescent="0.25">
      <c r="D398" s="275"/>
    </row>
    <row r="399" ht="15.75" customHeight="1" spans="4:4" x14ac:dyDescent="0.25">
      <c r="D399" s="275"/>
    </row>
    <row r="400" ht="15.75" customHeight="1" spans="4:4" x14ac:dyDescent="0.25">
      <c r="D400" s="275"/>
    </row>
    <row r="401" ht="15.75" customHeight="1" spans="4:4" x14ac:dyDescent="0.25">
      <c r="D401" s="275"/>
    </row>
    <row r="402" ht="15.75" customHeight="1" spans="4:4" x14ac:dyDescent="0.25">
      <c r="D402" s="275"/>
    </row>
    <row r="403" ht="15.75" customHeight="1" spans="4:4" x14ac:dyDescent="0.25">
      <c r="D403" s="275"/>
    </row>
    <row r="404" ht="15.75" customHeight="1" spans="4:4" x14ac:dyDescent="0.25">
      <c r="D404" s="275"/>
    </row>
    <row r="405" ht="15.75" customHeight="1" spans="4:4" x14ac:dyDescent="0.25">
      <c r="D405" s="275"/>
    </row>
    <row r="406" ht="15.75" customHeight="1" spans="4:4" x14ac:dyDescent="0.25">
      <c r="D406" s="275"/>
    </row>
    <row r="407" ht="15.75" customHeight="1" spans="4:4" x14ac:dyDescent="0.25">
      <c r="D407" s="275"/>
    </row>
    <row r="408" ht="15.75" customHeight="1" spans="4:4" x14ac:dyDescent="0.25">
      <c r="D408" s="275"/>
    </row>
    <row r="409" ht="15.75" customHeight="1" spans="4:4" x14ac:dyDescent="0.25">
      <c r="D409" s="275"/>
    </row>
    <row r="410" ht="15.75" customHeight="1" spans="4:4" x14ac:dyDescent="0.25">
      <c r="D410" s="275"/>
    </row>
    <row r="411" ht="15.75" customHeight="1" spans="4:4" x14ac:dyDescent="0.25">
      <c r="D411" s="275"/>
    </row>
    <row r="412" ht="15.75" customHeight="1" spans="4:4" x14ac:dyDescent="0.25">
      <c r="D412" s="275"/>
    </row>
    <row r="413" ht="15.75" customHeight="1" spans="4:4" x14ac:dyDescent="0.25">
      <c r="D413" s="275"/>
    </row>
    <row r="414" ht="15.75" customHeight="1" spans="4:4" x14ac:dyDescent="0.25">
      <c r="D414" s="275"/>
    </row>
    <row r="415" ht="15.75" customHeight="1" spans="4:4" x14ac:dyDescent="0.25">
      <c r="D415" s="275"/>
    </row>
    <row r="416" ht="15.75" customHeight="1" spans="4:4" x14ac:dyDescent="0.25">
      <c r="D416" s="275"/>
    </row>
    <row r="417" ht="15.75" customHeight="1" spans="4:4" x14ac:dyDescent="0.25">
      <c r="D417" s="275"/>
    </row>
    <row r="418" ht="15.75" customHeight="1" spans="4:4" x14ac:dyDescent="0.25">
      <c r="D418" s="275"/>
    </row>
    <row r="419" ht="15.75" customHeight="1" spans="4:4" x14ac:dyDescent="0.25">
      <c r="D419" s="275"/>
    </row>
    <row r="420" ht="15.75" customHeight="1" spans="4:4" x14ac:dyDescent="0.25">
      <c r="D420" s="275"/>
    </row>
    <row r="421" ht="15.75" customHeight="1" spans="4:4" x14ac:dyDescent="0.25">
      <c r="D421" s="275"/>
    </row>
    <row r="422" ht="15.75" customHeight="1" spans="4:4" x14ac:dyDescent="0.25">
      <c r="D422" s="275"/>
    </row>
    <row r="423" ht="15.75" customHeight="1" spans="4:4" x14ac:dyDescent="0.25">
      <c r="D423" s="275"/>
    </row>
    <row r="424" ht="15.75" customHeight="1" spans="4:4" x14ac:dyDescent="0.25">
      <c r="D424" s="275"/>
    </row>
    <row r="425" ht="15.75" customHeight="1" spans="4:4" x14ac:dyDescent="0.25">
      <c r="D425" s="275"/>
    </row>
    <row r="426" ht="15.75" customHeight="1" spans="4:4" x14ac:dyDescent="0.25">
      <c r="D426" s="275"/>
    </row>
    <row r="427" ht="15.75" customHeight="1" spans="4:4" x14ac:dyDescent="0.25">
      <c r="D427" s="275"/>
    </row>
    <row r="428" ht="15.75" customHeight="1" spans="4:4" x14ac:dyDescent="0.25">
      <c r="D428" s="275"/>
    </row>
    <row r="429" ht="15.75" customHeight="1" spans="4:4" x14ac:dyDescent="0.25">
      <c r="D429" s="275"/>
    </row>
    <row r="430" ht="15.75" customHeight="1" spans="4:4" x14ac:dyDescent="0.25">
      <c r="D430" s="275"/>
    </row>
    <row r="431" ht="15.75" customHeight="1" spans="4:4" x14ac:dyDescent="0.25">
      <c r="D431" s="275"/>
    </row>
    <row r="432" ht="15.75" customHeight="1" spans="4:4" x14ac:dyDescent="0.25">
      <c r="D432" s="275"/>
    </row>
    <row r="433" ht="15.75" customHeight="1" spans="4:4" x14ac:dyDescent="0.25">
      <c r="D433" s="275"/>
    </row>
    <row r="434" ht="15.75" customHeight="1" spans="4:4" x14ac:dyDescent="0.25">
      <c r="D434" s="275"/>
    </row>
    <row r="435" ht="15.75" customHeight="1" spans="4:4" x14ac:dyDescent="0.25">
      <c r="D435" s="275"/>
    </row>
    <row r="436" ht="15.75" customHeight="1" spans="4:4" x14ac:dyDescent="0.25">
      <c r="D436" s="275"/>
    </row>
    <row r="437" ht="15.75" customHeight="1" spans="4:4" x14ac:dyDescent="0.25">
      <c r="D437" s="275"/>
    </row>
    <row r="438" ht="15.75" customHeight="1" spans="4:4" x14ac:dyDescent="0.25">
      <c r="D438" s="275"/>
    </row>
    <row r="439" ht="15.75" customHeight="1" spans="4:4" x14ac:dyDescent="0.25">
      <c r="D439" s="275"/>
    </row>
    <row r="440" ht="15.75" customHeight="1" spans="4:4" x14ac:dyDescent="0.25">
      <c r="D440" s="275"/>
    </row>
    <row r="441" ht="15.75" customHeight="1" spans="4:4" x14ac:dyDescent="0.25">
      <c r="D441" s="275"/>
    </row>
    <row r="442" ht="15.75" customHeight="1" spans="4:4" x14ac:dyDescent="0.25">
      <c r="D442" s="275"/>
    </row>
    <row r="443" ht="15.75" customHeight="1" spans="4:4" x14ac:dyDescent="0.25">
      <c r="D443" s="275"/>
    </row>
    <row r="444" ht="15.75" customHeight="1" spans="4:4" x14ac:dyDescent="0.25">
      <c r="D444" s="275"/>
    </row>
    <row r="445" ht="15.75" customHeight="1" spans="4:4" x14ac:dyDescent="0.25">
      <c r="D445" s="275"/>
    </row>
    <row r="446" ht="15.75" customHeight="1" spans="4:4" x14ac:dyDescent="0.25">
      <c r="D446" s="275"/>
    </row>
    <row r="447" ht="15.75" customHeight="1" spans="4:4" x14ac:dyDescent="0.25">
      <c r="D447" s="275"/>
    </row>
    <row r="448" ht="15.75" customHeight="1" spans="4:4" x14ac:dyDescent="0.25">
      <c r="D448" s="275"/>
    </row>
    <row r="449" ht="15.75" customHeight="1" spans="4:4" x14ac:dyDescent="0.25">
      <c r="D449" s="275"/>
    </row>
    <row r="450" ht="15.75" customHeight="1" spans="4:4" x14ac:dyDescent="0.25">
      <c r="D450" s="275"/>
    </row>
    <row r="451" ht="15.75" customHeight="1" spans="4:4" x14ac:dyDescent="0.25">
      <c r="D451" s="275"/>
    </row>
    <row r="452" ht="15.75" customHeight="1" spans="4:4" x14ac:dyDescent="0.25">
      <c r="D452" s="275"/>
    </row>
    <row r="453" ht="15.75" customHeight="1" spans="4:4" x14ac:dyDescent="0.25">
      <c r="D453" s="275"/>
    </row>
    <row r="454" ht="15.75" customHeight="1" spans="4:4" x14ac:dyDescent="0.25">
      <c r="D454" s="275"/>
    </row>
    <row r="455" ht="15.75" customHeight="1" spans="4:4" x14ac:dyDescent="0.25">
      <c r="D455" s="275"/>
    </row>
    <row r="456" ht="15.75" customHeight="1" spans="4:4" x14ac:dyDescent="0.25">
      <c r="D456" s="275"/>
    </row>
    <row r="457" ht="15.75" customHeight="1" spans="4:4" x14ac:dyDescent="0.25">
      <c r="D457" s="275"/>
    </row>
    <row r="458" ht="15.75" customHeight="1" spans="4:4" x14ac:dyDescent="0.25">
      <c r="D458" s="275"/>
    </row>
    <row r="459" ht="15.75" customHeight="1" spans="4:4" x14ac:dyDescent="0.25">
      <c r="D459" s="275"/>
    </row>
    <row r="460" ht="15.75" customHeight="1" spans="4:4" x14ac:dyDescent="0.25">
      <c r="D460" s="275"/>
    </row>
    <row r="461" ht="15.75" customHeight="1" spans="4:4" x14ac:dyDescent="0.25">
      <c r="D461" s="275"/>
    </row>
    <row r="462" ht="15.75" customHeight="1" spans="4:4" x14ac:dyDescent="0.25">
      <c r="D462" s="275"/>
    </row>
    <row r="463" ht="15.75" customHeight="1" spans="4:4" x14ac:dyDescent="0.25">
      <c r="D463" s="275"/>
    </row>
    <row r="464" ht="15.75" customHeight="1" spans="4:4" x14ac:dyDescent="0.25">
      <c r="D464" s="275"/>
    </row>
    <row r="465" ht="15.75" customHeight="1" spans="4:4" x14ac:dyDescent="0.25">
      <c r="D465" s="275"/>
    </row>
    <row r="466" ht="15.75" customHeight="1" spans="4:4" x14ac:dyDescent="0.25">
      <c r="D466" s="275"/>
    </row>
    <row r="467" ht="15.75" customHeight="1" spans="4:4" x14ac:dyDescent="0.25">
      <c r="D467" s="275"/>
    </row>
    <row r="468" ht="15.75" customHeight="1" spans="4:4" x14ac:dyDescent="0.25">
      <c r="D468" s="275"/>
    </row>
    <row r="469" ht="15.75" customHeight="1" spans="4:4" x14ac:dyDescent="0.25">
      <c r="D469" s="275"/>
    </row>
    <row r="470" ht="15.75" customHeight="1" spans="4:4" x14ac:dyDescent="0.25">
      <c r="D470" s="275"/>
    </row>
    <row r="471" ht="15.75" customHeight="1" spans="4:4" x14ac:dyDescent="0.25">
      <c r="D471" s="275"/>
    </row>
    <row r="472" ht="15.75" customHeight="1" spans="4:4" x14ac:dyDescent="0.25">
      <c r="D472" s="275"/>
    </row>
    <row r="473" ht="15.75" customHeight="1" spans="4:4" x14ac:dyDescent="0.25">
      <c r="D473" s="275"/>
    </row>
    <row r="474" ht="15.75" customHeight="1" spans="4:4" x14ac:dyDescent="0.25">
      <c r="D474" s="275"/>
    </row>
    <row r="475" ht="15.75" customHeight="1" spans="4:4" x14ac:dyDescent="0.25">
      <c r="D475" s="275"/>
    </row>
    <row r="476" ht="15.75" customHeight="1" spans="4:4" x14ac:dyDescent="0.25">
      <c r="D476" s="275"/>
    </row>
    <row r="477" ht="15.75" customHeight="1" spans="4:4" x14ac:dyDescent="0.25">
      <c r="D477" s="275"/>
    </row>
    <row r="478" ht="15.75" customHeight="1" spans="4:4" x14ac:dyDescent="0.25">
      <c r="D478" s="275"/>
    </row>
    <row r="479" ht="15.75" customHeight="1" spans="4:4" x14ac:dyDescent="0.25">
      <c r="D479" s="275"/>
    </row>
    <row r="480" ht="15.75" customHeight="1" spans="4:4" x14ac:dyDescent="0.25">
      <c r="D480" s="275"/>
    </row>
    <row r="481" ht="15.75" customHeight="1" spans="4:4" x14ac:dyDescent="0.25">
      <c r="D481" s="275"/>
    </row>
    <row r="482" ht="15.75" customHeight="1" spans="4:4" x14ac:dyDescent="0.25">
      <c r="D482" s="275"/>
    </row>
    <row r="483" ht="15.75" customHeight="1" spans="4:4" x14ac:dyDescent="0.25">
      <c r="D483" s="275"/>
    </row>
    <row r="484" ht="15.75" customHeight="1" spans="4:4" x14ac:dyDescent="0.25">
      <c r="D484" s="275"/>
    </row>
    <row r="485" ht="15.75" customHeight="1" spans="4:4" x14ac:dyDescent="0.25">
      <c r="D485" s="275"/>
    </row>
    <row r="486" ht="15.75" customHeight="1" spans="4:4" x14ac:dyDescent="0.25">
      <c r="D486" s="275"/>
    </row>
    <row r="487" ht="15.75" customHeight="1" spans="4:4" x14ac:dyDescent="0.25">
      <c r="D487" s="275"/>
    </row>
    <row r="488" ht="15.75" customHeight="1" spans="4:4" x14ac:dyDescent="0.25">
      <c r="D488" s="275"/>
    </row>
    <row r="489" ht="15.75" customHeight="1" spans="4:4" x14ac:dyDescent="0.25">
      <c r="D489" s="275"/>
    </row>
    <row r="490" ht="15.75" customHeight="1" spans="4:4" x14ac:dyDescent="0.25">
      <c r="D490" s="275"/>
    </row>
    <row r="491" ht="15.75" customHeight="1" spans="4:4" x14ac:dyDescent="0.25">
      <c r="D491" s="275"/>
    </row>
    <row r="492" ht="15.75" customHeight="1" spans="4:4" x14ac:dyDescent="0.25">
      <c r="D492" s="275"/>
    </row>
    <row r="493" ht="15.75" customHeight="1" spans="4:4" x14ac:dyDescent="0.25">
      <c r="D493" s="275"/>
    </row>
    <row r="494" ht="15.75" customHeight="1" spans="4:4" x14ac:dyDescent="0.25">
      <c r="D494" s="275"/>
    </row>
    <row r="495" ht="15.75" customHeight="1" spans="4:4" x14ac:dyDescent="0.25">
      <c r="D495" s="275"/>
    </row>
    <row r="496" ht="15.75" customHeight="1" spans="4:4" x14ac:dyDescent="0.25">
      <c r="D496" s="275"/>
    </row>
    <row r="497" ht="15.75" customHeight="1" spans="4:4" x14ac:dyDescent="0.25">
      <c r="D497" s="275"/>
    </row>
    <row r="498" ht="15.75" customHeight="1" spans="4:4" x14ac:dyDescent="0.25">
      <c r="D498" s="275"/>
    </row>
    <row r="499" ht="15.75" customHeight="1" spans="4:4" x14ac:dyDescent="0.25">
      <c r="D499" s="275"/>
    </row>
    <row r="500" ht="15.75" customHeight="1" spans="4:4" x14ac:dyDescent="0.25">
      <c r="D500" s="275"/>
    </row>
    <row r="501" ht="15.75" customHeight="1" spans="4:4" x14ac:dyDescent="0.25">
      <c r="D501" s="275"/>
    </row>
    <row r="502" ht="15.75" customHeight="1" spans="4:4" x14ac:dyDescent="0.25">
      <c r="D502" s="275"/>
    </row>
    <row r="503" ht="15.75" customHeight="1" spans="4:4" x14ac:dyDescent="0.25">
      <c r="D503" s="275"/>
    </row>
    <row r="504" ht="15.75" customHeight="1" spans="4:4" x14ac:dyDescent="0.25">
      <c r="D504" s="275"/>
    </row>
    <row r="505" ht="15.75" customHeight="1" spans="4:4" x14ac:dyDescent="0.25">
      <c r="D505" s="275"/>
    </row>
    <row r="506" ht="15.75" customHeight="1" spans="4:4" x14ac:dyDescent="0.25">
      <c r="D506" s="275"/>
    </row>
    <row r="507" ht="15.75" customHeight="1" spans="4:4" x14ac:dyDescent="0.25">
      <c r="D507" s="275"/>
    </row>
    <row r="508" ht="15.75" customHeight="1" spans="4:4" x14ac:dyDescent="0.25">
      <c r="D508" s="275"/>
    </row>
    <row r="509" ht="15.75" customHeight="1" spans="4:4" x14ac:dyDescent="0.25">
      <c r="D509" s="275"/>
    </row>
    <row r="510" ht="15.75" customHeight="1" spans="4:4" x14ac:dyDescent="0.25">
      <c r="D510" s="275"/>
    </row>
    <row r="511" ht="15.75" customHeight="1" spans="4:4" x14ac:dyDescent="0.25">
      <c r="D511" s="275"/>
    </row>
    <row r="512" ht="15.75" customHeight="1" spans="4:4" x14ac:dyDescent="0.25">
      <c r="D512" s="275"/>
    </row>
    <row r="513" ht="15.75" customHeight="1" spans="4:4" x14ac:dyDescent="0.25">
      <c r="D513" s="275"/>
    </row>
    <row r="514" ht="15.75" customHeight="1" spans="4:4" x14ac:dyDescent="0.25">
      <c r="D514" s="275"/>
    </row>
    <row r="515" ht="15.75" customHeight="1" spans="4:4" x14ac:dyDescent="0.25">
      <c r="D515" s="275"/>
    </row>
    <row r="516" ht="15.75" customHeight="1" spans="4:4" x14ac:dyDescent="0.25">
      <c r="D516" s="275"/>
    </row>
    <row r="517" ht="15.75" customHeight="1" spans="4:4" x14ac:dyDescent="0.25">
      <c r="D517" s="275"/>
    </row>
    <row r="518" ht="15.75" customHeight="1" spans="4:4" x14ac:dyDescent="0.25">
      <c r="D518" s="275"/>
    </row>
    <row r="519" ht="15.75" customHeight="1" spans="4:4" x14ac:dyDescent="0.25">
      <c r="D519" s="275"/>
    </row>
    <row r="520" ht="15.75" customHeight="1" spans="4:4" x14ac:dyDescent="0.25">
      <c r="D520" s="275"/>
    </row>
    <row r="521" ht="15.75" customHeight="1" spans="4:4" x14ac:dyDescent="0.25">
      <c r="D521" s="275"/>
    </row>
    <row r="522" ht="15.75" customHeight="1" spans="4:4" x14ac:dyDescent="0.25">
      <c r="D522" s="275"/>
    </row>
    <row r="523" ht="15.75" customHeight="1" spans="4:4" x14ac:dyDescent="0.25">
      <c r="D523" s="275"/>
    </row>
    <row r="524" ht="15.75" customHeight="1" spans="4:4" x14ac:dyDescent="0.25">
      <c r="D524" s="275"/>
    </row>
    <row r="525" ht="15.75" customHeight="1" spans="4:4" x14ac:dyDescent="0.25">
      <c r="D525" s="275"/>
    </row>
    <row r="526" ht="15.75" customHeight="1" spans="4:4" x14ac:dyDescent="0.25">
      <c r="D526" s="275"/>
    </row>
    <row r="527" ht="15.75" customHeight="1" spans="4:4" x14ac:dyDescent="0.25">
      <c r="D527" s="275"/>
    </row>
    <row r="528" ht="15.75" customHeight="1" spans="4:4" x14ac:dyDescent="0.25">
      <c r="D528" s="275"/>
    </row>
    <row r="529" ht="15.75" customHeight="1" spans="4:4" x14ac:dyDescent="0.25">
      <c r="D529" s="275"/>
    </row>
    <row r="530" ht="15.75" customHeight="1" spans="4:4" x14ac:dyDescent="0.25">
      <c r="D530" s="275"/>
    </row>
    <row r="531" ht="15.75" customHeight="1" spans="4:4" x14ac:dyDescent="0.25">
      <c r="D531" s="275"/>
    </row>
    <row r="532" ht="15.75" customHeight="1" spans="4:4" x14ac:dyDescent="0.25">
      <c r="D532" s="275"/>
    </row>
    <row r="533" ht="15.75" customHeight="1" spans="4:4" x14ac:dyDescent="0.25">
      <c r="D533" s="275"/>
    </row>
    <row r="534" ht="15.75" customHeight="1" spans="4:4" x14ac:dyDescent="0.25">
      <c r="D534" s="275"/>
    </row>
    <row r="535" ht="15.75" customHeight="1" spans="4:4" x14ac:dyDescent="0.25">
      <c r="D535" s="275"/>
    </row>
    <row r="536" ht="15.75" customHeight="1" spans="4:4" x14ac:dyDescent="0.25">
      <c r="D536" s="275"/>
    </row>
    <row r="537" ht="15.75" customHeight="1" spans="4:4" x14ac:dyDescent="0.25">
      <c r="D537" s="275"/>
    </row>
    <row r="538" ht="15.75" customHeight="1" spans="4:4" x14ac:dyDescent="0.25">
      <c r="D538" s="275"/>
    </row>
    <row r="539" ht="15.75" customHeight="1" spans="4:4" x14ac:dyDescent="0.25">
      <c r="D539" s="275"/>
    </row>
    <row r="540" ht="15.75" customHeight="1" spans="4:4" x14ac:dyDescent="0.25">
      <c r="D540" s="275"/>
    </row>
    <row r="541" ht="15.75" customHeight="1" spans="4:4" x14ac:dyDescent="0.25">
      <c r="D541" s="275"/>
    </row>
    <row r="542" ht="15.75" customHeight="1" spans="4:4" x14ac:dyDescent="0.25">
      <c r="D542" s="275"/>
    </row>
    <row r="543" ht="15.75" customHeight="1" spans="4:4" x14ac:dyDescent="0.25">
      <c r="D543" s="275"/>
    </row>
    <row r="544" ht="15.75" customHeight="1" spans="4:4" x14ac:dyDescent="0.25">
      <c r="D544" s="275"/>
    </row>
    <row r="545" ht="15.75" customHeight="1" spans="4:4" x14ac:dyDescent="0.25">
      <c r="D545" s="275"/>
    </row>
    <row r="546" ht="15.75" customHeight="1" spans="4:4" x14ac:dyDescent="0.25">
      <c r="D546" s="275"/>
    </row>
    <row r="547" ht="15.75" customHeight="1" spans="4:4" x14ac:dyDescent="0.25">
      <c r="D547" s="275"/>
    </row>
    <row r="548" ht="15.75" customHeight="1" spans="4:4" x14ac:dyDescent="0.25">
      <c r="D548" s="275"/>
    </row>
    <row r="549" ht="15.75" customHeight="1" spans="4:4" x14ac:dyDescent="0.25">
      <c r="D549" s="275"/>
    </row>
    <row r="550" ht="15.75" customHeight="1" spans="4:4" x14ac:dyDescent="0.25">
      <c r="D550" s="275"/>
    </row>
    <row r="551" ht="15.75" customHeight="1" spans="4:4" x14ac:dyDescent="0.25">
      <c r="D551" s="275"/>
    </row>
    <row r="552" ht="15.75" customHeight="1" spans="4:4" x14ac:dyDescent="0.25">
      <c r="D552" s="275"/>
    </row>
    <row r="553" ht="15.75" customHeight="1" spans="4:4" x14ac:dyDescent="0.25">
      <c r="D553" s="275"/>
    </row>
    <row r="554" ht="15.75" customHeight="1" spans="4:4" x14ac:dyDescent="0.25">
      <c r="D554" s="275"/>
    </row>
    <row r="555" ht="15.75" customHeight="1" spans="4:4" x14ac:dyDescent="0.25">
      <c r="D555" s="275"/>
    </row>
    <row r="556" ht="15.75" customHeight="1" spans="4:4" x14ac:dyDescent="0.25">
      <c r="D556" s="275"/>
    </row>
    <row r="557" ht="15.75" customHeight="1" spans="4:4" x14ac:dyDescent="0.25">
      <c r="D557" s="275"/>
    </row>
    <row r="558" ht="15.75" customHeight="1" spans="4:4" x14ac:dyDescent="0.25">
      <c r="D558" s="275"/>
    </row>
    <row r="559" ht="15.75" customHeight="1" spans="4:4" x14ac:dyDescent="0.25">
      <c r="D559" s="275"/>
    </row>
    <row r="560" ht="15.75" customHeight="1" spans="4:4" x14ac:dyDescent="0.25">
      <c r="D560" s="275"/>
    </row>
    <row r="561" ht="15.75" customHeight="1" spans="4:4" x14ac:dyDescent="0.25">
      <c r="D561" s="275"/>
    </row>
    <row r="562" ht="15.75" customHeight="1" spans="4:4" x14ac:dyDescent="0.25">
      <c r="D562" s="275"/>
    </row>
    <row r="563" ht="15.75" customHeight="1" spans="4:4" x14ac:dyDescent="0.25">
      <c r="D563" s="275"/>
    </row>
    <row r="564" ht="15.75" customHeight="1" spans="4:4" x14ac:dyDescent="0.25">
      <c r="D564" s="275"/>
    </row>
    <row r="565" ht="15.75" customHeight="1" spans="4:4" x14ac:dyDescent="0.25">
      <c r="D565" s="275"/>
    </row>
    <row r="566" ht="15.75" customHeight="1" spans="4:4" x14ac:dyDescent="0.25">
      <c r="D566" s="275"/>
    </row>
    <row r="567" ht="15.75" customHeight="1" spans="4:4" x14ac:dyDescent="0.25">
      <c r="D567" s="275"/>
    </row>
    <row r="568" ht="15.75" customHeight="1" spans="4:4" x14ac:dyDescent="0.25">
      <c r="D568" s="275"/>
    </row>
    <row r="569" ht="15.75" customHeight="1" spans="4:4" x14ac:dyDescent="0.25">
      <c r="D569" s="275"/>
    </row>
    <row r="570" ht="15.75" customHeight="1" spans="4:4" x14ac:dyDescent="0.25">
      <c r="D570" s="275"/>
    </row>
    <row r="571" ht="15.75" customHeight="1" spans="4:4" x14ac:dyDescent="0.25">
      <c r="D571" s="275"/>
    </row>
    <row r="572" ht="15.75" customHeight="1" spans="4:4" x14ac:dyDescent="0.25">
      <c r="D572" s="275"/>
    </row>
    <row r="573" ht="15.75" customHeight="1" spans="4:4" x14ac:dyDescent="0.25">
      <c r="D573" s="275"/>
    </row>
    <row r="574" ht="15.75" customHeight="1" spans="4:4" x14ac:dyDescent="0.25">
      <c r="D574" s="275"/>
    </row>
    <row r="575" ht="15.75" customHeight="1" spans="4:4" x14ac:dyDescent="0.25">
      <c r="D575" s="275"/>
    </row>
    <row r="576" ht="15.75" customHeight="1" spans="4:4" x14ac:dyDescent="0.25">
      <c r="D576" s="275"/>
    </row>
    <row r="577" ht="15.75" customHeight="1" spans="4:4" x14ac:dyDescent="0.25">
      <c r="D577" s="275"/>
    </row>
    <row r="578" ht="15.75" customHeight="1" spans="4:4" x14ac:dyDescent="0.25">
      <c r="D578" s="275"/>
    </row>
    <row r="579" ht="15.75" customHeight="1" spans="4:4" x14ac:dyDescent="0.25">
      <c r="D579" s="275"/>
    </row>
    <row r="580" ht="15.75" customHeight="1" spans="4:4" x14ac:dyDescent="0.25">
      <c r="D580" s="275"/>
    </row>
    <row r="581" ht="15.75" customHeight="1" spans="4:4" x14ac:dyDescent="0.25">
      <c r="D581" s="275"/>
    </row>
    <row r="582" ht="15.75" customHeight="1" spans="4:4" x14ac:dyDescent="0.25">
      <c r="D582" s="275"/>
    </row>
    <row r="583" ht="15.75" customHeight="1" spans="4:4" x14ac:dyDescent="0.25">
      <c r="D583" s="275"/>
    </row>
    <row r="584" ht="15.75" customHeight="1" spans="4:4" x14ac:dyDescent="0.25">
      <c r="D584" s="275"/>
    </row>
    <row r="585" ht="15.75" customHeight="1" spans="4:4" x14ac:dyDescent="0.25">
      <c r="D585" s="275"/>
    </row>
    <row r="586" ht="15.75" customHeight="1" spans="4:4" x14ac:dyDescent="0.25">
      <c r="D586" s="275"/>
    </row>
    <row r="587" ht="15.75" customHeight="1" spans="4:4" x14ac:dyDescent="0.25">
      <c r="D587" s="275"/>
    </row>
    <row r="588" ht="15.75" customHeight="1" spans="4:4" x14ac:dyDescent="0.25">
      <c r="D588" s="275"/>
    </row>
    <row r="589" ht="15.75" customHeight="1" spans="4:4" x14ac:dyDescent="0.25">
      <c r="D589" s="275"/>
    </row>
    <row r="590" ht="15.75" customHeight="1" spans="4:4" x14ac:dyDescent="0.25">
      <c r="D590" s="275"/>
    </row>
    <row r="591" ht="15.75" customHeight="1" spans="4:4" x14ac:dyDescent="0.25">
      <c r="D591" s="275"/>
    </row>
    <row r="592" ht="15.75" customHeight="1" spans="4:4" x14ac:dyDescent="0.25">
      <c r="D592" s="275"/>
    </row>
    <row r="593" ht="15.75" customHeight="1" spans="4:4" x14ac:dyDescent="0.25">
      <c r="D593" s="275"/>
    </row>
    <row r="594" ht="15.75" customHeight="1" spans="4:4" x14ac:dyDescent="0.25">
      <c r="D594" s="275"/>
    </row>
    <row r="595" ht="15.75" customHeight="1" spans="4:4" x14ac:dyDescent="0.25">
      <c r="D595" s="275"/>
    </row>
    <row r="596" ht="15.75" customHeight="1" spans="4:4" x14ac:dyDescent="0.25">
      <c r="D596" s="275"/>
    </row>
    <row r="597" ht="15.75" customHeight="1" spans="4:4" x14ac:dyDescent="0.25">
      <c r="D597" s="275"/>
    </row>
    <row r="598" ht="15.75" customHeight="1" spans="4:4" x14ac:dyDescent="0.25">
      <c r="D598" s="275"/>
    </row>
    <row r="599" ht="15.75" customHeight="1" spans="4:4" x14ac:dyDescent="0.25">
      <c r="D599" s="275"/>
    </row>
    <row r="600" ht="15.75" customHeight="1" spans="4:4" x14ac:dyDescent="0.25">
      <c r="D600" s="275"/>
    </row>
    <row r="601" ht="15.75" customHeight="1" spans="4:4" x14ac:dyDescent="0.25">
      <c r="D601" s="275"/>
    </row>
    <row r="602" ht="15.75" customHeight="1" spans="4:4" x14ac:dyDescent="0.25">
      <c r="D602" s="275"/>
    </row>
    <row r="603" ht="15.75" customHeight="1" spans="4:4" x14ac:dyDescent="0.25">
      <c r="D603" s="275"/>
    </row>
    <row r="604" ht="15.75" customHeight="1" spans="4:4" x14ac:dyDescent="0.25">
      <c r="D604" s="275"/>
    </row>
    <row r="605" ht="15.75" customHeight="1" spans="4:4" x14ac:dyDescent="0.25">
      <c r="D605" s="275"/>
    </row>
    <row r="606" ht="15.75" customHeight="1" spans="4:4" x14ac:dyDescent="0.25">
      <c r="D606" s="275"/>
    </row>
    <row r="607" ht="15.75" customHeight="1" spans="4:4" x14ac:dyDescent="0.25">
      <c r="D607" s="275"/>
    </row>
    <row r="608" ht="15.75" customHeight="1" spans="4:4" x14ac:dyDescent="0.25">
      <c r="D608" s="275"/>
    </row>
    <row r="609" ht="15.75" customHeight="1" spans="4:4" x14ac:dyDescent="0.25">
      <c r="D609" s="275"/>
    </row>
    <row r="610" ht="15.75" customHeight="1" spans="4:4" x14ac:dyDescent="0.25">
      <c r="D610" s="275"/>
    </row>
    <row r="611" ht="15.75" customHeight="1" spans="4:4" x14ac:dyDescent="0.25">
      <c r="D611" s="275"/>
    </row>
    <row r="612" ht="15.75" customHeight="1" spans="4:4" x14ac:dyDescent="0.25">
      <c r="D612" s="275"/>
    </row>
    <row r="613" ht="15.75" customHeight="1" spans="4:4" x14ac:dyDescent="0.25">
      <c r="D613" s="275"/>
    </row>
    <row r="614" ht="15.75" customHeight="1" spans="4:4" x14ac:dyDescent="0.25">
      <c r="D614" s="275"/>
    </row>
    <row r="615" ht="15.75" customHeight="1" spans="4:4" x14ac:dyDescent="0.25">
      <c r="D615" s="275"/>
    </row>
    <row r="616" ht="15.75" customHeight="1" spans="4:4" x14ac:dyDescent="0.25">
      <c r="D616" s="275"/>
    </row>
    <row r="617" ht="15.75" customHeight="1" spans="4:4" x14ac:dyDescent="0.25">
      <c r="D617" s="275"/>
    </row>
    <row r="618" ht="15.75" customHeight="1" spans="4:4" x14ac:dyDescent="0.25">
      <c r="D618" s="275"/>
    </row>
    <row r="619" ht="15.75" customHeight="1" spans="4:4" x14ac:dyDescent="0.25">
      <c r="D619" s="275"/>
    </row>
    <row r="620" ht="15.75" customHeight="1" spans="4:4" x14ac:dyDescent="0.25">
      <c r="D620" s="275"/>
    </row>
    <row r="621" ht="15.75" customHeight="1" spans="4:4" x14ac:dyDescent="0.25">
      <c r="D621" s="275"/>
    </row>
    <row r="622" ht="15.75" customHeight="1" spans="4:4" x14ac:dyDescent="0.25">
      <c r="D622" s="275"/>
    </row>
    <row r="623" ht="15.75" customHeight="1" spans="4:4" x14ac:dyDescent="0.25">
      <c r="D623" s="275"/>
    </row>
    <row r="624" ht="15.75" customHeight="1" spans="4:4" x14ac:dyDescent="0.25">
      <c r="D624" s="275"/>
    </row>
    <row r="625" ht="15.75" customHeight="1" spans="4:4" x14ac:dyDescent="0.25">
      <c r="D625" s="275"/>
    </row>
    <row r="626" ht="15.75" customHeight="1" spans="4:4" x14ac:dyDescent="0.25">
      <c r="D626" s="275"/>
    </row>
    <row r="627" ht="15.75" customHeight="1" spans="4:4" x14ac:dyDescent="0.25">
      <c r="D627" s="275"/>
    </row>
    <row r="628" ht="15.75" customHeight="1" spans="4:4" x14ac:dyDescent="0.25">
      <c r="D628" s="275"/>
    </row>
    <row r="629" ht="15.75" customHeight="1" spans="4:4" x14ac:dyDescent="0.25">
      <c r="D629" s="275"/>
    </row>
    <row r="630" ht="15.75" customHeight="1" spans="4:4" x14ac:dyDescent="0.25">
      <c r="D630" s="275"/>
    </row>
    <row r="631" ht="15.75" customHeight="1" spans="4:4" x14ac:dyDescent="0.25">
      <c r="D631" s="275"/>
    </row>
    <row r="632" ht="15.75" customHeight="1" spans="4:4" x14ac:dyDescent="0.25">
      <c r="D632" s="275"/>
    </row>
    <row r="633" ht="15.75" customHeight="1" spans="4:4" x14ac:dyDescent="0.25">
      <c r="D633" s="275"/>
    </row>
    <row r="634" ht="15.75" customHeight="1" spans="4:4" x14ac:dyDescent="0.25">
      <c r="D634" s="275"/>
    </row>
    <row r="635" ht="15.75" customHeight="1" spans="4:4" x14ac:dyDescent="0.25">
      <c r="D635" s="275"/>
    </row>
    <row r="636" ht="15.75" customHeight="1" spans="4:4" x14ac:dyDescent="0.25">
      <c r="D636" s="275"/>
    </row>
    <row r="637" ht="15.75" customHeight="1" spans="4:4" x14ac:dyDescent="0.25">
      <c r="D637" s="275"/>
    </row>
    <row r="638" ht="15.75" customHeight="1" spans="4:4" x14ac:dyDescent="0.25">
      <c r="D638" s="275"/>
    </row>
    <row r="639" ht="15.75" customHeight="1" spans="4:4" x14ac:dyDescent="0.25">
      <c r="D639" s="275"/>
    </row>
    <row r="640" ht="15.75" customHeight="1" spans="4:4" x14ac:dyDescent="0.25">
      <c r="D640" s="275"/>
    </row>
    <row r="641" ht="15.75" customHeight="1" spans="4:4" x14ac:dyDescent="0.25">
      <c r="D641" s="275"/>
    </row>
    <row r="642" ht="15.75" customHeight="1" spans="4:4" x14ac:dyDescent="0.25">
      <c r="D642" s="275"/>
    </row>
    <row r="643" ht="15.75" customHeight="1" spans="4:4" x14ac:dyDescent="0.25">
      <c r="D643" s="275"/>
    </row>
    <row r="644" ht="15.75" customHeight="1" spans="4:4" x14ac:dyDescent="0.25">
      <c r="D644" s="275"/>
    </row>
    <row r="645" ht="15.75" customHeight="1" spans="4:4" x14ac:dyDescent="0.25">
      <c r="D645" s="275"/>
    </row>
    <row r="646" ht="15.75" customHeight="1" spans="4:4" x14ac:dyDescent="0.25">
      <c r="D646" s="275"/>
    </row>
    <row r="647" ht="15.75" customHeight="1" spans="4:4" x14ac:dyDescent="0.25">
      <c r="D647" s="275"/>
    </row>
    <row r="648" ht="15.75" customHeight="1" spans="4:4" x14ac:dyDescent="0.25">
      <c r="D648" s="275"/>
    </row>
    <row r="649" ht="15.75" customHeight="1" spans="4:4" x14ac:dyDescent="0.25">
      <c r="D649" s="275"/>
    </row>
    <row r="650" ht="15.75" customHeight="1" spans="4:4" x14ac:dyDescent="0.25">
      <c r="D650" s="275"/>
    </row>
    <row r="651" ht="15.75" customHeight="1" spans="4:4" x14ac:dyDescent="0.25">
      <c r="D651" s="275"/>
    </row>
    <row r="652" ht="15.75" customHeight="1" spans="4:4" x14ac:dyDescent="0.25">
      <c r="D652" s="275"/>
    </row>
    <row r="653" ht="15.75" customHeight="1" spans="4:4" x14ac:dyDescent="0.25">
      <c r="D653" s="275"/>
    </row>
    <row r="654" ht="15.75" customHeight="1" spans="4:4" x14ac:dyDescent="0.25">
      <c r="D654" s="275"/>
    </row>
    <row r="655" ht="15.75" customHeight="1" spans="4:4" x14ac:dyDescent="0.25">
      <c r="D655" s="275"/>
    </row>
    <row r="656" ht="15.75" customHeight="1" spans="4:4" x14ac:dyDescent="0.25">
      <c r="D656" s="275"/>
    </row>
    <row r="657" ht="15.75" customHeight="1" spans="4:4" x14ac:dyDescent="0.25">
      <c r="D657" s="275"/>
    </row>
    <row r="658" ht="15.75" customHeight="1" spans="4:4" x14ac:dyDescent="0.25">
      <c r="D658" s="275"/>
    </row>
    <row r="659" ht="15.75" customHeight="1" spans="4:4" x14ac:dyDescent="0.25">
      <c r="D659" s="275"/>
    </row>
    <row r="660" ht="15.75" customHeight="1" spans="4:4" x14ac:dyDescent="0.25">
      <c r="D660" s="275"/>
    </row>
    <row r="661" ht="15.75" customHeight="1" spans="4:4" x14ac:dyDescent="0.25">
      <c r="D661" s="275"/>
    </row>
    <row r="662" ht="15.75" customHeight="1" spans="4:4" x14ac:dyDescent="0.25">
      <c r="D662" s="275"/>
    </row>
    <row r="663" ht="15.75" customHeight="1" spans="4:4" x14ac:dyDescent="0.25">
      <c r="D663" s="275"/>
    </row>
    <row r="664" ht="15.75" customHeight="1" spans="4:4" x14ac:dyDescent="0.25">
      <c r="D664" s="275"/>
    </row>
    <row r="665" ht="15.75" customHeight="1" spans="4:4" x14ac:dyDescent="0.25">
      <c r="D665" s="275"/>
    </row>
    <row r="666" ht="15.75" customHeight="1" spans="4:4" x14ac:dyDescent="0.25">
      <c r="D666" s="275"/>
    </row>
    <row r="667" ht="15.75" customHeight="1" spans="4:4" x14ac:dyDescent="0.25">
      <c r="D667" s="275"/>
    </row>
    <row r="668" ht="15.75" customHeight="1" spans="4:4" x14ac:dyDescent="0.25">
      <c r="D668" s="275"/>
    </row>
    <row r="669" ht="15.75" customHeight="1" spans="4:4" x14ac:dyDescent="0.25">
      <c r="D669" s="275"/>
    </row>
    <row r="670" ht="15.75" customHeight="1" spans="4:4" x14ac:dyDescent="0.25">
      <c r="D670" s="275"/>
    </row>
    <row r="671" ht="15.75" customHeight="1" spans="4:4" x14ac:dyDescent="0.25">
      <c r="D671" s="275"/>
    </row>
    <row r="672" ht="15.75" customHeight="1" spans="4:4" x14ac:dyDescent="0.25">
      <c r="D672" s="275"/>
    </row>
    <row r="673" ht="15.75" customHeight="1" spans="4:4" x14ac:dyDescent="0.25">
      <c r="D673" s="275"/>
    </row>
    <row r="674" ht="15.75" customHeight="1" spans="4:4" x14ac:dyDescent="0.25">
      <c r="D674" s="275"/>
    </row>
    <row r="675" ht="15.75" customHeight="1" spans="4:4" x14ac:dyDescent="0.25">
      <c r="D675" s="275"/>
    </row>
    <row r="676" ht="15.75" customHeight="1" spans="4:4" x14ac:dyDescent="0.25">
      <c r="D676" s="275"/>
    </row>
    <row r="677" ht="15.75" customHeight="1" spans="4:4" x14ac:dyDescent="0.25">
      <c r="D677" s="275"/>
    </row>
    <row r="678" ht="15.75" customHeight="1" spans="4:4" x14ac:dyDescent="0.25">
      <c r="D678" s="275"/>
    </row>
    <row r="679" ht="15.75" customHeight="1" spans="4:4" x14ac:dyDescent="0.25">
      <c r="D679" s="275"/>
    </row>
    <row r="680" ht="15.75" customHeight="1" spans="4:4" x14ac:dyDescent="0.25">
      <c r="D680" s="275"/>
    </row>
    <row r="681" ht="15.75" customHeight="1" spans="4:4" x14ac:dyDescent="0.25">
      <c r="D681" s="275"/>
    </row>
    <row r="682" ht="15.75" customHeight="1" spans="4:4" x14ac:dyDescent="0.25">
      <c r="D682" s="275"/>
    </row>
    <row r="683" ht="15.75" customHeight="1" spans="4:4" x14ac:dyDescent="0.25">
      <c r="D683" s="275"/>
    </row>
    <row r="684" ht="15.75" customHeight="1" spans="4:4" x14ac:dyDescent="0.25">
      <c r="D684" s="275"/>
    </row>
    <row r="685" ht="15.75" customHeight="1" spans="4:4" x14ac:dyDescent="0.25">
      <c r="D685" s="275"/>
    </row>
    <row r="686" ht="15.75" customHeight="1" spans="4:4" x14ac:dyDescent="0.25">
      <c r="D686" s="275"/>
    </row>
    <row r="687" ht="15.75" customHeight="1" spans="4:4" x14ac:dyDescent="0.25">
      <c r="D687" s="275"/>
    </row>
    <row r="688" ht="15.75" customHeight="1" spans="4:4" x14ac:dyDescent="0.25">
      <c r="D688" s="275"/>
    </row>
    <row r="689" ht="15.75" customHeight="1" spans="4:4" x14ac:dyDescent="0.25">
      <c r="D689" s="275"/>
    </row>
    <row r="690" ht="15.75" customHeight="1" spans="4:4" x14ac:dyDescent="0.25">
      <c r="D690" s="275"/>
    </row>
    <row r="691" ht="15.75" customHeight="1" spans="4:4" x14ac:dyDescent="0.25">
      <c r="D691" s="275"/>
    </row>
    <row r="692" ht="15.75" customHeight="1" spans="4:4" x14ac:dyDescent="0.25">
      <c r="D692" s="275"/>
    </row>
    <row r="693" ht="15.75" customHeight="1" spans="4:4" x14ac:dyDescent="0.25">
      <c r="D693" s="275"/>
    </row>
    <row r="694" ht="15.75" customHeight="1" spans="4:4" x14ac:dyDescent="0.25">
      <c r="D694" s="275"/>
    </row>
    <row r="695" ht="15.75" customHeight="1" spans="4:4" x14ac:dyDescent="0.25">
      <c r="D695" s="275"/>
    </row>
    <row r="696" ht="15.75" customHeight="1" spans="4:4" x14ac:dyDescent="0.25">
      <c r="D696" s="275"/>
    </row>
    <row r="697" ht="15.75" customHeight="1" spans="4:4" x14ac:dyDescent="0.25">
      <c r="D697" s="275"/>
    </row>
    <row r="698" ht="15.75" customHeight="1" spans="4:4" x14ac:dyDescent="0.25">
      <c r="D698" s="275"/>
    </row>
    <row r="699" ht="15.75" customHeight="1" spans="4:4" x14ac:dyDescent="0.25">
      <c r="D699" s="275"/>
    </row>
    <row r="700" ht="15.75" customHeight="1" spans="4:4" x14ac:dyDescent="0.25">
      <c r="D700" s="275"/>
    </row>
    <row r="701" ht="15.75" customHeight="1" spans="4:4" x14ac:dyDescent="0.25">
      <c r="D701" s="275"/>
    </row>
    <row r="702" ht="15.75" customHeight="1" spans="4:4" x14ac:dyDescent="0.25">
      <c r="D702" s="275"/>
    </row>
    <row r="703" ht="15.75" customHeight="1" spans="4:4" x14ac:dyDescent="0.25">
      <c r="D703" s="275"/>
    </row>
    <row r="704" ht="15.75" customHeight="1" spans="4:4" x14ac:dyDescent="0.25">
      <c r="D704" s="275"/>
    </row>
    <row r="705" ht="15.75" customHeight="1" spans="4:4" x14ac:dyDescent="0.25">
      <c r="D705" s="275"/>
    </row>
    <row r="706" ht="15.75" customHeight="1" spans="4:4" x14ac:dyDescent="0.25">
      <c r="D706" s="275"/>
    </row>
    <row r="707" ht="15.75" customHeight="1" spans="4:4" x14ac:dyDescent="0.25">
      <c r="D707" s="275"/>
    </row>
    <row r="708" ht="15.75" customHeight="1" spans="4:4" x14ac:dyDescent="0.25">
      <c r="D708" s="275"/>
    </row>
    <row r="709" ht="15.75" customHeight="1" spans="4:4" x14ac:dyDescent="0.25">
      <c r="D709" s="275"/>
    </row>
    <row r="710" ht="15.75" customHeight="1" spans="4:4" x14ac:dyDescent="0.25">
      <c r="D710" s="275"/>
    </row>
    <row r="711" ht="15.75" customHeight="1" spans="4:4" x14ac:dyDescent="0.25">
      <c r="D711" s="275"/>
    </row>
    <row r="712" ht="15.75" customHeight="1" spans="4:4" x14ac:dyDescent="0.25">
      <c r="D712" s="275"/>
    </row>
    <row r="713" ht="15.75" customHeight="1" spans="4:4" x14ac:dyDescent="0.25">
      <c r="D713" s="275"/>
    </row>
    <row r="714" ht="15.75" customHeight="1" spans="4:4" x14ac:dyDescent="0.25">
      <c r="D714" s="275"/>
    </row>
    <row r="715" ht="15.75" customHeight="1" spans="4:4" x14ac:dyDescent="0.25">
      <c r="D715" s="275"/>
    </row>
    <row r="716" ht="15.75" customHeight="1" spans="4:4" x14ac:dyDescent="0.25">
      <c r="D716" s="275"/>
    </row>
    <row r="717" ht="15.75" customHeight="1" spans="4:4" x14ac:dyDescent="0.25">
      <c r="D717" s="275"/>
    </row>
    <row r="718" ht="15.75" customHeight="1" spans="4:4" x14ac:dyDescent="0.25">
      <c r="D718" s="275"/>
    </row>
    <row r="719" ht="15.75" customHeight="1" spans="4:4" x14ac:dyDescent="0.25">
      <c r="D719" s="275"/>
    </row>
    <row r="720" ht="15.75" customHeight="1" spans="4:4" x14ac:dyDescent="0.25">
      <c r="D720" s="275"/>
    </row>
    <row r="721" ht="15.75" customHeight="1" spans="4:4" x14ac:dyDescent="0.25">
      <c r="D721" s="275"/>
    </row>
    <row r="722" ht="15.75" customHeight="1" spans="4:4" x14ac:dyDescent="0.25">
      <c r="D722" s="275"/>
    </row>
    <row r="723" ht="15.75" customHeight="1" spans="4:4" x14ac:dyDescent="0.25">
      <c r="D723" s="275"/>
    </row>
    <row r="724" ht="15.75" customHeight="1" spans="4:4" x14ac:dyDescent="0.25">
      <c r="D724" s="275"/>
    </row>
    <row r="725" ht="15.75" customHeight="1" spans="4:4" x14ac:dyDescent="0.25">
      <c r="D725" s="275"/>
    </row>
    <row r="726" ht="15.75" customHeight="1" spans="4:4" x14ac:dyDescent="0.25">
      <c r="D726" s="275"/>
    </row>
    <row r="727" ht="15.75" customHeight="1" spans="4:4" x14ac:dyDescent="0.25">
      <c r="D727" s="275"/>
    </row>
    <row r="728" ht="15.75" customHeight="1" spans="4:4" x14ac:dyDescent="0.25">
      <c r="D728" s="275"/>
    </row>
    <row r="729" ht="15.75" customHeight="1" spans="4:4" x14ac:dyDescent="0.25">
      <c r="D729" s="275"/>
    </row>
    <row r="730" ht="15.75" customHeight="1" spans="4:4" x14ac:dyDescent="0.25">
      <c r="D730" s="275"/>
    </row>
    <row r="731" ht="15.75" customHeight="1" spans="4:4" x14ac:dyDescent="0.25">
      <c r="D731" s="275"/>
    </row>
    <row r="732" ht="15.75" customHeight="1" spans="4:4" x14ac:dyDescent="0.25">
      <c r="D732" s="275"/>
    </row>
    <row r="733" ht="15.75" customHeight="1" spans="4:4" x14ac:dyDescent="0.25">
      <c r="D733" s="275"/>
    </row>
    <row r="734" ht="15.75" customHeight="1" spans="4:4" x14ac:dyDescent="0.25">
      <c r="D734" s="275"/>
    </row>
    <row r="735" ht="15.75" customHeight="1" spans="4:4" x14ac:dyDescent="0.25">
      <c r="D735" s="275"/>
    </row>
    <row r="736" ht="15.75" customHeight="1" spans="4:4" x14ac:dyDescent="0.25">
      <c r="D736" s="275"/>
    </row>
    <row r="737" ht="15.75" customHeight="1" spans="4:4" x14ac:dyDescent="0.25">
      <c r="D737" s="275"/>
    </row>
    <row r="738" ht="15.75" customHeight="1" spans="4:4" x14ac:dyDescent="0.25">
      <c r="D738" s="275"/>
    </row>
    <row r="739" ht="15.75" customHeight="1" spans="4:4" x14ac:dyDescent="0.25">
      <c r="D739" s="275"/>
    </row>
    <row r="740" ht="15.75" customHeight="1" spans="4:4" x14ac:dyDescent="0.25">
      <c r="D740" s="275"/>
    </row>
    <row r="741" ht="15.75" customHeight="1" spans="4:4" x14ac:dyDescent="0.25">
      <c r="D741" s="275"/>
    </row>
    <row r="742" ht="15.75" customHeight="1" spans="4:4" x14ac:dyDescent="0.25">
      <c r="D742" s="275"/>
    </row>
    <row r="743" ht="15.75" customHeight="1" spans="4:4" x14ac:dyDescent="0.25">
      <c r="D743" s="275"/>
    </row>
    <row r="744" ht="15.75" customHeight="1" spans="4:4" x14ac:dyDescent="0.25">
      <c r="D744" s="275"/>
    </row>
    <row r="745" ht="15.75" customHeight="1" spans="4:4" x14ac:dyDescent="0.25">
      <c r="D745" s="275"/>
    </row>
    <row r="746" ht="15.75" customHeight="1" spans="4:4" x14ac:dyDescent="0.25">
      <c r="D746" s="275"/>
    </row>
    <row r="747" ht="15.75" customHeight="1" spans="4:4" x14ac:dyDescent="0.25">
      <c r="D747" s="275"/>
    </row>
    <row r="748" ht="15.75" customHeight="1" spans="4:4" x14ac:dyDescent="0.25">
      <c r="D748" s="275"/>
    </row>
    <row r="749" ht="15.75" customHeight="1" spans="4:4" x14ac:dyDescent="0.25">
      <c r="D749" s="275"/>
    </row>
    <row r="750" ht="15.75" customHeight="1" spans="4:4" x14ac:dyDescent="0.25">
      <c r="D750" s="275"/>
    </row>
    <row r="751" ht="15.75" customHeight="1" spans="4:4" x14ac:dyDescent="0.25">
      <c r="D751" s="275"/>
    </row>
    <row r="752" ht="15.75" customHeight="1" spans="4:4" x14ac:dyDescent="0.25">
      <c r="D752" s="275"/>
    </row>
    <row r="753" ht="15.75" customHeight="1" spans="4:4" x14ac:dyDescent="0.25">
      <c r="D753" s="275"/>
    </row>
    <row r="754" ht="15.75" customHeight="1" spans="4:4" x14ac:dyDescent="0.25">
      <c r="D754" s="275"/>
    </row>
    <row r="755" ht="15.75" customHeight="1" spans="4:4" x14ac:dyDescent="0.25">
      <c r="D755" s="275"/>
    </row>
    <row r="756" ht="15.75" customHeight="1" spans="4:4" x14ac:dyDescent="0.25">
      <c r="D756" s="275"/>
    </row>
    <row r="757" ht="15.75" customHeight="1" spans="4:4" x14ac:dyDescent="0.25">
      <c r="D757" s="275"/>
    </row>
    <row r="758" ht="15.75" customHeight="1" spans="4:4" x14ac:dyDescent="0.25">
      <c r="D758" s="275"/>
    </row>
    <row r="759" ht="15.75" customHeight="1" spans="4:4" x14ac:dyDescent="0.25">
      <c r="D759" s="275"/>
    </row>
    <row r="760" ht="15.75" customHeight="1" spans="4:4" x14ac:dyDescent="0.25">
      <c r="D760" s="275"/>
    </row>
    <row r="761" ht="15.75" customHeight="1" spans="4:4" x14ac:dyDescent="0.25">
      <c r="D761" s="275"/>
    </row>
    <row r="762" ht="15.75" customHeight="1" spans="4:4" x14ac:dyDescent="0.25">
      <c r="D762" s="275"/>
    </row>
    <row r="763" ht="15.75" customHeight="1" spans="4:4" x14ac:dyDescent="0.25">
      <c r="D763" s="275"/>
    </row>
    <row r="764" ht="15.75" customHeight="1" spans="4:4" x14ac:dyDescent="0.25">
      <c r="D764" s="275"/>
    </row>
    <row r="765" ht="15.75" customHeight="1" spans="4:4" x14ac:dyDescent="0.25">
      <c r="D765" s="275"/>
    </row>
    <row r="766" ht="15.75" customHeight="1" spans="4:4" x14ac:dyDescent="0.25">
      <c r="D766" s="275"/>
    </row>
    <row r="767" ht="15.75" customHeight="1" spans="4:4" x14ac:dyDescent="0.25">
      <c r="D767" s="275"/>
    </row>
    <row r="768" ht="15.75" customHeight="1" spans="4:4" x14ac:dyDescent="0.25">
      <c r="D768" s="275"/>
    </row>
    <row r="769" ht="15.75" customHeight="1" spans="4:4" x14ac:dyDescent="0.25">
      <c r="D769" s="275"/>
    </row>
    <row r="770" ht="15.75" customHeight="1" spans="4:4" x14ac:dyDescent="0.25">
      <c r="D770" s="275"/>
    </row>
    <row r="771" ht="15.75" customHeight="1" spans="4:4" x14ac:dyDescent="0.25">
      <c r="D771" s="275"/>
    </row>
    <row r="772" ht="15.75" customHeight="1" spans="4:4" x14ac:dyDescent="0.25">
      <c r="D772" s="275"/>
    </row>
    <row r="773" ht="15.75" customHeight="1" spans="4:4" x14ac:dyDescent="0.25">
      <c r="D773" s="275"/>
    </row>
    <row r="774" ht="15.75" customHeight="1" spans="4:4" x14ac:dyDescent="0.25">
      <c r="D774" s="275"/>
    </row>
    <row r="775" ht="15.75" customHeight="1" spans="4:4" x14ac:dyDescent="0.25">
      <c r="D775" s="275"/>
    </row>
    <row r="776" ht="15.75" customHeight="1" spans="4:4" x14ac:dyDescent="0.25">
      <c r="D776" s="275"/>
    </row>
    <row r="777" ht="15.75" customHeight="1" spans="4:4" x14ac:dyDescent="0.25">
      <c r="D777" s="275"/>
    </row>
    <row r="778" ht="15.75" customHeight="1" spans="4:4" x14ac:dyDescent="0.25">
      <c r="D778" s="275"/>
    </row>
    <row r="779" ht="15.75" customHeight="1" spans="4:4" x14ac:dyDescent="0.25">
      <c r="D779" s="275"/>
    </row>
    <row r="780" ht="15.75" customHeight="1" spans="4:4" x14ac:dyDescent="0.25">
      <c r="D780" s="275"/>
    </row>
    <row r="781" ht="15.75" customHeight="1" spans="4:4" x14ac:dyDescent="0.25">
      <c r="D781" s="275"/>
    </row>
    <row r="782" ht="15.75" customHeight="1" spans="4:4" x14ac:dyDescent="0.25">
      <c r="D782" s="275"/>
    </row>
    <row r="783" ht="15.75" customHeight="1" spans="4:4" x14ac:dyDescent="0.25">
      <c r="D783" s="275"/>
    </row>
    <row r="784" ht="15.75" customHeight="1" spans="4:4" x14ac:dyDescent="0.25">
      <c r="D784" s="275"/>
    </row>
    <row r="785" ht="15.75" customHeight="1" spans="4:4" x14ac:dyDescent="0.25">
      <c r="D785" s="275"/>
    </row>
    <row r="786" ht="15.75" customHeight="1" spans="4:4" x14ac:dyDescent="0.25">
      <c r="D786" s="275"/>
    </row>
    <row r="787" ht="15.75" customHeight="1" spans="4:4" x14ac:dyDescent="0.25">
      <c r="D787" s="275"/>
    </row>
    <row r="788" ht="15.75" customHeight="1" spans="4:4" x14ac:dyDescent="0.25">
      <c r="D788" s="275"/>
    </row>
    <row r="789" ht="15.75" customHeight="1" spans="4:4" x14ac:dyDescent="0.25">
      <c r="D789" s="275"/>
    </row>
    <row r="790" ht="15.75" customHeight="1" spans="4:4" x14ac:dyDescent="0.25">
      <c r="D790" s="275"/>
    </row>
    <row r="791" ht="15.75" customHeight="1" spans="4:4" x14ac:dyDescent="0.25">
      <c r="D791" s="275"/>
    </row>
    <row r="792" ht="15.75" customHeight="1" spans="4:4" x14ac:dyDescent="0.25">
      <c r="D792" s="275"/>
    </row>
    <row r="793" ht="15.75" customHeight="1" spans="4:4" x14ac:dyDescent="0.25">
      <c r="D793" s="275"/>
    </row>
    <row r="794" ht="15.75" customHeight="1" spans="4:4" x14ac:dyDescent="0.25">
      <c r="D794" s="275"/>
    </row>
    <row r="795" ht="15.75" customHeight="1" spans="4:4" x14ac:dyDescent="0.25">
      <c r="D795" s="275"/>
    </row>
    <row r="796" ht="15.75" customHeight="1" spans="4:4" x14ac:dyDescent="0.25">
      <c r="D796" s="275"/>
    </row>
    <row r="797" ht="15.75" customHeight="1" spans="4:4" x14ac:dyDescent="0.25">
      <c r="D797" s="275"/>
    </row>
    <row r="798" ht="15.75" customHeight="1" spans="4:4" x14ac:dyDescent="0.25">
      <c r="D798" s="275"/>
    </row>
    <row r="799" ht="15.75" customHeight="1" spans="4:4" x14ac:dyDescent="0.25">
      <c r="D799" s="275"/>
    </row>
    <row r="800" ht="15.75" customHeight="1" spans="4:4" x14ac:dyDescent="0.25">
      <c r="D800" s="275"/>
    </row>
    <row r="801" ht="15.75" customHeight="1" spans="4:4" x14ac:dyDescent="0.25">
      <c r="D801" s="275"/>
    </row>
    <row r="802" ht="15.75" customHeight="1" spans="4:4" x14ac:dyDescent="0.25">
      <c r="D802" s="275"/>
    </row>
    <row r="803" ht="15.75" customHeight="1" spans="4:4" x14ac:dyDescent="0.25">
      <c r="D803" s="275"/>
    </row>
    <row r="804" ht="15.75" customHeight="1" spans="4:4" x14ac:dyDescent="0.25">
      <c r="D804" s="275"/>
    </row>
    <row r="805" ht="15.75" customHeight="1" spans="4:4" x14ac:dyDescent="0.25">
      <c r="D805" s="275"/>
    </row>
    <row r="806" ht="15.75" customHeight="1" spans="4:4" x14ac:dyDescent="0.25">
      <c r="D806" s="275"/>
    </row>
    <row r="807" ht="15.75" customHeight="1" spans="4:4" x14ac:dyDescent="0.25">
      <c r="D807" s="275"/>
    </row>
    <row r="808" ht="15.75" customHeight="1" spans="4:4" x14ac:dyDescent="0.25">
      <c r="D808" s="275"/>
    </row>
    <row r="809" ht="15.75" customHeight="1" spans="4:4" x14ac:dyDescent="0.25">
      <c r="D809" s="275"/>
    </row>
    <row r="810" ht="15.75" customHeight="1" spans="4:4" x14ac:dyDescent="0.25">
      <c r="D810" s="275"/>
    </row>
    <row r="811" ht="15.75" customHeight="1" spans="4:4" x14ac:dyDescent="0.25">
      <c r="D811" s="275"/>
    </row>
    <row r="812" ht="15.75" customHeight="1" spans="4:4" x14ac:dyDescent="0.25">
      <c r="D812" s="275"/>
    </row>
    <row r="813" ht="15.75" customHeight="1" spans="4:4" x14ac:dyDescent="0.25">
      <c r="D813" s="275"/>
    </row>
    <row r="814" ht="15.75" customHeight="1" spans="4:4" x14ac:dyDescent="0.25">
      <c r="D814" s="275"/>
    </row>
    <row r="815" ht="15.75" customHeight="1" spans="4:4" x14ac:dyDescent="0.25">
      <c r="D815" s="275"/>
    </row>
    <row r="816" ht="15.75" customHeight="1" spans="4:4" x14ac:dyDescent="0.25">
      <c r="D816" s="275"/>
    </row>
    <row r="817" ht="15.75" customHeight="1" spans="4:4" x14ac:dyDescent="0.25">
      <c r="D817" s="275"/>
    </row>
    <row r="818" ht="15.75" customHeight="1" spans="4:4" x14ac:dyDescent="0.25">
      <c r="D818" s="275"/>
    </row>
    <row r="819" ht="15.75" customHeight="1" spans="4:4" x14ac:dyDescent="0.25">
      <c r="D819" s="275"/>
    </row>
    <row r="820" ht="15.75" customHeight="1" spans="4:4" x14ac:dyDescent="0.25">
      <c r="D820" s="275"/>
    </row>
    <row r="821" ht="15.75" customHeight="1" spans="4:4" x14ac:dyDescent="0.25">
      <c r="D821" s="275"/>
    </row>
    <row r="822" ht="15.75" customHeight="1" spans="4:4" x14ac:dyDescent="0.25">
      <c r="D822" s="275"/>
    </row>
    <row r="823" ht="15.75" customHeight="1" spans="4:4" x14ac:dyDescent="0.25">
      <c r="D823" s="275"/>
    </row>
    <row r="824" ht="15.75" customHeight="1" spans="4:4" x14ac:dyDescent="0.25">
      <c r="D824" s="275"/>
    </row>
    <row r="825" ht="15.75" customHeight="1" spans="4:4" x14ac:dyDescent="0.25">
      <c r="D825" s="275"/>
    </row>
    <row r="826" ht="15.75" customHeight="1" spans="4:4" x14ac:dyDescent="0.25">
      <c r="D826" s="275"/>
    </row>
    <row r="827" ht="15.75" customHeight="1" spans="4:4" x14ac:dyDescent="0.25">
      <c r="D827" s="275"/>
    </row>
    <row r="828" ht="15.75" customHeight="1" spans="4:4" x14ac:dyDescent="0.25">
      <c r="D828" s="275"/>
    </row>
    <row r="829" ht="15.75" customHeight="1" spans="4:4" x14ac:dyDescent="0.25">
      <c r="D829" s="275"/>
    </row>
    <row r="830" ht="15.75" customHeight="1" spans="4:4" x14ac:dyDescent="0.25">
      <c r="D830" s="275"/>
    </row>
    <row r="831" ht="15.75" customHeight="1" spans="4:4" x14ac:dyDescent="0.25">
      <c r="D831" s="275"/>
    </row>
    <row r="832" ht="15.75" customHeight="1" spans="4:4" x14ac:dyDescent="0.25">
      <c r="D832" s="275"/>
    </row>
    <row r="833" ht="15.75" customHeight="1" spans="4:4" x14ac:dyDescent="0.25">
      <c r="D833" s="275"/>
    </row>
    <row r="834" ht="15.75" customHeight="1" spans="4:4" x14ac:dyDescent="0.25">
      <c r="D834" s="275"/>
    </row>
    <row r="835" ht="15.75" customHeight="1" spans="4:4" x14ac:dyDescent="0.25">
      <c r="D835" s="275"/>
    </row>
    <row r="836" ht="15.75" customHeight="1" spans="4:4" x14ac:dyDescent="0.25">
      <c r="D836" s="275"/>
    </row>
    <row r="837" ht="15.75" customHeight="1" spans="4:4" x14ac:dyDescent="0.25">
      <c r="D837" s="275"/>
    </row>
    <row r="838" ht="15.75" customHeight="1" spans="4:4" x14ac:dyDescent="0.25">
      <c r="D838" s="275"/>
    </row>
    <row r="839" ht="15.75" customHeight="1" spans="4:4" x14ac:dyDescent="0.25">
      <c r="D839" s="275"/>
    </row>
    <row r="840" ht="15.75" customHeight="1" spans="4:4" x14ac:dyDescent="0.25">
      <c r="D840" s="275"/>
    </row>
    <row r="841" ht="15.75" customHeight="1" spans="4:4" x14ac:dyDescent="0.25">
      <c r="D841" s="275"/>
    </row>
    <row r="842" ht="15.75" customHeight="1" spans="4:4" x14ac:dyDescent="0.25">
      <c r="D842" s="275"/>
    </row>
    <row r="843" ht="15.75" customHeight="1" spans="4:4" x14ac:dyDescent="0.25">
      <c r="D843" s="275"/>
    </row>
    <row r="844" ht="15.75" customHeight="1" spans="4:4" x14ac:dyDescent="0.25">
      <c r="D844" s="275"/>
    </row>
    <row r="845" ht="15.75" customHeight="1" spans="4:4" x14ac:dyDescent="0.25">
      <c r="D845" s="275"/>
    </row>
    <row r="846" ht="15.75" customHeight="1" spans="4:4" x14ac:dyDescent="0.25">
      <c r="D846" s="275"/>
    </row>
    <row r="847" ht="15.75" customHeight="1" spans="4:4" x14ac:dyDescent="0.25">
      <c r="D847" s="275"/>
    </row>
    <row r="848" ht="15.75" customHeight="1" spans="4:4" x14ac:dyDescent="0.25">
      <c r="D848" s="275"/>
    </row>
    <row r="849" ht="15.75" customHeight="1" spans="4:4" x14ac:dyDescent="0.25">
      <c r="D849" s="275"/>
    </row>
    <row r="850" ht="15.75" customHeight="1" spans="4:4" x14ac:dyDescent="0.25">
      <c r="D850" s="275"/>
    </row>
    <row r="851" ht="15.75" customHeight="1" spans="4:4" x14ac:dyDescent="0.25">
      <c r="D851" s="275"/>
    </row>
    <row r="852" ht="15.75" customHeight="1" spans="4:4" x14ac:dyDescent="0.25">
      <c r="D852" s="275"/>
    </row>
    <row r="853" ht="15.75" customHeight="1" spans="4:4" x14ac:dyDescent="0.25">
      <c r="D853" s="275"/>
    </row>
    <row r="854" ht="15.75" customHeight="1" spans="4:4" x14ac:dyDescent="0.25">
      <c r="D854" s="275"/>
    </row>
    <row r="855" ht="15.75" customHeight="1" spans="4:4" x14ac:dyDescent="0.25">
      <c r="D855" s="275"/>
    </row>
    <row r="856" ht="15.75" customHeight="1" spans="4:4" x14ac:dyDescent="0.25">
      <c r="D856" s="275"/>
    </row>
    <row r="857" ht="15.75" customHeight="1" spans="4:4" x14ac:dyDescent="0.25">
      <c r="D857" s="275"/>
    </row>
    <row r="858" ht="15.75" customHeight="1" spans="4:4" x14ac:dyDescent="0.25">
      <c r="D858" s="275"/>
    </row>
    <row r="859" ht="15.75" customHeight="1" spans="4:4" x14ac:dyDescent="0.25">
      <c r="D859" s="275"/>
    </row>
    <row r="860" ht="15.75" customHeight="1" spans="4:4" x14ac:dyDescent="0.25">
      <c r="D860" s="275"/>
    </row>
    <row r="861" ht="15.75" customHeight="1" spans="4:4" x14ac:dyDescent="0.25">
      <c r="D861" s="275"/>
    </row>
    <row r="862" ht="15.75" customHeight="1" spans="4:4" x14ac:dyDescent="0.25">
      <c r="D862" s="275"/>
    </row>
    <row r="863" ht="15.75" customHeight="1" spans="4:4" x14ac:dyDescent="0.25">
      <c r="D863" s="275"/>
    </row>
    <row r="864" ht="15.75" customHeight="1" spans="4:4" x14ac:dyDescent="0.25">
      <c r="D864" s="275"/>
    </row>
    <row r="865" ht="15.75" customHeight="1" spans="4:4" x14ac:dyDescent="0.25">
      <c r="D865" s="275"/>
    </row>
    <row r="866" ht="15.75" customHeight="1" spans="4:4" x14ac:dyDescent="0.25">
      <c r="D866" s="275"/>
    </row>
    <row r="867" ht="15.75" customHeight="1" spans="4:4" x14ac:dyDescent="0.25">
      <c r="D867" s="275"/>
    </row>
    <row r="868" ht="15.75" customHeight="1" spans="4:4" x14ac:dyDescent="0.25">
      <c r="D868" s="275"/>
    </row>
    <row r="869" ht="15.75" customHeight="1" spans="4:4" x14ac:dyDescent="0.25">
      <c r="D869" s="275"/>
    </row>
    <row r="870" ht="15.75" customHeight="1" spans="4:4" x14ac:dyDescent="0.25">
      <c r="D870" s="275"/>
    </row>
    <row r="871" ht="15.75" customHeight="1" spans="4:4" x14ac:dyDescent="0.25">
      <c r="D871" s="275"/>
    </row>
    <row r="872" ht="15.75" customHeight="1" spans="4:4" x14ac:dyDescent="0.25">
      <c r="D872" s="275"/>
    </row>
    <row r="873" ht="15.75" customHeight="1" spans="4:4" x14ac:dyDescent="0.25">
      <c r="D873" s="275"/>
    </row>
    <row r="874" ht="15.75" customHeight="1" spans="4:4" x14ac:dyDescent="0.25">
      <c r="D874" s="275"/>
    </row>
    <row r="875" ht="15.75" customHeight="1" spans="4:4" x14ac:dyDescent="0.25">
      <c r="D875" s="275"/>
    </row>
    <row r="876" ht="15.75" customHeight="1" spans="4:4" x14ac:dyDescent="0.25">
      <c r="D876" s="275"/>
    </row>
    <row r="877" ht="15.75" customHeight="1" spans="4:4" x14ac:dyDescent="0.25">
      <c r="D877" s="275"/>
    </row>
    <row r="878" ht="15.75" customHeight="1" spans="4:4" x14ac:dyDescent="0.25">
      <c r="D878" s="275"/>
    </row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</sheetData>
  <sheetProtection sheet="1" algorithmName="SHA-512" hashValue="Urgm7sqzjg0u5IvHVHCyQCZv/xVpAdx9Sb24LDBtAfXHGfHBgJG19PHxjYidqI3RZg8znpzGncEN5xry/XEsRA==" saltValue="vk+HRs0ZHebNjJlCGxE4bQ==" spinCount="100000" objects="1" scenarios="1"/>
  <autoFilter ref="A8:AC8"/>
  <mergeCells count="14"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W7:AX7"/>
    <mergeCell ref="AY7:AZ7"/>
    <mergeCell ref="E78:F78"/>
    <mergeCell ref="E79:F79"/>
  </mergeCells>
  <conditionalFormatting sqref="J9:O77">
    <cfRule type="cellIs" dxfId="7" priority="23" operator="lessThan">
      <formula>0.001</formula>
    </cfRule>
    <cfRule type="cellIs" dxfId="8" priority="24" operator="lessThan">
      <formula>0</formula>
    </cfRule>
  </conditionalFormatting>
  <conditionalFormatting sqref="U10:Z11 U13:Z15 U17:Z20 U22:Z25 U27:Z34 U36:Z36 U38:Z41 AR43:AY43 U43:Z47 AB43:AQ47 AT43:AU47 AQ44:AT45 AV44:AY47 U49:Z51 U53:Z57 U59:Z63 U65:Z65 U67:Z68 U70:Z76 AB70:AB76">
    <cfRule type="cellIs" dxfId="9" priority="26" operator="lessThan">
      <formula>1</formula>
    </cfRule>
  </conditionalFormatting>
  <conditionalFormatting sqref="AB10:AZ11 AB13:AZ15 AB22:AZ25 AB36:AZ36 AZ43:AZ47 AB53:AZ57 AB59:AZ63 AC70:AZ77">
    <cfRule type="cellIs" dxfId="10" priority="20" operator="lessThan">
      <formula>1</formula>
    </cfRule>
  </conditionalFormatting>
  <conditionalFormatting sqref="AB17:AZ20">
    <cfRule type="cellIs" dxfId="11" priority="17" operator="lessThan">
      <formula>1</formula>
    </cfRule>
  </conditionalFormatting>
  <conditionalFormatting sqref="AB27:AZ34">
    <cfRule type="cellIs" dxfId="12" priority="3" operator="lessThan">
      <formula>1</formula>
    </cfRule>
  </conditionalFormatting>
  <conditionalFormatting sqref="AB38:AZ41">
    <cfRule type="cellIs" dxfId="13" priority="8" operator="lessThan">
      <formula>1</formula>
    </cfRule>
  </conditionalFormatting>
  <conditionalFormatting sqref="AB49:AZ51">
    <cfRule type="cellIs" dxfId="14" priority="4" operator="lessThan">
      <formula>1</formula>
    </cfRule>
  </conditionalFormatting>
  <conditionalFormatting sqref="AB65:AZ65">
    <cfRule type="cellIs" dxfId="15" priority="13" operator="lessThan">
      <formula>1</formula>
    </cfRule>
  </conditionalFormatting>
  <conditionalFormatting sqref="AB67:AZ68">
    <cfRule type="cellIs" dxfId="16" priority="11" operator="lessThan">
      <formula>1</formula>
    </cfRule>
  </conditionalFormatting>
  <conditionalFormatting sqref="AQ46:AS47">
    <cfRule type="cellIs" dxfId="17" priority="7" operator="lessThan">
      <formula>1</formula>
    </cfRule>
  </conditionalFormatting>
  <pageMargins left="0.25" right="0" top="0.25" bottom="0.25" header="0.3" footer="0.3"/>
  <pageSetup paperSize="9" orientation="portrait" horizontalDpi="4294967295" verticalDpi="4294967295" scale="11" fitToWidth="1" fitToHeight="1" firstPageNumber="1" useFirstPageNumber="1" copies="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000"/>
  <sheetViews>
    <sheetView workbookViewId="0" zoomScale="100" zoomScaleNormal="100"/>
  </sheetViews>
  <sheetFormatPr defaultRowHeight="15" outlineLevelRow="0" outlineLevelCol="0" x14ac:dyDescent="0" defaultColWidth="12.625"/>
  <cols>
    <col min="1" max="1" width="9.375" customWidth="1"/>
    <col min="2" max="2" width="40.625" customWidth="1"/>
    <col min="3" max="26" width="9.375" customWidth="1"/>
  </cols>
  <sheetData>
    <row r="8" spans="2:2" x14ac:dyDescent="0.25">
      <c r="B8" s="502" t="s">
        <v>1036</v>
      </c>
    </row>
    <row r="9" spans="2:2" x14ac:dyDescent="0.25">
      <c r="B9" s="502" t="s">
        <v>1037</v>
      </c>
    </row>
    <row r="10" spans="2:2" x14ac:dyDescent="0.25">
      <c r="B10" s="502" t="s">
        <v>1038</v>
      </c>
    </row>
    <row r="11" spans="2:2" x14ac:dyDescent="0.25">
      <c r="B11" s="502" t="s">
        <v>1039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"/>
  </sheetPr>
  <dimension ref="A1:G999"/>
  <sheetViews>
    <sheetView workbookViewId="0" zoomScale="92" zoomScaleNormal="100">
      <selection activeCell="G1" sqref="G1"/>
    </sheetView>
  </sheetViews>
  <sheetFormatPr defaultRowHeight="15" outlineLevelRow="0" outlineLevelCol="0" x14ac:dyDescent="0" defaultColWidth="12.625"/>
  <cols>
    <col min="1" max="1" width="57.625" customWidth="1"/>
    <col min="2" max="2" width="13.5" style="494" customWidth="1"/>
    <col min="3" max="3" width="16.5" customWidth="1"/>
    <col min="4" max="4" width="17.375" customWidth="1"/>
    <col min="5" max="5" width="13.125" customWidth="1"/>
    <col min="6" max="6" width="16.875" customWidth="1"/>
    <col min="7" max="7" width="16.375" customWidth="1"/>
    <col min="8" max="13" width="17.5" customWidth="1"/>
    <col min="14" max="23" width="9.375" customWidth="1"/>
  </cols>
  <sheetData>
    <row r="1" ht="15.75" customHeight="1" spans="1:7" x14ac:dyDescent="0.25">
      <c r="A1" s="495" t="s">
        <v>1029</v>
      </c>
      <c r="B1" s="496"/>
      <c r="C1" s="496"/>
      <c r="D1" s="496"/>
      <c r="E1" s="497"/>
      <c r="F1" s="497"/>
      <c r="G1" s="497"/>
    </row>
    <row r="2" ht="14.25" customHeight="1" spans="1:7" x14ac:dyDescent="0.25">
      <c r="A2" s="498"/>
      <c r="B2" s="498" t="s">
        <v>1030</v>
      </c>
      <c r="C2" s="498" t="s">
        <v>1031</v>
      </c>
      <c r="D2" s="498" t="s">
        <v>1032</v>
      </c>
      <c r="E2" s="498" t="s">
        <v>1033</v>
      </c>
      <c r="F2" s="498" t="s">
        <v>1034</v>
      </c>
      <c r="G2" s="498" t="s">
        <v>1035</v>
      </c>
    </row>
    <row r="3" ht="14.25" customHeight="1" spans="1:7" x14ac:dyDescent="0.25">
      <c r="A3" s="499" t="s">
        <v>354</v>
      </c>
      <c r="B3" s="500">
        <v>6</v>
      </c>
      <c r="C3" s="500">
        <v>6</v>
      </c>
      <c r="D3" s="500">
        <v>6</v>
      </c>
      <c r="E3" s="500">
        <v>6</v>
      </c>
      <c r="F3" s="500">
        <v>6</v>
      </c>
      <c r="G3" s="500">
        <v>6</v>
      </c>
    </row>
    <row r="4" ht="14.25" customHeight="1" spans="1:7" x14ac:dyDescent="0.25">
      <c r="A4" s="499" t="s">
        <v>429</v>
      </c>
      <c r="B4" s="500">
        <v>5.133333333333334</v>
      </c>
      <c r="C4" s="500">
        <v>5.133333333333334</v>
      </c>
      <c r="D4" s="500">
        <v>5.133333333333334</v>
      </c>
      <c r="E4" s="500">
        <v>5.133333333333334</v>
      </c>
      <c r="F4" s="500">
        <v>5.133333333333334</v>
      </c>
      <c r="G4" s="500">
        <v>5.133333333333334</v>
      </c>
    </row>
    <row r="5" ht="14.25" customHeight="1" spans="1:7" x14ac:dyDescent="0.25">
      <c r="A5" s="499" t="s">
        <v>281</v>
      </c>
      <c r="B5" s="500">
        <v>39.5137</v>
      </c>
      <c r="C5" s="500">
        <v>39.5137</v>
      </c>
      <c r="D5" s="500">
        <v>39.5137</v>
      </c>
      <c r="E5" s="500">
        <v>39.5137</v>
      </c>
      <c r="F5" s="500">
        <v>39.5137</v>
      </c>
      <c r="G5" s="500">
        <v>111.4161</v>
      </c>
    </row>
    <row r="6" ht="14.25" customHeight="1" spans="1:7" x14ac:dyDescent="0.25">
      <c r="A6" s="499" t="s">
        <v>279</v>
      </c>
      <c r="B6" s="500">
        <v>34.20933333333333</v>
      </c>
      <c r="C6" s="500">
        <v>34.20933333333333</v>
      </c>
      <c r="D6" s="500">
        <v>34.20933333333333</v>
      </c>
      <c r="E6" s="500">
        <v>34.20933333333333</v>
      </c>
      <c r="F6" s="500">
        <v>34.20933333333333</v>
      </c>
      <c r="G6" s="500">
        <v>139.12800000000001</v>
      </c>
    </row>
    <row r="7" ht="14.25" customHeight="1" spans="1:7" x14ac:dyDescent="0.25">
      <c r="A7" s="499" t="s">
        <v>278</v>
      </c>
      <c r="B7" s="500">
        <v>156.07136363636363</v>
      </c>
      <c r="C7" s="500">
        <v>156.07136363636363</v>
      </c>
      <c r="D7" s="500">
        <v>156.07136363636363</v>
      </c>
      <c r="E7" s="500">
        <v>156.07136363636363</v>
      </c>
      <c r="F7" s="500">
        <v>156.07136363636363</v>
      </c>
      <c r="G7" s="500">
        <v>283.34409090909094</v>
      </c>
    </row>
    <row r="8" ht="14.25" customHeight="1" spans="1:7" x14ac:dyDescent="0.25">
      <c r="A8" s="499" t="s">
        <v>257</v>
      </c>
      <c r="B8" s="500">
        <v>455</v>
      </c>
      <c r="C8" s="500">
        <v>455</v>
      </c>
      <c r="D8" s="500">
        <v>455</v>
      </c>
      <c r="E8" s="500">
        <v>455</v>
      </c>
      <c r="F8" s="500">
        <v>455</v>
      </c>
      <c r="G8" s="500">
        <v>490</v>
      </c>
    </row>
    <row r="9" ht="14.25" customHeight="1" spans="1:7" x14ac:dyDescent="0.25">
      <c r="A9" s="499" t="s">
        <v>409</v>
      </c>
      <c r="B9" s="500">
        <v>17.26388888888889</v>
      </c>
      <c r="C9" s="500">
        <v>17.26388888888889</v>
      </c>
      <c r="D9" s="500">
        <v>17.26388888888889</v>
      </c>
      <c r="E9" s="500"/>
      <c r="F9" s="500"/>
      <c r="G9" s="500"/>
    </row>
    <row r="10" ht="14.25" customHeight="1" spans="1:7" x14ac:dyDescent="0.25">
      <c r="A10" s="499" t="s">
        <v>325</v>
      </c>
      <c r="B10" s="500">
        <v>1.0101010101010102</v>
      </c>
      <c r="C10" s="500">
        <v>33.44121212121212</v>
      </c>
      <c r="D10" s="500">
        <v>33.44121212121212</v>
      </c>
      <c r="E10" s="500">
        <v>33.44121212121212</v>
      </c>
      <c r="F10" s="500">
        <v>33.44121212121212</v>
      </c>
      <c r="G10" s="500">
        <v>33.44121212121212</v>
      </c>
    </row>
    <row r="11" ht="14.25" customHeight="1" spans="1:7" x14ac:dyDescent="0.25">
      <c r="A11" s="499" t="s">
        <v>341</v>
      </c>
      <c r="B11" s="500">
        <v>1</v>
      </c>
      <c r="C11" s="500">
        <v>1</v>
      </c>
      <c r="D11" s="500">
        <v>1</v>
      </c>
      <c r="E11" s="500"/>
      <c r="F11" s="500"/>
      <c r="G11" s="500">
        <v>1</v>
      </c>
    </row>
    <row r="12" ht="14.25" customHeight="1" spans="1:7" x14ac:dyDescent="0.25">
      <c r="A12" s="499" t="s">
        <v>424</v>
      </c>
      <c r="B12" s="500">
        <v>1.55</v>
      </c>
      <c r="C12" s="500">
        <v>1.55</v>
      </c>
      <c r="D12" s="500">
        <v>1.55</v>
      </c>
      <c r="E12" s="500"/>
      <c r="F12" s="500"/>
      <c r="G12" s="500">
        <v>1.55</v>
      </c>
    </row>
    <row r="13" ht="14.25" customHeight="1" spans="1:7" x14ac:dyDescent="0.25">
      <c r="A13" s="499" t="s">
        <v>461</v>
      </c>
      <c r="B13" s="500">
        <v>129.16666666666669</v>
      </c>
      <c r="C13" s="500">
        <v>129.16666666666669</v>
      </c>
      <c r="D13" s="500">
        <v>129.16666666666669</v>
      </c>
      <c r="E13" s="500">
        <v>129.16666666666669</v>
      </c>
      <c r="F13" s="500">
        <v>129.16666666666669</v>
      </c>
      <c r="G13" s="500">
        <v>129.16666666666669</v>
      </c>
    </row>
    <row r="14" ht="14.25" customHeight="1" spans="1:7" x14ac:dyDescent="0.25">
      <c r="A14" s="499" t="s">
        <v>422</v>
      </c>
      <c r="B14" s="500">
        <v>32.55</v>
      </c>
      <c r="C14" s="500">
        <v>32.55</v>
      </c>
      <c r="D14" s="500">
        <v>32.55</v>
      </c>
      <c r="E14" s="500"/>
      <c r="F14" s="500"/>
      <c r="G14" s="500">
        <v>32.55</v>
      </c>
    </row>
    <row r="15" ht="14.25" customHeight="1" spans="1:7" x14ac:dyDescent="0.25">
      <c r="A15" s="499" t="s">
        <v>345</v>
      </c>
      <c r="B15" s="500">
        <v>807.1500000000001</v>
      </c>
      <c r="C15" s="500">
        <v>584.5500000000001</v>
      </c>
      <c r="D15" s="500">
        <v>807.1500000000001</v>
      </c>
      <c r="E15" s="500">
        <v>74.19999999999999</v>
      </c>
      <c r="F15" s="500">
        <v>296.8</v>
      </c>
      <c r="G15" s="500">
        <v>864.69</v>
      </c>
    </row>
    <row r="16" ht="14.25" customHeight="1" spans="1:7" x14ac:dyDescent="0.25">
      <c r="A16" s="499" t="s">
        <v>472</v>
      </c>
      <c r="B16" s="500">
        <v>19.544557438794723</v>
      </c>
      <c r="C16" s="500">
        <v>19.544557438794723</v>
      </c>
      <c r="D16" s="500">
        <v>19.544557438794723</v>
      </c>
      <c r="E16" s="500">
        <v>19.544557438794723</v>
      </c>
      <c r="F16" s="500">
        <v>19.544557438794723</v>
      </c>
      <c r="G16" s="500">
        <v>19.544557438794723</v>
      </c>
    </row>
    <row r="17" ht="14.25" customHeight="1" spans="1:7" x14ac:dyDescent="0.25">
      <c r="A17" s="499" t="s">
        <v>446</v>
      </c>
      <c r="B17" s="500">
        <v>2.470833333333333</v>
      </c>
      <c r="C17" s="500">
        <v>4.8</v>
      </c>
      <c r="D17" s="500">
        <v>4.8</v>
      </c>
      <c r="E17" s="500">
        <v>4.8</v>
      </c>
      <c r="F17" s="500">
        <v>4.8</v>
      </c>
      <c r="G17" s="500">
        <v>4.8</v>
      </c>
    </row>
    <row r="18" ht="14.25" customHeight="1" spans="1:7" x14ac:dyDescent="0.25">
      <c r="A18" s="499" t="s">
        <v>253</v>
      </c>
      <c r="B18" s="500">
        <v>14.6875</v>
      </c>
      <c r="C18" s="500">
        <v>14.6875</v>
      </c>
      <c r="D18" s="500">
        <v>14.6875</v>
      </c>
      <c r="E18" s="500">
        <v>14.6875</v>
      </c>
      <c r="F18" s="500">
        <v>14.6875</v>
      </c>
      <c r="G18" s="500">
        <v>14.6875</v>
      </c>
    </row>
    <row r="19" ht="14.25" customHeight="1" spans="1:7" x14ac:dyDescent="0.25">
      <c r="A19" s="499" t="s">
        <v>327</v>
      </c>
      <c r="B19" s="500">
        <v>255.98333333333335</v>
      </c>
      <c r="C19" s="500">
        <v>526.2425925925926</v>
      </c>
      <c r="D19" s="500">
        <v>526.2425925925926</v>
      </c>
      <c r="E19" s="500">
        <v>284.1592592592592</v>
      </c>
      <c r="F19" s="500">
        <v>284.1592592592592</v>
      </c>
      <c r="G19" s="500">
        <v>284.1592592592592</v>
      </c>
    </row>
    <row r="20" ht="15.75" customHeight="1" spans="1:7" x14ac:dyDescent="0.25">
      <c r="A20" s="499" t="s">
        <v>330</v>
      </c>
      <c r="B20" s="500"/>
      <c r="C20" s="500">
        <v>67.56481481481481</v>
      </c>
      <c r="D20" s="500">
        <v>67.56481481481481</v>
      </c>
      <c r="E20" s="500">
        <v>67.56481481481481</v>
      </c>
      <c r="F20" s="500">
        <v>67.56481481481481</v>
      </c>
      <c r="G20" s="500">
        <v>67.56481481481481</v>
      </c>
    </row>
    <row r="21" ht="15.75" customHeight="1" spans="1:7" x14ac:dyDescent="0.25">
      <c r="A21" s="499" t="s">
        <v>501</v>
      </c>
      <c r="B21" s="500">
        <v>3</v>
      </c>
      <c r="C21" s="500">
        <v>3</v>
      </c>
      <c r="D21" s="500">
        <v>3</v>
      </c>
      <c r="E21" s="500">
        <v>3</v>
      </c>
      <c r="F21" s="500">
        <v>3</v>
      </c>
      <c r="G21" s="500">
        <v>3</v>
      </c>
    </row>
    <row r="22" ht="15.75" customHeight="1" spans="1:7" x14ac:dyDescent="0.25">
      <c r="A22" s="499" t="s">
        <v>320</v>
      </c>
      <c r="B22" s="500">
        <v>10</v>
      </c>
      <c r="C22" s="500">
        <v>87</v>
      </c>
      <c r="D22" s="500">
        <v>87</v>
      </c>
      <c r="E22" s="500">
        <v>87</v>
      </c>
      <c r="F22" s="500">
        <v>87</v>
      </c>
      <c r="G22" s="500">
        <v>87</v>
      </c>
    </row>
    <row r="23" ht="15.75" customHeight="1" spans="1:7" x14ac:dyDescent="0.25">
      <c r="A23" s="499" t="s">
        <v>244</v>
      </c>
      <c r="B23" s="500">
        <v>15.899999999999999</v>
      </c>
      <c r="C23" s="500">
        <v>15.899999999999999</v>
      </c>
      <c r="D23" s="500">
        <v>15.899999999999999</v>
      </c>
      <c r="E23" s="500">
        <v>15.899999999999999</v>
      </c>
      <c r="F23" s="500">
        <v>15.899999999999999</v>
      </c>
      <c r="G23" s="500">
        <v>15.899999999999999</v>
      </c>
    </row>
    <row r="24" ht="15.75" customHeight="1" spans="1:7" x14ac:dyDescent="0.25">
      <c r="A24" s="499" t="s">
        <v>301</v>
      </c>
      <c r="B24" s="500">
        <v>6</v>
      </c>
      <c r="C24" s="500">
        <v>6</v>
      </c>
      <c r="D24" s="500">
        <v>23.07650273224044</v>
      </c>
      <c r="E24" s="500">
        <v>17.07650273224044</v>
      </c>
      <c r="F24" s="500">
        <v>17.07650273224044</v>
      </c>
      <c r="G24" s="500">
        <v>23.07650273224044</v>
      </c>
    </row>
    <row r="25" ht="15.75" customHeight="1" spans="1:7" x14ac:dyDescent="0.25">
      <c r="A25" s="499" t="s">
        <v>437</v>
      </c>
      <c r="B25" s="500">
        <v>7.4125</v>
      </c>
      <c r="C25" s="500"/>
      <c r="D25" s="500"/>
      <c r="E25" s="500"/>
      <c r="F25" s="500"/>
      <c r="G25" s="500"/>
    </row>
    <row r="26" ht="15.75" customHeight="1" spans="1:7" x14ac:dyDescent="0.25">
      <c r="A26" s="499" t="s">
        <v>431</v>
      </c>
      <c r="B26" s="500">
        <v>18</v>
      </c>
      <c r="C26" s="500">
        <v>18</v>
      </c>
      <c r="D26" s="500">
        <v>18</v>
      </c>
      <c r="E26" s="500">
        <v>18</v>
      </c>
      <c r="F26" s="500">
        <v>18</v>
      </c>
      <c r="G26" s="500">
        <v>18</v>
      </c>
    </row>
    <row r="27" ht="15.75" customHeight="1" spans="1:7" x14ac:dyDescent="0.25">
      <c r="A27" s="499" t="s">
        <v>307</v>
      </c>
      <c r="B27" s="500">
        <v>4.9</v>
      </c>
      <c r="C27" s="500">
        <v>7.3</v>
      </c>
      <c r="D27" s="500">
        <v>10.715300546448088</v>
      </c>
      <c r="E27" s="500">
        <v>10.715300546448088</v>
      </c>
      <c r="F27" s="500">
        <v>10.715300546448088</v>
      </c>
      <c r="G27" s="500">
        <v>10.715300546448088</v>
      </c>
    </row>
    <row r="28" ht="15.75" customHeight="1" spans="1:7" x14ac:dyDescent="0.25">
      <c r="A28" s="499" t="s">
        <v>449</v>
      </c>
      <c r="B28" s="500">
        <v>2.470833333333333</v>
      </c>
      <c r="C28" s="500">
        <v>1.3</v>
      </c>
      <c r="D28" s="500">
        <v>1.3</v>
      </c>
      <c r="E28" s="500">
        <v>1.3</v>
      </c>
      <c r="F28" s="500">
        <v>1.3</v>
      </c>
      <c r="G28" s="500">
        <v>1.3</v>
      </c>
    </row>
    <row r="29" ht="15.75" customHeight="1" spans="1:7" x14ac:dyDescent="0.25">
      <c r="A29" s="499" t="s">
        <v>435</v>
      </c>
      <c r="B29" s="500">
        <v>49.3</v>
      </c>
      <c r="C29" s="500"/>
      <c r="D29" s="500"/>
      <c r="E29" s="500"/>
      <c r="F29" s="500"/>
      <c r="G29" s="500"/>
    </row>
    <row r="30" ht="15.75" customHeight="1" spans="1:7" x14ac:dyDescent="0.25">
      <c r="A30" s="499" t="s">
        <v>464</v>
      </c>
      <c r="B30" s="500">
        <v>375.3</v>
      </c>
      <c r="C30" s="500">
        <v>375.3</v>
      </c>
      <c r="D30" s="500">
        <v>375.3</v>
      </c>
      <c r="E30" s="500">
        <v>375.3</v>
      </c>
      <c r="F30" s="500">
        <v>375.3</v>
      </c>
      <c r="G30" s="500">
        <v>375.3</v>
      </c>
    </row>
    <row r="31" ht="15.75" customHeight="1" spans="1:7" x14ac:dyDescent="0.25">
      <c r="A31" s="499" t="s">
        <v>493</v>
      </c>
      <c r="B31" s="500">
        <v>44.067796610169495</v>
      </c>
      <c r="C31" s="500">
        <v>44.067796610169495</v>
      </c>
      <c r="D31" s="500">
        <v>44.067796610169495</v>
      </c>
      <c r="E31" s="500">
        <v>44.067796610169495</v>
      </c>
      <c r="F31" s="500">
        <v>44.067796610169495</v>
      </c>
      <c r="G31" s="500">
        <v>44.067796610169495</v>
      </c>
    </row>
    <row r="32" ht="15.75" customHeight="1" spans="1:7" x14ac:dyDescent="0.25">
      <c r="A32" s="499" t="s">
        <v>498</v>
      </c>
      <c r="B32" s="500">
        <v>4</v>
      </c>
      <c r="C32" s="500">
        <v>4</v>
      </c>
      <c r="D32" s="500">
        <v>4</v>
      </c>
      <c r="E32" s="500">
        <v>4</v>
      </c>
      <c r="F32" s="500">
        <v>4</v>
      </c>
      <c r="G32" s="500">
        <v>4</v>
      </c>
    </row>
    <row r="33" ht="15.75" customHeight="1" spans="1:7" x14ac:dyDescent="0.25">
      <c r="A33" s="499" t="s">
        <v>457</v>
      </c>
      <c r="B33" s="500">
        <v>119.93333333333335</v>
      </c>
      <c r="C33" s="500">
        <v>119.93333333333335</v>
      </c>
      <c r="D33" s="500">
        <v>119.93333333333335</v>
      </c>
      <c r="E33" s="500">
        <v>119.93333333333335</v>
      </c>
      <c r="F33" s="500">
        <v>119.93333333333335</v>
      </c>
      <c r="G33" s="500">
        <v>119.93333333333335</v>
      </c>
    </row>
    <row r="34" ht="15.75" customHeight="1" spans="1:7" x14ac:dyDescent="0.25">
      <c r="A34" s="499" t="s">
        <v>263</v>
      </c>
      <c r="B34" s="500">
        <v>1</v>
      </c>
      <c r="C34" s="500">
        <v>1</v>
      </c>
      <c r="D34" s="500">
        <v>1</v>
      </c>
      <c r="E34" s="500">
        <v>1</v>
      </c>
      <c r="F34" s="500">
        <v>1</v>
      </c>
      <c r="G34" s="500">
        <v>1</v>
      </c>
    </row>
    <row r="35" ht="15.75" customHeight="1" spans="1:7" x14ac:dyDescent="0.25">
      <c r="A35" s="499" t="s">
        <v>304</v>
      </c>
      <c r="B35" s="500"/>
      <c r="C35" s="500"/>
      <c r="D35" s="500">
        <v>1.138433515482696</v>
      </c>
      <c r="E35" s="500">
        <v>1.138433515482696</v>
      </c>
      <c r="F35" s="500">
        <v>1.138433515482696</v>
      </c>
      <c r="G35" s="500">
        <v>1.138433515482696</v>
      </c>
    </row>
    <row r="36" ht="15.75" customHeight="1" spans="1:7" x14ac:dyDescent="0.25">
      <c r="A36" s="499" t="s">
        <v>452</v>
      </c>
      <c r="B36" s="500">
        <v>125.85039548022596</v>
      </c>
      <c r="C36" s="500">
        <v>125.85039548022596</v>
      </c>
      <c r="D36" s="500">
        <v>125.85039548022596</v>
      </c>
      <c r="E36" s="500">
        <v>125.85039548022596</v>
      </c>
      <c r="F36" s="500">
        <v>125.85039548022596</v>
      </c>
      <c r="G36" s="500">
        <v>125.85039548022596</v>
      </c>
    </row>
    <row r="37" ht="15.75" customHeight="1" spans="1:7" x14ac:dyDescent="0.25">
      <c r="A37" s="499" t="s">
        <v>241</v>
      </c>
      <c r="B37" s="500">
        <v>275</v>
      </c>
      <c r="C37" s="500">
        <v>275</v>
      </c>
      <c r="D37" s="500">
        <v>275</v>
      </c>
      <c r="E37" s="500">
        <v>176</v>
      </c>
      <c r="F37" s="500">
        <v>176</v>
      </c>
      <c r="G37" s="500">
        <v>275</v>
      </c>
    </row>
    <row r="38" ht="15.75" customHeight="1" spans="1:7" x14ac:dyDescent="0.25">
      <c r="A38" s="499" t="s">
        <v>343</v>
      </c>
      <c r="B38" s="500">
        <v>1.2333333333333334</v>
      </c>
      <c r="C38" s="500">
        <v>1.2333333333333334</v>
      </c>
      <c r="D38" s="500">
        <v>1.2333333333333334</v>
      </c>
      <c r="E38" s="500">
        <v>0.23333333333333328</v>
      </c>
      <c r="F38" s="500">
        <v>0.23333333333333328</v>
      </c>
      <c r="G38" s="500">
        <v>1.2333333333333334</v>
      </c>
    </row>
    <row r="39" ht="15.75" customHeight="1" spans="1:7" x14ac:dyDescent="0.25">
      <c r="A39" s="499" t="s">
        <v>317</v>
      </c>
      <c r="B39" s="500"/>
      <c r="C39" s="500">
        <v>17.17408274785324</v>
      </c>
      <c r="D39" s="500">
        <v>17.17408274785324</v>
      </c>
      <c r="E39" s="500">
        <v>17.17408274785324</v>
      </c>
      <c r="F39" s="500">
        <v>17.17408274785324</v>
      </c>
      <c r="G39" s="500">
        <v>17.17408274785324</v>
      </c>
    </row>
    <row r="40" ht="15.75" customHeight="1" spans="1:7" x14ac:dyDescent="0.25">
      <c r="A40" s="499" t="s">
        <v>459</v>
      </c>
      <c r="B40" s="500">
        <v>139</v>
      </c>
      <c r="C40" s="500">
        <v>139</v>
      </c>
      <c r="D40" s="500">
        <v>139</v>
      </c>
      <c r="E40" s="500">
        <v>139</v>
      </c>
      <c r="F40" s="500">
        <v>139</v>
      </c>
      <c r="G40" s="500">
        <v>139</v>
      </c>
    </row>
    <row r="41" ht="15.75" customHeight="1" spans="1:7" x14ac:dyDescent="0.25">
      <c r="A41" s="499" t="s">
        <v>491</v>
      </c>
      <c r="B41" s="500">
        <v>12.864406779661017</v>
      </c>
      <c r="C41" s="500">
        <v>12.864406779661017</v>
      </c>
      <c r="D41" s="500">
        <v>12.864406779661017</v>
      </c>
      <c r="E41" s="500">
        <v>12.864406779661017</v>
      </c>
      <c r="F41" s="500">
        <v>12.864406779661017</v>
      </c>
      <c r="G41" s="500">
        <v>12.864406779661017</v>
      </c>
    </row>
    <row r="42" ht="15.75" customHeight="1" spans="1:7" x14ac:dyDescent="0.25">
      <c r="A42" s="499" t="s">
        <v>474</v>
      </c>
      <c r="B42" s="500">
        <v>1807.5480225988701</v>
      </c>
      <c r="C42" s="500">
        <v>1807.5480225988701</v>
      </c>
      <c r="D42" s="500">
        <v>1807.5480225988701</v>
      </c>
      <c r="E42" s="500">
        <v>1807.5480225988701</v>
      </c>
      <c r="F42" s="500">
        <v>1807.5480225988701</v>
      </c>
      <c r="G42" s="500">
        <v>1807.5480225988701</v>
      </c>
    </row>
    <row r="43" ht="15.75" customHeight="1" spans="1:7" x14ac:dyDescent="0.25">
      <c r="A43" s="499" t="s">
        <v>351</v>
      </c>
      <c r="B43" s="500">
        <v>150</v>
      </c>
      <c r="C43" s="500">
        <v>150</v>
      </c>
      <c r="D43" s="500">
        <v>150</v>
      </c>
      <c r="E43" s="500">
        <v>150</v>
      </c>
      <c r="F43" s="500">
        <v>150</v>
      </c>
      <c r="G43" s="500">
        <v>150</v>
      </c>
    </row>
    <row r="44" ht="15.75" customHeight="1" spans="1:7" x14ac:dyDescent="0.25">
      <c r="A44" s="499" t="s">
        <v>322</v>
      </c>
      <c r="B44" s="500"/>
      <c r="C44" s="500">
        <v>38.5</v>
      </c>
      <c r="D44" s="500">
        <v>38.5</v>
      </c>
      <c r="E44" s="500">
        <v>38.5</v>
      </c>
      <c r="F44" s="500">
        <v>38.5</v>
      </c>
      <c r="G44" s="500">
        <v>38.5</v>
      </c>
    </row>
    <row r="45" ht="15.75" customHeight="1" spans="1:7" x14ac:dyDescent="0.25">
      <c r="A45" s="499" t="s">
        <v>348</v>
      </c>
      <c r="B45" s="500">
        <v>30</v>
      </c>
      <c r="C45" s="500">
        <v>30</v>
      </c>
      <c r="D45" s="500">
        <v>30</v>
      </c>
      <c r="E45" s="500"/>
      <c r="F45" s="500"/>
      <c r="G45" s="500">
        <v>30</v>
      </c>
    </row>
    <row r="46" ht="15.75" customHeight="1" spans="1:7" x14ac:dyDescent="0.25">
      <c r="A46" s="499" t="s">
        <v>476</v>
      </c>
      <c r="B46" s="500">
        <v>1807.5480225988701</v>
      </c>
      <c r="C46" s="500">
        <v>1807.5480225988701</v>
      </c>
      <c r="D46" s="500">
        <v>1807.5480225988701</v>
      </c>
      <c r="E46" s="500">
        <v>1807.5480225988701</v>
      </c>
      <c r="F46" s="500">
        <v>1807.5480225988701</v>
      </c>
      <c r="G46" s="500">
        <v>1807.5480225988701</v>
      </c>
    </row>
    <row r="47" ht="15.75" customHeight="1" spans="1:7" x14ac:dyDescent="0.25">
      <c r="A47" s="499" t="s">
        <v>466</v>
      </c>
      <c r="B47" s="500">
        <v>4777.627118644068</v>
      </c>
      <c r="C47" s="500">
        <v>4777.627118644068</v>
      </c>
      <c r="D47" s="500">
        <v>4777.627118644068</v>
      </c>
      <c r="E47" s="500">
        <v>4777.627118644068</v>
      </c>
      <c r="F47" s="500">
        <v>4777.627118644068</v>
      </c>
      <c r="G47" s="500">
        <v>4777.627118644068</v>
      </c>
    </row>
    <row r="48" ht="15.75" customHeight="1" spans="1:7" x14ac:dyDescent="0.25">
      <c r="A48" s="499" t="s">
        <v>468</v>
      </c>
      <c r="B48" s="500">
        <v>6094.677966101695</v>
      </c>
      <c r="C48" s="500">
        <v>6094.677966101695</v>
      </c>
      <c r="D48" s="500">
        <v>6094.677966101695</v>
      </c>
      <c r="E48" s="500">
        <v>6094.677966101695</v>
      </c>
      <c r="F48" s="500">
        <v>6094.677966101695</v>
      </c>
      <c r="G48" s="500">
        <v>6094.677966101695</v>
      </c>
    </row>
    <row r="49" ht="15.75" customHeight="1" spans="1:7" x14ac:dyDescent="0.25">
      <c r="A49" s="499" t="s">
        <v>759</v>
      </c>
      <c r="B49" s="500"/>
      <c r="C49" s="500"/>
      <c r="D49" s="500"/>
      <c r="E49" s="500"/>
      <c r="F49" s="500"/>
      <c r="G49" s="500"/>
    </row>
    <row r="50" ht="15.75" customHeight="1" spans="1:7" x14ac:dyDescent="0.25">
      <c r="A50" s="499" t="s">
        <v>419</v>
      </c>
      <c r="B50" s="500">
        <v>42.4</v>
      </c>
      <c r="C50" s="500"/>
      <c r="D50" s="500"/>
      <c r="E50" s="500"/>
      <c r="F50" s="500"/>
      <c r="G50" s="500">
        <v>42.4</v>
      </c>
    </row>
    <row r="51" ht="15.75" customHeight="1" spans="1:7" x14ac:dyDescent="0.25">
      <c r="A51" s="499" t="s">
        <v>503</v>
      </c>
      <c r="B51" s="500">
        <v>300</v>
      </c>
      <c r="C51" s="500">
        <v>300</v>
      </c>
      <c r="D51" s="500">
        <v>300</v>
      </c>
      <c r="E51" s="500">
        <v>300</v>
      </c>
      <c r="F51" s="500">
        <v>300</v>
      </c>
      <c r="G51" s="500">
        <v>300</v>
      </c>
    </row>
    <row r="52" ht="15.75" customHeight="1" spans="1:7" x14ac:dyDescent="0.25">
      <c r="A52" s="499" t="s">
        <v>505</v>
      </c>
      <c r="B52" s="500">
        <v>18</v>
      </c>
      <c r="C52" s="500">
        <v>18</v>
      </c>
      <c r="D52" s="500">
        <v>18</v>
      </c>
      <c r="E52" s="500">
        <v>18</v>
      </c>
      <c r="F52" s="500">
        <v>18</v>
      </c>
      <c r="G52" s="500">
        <v>18</v>
      </c>
    </row>
    <row r="53" ht="15.75" customHeight="1" spans="1:7" x14ac:dyDescent="0.25">
      <c r="A53" s="499" t="s">
        <v>506</v>
      </c>
      <c r="B53" s="500">
        <v>4</v>
      </c>
      <c r="C53" s="500">
        <v>4</v>
      </c>
      <c r="D53" s="500">
        <v>4</v>
      </c>
      <c r="E53" s="500">
        <v>4</v>
      </c>
      <c r="F53" s="500">
        <v>4</v>
      </c>
      <c r="G53" s="500">
        <v>4</v>
      </c>
    </row>
    <row r="54" ht="15.75" customHeight="1" spans="1:7" x14ac:dyDescent="0.25">
      <c r="A54" s="499" t="s">
        <v>507</v>
      </c>
      <c r="B54" s="500">
        <v>46.5</v>
      </c>
      <c r="C54" s="500">
        <v>46.5</v>
      </c>
      <c r="D54" s="500">
        <v>46.5</v>
      </c>
      <c r="E54" s="500">
        <v>46.5</v>
      </c>
      <c r="F54" s="500">
        <v>46.5</v>
      </c>
      <c r="G54" s="500">
        <v>46.5</v>
      </c>
    </row>
    <row r="55" ht="15.75" customHeight="1" spans="1:7" x14ac:dyDescent="0.25">
      <c r="A55" s="499" t="s">
        <v>313</v>
      </c>
      <c r="B55" s="500"/>
      <c r="C55" s="500">
        <v>220.00000000000003</v>
      </c>
      <c r="D55" s="500">
        <v>220.00000000000003</v>
      </c>
      <c r="E55" s="500">
        <v>220.00000000000003</v>
      </c>
      <c r="F55" s="500">
        <v>220.00000000000003</v>
      </c>
      <c r="G55" s="500">
        <v>220.00000000000003</v>
      </c>
    </row>
    <row r="56" ht="15.75" customHeight="1" spans="1:7" x14ac:dyDescent="0.25">
      <c r="A56" s="499" t="s">
        <v>315</v>
      </c>
      <c r="B56" s="500"/>
      <c r="C56" s="500">
        <v>72.60000000000001</v>
      </c>
      <c r="D56" s="500">
        <v>72.60000000000001</v>
      </c>
      <c r="E56" s="500">
        <v>72.60000000000001</v>
      </c>
      <c r="F56" s="500">
        <v>72.60000000000001</v>
      </c>
      <c r="G56" s="500">
        <v>72.60000000000001</v>
      </c>
    </row>
    <row r="57" ht="15.75" customHeight="1" spans="1:7" x14ac:dyDescent="0.25">
      <c r="A57" s="499" t="s">
        <v>481</v>
      </c>
      <c r="B57" s="500">
        <v>156.375</v>
      </c>
      <c r="C57" s="500">
        <v>156.375</v>
      </c>
      <c r="D57" s="500">
        <v>156.375</v>
      </c>
      <c r="E57" s="500">
        <v>156.375</v>
      </c>
      <c r="F57" s="500">
        <v>156.375</v>
      </c>
      <c r="G57" s="500">
        <v>156.375</v>
      </c>
    </row>
    <row r="58" ht="15.75" customHeight="1" spans="1:7" x14ac:dyDescent="0.25">
      <c r="A58" s="499" t="s">
        <v>483</v>
      </c>
      <c r="B58" s="500">
        <v>17.375</v>
      </c>
      <c r="C58" s="500">
        <v>17.375</v>
      </c>
      <c r="D58" s="500">
        <v>17.375</v>
      </c>
      <c r="E58" s="500">
        <v>17.375</v>
      </c>
      <c r="F58" s="500">
        <v>17.375</v>
      </c>
      <c r="G58" s="500">
        <v>17.375</v>
      </c>
    </row>
    <row r="59" ht="15.75" customHeight="1" spans="1:7" x14ac:dyDescent="0.25">
      <c r="A59" s="499" t="s">
        <v>486</v>
      </c>
      <c r="B59" s="500">
        <v>17.375</v>
      </c>
      <c r="C59" s="500">
        <v>17.375</v>
      </c>
      <c r="D59" s="500">
        <v>17.375</v>
      </c>
      <c r="E59" s="500">
        <v>17.375</v>
      </c>
      <c r="F59" s="500">
        <v>17.375</v>
      </c>
      <c r="G59" s="500">
        <v>17.375</v>
      </c>
    </row>
    <row r="60" ht="15.75" customHeight="1" spans="1:7" x14ac:dyDescent="0.25">
      <c r="A60" s="499" t="s">
        <v>479</v>
      </c>
      <c r="B60" s="500">
        <v>20.849999999999998</v>
      </c>
      <c r="C60" s="500">
        <v>20.849999999999998</v>
      </c>
      <c r="D60" s="500">
        <v>20.849999999999998</v>
      </c>
      <c r="E60" s="500">
        <v>20.849999999999998</v>
      </c>
      <c r="F60" s="500">
        <v>20.849999999999998</v>
      </c>
      <c r="G60" s="500">
        <v>20.849999999999998</v>
      </c>
    </row>
    <row r="61" ht="15.75" customHeight="1" spans="1:7" x14ac:dyDescent="0.25">
      <c r="A61" s="499" t="s">
        <v>295</v>
      </c>
      <c r="B61" s="500">
        <v>10</v>
      </c>
      <c r="C61" s="500">
        <v>10</v>
      </c>
      <c r="D61" s="500">
        <v>225</v>
      </c>
      <c r="E61" s="500">
        <v>225</v>
      </c>
      <c r="F61" s="500">
        <v>10</v>
      </c>
      <c r="G61" s="500">
        <v>10</v>
      </c>
    </row>
    <row r="62" ht="15.75" customHeight="1" spans="1:7" x14ac:dyDescent="0.25">
      <c r="A62" s="499" t="s">
        <v>298</v>
      </c>
      <c r="B62" s="500"/>
      <c r="C62" s="500">
        <v>46</v>
      </c>
      <c r="D62" s="500">
        <v>46</v>
      </c>
      <c r="E62" s="500">
        <v>46</v>
      </c>
      <c r="F62" s="500">
        <v>46</v>
      </c>
      <c r="G62" s="500">
        <v>46</v>
      </c>
    </row>
    <row r="63" ht="15.75" customHeight="1" spans="1:7" x14ac:dyDescent="0.25">
      <c r="A63" s="499" t="s">
        <v>311</v>
      </c>
      <c r="B63" s="500"/>
      <c r="C63" s="500"/>
      <c r="D63" s="500">
        <v>9.25925925925926</v>
      </c>
      <c r="E63" s="500">
        <v>9.25925925925926</v>
      </c>
      <c r="F63" s="500">
        <v>9.25925925925926</v>
      </c>
      <c r="G63" s="500">
        <v>9.25925925925926</v>
      </c>
    </row>
    <row r="64" ht="15.75" customHeight="1" spans="1:7" x14ac:dyDescent="0.25">
      <c r="A64" s="499" t="s">
        <v>390</v>
      </c>
      <c r="B64" s="500">
        <v>172.63888888888889</v>
      </c>
      <c r="C64" s="500">
        <v>172.63888888888889</v>
      </c>
      <c r="D64" s="500">
        <v>172.63888888888889</v>
      </c>
      <c r="E64" s="500"/>
      <c r="F64" s="500"/>
      <c r="G64" s="500"/>
    </row>
    <row r="65" ht="15.75" customHeight="1" spans="1:7" x14ac:dyDescent="0.25">
      <c r="A65" s="499" t="s">
        <v>393</v>
      </c>
      <c r="B65" s="500">
        <v>69.44444444444446</v>
      </c>
      <c r="C65" s="500"/>
      <c r="D65" s="500"/>
      <c r="E65" s="500"/>
      <c r="F65" s="500"/>
      <c r="G65" s="500"/>
    </row>
    <row r="66" ht="15.75" customHeight="1" spans="1:7" x14ac:dyDescent="0.25">
      <c r="A66" s="499" t="s">
        <v>396</v>
      </c>
      <c r="B66" s="500">
        <v>119</v>
      </c>
      <c r="C66" s="500">
        <v>119</v>
      </c>
      <c r="D66" s="500">
        <v>119</v>
      </c>
      <c r="E66" s="500"/>
      <c r="F66" s="500"/>
      <c r="G66" s="500"/>
    </row>
    <row r="67" ht="15.75" customHeight="1" spans="1:7" x14ac:dyDescent="0.25">
      <c r="A67" s="499" t="s">
        <v>398</v>
      </c>
      <c r="B67" s="500">
        <v>244</v>
      </c>
      <c r="C67" s="500">
        <v>244</v>
      </c>
      <c r="D67" s="500">
        <v>244</v>
      </c>
      <c r="E67" s="500"/>
      <c r="F67" s="500"/>
      <c r="G67" s="500"/>
    </row>
    <row r="68" ht="15.75" customHeight="1" spans="1:7" x14ac:dyDescent="0.25">
      <c r="A68" s="499" t="s">
        <v>400</v>
      </c>
      <c r="B68" s="500">
        <v>641.8499999999999</v>
      </c>
      <c r="C68" s="500">
        <v>641.8499999999999</v>
      </c>
      <c r="D68" s="500">
        <v>641.8499999999999</v>
      </c>
      <c r="E68" s="500"/>
      <c r="F68" s="500"/>
      <c r="G68" s="500"/>
    </row>
    <row r="69" ht="15.75" customHeight="1" spans="1:7" x14ac:dyDescent="0.25">
      <c r="A69" s="499" t="s">
        <v>402</v>
      </c>
      <c r="B69" s="500">
        <v>15.9</v>
      </c>
      <c r="C69" s="500">
        <v>15.9</v>
      </c>
      <c r="D69" s="500">
        <v>15.9</v>
      </c>
      <c r="E69" s="500"/>
      <c r="F69" s="500"/>
      <c r="G69" s="500"/>
    </row>
    <row r="70" ht="15.75" customHeight="1" spans="1:7" x14ac:dyDescent="0.25">
      <c r="A70" s="499" t="s">
        <v>404</v>
      </c>
      <c r="B70" s="500">
        <v>20.73611111111111</v>
      </c>
      <c r="C70" s="500">
        <v>20.73611111111111</v>
      </c>
      <c r="D70" s="500">
        <v>20.73611111111111</v>
      </c>
      <c r="E70" s="500"/>
      <c r="F70" s="500"/>
      <c r="G70" s="500"/>
    </row>
    <row r="71" ht="15.75" customHeight="1" spans="1:7" x14ac:dyDescent="0.25">
      <c r="A71" s="499" t="s">
        <v>406</v>
      </c>
      <c r="B71" s="500">
        <v>51.84027777777778</v>
      </c>
      <c r="C71" s="500">
        <v>51.84027777777778</v>
      </c>
      <c r="D71" s="500">
        <v>51.84027777777778</v>
      </c>
      <c r="E71" s="500"/>
      <c r="F71" s="500"/>
      <c r="G71" s="500"/>
    </row>
    <row r="72" ht="15.75" customHeight="1" spans="1:7" x14ac:dyDescent="0.25">
      <c r="A72" s="499" t="s">
        <v>266</v>
      </c>
      <c r="B72" s="500">
        <v>34.48275862068966</v>
      </c>
      <c r="C72" s="500">
        <v>34.48275862068966</v>
      </c>
      <c r="D72" s="500">
        <v>34.48275862068966</v>
      </c>
      <c r="E72" s="500">
        <v>18.808777429467085</v>
      </c>
      <c r="F72" s="500">
        <v>34.48275862068966</v>
      </c>
      <c r="G72" s="500"/>
    </row>
    <row r="73" ht="15.75" customHeight="1" spans="1:7" x14ac:dyDescent="0.25">
      <c r="A73" s="499" t="s">
        <v>269</v>
      </c>
      <c r="B73" s="500">
        <v>54.8</v>
      </c>
      <c r="C73" s="500">
        <v>54.8</v>
      </c>
      <c r="D73" s="500">
        <v>54.8</v>
      </c>
      <c r="E73" s="500">
        <v>54.8</v>
      </c>
      <c r="F73" s="500">
        <v>54.8</v>
      </c>
      <c r="G73" s="500">
        <v>250.5</v>
      </c>
    </row>
    <row r="74" ht="15.75" customHeight="1" spans="1:7" x14ac:dyDescent="0.25">
      <c r="A74" s="499" t="s">
        <v>272</v>
      </c>
      <c r="B74" s="500">
        <v>125.83333333333336</v>
      </c>
      <c r="C74" s="500">
        <v>125.83333333333336</v>
      </c>
      <c r="D74" s="500">
        <v>125.83333333333336</v>
      </c>
      <c r="E74" s="500">
        <v>125.83333333333336</v>
      </c>
      <c r="F74" s="500">
        <v>125.83333333333336</v>
      </c>
      <c r="G74" s="500">
        <v>391.2777777777778</v>
      </c>
    </row>
    <row r="75" ht="15.75" customHeight="1" spans="1:7" x14ac:dyDescent="0.25">
      <c r="A75" s="499" t="s">
        <v>275</v>
      </c>
      <c r="B75" s="500">
        <v>10.452854696389178</v>
      </c>
      <c r="C75" s="500">
        <v>10.452854696389178</v>
      </c>
      <c r="D75" s="500">
        <v>10.452854696389178</v>
      </c>
      <c r="E75" s="500">
        <v>8.45285469638918</v>
      </c>
      <c r="F75" s="500">
        <v>8.45285469638918</v>
      </c>
      <c r="G75" s="500">
        <v>4.05787037037037</v>
      </c>
    </row>
    <row r="76" ht="15.75" customHeight="1" spans="1:7" x14ac:dyDescent="0.25">
      <c r="A76" s="499" t="s">
        <v>285</v>
      </c>
      <c r="B76" s="500">
        <v>2</v>
      </c>
      <c r="C76" s="500">
        <v>1</v>
      </c>
      <c r="D76" s="500">
        <v>1</v>
      </c>
      <c r="E76" s="500">
        <v>1</v>
      </c>
      <c r="F76" s="500">
        <v>1</v>
      </c>
      <c r="G76" s="500">
        <v>3</v>
      </c>
    </row>
    <row r="77" ht="15.75" customHeight="1" spans="1:7" x14ac:dyDescent="0.25">
      <c r="A77" s="499" t="s">
        <v>288</v>
      </c>
      <c r="B77" s="500">
        <v>75.2</v>
      </c>
      <c r="C77" s="500">
        <v>59.300000000000004</v>
      </c>
      <c r="D77" s="500">
        <v>59.300000000000004</v>
      </c>
      <c r="E77" s="500">
        <v>44.475</v>
      </c>
      <c r="F77" s="500">
        <v>59.300000000000004</v>
      </c>
      <c r="G77" s="500">
        <v>113.76960000000001</v>
      </c>
    </row>
    <row r="78" ht="15.75" customHeight="1" spans="1:7" x14ac:dyDescent="0.25">
      <c r="A78" s="499" t="s">
        <v>292</v>
      </c>
      <c r="B78" s="500">
        <v>8</v>
      </c>
      <c r="C78" s="500">
        <v>8</v>
      </c>
      <c r="D78" s="500">
        <v>85</v>
      </c>
      <c r="E78" s="500">
        <v>85</v>
      </c>
      <c r="F78" s="500">
        <v>8</v>
      </c>
      <c r="G78" s="500">
        <v>8</v>
      </c>
    </row>
    <row r="79" ht="15.75" customHeight="1" spans="1:7" x14ac:dyDescent="0.25">
      <c r="A79" s="499" t="s">
        <v>283</v>
      </c>
      <c r="B79" s="500">
        <v>45.05833333333334</v>
      </c>
      <c r="C79" s="500">
        <v>45.05833333333334</v>
      </c>
      <c r="D79" s="500">
        <v>45.05833333333334</v>
      </c>
      <c r="E79" s="500">
        <v>26.308333333333334</v>
      </c>
      <c r="F79" s="500">
        <v>26.308333333333334</v>
      </c>
      <c r="G79" s="500">
        <v>39.641666666666666</v>
      </c>
    </row>
    <row r="80" ht="15.75" customHeight="1" spans="1:7" x14ac:dyDescent="0.25">
      <c r="A80" s="499" t="s">
        <v>360</v>
      </c>
      <c r="B80" s="500">
        <v>0</v>
      </c>
      <c r="C80" s="500"/>
      <c r="D80" s="500"/>
      <c r="E80" s="500">
        <v>675</v>
      </c>
      <c r="F80" s="500"/>
      <c r="G80" s="500"/>
    </row>
    <row r="81" ht="15.75" customHeight="1" spans="1:7" x14ac:dyDescent="0.25">
      <c r="A81" s="499" t="s">
        <v>357</v>
      </c>
      <c r="B81" s="500">
        <v>0</v>
      </c>
      <c r="C81" s="500"/>
      <c r="D81" s="500"/>
      <c r="E81" s="500">
        <v>2311.363636363636</v>
      </c>
      <c r="F81" s="500"/>
      <c r="G81" s="500"/>
    </row>
    <row r="82" ht="15.75" customHeight="1" spans="1:7" x14ac:dyDescent="0.25">
      <c r="A82" s="499" t="s">
        <v>362</v>
      </c>
      <c r="B82" s="500">
        <v>0</v>
      </c>
      <c r="C82" s="500"/>
      <c r="D82" s="500"/>
      <c r="E82" s="500">
        <v>675</v>
      </c>
      <c r="F82" s="500"/>
      <c r="G82" s="500"/>
    </row>
    <row r="83" ht="15.75" customHeight="1" spans="1:7" x14ac:dyDescent="0.25">
      <c r="A83" s="499" t="s">
        <v>365</v>
      </c>
      <c r="B83" s="500">
        <v>0</v>
      </c>
      <c r="C83" s="500"/>
      <c r="D83" s="500"/>
      <c r="E83" s="500">
        <v>67500</v>
      </c>
      <c r="F83" s="500"/>
      <c r="G83" s="500"/>
    </row>
    <row r="84" ht="15.75" customHeight="1" spans="1:7" x14ac:dyDescent="0.25">
      <c r="A84" s="499" t="s">
        <v>414</v>
      </c>
      <c r="B84" s="500">
        <v>5.93</v>
      </c>
      <c r="C84" s="500">
        <v>5.93</v>
      </c>
      <c r="D84" s="500">
        <v>5.93</v>
      </c>
      <c r="E84" s="500"/>
      <c r="F84" s="500"/>
      <c r="G84" s="500">
        <v>5.93</v>
      </c>
    </row>
    <row r="85" ht="15.75" customHeight="1" spans="1:7" x14ac:dyDescent="0.25">
      <c r="A85" s="499" t="s">
        <v>247</v>
      </c>
      <c r="B85" s="500">
        <v>30</v>
      </c>
      <c r="C85" s="500">
        <v>30</v>
      </c>
      <c r="D85" s="500">
        <v>30</v>
      </c>
      <c r="E85" s="500">
        <v>30</v>
      </c>
      <c r="F85" s="500">
        <v>30</v>
      </c>
      <c r="G85" s="500">
        <v>30</v>
      </c>
    </row>
    <row r="86" ht="15.75" customHeight="1" spans="1:7" x14ac:dyDescent="0.25">
      <c r="A86" s="499" t="s">
        <v>250</v>
      </c>
      <c r="B86" s="500">
        <v>30</v>
      </c>
      <c r="C86" s="500">
        <v>30</v>
      </c>
      <c r="D86" s="500">
        <v>30</v>
      </c>
      <c r="E86" s="500">
        <v>30</v>
      </c>
      <c r="F86" s="500">
        <v>30</v>
      </c>
      <c r="G86" s="500">
        <v>30</v>
      </c>
    </row>
    <row r="87" ht="15.75" customHeight="1" spans="1:7" x14ac:dyDescent="0.25">
      <c r="A87" s="499" t="s">
        <v>259</v>
      </c>
      <c r="B87" s="500">
        <v>45</v>
      </c>
      <c r="C87" s="500">
        <v>45</v>
      </c>
      <c r="D87" s="500">
        <v>45</v>
      </c>
      <c r="E87" s="500">
        <v>147.27272727272725</v>
      </c>
      <c r="F87" s="500">
        <v>45</v>
      </c>
      <c r="G87" s="500">
        <v>45</v>
      </c>
    </row>
    <row r="88" ht="15.75" customHeight="1" spans="1:7" x14ac:dyDescent="0.25">
      <c r="A88" s="499" t="s">
        <v>337</v>
      </c>
      <c r="B88" s="500">
        <v>13</v>
      </c>
      <c r="C88" s="500">
        <v>13</v>
      </c>
      <c r="D88" s="500">
        <v>13</v>
      </c>
      <c r="E88" s="500">
        <v>13</v>
      </c>
      <c r="F88" s="500">
        <v>13</v>
      </c>
      <c r="G88" s="500">
        <v>13</v>
      </c>
    </row>
    <row r="89" ht="15.75" customHeight="1" spans="1:7" x14ac:dyDescent="0.25">
      <c r="A89" s="499" t="s">
        <v>366</v>
      </c>
      <c r="B89" s="500">
        <v>0</v>
      </c>
      <c r="C89" s="500"/>
      <c r="D89" s="500"/>
      <c r="E89" s="500">
        <v>76.84426229508196</v>
      </c>
      <c r="F89" s="500">
        <v>76.84426229508196</v>
      </c>
      <c r="G89" s="500"/>
    </row>
    <row r="90" ht="15.75" customHeight="1" spans="1:7" x14ac:dyDescent="0.25">
      <c r="A90" s="499" t="s">
        <v>367</v>
      </c>
      <c r="B90" s="500">
        <v>0</v>
      </c>
      <c r="C90" s="500"/>
      <c r="D90" s="500"/>
      <c r="E90" s="500">
        <v>7.684426229508197</v>
      </c>
      <c r="F90" s="500">
        <v>7.684426229508197</v>
      </c>
      <c r="G90" s="500"/>
    </row>
    <row r="91" ht="15.75" customHeight="1" spans="1:7" x14ac:dyDescent="0.25">
      <c r="A91" s="499" t="s">
        <v>368</v>
      </c>
      <c r="B91" s="500">
        <v>0</v>
      </c>
      <c r="C91" s="500"/>
      <c r="D91" s="500"/>
      <c r="E91" s="500">
        <v>115.26639344262296</v>
      </c>
      <c r="F91" s="500">
        <v>115.26639344262296</v>
      </c>
      <c r="G91" s="500"/>
    </row>
    <row r="92" ht="15.75" customHeight="1" spans="1:7" x14ac:dyDescent="0.25">
      <c r="A92" s="499" t="s">
        <v>369</v>
      </c>
      <c r="B92" s="500">
        <v>0</v>
      </c>
      <c r="C92" s="500"/>
      <c r="D92" s="500"/>
      <c r="E92" s="500">
        <v>691.5983606557377</v>
      </c>
      <c r="F92" s="500">
        <v>691.5983606557377</v>
      </c>
      <c r="G92" s="500"/>
    </row>
    <row r="93" ht="15.75" customHeight="1" spans="1:7" x14ac:dyDescent="0.25">
      <c r="A93" s="499" t="s">
        <v>371</v>
      </c>
      <c r="B93" s="500">
        <v>0</v>
      </c>
      <c r="C93" s="500"/>
      <c r="D93" s="500"/>
      <c r="E93" s="500"/>
      <c r="F93" s="500">
        <v>230.5327868852459</v>
      </c>
      <c r="G93" s="500"/>
    </row>
    <row r="94" ht="15.75" customHeight="1" spans="1:7" x14ac:dyDescent="0.25">
      <c r="A94" s="499" t="s">
        <v>372</v>
      </c>
      <c r="B94" s="500">
        <v>0</v>
      </c>
      <c r="C94" s="500"/>
      <c r="D94" s="500"/>
      <c r="E94" s="500"/>
      <c r="F94" s="500">
        <v>317.62295081967216</v>
      </c>
      <c r="G94" s="500"/>
    </row>
    <row r="95" ht="15.75" customHeight="1" spans="1:7" x14ac:dyDescent="0.25">
      <c r="A95" s="499" t="s">
        <v>373</v>
      </c>
      <c r="B95" s="500">
        <v>0</v>
      </c>
      <c r="C95" s="500"/>
      <c r="D95" s="500"/>
      <c r="E95" s="500"/>
      <c r="F95" s="500">
        <v>30.830601092896178</v>
      </c>
      <c r="G95" s="500"/>
    </row>
    <row r="96" ht="15.75" customHeight="1" spans="1:7" x14ac:dyDescent="0.25">
      <c r="A96" s="499" t="s">
        <v>374</v>
      </c>
      <c r="B96" s="500">
        <v>0</v>
      </c>
      <c r="C96" s="500"/>
      <c r="D96" s="500"/>
      <c r="E96" s="500"/>
      <c r="F96" s="500">
        <v>500</v>
      </c>
      <c r="G96" s="500"/>
    </row>
    <row r="97" ht="15.75" customHeight="1" spans="1:7" x14ac:dyDescent="0.25">
      <c r="A97" s="499" t="s">
        <v>375</v>
      </c>
      <c r="B97" s="500">
        <v>0</v>
      </c>
      <c r="C97" s="500"/>
      <c r="D97" s="500"/>
      <c r="E97" s="500"/>
      <c r="F97" s="500">
        <v>64.28571428571429</v>
      </c>
      <c r="G97" s="500"/>
    </row>
    <row r="98" ht="15.75" customHeight="1" spans="1:7" x14ac:dyDescent="0.25">
      <c r="A98" s="499" t="s">
        <v>376</v>
      </c>
      <c r="B98" s="500">
        <v>0</v>
      </c>
      <c r="C98" s="500"/>
      <c r="D98" s="500"/>
      <c r="E98" s="500"/>
      <c r="F98" s="500">
        <v>53</v>
      </c>
      <c r="G98" s="500"/>
    </row>
    <row r="99" ht="15.75" customHeight="1" spans="1:7" x14ac:dyDescent="0.25">
      <c r="A99" s="499" t="s">
        <v>377</v>
      </c>
      <c r="B99" s="500">
        <v>0</v>
      </c>
      <c r="C99" s="500"/>
      <c r="D99" s="500"/>
      <c r="E99" s="500"/>
      <c r="F99" s="500">
        <v>18.906128024980486</v>
      </c>
      <c r="G99" s="500"/>
    </row>
    <row r="100" ht="15.75" customHeight="1" spans="1:7" x14ac:dyDescent="0.25">
      <c r="A100" s="499" t="s">
        <v>378</v>
      </c>
      <c r="B100" s="500">
        <v>0</v>
      </c>
      <c r="C100" s="500"/>
      <c r="D100" s="500"/>
      <c r="E100" s="500"/>
      <c r="F100" s="500">
        <v>4.610655737704918</v>
      </c>
      <c r="G100" s="500"/>
    </row>
    <row r="101" ht="15.75" customHeight="1" spans="1:7" x14ac:dyDescent="0.25">
      <c r="A101" s="499" t="s">
        <v>379</v>
      </c>
      <c r="B101" s="500">
        <v>0</v>
      </c>
      <c r="C101" s="500"/>
      <c r="D101" s="500"/>
      <c r="E101" s="500"/>
      <c r="F101" s="500">
        <v>7.684426229508197</v>
      </c>
      <c r="G101" s="500"/>
    </row>
    <row r="102" ht="15.75" customHeight="1" spans="1:7" x14ac:dyDescent="0.25">
      <c r="A102" s="499" t="s">
        <v>380</v>
      </c>
      <c r="B102" s="500">
        <v>0</v>
      </c>
      <c r="C102" s="500"/>
      <c r="D102" s="500"/>
      <c r="E102" s="500"/>
      <c r="F102" s="500">
        <v>27.5</v>
      </c>
      <c r="G102" s="500"/>
    </row>
    <row r="103" ht="15.75" customHeight="1" spans="1:7" x14ac:dyDescent="0.25">
      <c r="A103" s="499" t="s">
        <v>381</v>
      </c>
      <c r="B103" s="500">
        <v>0</v>
      </c>
      <c r="C103" s="500"/>
      <c r="D103" s="500"/>
      <c r="E103" s="500"/>
      <c r="F103" s="500">
        <v>27.5</v>
      </c>
      <c r="G103" s="500"/>
    </row>
    <row r="104" ht="15.75" customHeight="1" spans="1:7" x14ac:dyDescent="0.25">
      <c r="A104" s="499" t="s">
        <v>382</v>
      </c>
      <c r="B104" s="500">
        <v>0</v>
      </c>
      <c r="C104" s="500"/>
      <c r="D104" s="500"/>
      <c r="E104" s="500"/>
      <c r="F104" s="500">
        <v>27.5</v>
      </c>
      <c r="G104" s="500"/>
    </row>
    <row r="105" ht="15.75" customHeight="1" spans="1:7" x14ac:dyDescent="0.25">
      <c r="A105" s="499" t="s">
        <v>383</v>
      </c>
      <c r="B105" s="500">
        <v>0</v>
      </c>
      <c r="C105" s="500"/>
      <c r="D105" s="500"/>
      <c r="E105" s="500"/>
      <c r="F105" s="500">
        <v>27.5</v>
      </c>
      <c r="G105" s="500"/>
    </row>
    <row r="106" ht="15.75" customHeight="1" spans="1:7" x14ac:dyDescent="0.25">
      <c r="A106" s="499" t="s">
        <v>384</v>
      </c>
      <c r="B106" s="500">
        <v>0</v>
      </c>
      <c r="C106" s="500"/>
      <c r="D106" s="500"/>
      <c r="E106" s="500"/>
      <c r="F106" s="500">
        <v>11</v>
      </c>
      <c r="G106" s="500"/>
    </row>
    <row r="107" ht="15.75" customHeight="1" spans="1:7" x14ac:dyDescent="0.25">
      <c r="A107" s="499" t="s">
        <v>386</v>
      </c>
      <c r="B107" s="500">
        <v>0</v>
      </c>
      <c r="C107" s="500"/>
      <c r="D107" s="500"/>
      <c r="E107" s="500"/>
      <c r="F107" s="500">
        <v>10.97775175644028</v>
      </c>
      <c r="G107" s="500"/>
    </row>
    <row r="108" ht="15.75" customHeight="1" spans="1:7" x14ac:dyDescent="0.25">
      <c r="A108" s="499" t="s">
        <v>387</v>
      </c>
      <c r="B108" s="500">
        <v>0</v>
      </c>
      <c r="C108" s="500"/>
      <c r="D108" s="500"/>
      <c r="E108" s="500"/>
      <c r="F108" s="500">
        <v>2766.3934426229507</v>
      </c>
      <c r="G108" s="500"/>
    </row>
    <row r="109" ht="15.75" customHeight="1" spans="1:7" x14ac:dyDescent="0.25">
      <c r="A109" s="499" t="s">
        <v>388</v>
      </c>
      <c r="B109" s="500">
        <v>0</v>
      </c>
      <c r="C109" s="500"/>
      <c r="D109" s="500"/>
      <c r="E109" s="500"/>
      <c r="F109" s="500">
        <v>2766.3934426229507</v>
      </c>
      <c r="G109" s="500"/>
    </row>
    <row r="110" ht="15.75" customHeight="1" spans="1:7" x14ac:dyDescent="0.25">
      <c r="A110" s="499" t="s">
        <v>413</v>
      </c>
      <c r="B110" s="500">
        <v>17.858333333333334</v>
      </c>
      <c r="C110" s="500">
        <v>12.558333333333335</v>
      </c>
      <c r="D110" s="500">
        <v>17.858333333333334</v>
      </c>
      <c r="E110" s="500">
        <v>0.11666666666666664</v>
      </c>
      <c r="F110" s="500">
        <v>5.416666666666666</v>
      </c>
      <c r="G110" s="500">
        <v>19.978333333333335</v>
      </c>
    </row>
    <row r="111" ht="15.75" customHeight="1" spans="1:7" x14ac:dyDescent="0.25">
      <c r="A111" s="499" t="s">
        <v>8</v>
      </c>
      <c r="B111" s="500"/>
      <c r="C111" s="500"/>
      <c r="D111" s="500"/>
      <c r="E111" s="500"/>
      <c r="F111" s="500"/>
      <c r="G111" s="500">
        <v>40500</v>
      </c>
    </row>
    <row r="112" ht="15.75" customHeight="1" spans="1:7" x14ac:dyDescent="0.25">
      <c r="A112" s="499" t="s">
        <v>440</v>
      </c>
      <c r="B112" s="500">
        <v>53.75</v>
      </c>
      <c r="C112" s="500">
        <v>14</v>
      </c>
      <c r="D112" s="500">
        <v>14</v>
      </c>
      <c r="E112" s="500">
        <v>14</v>
      </c>
      <c r="F112" s="500">
        <v>14</v>
      </c>
      <c r="G112" s="500">
        <v>14</v>
      </c>
    </row>
    <row r="113" ht="15.75" customHeight="1" spans="1:7" x14ac:dyDescent="0.25">
      <c r="A113" s="499" t="s">
        <v>443</v>
      </c>
      <c r="B113" s="500">
        <v>70</v>
      </c>
      <c r="C113" s="500">
        <v>8.5</v>
      </c>
      <c r="D113" s="500">
        <v>8.5</v>
      </c>
      <c r="E113" s="500">
        <v>8.5</v>
      </c>
      <c r="F113" s="500">
        <v>8.5</v>
      </c>
      <c r="G113" s="500">
        <v>8.5</v>
      </c>
    </row>
    <row r="114" ht="15.75" customHeight="1" spans="1:7" x14ac:dyDescent="0.25">
      <c r="A114" s="499" t="s">
        <v>455</v>
      </c>
      <c r="B114" s="500">
        <v>8</v>
      </c>
      <c r="C114" s="500">
        <v>8</v>
      </c>
      <c r="D114" s="500">
        <v>8</v>
      </c>
      <c r="E114" s="500">
        <v>8</v>
      </c>
      <c r="F114" s="500">
        <v>8</v>
      </c>
      <c r="G114" s="500">
        <v>8</v>
      </c>
    </row>
    <row r="115" ht="15.75" customHeight="1" spans="1:7" x14ac:dyDescent="0.25">
      <c r="A115" s="499" t="s">
        <v>470</v>
      </c>
      <c r="B115" s="500">
        <v>12.88271186440678</v>
      </c>
      <c r="C115" s="500">
        <v>12.88271186440678</v>
      </c>
      <c r="D115" s="500">
        <v>12.88271186440678</v>
      </c>
      <c r="E115" s="500">
        <v>12.88271186440678</v>
      </c>
      <c r="F115" s="500">
        <v>12.88271186440678</v>
      </c>
      <c r="G115" s="500">
        <v>12.88271186440678</v>
      </c>
    </row>
    <row r="116" ht="15.75" customHeight="1" spans="1:7" x14ac:dyDescent="0.25">
      <c r="A116" s="499" t="s">
        <v>508</v>
      </c>
      <c r="B116" s="500">
        <v>105.28571428571429</v>
      </c>
      <c r="C116" s="500">
        <v>105.28571428571429</v>
      </c>
      <c r="D116" s="500">
        <v>105.28571428571429</v>
      </c>
      <c r="E116" s="500">
        <v>105.28571428571429</v>
      </c>
      <c r="F116" s="500">
        <v>105.28571428571429</v>
      </c>
      <c r="G116" s="500">
        <v>105.28571428571429</v>
      </c>
    </row>
    <row r="117" ht="15.75" customHeight="1" spans="1:7" x14ac:dyDescent="0.25">
      <c r="A117" s="499" t="s">
        <v>510</v>
      </c>
      <c r="B117" s="500">
        <v>31.8</v>
      </c>
      <c r="C117" s="500">
        <v>31.8</v>
      </c>
      <c r="D117" s="500">
        <v>31.8</v>
      </c>
      <c r="E117" s="500">
        <v>31.8</v>
      </c>
      <c r="F117" s="500">
        <v>31.8</v>
      </c>
      <c r="G117" s="500">
        <v>63.6</v>
      </c>
    </row>
    <row r="118" ht="15.75" customHeight="1" spans="1:7" x14ac:dyDescent="0.25">
      <c r="A118" s="499" t="s">
        <v>513</v>
      </c>
      <c r="B118" s="500">
        <v>47.699999999999996</v>
      </c>
      <c r="C118" s="500">
        <v>47.699999999999996</v>
      </c>
      <c r="D118" s="500">
        <v>47.699999999999996</v>
      </c>
      <c r="E118" s="500">
        <v>47.699999999999996</v>
      </c>
      <c r="F118" s="500">
        <v>47.699999999999996</v>
      </c>
      <c r="G118" s="500">
        <v>95.39999999999999</v>
      </c>
    </row>
    <row r="119" ht="15.75" customHeight="1" spans="1:7" x14ac:dyDescent="0.25">
      <c r="A119" s="499" t="s">
        <v>760</v>
      </c>
      <c r="B119" s="501">
        <v>20656.25710147713</v>
      </c>
      <c r="C119" s="501">
        <v>20986.737758299052</v>
      </c>
      <c r="D119" s="501">
        <v>21537.52725435248</v>
      </c>
      <c r="E119" s="501">
        <v>91188.2739127539</v>
      </c>
      <c r="F119" s="501">
        <v>26783.27443038684</v>
      </c>
      <c r="G119" s="501">
        <v>61212.18818312295</v>
      </c>
    </row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sheetProtection sheet="1" algorithmName="SHA-512" hashValue="7+2ED7fbfBvMO5dqA71Wa92KMFkkjORO0q2mhkb5YIlskG++xZyztpwIiKFHQ1aoQnEEjDbBHsRfJCKRtIflQQ==" saltValue="v5VKSWPJnJf1+q/Ee2zBog==" spinCount="100000" objects="1" scenarios="1"/>
  <conditionalFormatting sqref="B3:G118">
    <cfRule type="cellIs" dxfId="18" priority="1" operator="lessThan">
      <formula>0</formula>
    </cfRule>
  </conditionalFormatting>
  <pageMargins left="0.7" right="0.7" top="0.75" bottom="0.75" header="0" footer="0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Informacion de Cotización</vt:lpstr>
      <vt:lpstr>Materiales</vt:lpstr>
      <vt:lpstr>M.O</vt:lpstr>
      <vt:lpstr>SERVICIOS</vt:lpstr>
      <vt:lpstr>Materiales Resumido</vt:lpstr>
      <vt:lpstr>Hoja1</vt:lpstr>
      <vt:lpstr>Base Material</vt:lpstr>
      <vt:lpstr>Base M.O</vt:lpstr>
      <vt:lpstr>Comparativa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Fontana</dc:creator>
  <dc:title/>
  <dc:subject/>
  <dc:description/>
  <cp:keywords/>
  <cp:category/>
  <cp:lastModifiedBy>Gino Pastrán</cp:lastModifiedBy>
  <cp:lastPrinted>2023-11-13T12:25:38Z</cp:lastPrinted>
  <cp:contentStatus/>
  <dcterms:created xsi:type="dcterms:W3CDTF">2017-06-11T15:10:51Z</dcterms:created>
  <dcterms:modified xsi:type="dcterms:W3CDTF">2024-01-31T17:56:22Z</dcterms:modified>
</cp:coreProperties>
</file>