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gmarrero/Desktop/"/>
    </mc:Choice>
  </mc:AlternateContent>
  <xr:revisionPtr revIDLastSave="0" documentId="8_{90D830B4-9E85-2D48-B957-33F78424F96D}" xr6:coauthVersionLast="47" xr6:coauthVersionMax="47" xr10:uidLastSave="{00000000-0000-0000-0000-000000000000}"/>
  <bookViews>
    <workbookView xWindow="240" yWindow="500" windowWidth="14800" windowHeight="8020" xr2:uid="{00000000-000D-0000-FFFF-FFFF00000000}"/>
  </bookViews>
  <sheets>
    <sheet name="Generic" sheetId="2" r:id="rId1"/>
    <sheet name="Sheet1" sheetId="4" r:id="rId2"/>
    <sheet name="Veteran" sheetId="1" r:id="rId3"/>
    <sheet name="Model_Assignments" sheetId="3" r:id="rId4"/>
  </sheets>
  <definedNames>
    <definedName name="_xlnm._FilterDatabase" localSheetId="1" hidden="1">Sheet1!$A$1:$D$1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O18" i="2"/>
  <c r="M43" i="1"/>
  <c r="N43" i="1"/>
  <c r="O43" i="1"/>
  <c r="P43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13" i="2"/>
  <c r="O14" i="2"/>
  <c r="O15" i="2"/>
  <c r="O16" i="2"/>
  <c r="O17" i="2"/>
  <c r="O19" i="2"/>
  <c r="O20" i="2"/>
  <c r="O21" i="2"/>
  <c r="O22" i="2"/>
  <c r="O23" i="2"/>
  <c r="O24" i="2"/>
  <c r="L6" i="1"/>
  <c r="K6" i="1"/>
  <c r="J6" i="1"/>
  <c r="I6" i="1"/>
  <c r="O6" i="1" s="1"/>
  <c r="H6" i="1"/>
  <c r="G6" i="1"/>
  <c r="G4" i="2"/>
  <c r="L4" i="2"/>
  <c r="K4" i="2"/>
  <c r="J4" i="2"/>
  <c r="I4" i="2"/>
  <c r="O4" i="2" s="1"/>
  <c r="H4" i="2"/>
  <c r="L4" i="1"/>
  <c r="K5" i="1"/>
  <c r="K4" i="1"/>
  <c r="J4" i="1"/>
  <c r="I4" i="1"/>
  <c r="H4" i="1"/>
  <c r="G4" i="1"/>
  <c r="N4" i="1"/>
  <c r="M4" i="1"/>
  <c r="G3" i="1"/>
  <c r="L3" i="1"/>
  <c r="K3" i="1"/>
  <c r="J3" i="1"/>
  <c r="I3" i="1"/>
  <c r="O3" i="1" s="1"/>
  <c r="H3" i="1"/>
  <c r="L29" i="1"/>
  <c r="K29" i="1"/>
  <c r="J29" i="1"/>
  <c r="I29" i="1"/>
  <c r="O29" i="1" s="1"/>
  <c r="L26" i="1"/>
  <c r="K26" i="1"/>
  <c r="J26" i="1"/>
  <c r="I26" i="1"/>
  <c r="O26" i="1" s="1"/>
  <c r="L28" i="1"/>
  <c r="K28" i="1"/>
  <c r="J28" i="1"/>
  <c r="I28" i="1"/>
  <c r="O28" i="1" s="1"/>
  <c r="L25" i="1"/>
  <c r="K25" i="1"/>
  <c r="J25" i="1"/>
  <c r="I25" i="1"/>
  <c r="O25" i="1" s="1"/>
  <c r="L27" i="1"/>
  <c r="K27" i="1"/>
  <c r="J27" i="1"/>
  <c r="I27" i="1"/>
  <c r="O27" i="1" s="1"/>
  <c r="L24" i="1"/>
  <c r="K24" i="1"/>
  <c r="J24" i="1"/>
  <c r="I24" i="1"/>
  <c r="O24" i="1" s="1"/>
  <c r="M37" i="1"/>
  <c r="N37" i="1"/>
  <c r="P37" i="1" s="1"/>
  <c r="M38" i="1"/>
  <c r="N38" i="1"/>
  <c r="P38" i="1" s="1"/>
  <c r="J19" i="1"/>
  <c r="H25" i="1"/>
  <c r="H26" i="1"/>
  <c r="H27" i="1"/>
  <c r="H28" i="1"/>
  <c r="H29" i="1"/>
  <c r="H24" i="1"/>
  <c r="L23" i="1"/>
  <c r="K23" i="1"/>
  <c r="J23" i="1"/>
  <c r="I23" i="1"/>
  <c r="L22" i="1"/>
  <c r="K22" i="1"/>
  <c r="J22" i="1"/>
  <c r="I22" i="1"/>
  <c r="L21" i="1"/>
  <c r="K21" i="1"/>
  <c r="J21" i="1"/>
  <c r="I21" i="1"/>
  <c r="H22" i="1"/>
  <c r="H23" i="1"/>
  <c r="H21" i="1"/>
  <c r="L20" i="1"/>
  <c r="K20" i="1"/>
  <c r="J20" i="1"/>
  <c r="I20" i="1"/>
  <c r="K19" i="1"/>
  <c r="I19" i="1"/>
  <c r="L18" i="1"/>
  <c r="K18" i="1"/>
  <c r="J18" i="1"/>
  <c r="I18" i="1"/>
  <c r="L19" i="1"/>
  <c r="H19" i="1"/>
  <c r="H20" i="1"/>
  <c r="H18" i="1"/>
  <c r="L15" i="1"/>
  <c r="K15" i="1"/>
  <c r="J15" i="1"/>
  <c r="I15" i="1"/>
  <c r="L16" i="1"/>
  <c r="K16" i="1"/>
  <c r="J16" i="1"/>
  <c r="I16" i="1"/>
  <c r="L13" i="1"/>
  <c r="K13" i="1"/>
  <c r="J13" i="1"/>
  <c r="I13" i="1"/>
  <c r="O13" i="1" s="1"/>
  <c r="L12" i="1"/>
  <c r="K12" i="1"/>
  <c r="J12" i="1"/>
  <c r="I12" i="1"/>
  <c r="O12" i="1" s="1"/>
  <c r="M12" i="1"/>
  <c r="N12" i="1"/>
  <c r="P12" i="1" s="1"/>
  <c r="M13" i="1"/>
  <c r="N13" i="1"/>
  <c r="P13" i="1" s="1"/>
  <c r="M15" i="1"/>
  <c r="N15" i="1"/>
  <c r="M16" i="1"/>
  <c r="N16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P24" i="1" s="1"/>
  <c r="M25" i="1"/>
  <c r="N25" i="1"/>
  <c r="P25" i="1" s="1"/>
  <c r="M26" i="1"/>
  <c r="N26" i="1"/>
  <c r="P26" i="1" s="1"/>
  <c r="M27" i="1"/>
  <c r="N27" i="1"/>
  <c r="P27" i="1" s="1"/>
  <c r="M28" i="1"/>
  <c r="N28" i="1"/>
  <c r="P28" i="1" s="1"/>
  <c r="L17" i="1"/>
  <c r="K17" i="1"/>
  <c r="J17" i="1"/>
  <c r="I17" i="1"/>
  <c r="L14" i="1"/>
  <c r="K14" i="1"/>
  <c r="J14" i="1"/>
  <c r="I14" i="1"/>
  <c r="O14" i="1" s="1"/>
  <c r="H13" i="1"/>
  <c r="H14" i="1"/>
  <c r="H15" i="1"/>
  <c r="H16" i="1"/>
  <c r="H17" i="1"/>
  <c r="H12" i="1"/>
  <c r="L11" i="1"/>
  <c r="K11" i="1"/>
  <c r="H11" i="1" s="1"/>
  <c r="J11" i="1"/>
  <c r="I11" i="1"/>
  <c r="O11" i="1" s="1"/>
  <c r="L10" i="1"/>
  <c r="K10" i="1"/>
  <c r="H10" i="1" s="1"/>
  <c r="J10" i="1"/>
  <c r="I10" i="1"/>
  <c r="O10" i="1" s="1"/>
  <c r="L9" i="1"/>
  <c r="K9" i="1"/>
  <c r="H9" i="1" s="1"/>
  <c r="J9" i="1"/>
  <c r="I9" i="1"/>
  <c r="O9" i="1" s="1"/>
  <c r="G5" i="1"/>
  <c r="H5" i="1"/>
  <c r="L8" i="1"/>
  <c r="I8" i="1"/>
  <c r="O8" i="1" s="1"/>
  <c r="K7" i="1"/>
  <c r="J7" i="1"/>
  <c r="M10" i="1"/>
  <c r="N10" i="1"/>
  <c r="P10" i="1" s="1"/>
  <c r="K8" i="1"/>
  <c r="H8" i="1" s="1"/>
  <c r="J8" i="1"/>
  <c r="L7" i="1"/>
  <c r="I7" i="1"/>
  <c r="L5" i="1"/>
  <c r="J5" i="1"/>
  <c r="I5" i="1"/>
  <c r="G3" i="2"/>
  <c r="G2" i="1"/>
  <c r="K6" i="2"/>
  <c r="L6" i="2"/>
  <c r="J6" i="2"/>
  <c r="I6" i="2"/>
  <c r="O6" i="2" s="1"/>
  <c r="H6" i="2"/>
  <c r="L2" i="1"/>
  <c r="K2" i="1"/>
  <c r="J2" i="1"/>
  <c r="I2" i="1"/>
  <c r="H2" i="1"/>
  <c r="L3" i="2"/>
  <c r="K3" i="2"/>
  <c r="J3" i="2"/>
  <c r="I3" i="2"/>
  <c r="H3" i="2"/>
  <c r="L2" i="2"/>
  <c r="K2" i="2"/>
  <c r="J2" i="2"/>
  <c r="I2" i="2"/>
  <c r="O2" i="2" s="1"/>
  <c r="H2" i="2"/>
  <c r="G2" i="2"/>
  <c r="G5" i="2"/>
  <c r="L5" i="2"/>
  <c r="I5" i="2"/>
  <c r="O5" i="2" s="1"/>
  <c r="J5" i="2"/>
  <c r="H5" i="2"/>
  <c r="I9" i="2"/>
  <c r="G8" i="2"/>
  <c r="L8" i="2"/>
  <c r="I11" i="2"/>
  <c r="K5" i="2"/>
  <c r="L7" i="2"/>
  <c r="K7" i="2"/>
  <c r="H7" i="2" s="1"/>
  <c r="I7" i="2"/>
  <c r="O7" i="2" s="1"/>
  <c r="N5" i="2"/>
  <c r="P5" i="2" s="1"/>
  <c r="L12" i="2"/>
  <c r="K12" i="2"/>
  <c r="J12" i="2"/>
  <c r="I12" i="2"/>
  <c r="O12" i="2" s="1"/>
  <c r="G11" i="2"/>
  <c r="L11" i="2"/>
  <c r="K11" i="2"/>
  <c r="J11" i="2"/>
  <c r="K9" i="2"/>
  <c r="L9" i="2"/>
  <c r="J9" i="2"/>
  <c r="G9" i="2"/>
  <c r="K8" i="2"/>
  <c r="I8" i="2"/>
  <c r="O8" i="2" s="1"/>
  <c r="J8" i="2"/>
  <c r="I10" i="2"/>
  <c r="K10" i="2"/>
  <c r="L10" i="2"/>
  <c r="J10" i="2"/>
  <c r="J7" i="2"/>
  <c r="G12" i="2"/>
  <c r="H11" i="2"/>
  <c r="H10" i="2"/>
  <c r="H9" i="2"/>
  <c r="H8" i="2"/>
  <c r="M7" i="2"/>
  <c r="N7" i="2"/>
  <c r="P7" i="2" s="1"/>
  <c r="M8" i="2"/>
  <c r="N8" i="2"/>
  <c r="P8" i="2" s="1"/>
  <c r="M9" i="2"/>
  <c r="N9" i="2"/>
  <c r="M10" i="2"/>
  <c r="N10" i="2"/>
  <c r="M11" i="2"/>
  <c r="N11" i="2"/>
  <c r="M12" i="2"/>
  <c r="N12" i="2"/>
  <c r="P12" i="2" s="1"/>
  <c r="M13" i="2"/>
  <c r="N13" i="2"/>
  <c r="P13" i="2" s="1"/>
  <c r="M14" i="2"/>
  <c r="N14" i="2"/>
  <c r="P14" i="2" s="1"/>
  <c r="M15" i="2"/>
  <c r="N15" i="2"/>
  <c r="P15" i="2" s="1"/>
  <c r="M16" i="2"/>
  <c r="N16" i="2"/>
  <c r="P16" i="2" s="1"/>
  <c r="M17" i="2"/>
  <c r="N17" i="2"/>
  <c r="P17" i="2" s="1"/>
  <c r="M18" i="2"/>
  <c r="N18" i="2"/>
  <c r="P18" i="2" s="1"/>
  <c r="M19" i="2"/>
  <c r="N19" i="2"/>
  <c r="P19" i="2" s="1"/>
  <c r="M20" i="2"/>
  <c r="N20" i="2"/>
  <c r="P20" i="2" s="1"/>
  <c r="M21" i="2"/>
  <c r="N21" i="2"/>
  <c r="P21" i="2" s="1"/>
  <c r="M22" i="2"/>
  <c r="N22" i="2"/>
  <c r="P22" i="2" s="1"/>
  <c r="M23" i="2"/>
  <c r="N23" i="2"/>
  <c r="P23" i="2" s="1"/>
  <c r="M24" i="2"/>
  <c r="N24" i="2"/>
  <c r="P24" i="2" s="1"/>
  <c r="N6" i="2"/>
  <c r="P6" i="2" s="1"/>
  <c r="M6" i="2"/>
  <c r="N2" i="2"/>
  <c r="P2" i="2" s="1"/>
  <c r="M2" i="2"/>
  <c r="M40" i="1"/>
  <c r="N40" i="1"/>
  <c r="P40" i="1" s="1"/>
  <c r="M41" i="1"/>
  <c r="N41" i="1"/>
  <c r="P41" i="1" s="1"/>
  <c r="M42" i="1"/>
  <c r="N42" i="1"/>
  <c r="P42" i="1" s="1"/>
  <c r="N5" i="1"/>
  <c r="N7" i="1"/>
  <c r="N8" i="1"/>
  <c r="P8" i="1" s="1"/>
  <c r="N9" i="1"/>
  <c r="P9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9" i="1"/>
  <c r="P39" i="1" s="1"/>
  <c r="N2" i="1"/>
  <c r="M5" i="1"/>
  <c r="M7" i="1"/>
  <c r="M8" i="1"/>
  <c r="M9" i="1"/>
  <c r="M29" i="1"/>
  <c r="M30" i="1"/>
  <c r="M31" i="1"/>
  <c r="M32" i="1"/>
  <c r="M33" i="1"/>
  <c r="M34" i="1"/>
  <c r="M35" i="1"/>
  <c r="M36" i="1"/>
  <c r="M39" i="1"/>
  <c r="M2" i="1"/>
  <c r="O19" i="1" l="1"/>
  <c r="O2" i="1"/>
  <c r="P2" i="1" s="1"/>
  <c r="O5" i="1"/>
  <c r="P5" i="1" s="1"/>
  <c r="O7" i="1"/>
  <c r="P7" i="1" s="1"/>
  <c r="O17" i="1"/>
  <c r="O16" i="1"/>
  <c r="P16" i="1" s="1"/>
  <c r="O15" i="1"/>
  <c r="P15" i="1" s="1"/>
  <c r="O18" i="1"/>
  <c r="P18" i="1" s="1"/>
  <c r="P19" i="1"/>
  <c r="O20" i="1"/>
  <c r="P20" i="1" s="1"/>
  <c r="O21" i="1"/>
  <c r="P21" i="1" s="1"/>
  <c r="O22" i="1"/>
  <c r="P22" i="1" s="1"/>
  <c r="O23" i="1"/>
  <c r="P23" i="1" s="1"/>
  <c r="O4" i="1"/>
  <c r="P4" i="1" s="1"/>
  <c r="N6" i="1"/>
  <c r="P6" i="1" s="1"/>
  <c r="M6" i="1"/>
  <c r="O10" i="2"/>
  <c r="P10" i="2" s="1"/>
  <c r="O11" i="2"/>
  <c r="P11" i="2" s="1"/>
  <c r="O9" i="2"/>
  <c r="P9" i="2" s="1"/>
  <c r="M5" i="2"/>
  <c r="N3" i="2"/>
  <c r="O3" i="2"/>
  <c r="M3" i="2"/>
  <c r="N4" i="2"/>
  <c r="P4" i="2" s="1"/>
  <c r="M4" i="2"/>
  <c r="N3" i="1"/>
  <c r="P3" i="1" s="1"/>
  <c r="M3" i="1"/>
  <c r="M11" i="1"/>
  <c r="N11" i="1"/>
  <c r="P11" i="1" s="1"/>
  <c r="M14" i="1"/>
  <c r="N14" i="1"/>
  <c r="P14" i="1" s="1"/>
  <c r="M17" i="1"/>
  <c r="N17" i="1"/>
  <c r="P17" i="1" s="1"/>
  <c r="H7" i="1"/>
  <c r="H12" i="2"/>
  <c r="P3" i="2" l="1"/>
</calcChain>
</file>

<file path=xl/sharedStrings.xml><?xml version="1.0" encoding="utf-8"?>
<sst xmlns="http://schemas.openxmlformats.org/spreadsheetml/2006/main" count="416" uniqueCount="68">
  <si>
    <t>Intials</t>
  </si>
  <si>
    <t>Model Type</t>
  </si>
  <si>
    <t>Train Dataset</t>
  </si>
  <si>
    <t>Test Dataset</t>
  </si>
  <si>
    <t>Variables</t>
  </si>
  <si>
    <t>Parameters</t>
  </si>
  <si>
    <t>Training Error</t>
  </si>
  <si>
    <t>Testing Error</t>
  </si>
  <si>
    <t>True Positive</t>
  </si>
  <si>
    <t>True Negative</t>
  </si>
  <si>
    <t>False Positive</t>
  </si>
  <si>
    <t>False Negative</t>
  </si>
  <si>
    <t>Accuracy</t>
  </si>
  <si>
    <t>Precision</t>
  </si>
  <si>
    <t>Recall</t>
  </si>
  <si>
    <t>F1-Score</t>
  </si>
  <si>
    <t>JY</t>
  </si>
  <si>
    <t>Logistic regression</t>
  </si>
  <si>
    <t>No Outliers</t>
  </si>
  <si>
    <t xml:space="preserve">All </t>
  </si>
  <si>
    <t>N/A</t>
  </si>
  <si>
    <t>Outliers</t>
  </si>
  <si>
    <t>13 vars, plus state and age indicator vars from Vet model 3</t>
  </si>
  <si>
    <t>SVM</t>
  </si>
  <si>
    <t>SVM-type=C-classification, SVM-kernel=radial</t>
  </si>
  <si>
    <t>All</t>
  </si>
  <si>
    <t>GM</t>
  </si>
  <si>
    <t>Random Forest</t>
  </si>
  <si>
    <t>Out</t>
  </si>
  <si>
    <t>NB</t>
  </si>
  <si>
    <t>Laplace = 1</t>
  </si>
  <si>
    <t>HM</t>
  </si>
  <si>
    <t>Boost (gbm)</t>
  </si>
  <si>
    <t>distribution = "bernoulli",  
  n.trees = 100,               # Number of boosting iterations
  interaction.depth = 3,       # Tree depth
  shrinkage = 0.01,             # Learning rate
  cv.folds = 5,                # Cross-validation</t>
  </si>
  <si>
    <t>distribution = "bernoulli",  
  n.trees = 500,               # Number of boosting iterations
  interaction.depth = 3,       # Tree depth
  shrinkage = 0.01,             # Learning rate
  cv.folds = 5,                # Cross-validation</t>
  </si>
  <si>
    <t>distribution = "bernoulli",  
  n.trees = 1000,             # Number of boosting iterations
  interaction.depth = 3,       # Tree depth
  shrinkage = 0.01,             # Learning rate
  cv.folds = 5,                # Cross-validation</t>
  </si>
  <si>
    <t>distribution = "bernoulli",  
  n.trees = 5000,             # Number of boosting iterations
  interaction.depth = 3,       # Tree depth
  shrinkage = 0.01,             # Learning rate
  cv.folds = 5,                # Cross-validation</t>
  </si>
  <si>
    <t>AVG_DAYS_ACROSS_APPEALCODES, AGE_NA,TOTAL_AMOUNT_GIFTED_PRO, MOST_COMMON_GIFT_CHANNEL_PRO,
#DONATION_COUNT, STATE, DISTINCT_APPEAL_COUNT, MEMBER, TOTAL_GIFT, AMOUNT_GIFTED_LAST_YEAR,  AVG_GIFT,RESPONSE_RATE, MAX_GIFT,
#AGE, COUPLE, AGE_70PLUS, ONE_TIME_FLAG, MALE, outlier_flag, AGE_60_69, FEMALE, AGE_UNDER50, AGE_50_59</t>
  </si>
  <si>
    <t>AVG_DAYS_ACROSS_APPEALCODES, AGE_NA,TOTAL_AMOUNT_GIFTED_PRO, MOST_COMMON_GIFT_CHANNEL_PRO,
#DONATION_COUNT, STATE, DISTINCT_APPEAL_COUNT, MEMBER, TOTAL_GIFT, AMOUNT_GIFTED_LAST_YEAR,  AVG_GIFT,RESPONSE_RATE, MAX_GIFT,
#AGE, COUPLE, AGE_70PLUS, ONE_TIME_FLAG, MALE, outlier_flag, AGE_60_69, FEMALE, AGE_UNDER50, AGE_50_60</t>
  </si>
  <si>
    <t>distribution = "bernoulli",  
  n.trees = 10,000,             # Number of boosting iterations
  interaction.depth = 3,       # Tree depth
  shrinkage = 0.01,             # Learning rate
  cv.folds = 5,                # Cross-validation</t>
  </si>
  <si>
    <t>Neural Network</t>
  </si>
  <si>
    <t>size=2</t>
  </si>
  <si>
    <t>size=5, decay= 0.1</t>
  </si>
  <si>
    <t>size=10, decay= 0.1, maxit = 200</t>
  </si>
  <si>
    <t>size=10, decay= 0.1, maxit = 500</t>
  </si>
  <si>
    <t>How often model is correct.</t>
  </si>
  <si>
    <t>How often a model is correct when predictiong the target class.</t>
  </si>
  <si>
    <t>Training Dataset</t>
  </si>
  <si>
    <t>Testing Dataset</t>
  </si>
  <si>
    <t>Dataset2_Vet</t>
  </si>
  <si>
    <t>All Variables</t>
  </si>
  <si>
    <t>Dataset1_Vet</t>
  </si>
  <si>
    <t>StepAIC (13 vars, plus state and age indicator vars)</t>
  </si>
  <si>
    <t>13 vars, plus state and age indicator vars from model 3</t>
  </si>
  <si>
    <t>Dataset3_Vet</t>
  </si>
  <si>
    <t>Dataset2_Vet_45</t>
  </si>
  <si>
    <t>Cumulative Importance 70%</t>
  </si>
  <si>
    <t>Cumulative Importance 80%</t>
  </si>
  <si>
    <t>Cumulative Importance 90%</t>
  </si>
  <si>
    <t>Dataset2_Vet_20</t>
  </si>
  <si>
    <t>Dataset3_Vet_90</t>
  </si>
  <si>
    <t>Naive Bayes</t>
  </si>
  <si>
    <t>distribution = "bernoulli",  
  n.trees = 1000,               # Number of boosting iterations
  interaction.depth = 3,       # Tree depth
  shrinkage = 0.01,             # Learning rate
  cv.folds = 5,                # Cross-validation</t>
  </si>
  <si>
    <t>distribution = "bernoulli",  
  n.trees = 5000,               # Number of boosting iterations
  interaction.depth = 3,       # Tree depth
  shrinkage = 0.01,             # Learning rate
  cv.folds = 5,                # Cross-validation</t>
  </si>
  <si>
    <t xml:space="preserve"> AVG_DAYS_ACROSS_APPEALCODES, AGE_NA,TOTAL_AMOUNT_GIFTED_PRO, RESPONSE_RATE, 
#STATE, AMOUNT_GIFTED_LAST_YEAR, DONATION_COUNT, DISTINCT_APPEAL_COUNT, MAX_GIFT, AGE, AVG_GIFT, TOTAL_GIFT, 
#MALE,COUPLE, outlier_flag,FEMALE, AGE_70PLUS, AGE_UNDER50,  AGE_50_59, AGE_60_69 </t>
  </si>
  <si>
    <t>Dataset1_Vet (No Out)</t>
  </si>
  <si>
    <t>RF</t>
  </si>
  <si>
    <t>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</si>
</sst>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5" borderId="7" xfId="0" applyFill="1" applyBorder="1"/>
    <xf numFmtId="0" fontId="0" fillId="5" borderId="3" xfId="0" applyFill="1" applyBorder="1"/>
    <xf numFmtId="0" fontId="0" fillId="4" borderId="3" xfId="0" applyFill="1" applyBorder="1"/>
    <xf numFmtId="0" fontId="0" fillId="3" borderId="3" xfId="0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3" xfId="0" applyBorder="1" applyAlignment="1">
      <alignment wrapText="1"/>
    </xf>
    <xf numFmtId="0" fontId="0" fillId="0" borderId="15" xfId="0" applyBorder="1"/>
    <xf numFmtId="0" fontId="0" fillId="0" borderId="14" xfId="0" applyBorder="1" applyAlignment="1">
      <alignment wrapText="1"/>
    </xf>
    <xf numFmtId="0" fontId="0" fillId="0" borderId="4" xfId="0" applyBorder="1"/>
    <xf numFmtId="0" fontId="0" fillId="6" borderId="0" xfId="0" applyFill="1"/>
    <xf numFmtId="0" fontId="0" fillId="6" borderId="7" xfId="0" applyFill="1" applyBorder="1"/>
    <xf numFmtId="0" fontId="0" fillId="0" borderId="7" xfId="0" applyBorder="1" applyAlignment="1">
      <alignment wrapText="1"/>
    </xf>
    <xf numFmtId="0" fontId="1" fillId="4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1" fontId="0" fillId="0" borderId="6" xfId="0" applyNumberFormat="1" applyBorder="1"/>
    <xf numFmtId="0" fontId="0" fillId="6" borderId="3" xfId="0" applyFill="1" applyBorder="1"/>
    <xf numFmtId="0" fontId="0" fillId="6" borderId="1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1960-F0EB-4755-967B-9FCDBDCB609A}">
  <dimension ref="A1:Q28"/>
  <sheetViews>
    <sheetView tabSelected="1" workbookViewId="0">
      <pane ySplit="1" topLeftCell="A2" activePane="bottomLeft" state="frozen"/>
      <selection pane="bottomLeft" activeCell="J1" sqref="J1:J1048576"/>
    </sheetView>
  </sheetViews>
  <sheetFormatPr baseColWidth="10" defaultColWidth="8.83203125" defaultRowHeight="15" x14ac:dyDescent="0.2"/>
  <cols>
    <col min="2" max="2" width="18.5" customWidth="1"/>
    <col min="3" max="3" width="14.1640625" customWidth="1"/>
    <col min="4" max="4" width="17.33203125" customWidth="1"/>
    <col min="5" max="5" width="24.5" customWidth="1"/>
    <col min="6" max="6" width="44.83203125" customWidth="1"/>
    <col min="7" max="7" width="14.1640625" customWidth="1"/>
    <col min="8" max="8" width="11.83203125" customWidth="1"/>
    <col min="9" max="9" width="12.1640625" customWidth="1"/>
    <col min="10" max="10" width="13.33203125" bestFit="1" customWidth="1"/>
    <col min="11" max="11" width="12.5" customWidth="1"/>
    <col min="12" max="12" width="12.6640625" customWidth="1"/>
    <col min="13" max="13" width="13" customWidth="1"/>
    <col min="14" max="14" width="12.1640625" customWidth="1"/>
    <col min="15" max="15" width="12.5" bestFit="1" customWidth="1"/>
    <col min="16" max="16" width="12.5" customWidth="1"/>
    <col min="17" max="17" width="13" style="31" customWidth="1"/>
  </cols>
  <sheetData>
    <row r="1" spans="1:16" x14ac:dyDescent="0.2">
      <c r="A1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34" t="s">
        <v>6</v>
      </c>
      <c r="H1" s="34" t="s">
        <v>7</v>
      </c>
      <c r="I1" s="35" t="s">
        <v>8</v>
      </c>
      <c r="J1" s="35" t="s">
        <v>9</v>
      </c>
      <c r="K1" s="34" t="s">
        <v>10</v>
      </c>
      <c r="L1" s="34" t="s">
        <v>11</v>
      </c>
      <c r="M1" s="16" t="s">
        <v>12</v>
      </c>
      <c r="N1" s="20" t="s">
        <v>13</v>
      </c>
      <c r="O1" s="20" t="s">
        <v>14</v>
      </c>
      <c r="P1" s="26" t="s">
        <v>15</v>
      </c>
    </row>
    <row r="2" spans="1:16" x14ac:dyDescent="0.2">
      <c r="A2" t="s">
        <v>16</v>
      </c>
      <c r="B2" s="9" t="s">
        <v>17</v>
      </c>
      <c r="C2" t="s">
        <v>18</v>
      </c>
      <c r="D2" t="s">
        <v>18</v>
      </c>
      <c r="E2" t="s">
        <v>19</v>
      </c>
      <c r="F2" t="s">
        <v>20</v>
      </c>
      <c r="G2" s="3">
        <f>(265+2839)/(76728+265+2839+30250)</f>
        <v>2.8197162115513888E-2</v>
      </c>
      <c r="H2" s="4">
        <f>(125+1203)/(32922+125+1203+12886)</f>
        <v>2.8173794976238967E-2</v>
      </c>
      <c r="I2" s="4">
        <f>(12886/(12886+1203+125+32922))</f>
        <v>0.27337915818058384</v>
      </c>
      <c r="J2" s="4">
        <f>32922/(32922+125+1203+12886)</f>
        <v>0.69844704684317716</v>
      </c>
      <c r="K2" s="32">
        <f>125/(32922+125+1203+12886)</f>
        <v>2.6519008825526139E-3</v>
      </c>
      <c r="L2" s="4">
        <f>1203/(1203+12886+32922+125)</f>
        <v>2.5521894093686354E-2</v>
      </c>
      <c r="M2" s="9">
        <f>(I2+J2) / (I2+J2+K2+L2)</f>
        <v>0.97182620502376105</v>
      </c>
      <c r="N2" s="6">
        <f>I2 / (I2+K2)</f>
        <v>0.99039274460072246</v>
      </c>
      <c r="O2" s="6">
        <f>I2/(I2+L2)</f>
        <v>0.91461423805805941</v>
      </c>
      <c r="P2" s="30">
        <f>(2*N2*O2)/(N2+O2)</f>
        <v>0.95099630996309958</v>
      </c>
    </row>
    <row r="3" spans="1:16" x14ac:dyDescent="0.2">
      <c r="A3" t="s">
        <v>16</v>
      </c>
      <c r="B3" s="1" t="s">
        <v>17</v>
      </c>
      <c r="C3" s="2" t="s">
        <v>21</v>
      </c>
      <c r="D3" s="2" t="s">
        <v>21</v>
      </c>
      <c r="E3" s="2" t="s">
        <v>19</v>
      </c>
      <c r="F3" s="2" t="s">
        <v>20</v>
      </c>
      <c r="G3" s="3">
        <f>(207+3192)/(78606+207+3192+31578)</f>
        <v>2.9925252898761259E-2</v>
      </c>
      <c r="H3" s="4">
        <f>(78+1355)/(33671+78+1355+13443)</f>
        <v>2.9517786886934311E-2</v>
      </c>
      <c r="I3" s="4">
        <f>13443/(1355+13443+33671+78)</f>
        <v>0.27690691494840053</v>
      </c>
      <c r="J3" s="4">
        <f>33671/(33671+78+1355+13443)</f>
        <v>0.69357529816466512</v>
      </c>
      <c r="K3" s="32">
        <f>78/(33671+78+1355+13443)</f>
        <v>1.6066904237131028E-3</v>
      </c>
      <c r="L3" s="4">
        <f>1355/(33671+78+1355+13443)</f>
        <v>2.7911096463221208E-2</v>
      </c>
      <c r="M3" s="3">
        <f>(I3+J3) / (I3+J3+K3+L3)</f>
        <v>0.97048221311306571</v>
      </c>
      <c r="N3" s="6">
        <f t="shared" ref="N3:N4" si="0">I3 / (I3+K3)</f>
        <v>0.99423119591746179</v>
      </c>
      <c r="O3" s="6">
        <f t="shared" ref="O3:O24" si="1">I3/(I3+L3)</f>
        <v>0.90843357210433839</v>
      </c>
      <c r="P3" s="8">
        <f t="shared" ref="P3:P24" si="2">(2*N3*O3)/(N3+O3)</f>
        <v>0.94939793071789258</v>
      </c>
    </row>
    <row r="4" spans="1:16" x14ac:dyDescent="0.2">
      <c r="A4" t="s">
        <v>16</v>
      </c>
      <c r="B4" s="9" t="s">
        <v>17</v>
      </c>
      <c r="C4" t="s">
        <v>18</v>
      </c>
      <c r="D4" t="s">
        <v>18</v>
      </c>
      <c r="E4" t="s">
        <v>22</v>
      </c>
      <c r="G4" s="3">
        <f>(232+2396)/(76761+232+2936+30153)</f>
        <v>2.3873112770480188E-2</v>
      </c>
      <c r="H4" s="4">
        <f>(108+1230)/(32939+108+1230+12859)</f>
        <v>2.8385947046843177E-2</v>
      </c>
      <c r="I4" s="4">
        <f>12859/(32939+108+1230+12859)</f>
        <v>0.27280634758995248</v>
      </c>
      <c r="J4" s="4">
        <f>32939/(32939+108+1230+12859)</f>
        <v>0.69880770536320436</v>
      </c>
      <c r="K4" s="32">
        <f>108/(32939+108+1230+12859)</f>
        <v>2.2912423625254582E-3</v>
      </c>
      <c r="L4" s="4">
        <f>1230/(32939+108+1230+12859)</f>
        <v>2.609470468431772E-2</v>
      </c>
      <c r="M4" s="1">
        <f>(I4+J4) / (I4+J4+K4+L4)</f>
        <v>0.97161405295315684</v>
      </c>
      <c r="N4" s="6">
        <f t="shared" si="0"/>
        <v>0.99167116526567434</v>
      </c>
      <c r="O4" s="6">
        <f t="shared" si="1"/>
        <v>0.91269784938604581</v>
      </c>
      <c r="P4" s="30">
        <f t="shared" si="2"/>
        <v>0.95054701360141924</v>
      </c>
    </row>
    <row r="5" spans="1:16" x14ac:dyDescent="0.2">
      <c r="A5" t="s">
        <v>16</v>
      </c>
      <c r="B5" s="1" t="s">
        <v>23</v>
      </c>
      <c r="C5" s="2" t="s">
        <v>18</v>
      </c>
      <c r="D5" s="2" t="s">
        <v>18</v>
      </c>
      <c r="E5" s="2" t="s">
        <v>19</v>
      </c>
      <c r="F5" s="2" t="s">
        <v>24</v>
      </c>
      <c r="G5" s="1">
        <f>10/(25019+10+10693)</f>
        <v>2.7993953306085885E-4</v>
      </c>
      <c r="H5" s="2">
        <f>5/(10627+5+4569)</f>
        <v>3.2892572857048881E-4</v>
      </c>
      <c r="I5" s="2">
        <f>4569/(10627+5+4569)</f>
        <v>0.30057233076771267</v>
      </c>
      <c r="J5" s="2">
        <f>10627/(10627+5+4569)</f>
        <v>0.69909874350371681</v>
      </c>
      <c r="K5" s="37">
        <f>0</f>
        <v>0</v>
      </c>
      <c r="L5" s="2">
        <f>5/(10627+5+4569)</f>
        <v>3.2892572857048881E-4</v>
      </c>
      <c r="M5" s="28">
        <f>(I5+J5) / (I5+J5+K5+L5)</f>
        <v>0.99967107427142954</v>
      </c>
      <c r="N5" s="6">
        <f t="shared" ref="N5" si="3">I5 / (I5+K5)</f>
        <v>1</v>
      </c>
      <c r="O5" s="6">
        <f>I5/(I5+L5)</f>
        <v>0.99890686488850033</v>
      </c>
      <c r="P5" s="8">
        <f>(2*N5*O5)/(N5+O5)</f>
        <v>0.99945313354478849</v>
      </c>
    </row>
    <row r="6" spans="1:16" x14ac:dyDescent="0.2">
      <c r="A6" t="s">
        <v>16</v>
      </c>
      <c r="B6" s="1" t="s">
        <v>23</v>
      </c>
      <c r="C6" s="2" t="s">
        <v>21</v>
      </c>
      <c r="D6" s="2" t="s">
        <v>21</v>
      </c>
      <c r="E6" s="2" t="s">
        <v>25</v>
      </c>
      <c r="F6" s="2" t="s">
        <v>24</v>
      </c>
      <c r="G6" s="1">
        <f>3270/(3270+78813+31500+0)</f>
        <v>2.8789519558384616E-2</v>
      </c>
      <c r="H6" s="2">
        <f>1396/(33749+0+1396+13402)</f>
        <v>2.8755638865429377E-2</v>
      </c>
      <c r="I6" s="2">
        <f>13402/(33749+0+1396+13402)</f>
        <v>0.27606237254619237</v>
      </c>
      <c r="J6" s="2">
        <f>33749/(33749+0+1396+13402)</f>
        <v>0.69518198858837832</v>
      </c>
      <c r="K6" s="37">
        <f>0</f>
        <v>0</v>
      </c>
      <c r="L6" s="2">
        <f>1396/(33749+0+1396+13402)</f>
        <v>2.8755638865429377E-2</v>
      </c>
      <c r="M6" s="1">
        <f t="shared" ref="M6" si="4">(I6+J6) / (I6+J6+K6+L6)</f>
        <v>0.97124436113457069</v>
      </c>
      <c r="N6" s="6">
        <f t="shared" ref="N6" si="5">I6 / (I6+K6)</f>
        <v>1</v>
      </c>
      <c r="O6" s="6">
        <f t="shared" si="1"/>
        <v>0.90566292742262466</v>
      </c>
      <c r="P6" s="30">
        <f t="shared" si="2"/>
        <v>0.95049645390070925</v>
      </c>
    </row>
    <row r="7" spans="1:16" x14ac:dyDescent="0.2">
      <c r="A7" s="31" t="s">
        <v>26</v>
      </c>
      <c r="B7" s="1" t="s">
        <v>27</v>
      </c>
      <c r="C7" t="s">
        <v>18</v>
      </c>
      <c r="D7" t="s">
        <v>18</v>
      </c>
      <c r="E7" s="2" t="s">
        <v>25</v>
      </c>
      <c r="F7" s="2" t="s">
        <v>20</v>
      </c>
      <c r="G7" s="28">
        <v>0</v>
      </c>
      <c r="H7" s="13">
        <f t="shared" ref="H7:H12" si="6">K7+L7</f>
        <v>4.9689267118302446E-2</v>
      </c>
      <c r="I7" s="13">
        <f>9043/35722</f>
        <v>0.25314931974693466</v>
      </c>
      <c r="J7" s="13">
        <f>24904/35722</f>
        <v>0.69716141313476288</v>
      </c>
      <c r="K7" s="38">
        <f>115/35722</f>
        <v>3.2193046301998767E-3</v>
      </c>
      <c r="L7" s="13">
        <f>1660/35722</f>
        <v>4.6469962488102569E-2</v>
      </c>
      <c r="M7" s="1">
        <f t="shared" ref="M7:M24" si="7">(I7+J7) / (I7+J7+K7+L7)</f>
        <v>0.95031073288169754</v>
      </c>
      <c r="N7" s="6">
        <f t="shared" ref="N7:N24" si="8">I7 / (I7+K7)</f>
        <v>0.98744267307272338</v>
      </c>
      <c r="O7" s="6">
        <f t="shared" si="1"/>
        <v>0.84490329814070819</v>
      </c>
      <c r="P7" s="8">
        <f t="shared" si="2"/>
        <v>0.9106288706510246</v>
      </c>
    </row>
    <row r="8" spans="1:16" x14ac:dyDescent="0.2">
      <c r="A8" s="31" t="s">
        <v>26</v>
      </c>
      <c r="B8" s="1" t="s">
        <v>27</v>
      </c>
      <c r="C8" s="2" t="s">
        <v>18</v>
      </c>
      <c r="D8" s="2" t="s">
        <v>28</v>
      </c>
      <c r="E8" s="2" t="s">
        <v>25</v>
      </c>
      <c r="F8" s="2" t="s">
        <v>20</v>
      </c>
      <c r="G8" s="9">
        <f>G7</f>
        <v>0</v>
      </c>
      <c r="H8">
        <f t="shared" si="6"/>
        <v>2.7563136994072656E-2</v>
      </c>
      <c r="I8">
        <f>14192/51119</f>
        <v>0.27762671413760048</v>
      </c>
      <c r="J8">
        <f>35518/51119</f>
        <v>0.69481014886832682</v>
      </c>
      <c r="K8" s="31">
        <f>194/51119</f>
        <v>3.7950664136622392E-3</v>
      </c>
      <c r="L8">
        <f>1215/51119</f>
        <v>2.3768070580410416E-2</v>
      </c>
      <c r="M8" s="9">
        <f t="shared" si="7"/>
        <v>0.97243686300592735</v>
      </c>
      <c r="N8" s="6">
        <f t="shared" si="8"/>
        <v>0.98651466703739754</v>
      </c>
      <c r="O8" s="6">
        <f t="shared" si="1"/>
        <v>0.92113974167586166</v>
      </c>
      <c r="P8" s="5">
        <f t="shared" si="2"/>
        <v>0.95270701171416106</v>
      </c>
    </row>
    <row r="9" spans="1:16" x14ac:dyDescent="0.2">
      <c r="A9" s="31" t="s">
        <v>26</v>
      </c>
      <c r="B9" s="1" t="s">
        <v>27</v>
      </c>
      <c r="C9" s="2" t="s">
        <v>21</v>
      </c>
      <c r="D9" t="s">
        <v>18</v>
      </c>
      <c r="E9" s="2" t="s">
        <v>25</v>
      </c>
      <c r="F9" s="2" t="s">
        <v>20</v>
      </c>
      <c r="G9" s="1">
        <f>G10</f>
        <v>0</v>
      </c>
      <c r="H9" s="2">
        <f t="shared" si="6"/>
        <v>1.7720172442752365E-2</v>
      </c>
      <c r="I9" s="2">
        <f>10079/35722</f>
        <v>0.28215105537203966</v>
      </c>
      <c r="J9" s="2">
        <f>25010/35722</f>
        <v>0.70012877218520797</v>
      </c>
      <c r="K9" s="37">
        <f>9/35722</f>
        <v>2.5194557975477294E-4</v>
      </c>
      <c r="L9" s="2">
        <f>624/35722</f>
        <v>1.7468226862997593E-2</v>
      </c>
      <c r="M9" s="1">
        <f t="shared" si="7"/>
        <v>0.98227982755724763</v>
      </c>
      <c r="N9" s="6">
        <f t="shared" si="8"/>
        <v>0.99910785091197463</v>
      </c>
      <c r="O9" s="6">
        <f t="shared" si="1"/>
        <v>0.94169858918060356</v>
      </c>
      <c r="P9" s="5">
        <f t="shared" si="2"/>
        <v>0.96955413400028856</v>
      </c>
    </row>
    <row r="10" spans="1:16" x14ac:dyDescent="0.2">
      <c r="A10" s="31" t="s">
        <v>26</v>
      </c>
      <c r="B10" s="1" t="s">
        <v>27</v>
      </c>
      <c r="C10" s="4" t="s">
        <v>21</v>
      </c>
      <c r="D10" s="4" t="s">
        <v>21</v>
      </c>
      <c r="E10" s="2" t="s">
        <v>25</v>
      </c>
      <c r="F10" s="2" t="s">
        <v>20</v>
      </c>
      <c r="G10" s="9">
        <v>0</v>
      </c>
      <c r="H10">
        <f t="shared" si="6"/>
        <v>1.7703789197754258E-2</v>
      </c>
      <c r="I10">
        <f>14520/51119</f>
        <v>0.28404311508441088</v>
      </c>
      <c r="J10">
        <f>35694/51119</f>
        <v>0.69825309571783489</v>
      </c>
      <c r="K10" s="31">
        <f>18/51119</f>
        <v>3.5211956415422835E-4</v>
      </c>
      <c r="L10">
        <f>887/51119</f>
        <v>1.735166963360003E-2</v>
      </c>
      <c r="M10" s="9">
        <f t="shared" si="7"/>
        <v>0.98229621080224572</v>
      </c>
      <c r="N10" s="6">
        <f t="shared" si="8"/>
        <v>0.99876186545604628</v>
      </c>
      <c r="O10" s="6">
        <f t="shared" si="1"/>
        <v>0.94242876614525872</v>
      </c>
      <c r="P10" s="5">
        <f t="shared" si="2"/>
        <v>0.96977792619802983</v>
      </c>
    </row>
    <row r="11" spans="1:16" x14ac:dyDescent="0.2">
      <c r="A11" s="31" t="s">
        <v>26</v>
      </c>
      <c r="B11" s="1" t="s">
        <v>29</v>
      </c>
      <c r="C11" s="2" t="s">
        <v>18</v>
      </c>
      <c r="D11" s="2" t="s">
        <v>18</v>
      </c>
      <c r="E11" s="2" t="s">
        <v>25</v>
      </c>
      <c r="F11" s="2" t="s">
        <v>20</v>
      </c>
      <c r="G11" s="3">
        <f>(238+1689)/15201</f>
        <v>0.12676797579106638</v>
      </c>
      <c r="H11" s="4">
        <f t="shared" si="6"/>
        <v>7.286826045574156E-2</v>
      </c>
      <c r="I11" s="4">
        <f>10327/35722</f>
        <v>0.28909355579194895</v>
      </c>
      <c r="J11" s="4">
        <f>22792/35722</f>
        <v>0.63803818375230947</v>
      </c>
      <c r="K11" s="32">
        <f>2227/35722</f>
        <v>6.2342534012653265E-2</v>
      </c>
      <c r="L11" s="4">
        <f>376/35722</f>
        <v>1.0525726443088293E-2</v>
      </c>
      <c r="M11" s="3">
        <f t="shared" si="7"/>
        <v>0.92713173954425854</v>
      </c>
      <c r="N11" s="6">
        <f t="shared" si="8"/>
        <v>0.82260634060857096</v>
      </c>
      <c r="O11" s="6">
        <f t="shared" si="1"/>
        <v>0.9648696627113893</v>
      </c>
      <c r="P11" s="5">
        <f t="shared" si="2"/>
        <v>0.88807670808788752</v>
      </c>
    </row>
    <row r="12" spans="1:16" x14ac:dyDescent="0.2">
      <c r="A12" s="31" t="s">
        <v>26</v>
      </c>
      <c r="B12" s="9" t="s">
        <v>29</v>
      </c>
      <c r="C12" t="s">
        <v>18</v>
      </c>
      <c r="D12" t="s">
        <v>18</v>
      </c>
      <c r="E12" t="s">
        <v>25</v>
      </c>
      <c r="F12" t="s">
        <v>30</v>
      </c>
      <c r="G12" s="1">
        <f>(121+545)/15201</f>
        <v>4.3812907045589107E-2</v>
      </c>
      <c r="H12" s="2">
        <f t="shared" si="6"/>
        <v>7.2000447903252898E-2</v>
      </c>
      <c r="I12" s="2">
        <f>10343/35722</f>
        <v>0.28954145904484629</v>
      </c>
      <c r="J12" s="2">
        <f>22807/35722</f>
        <v>0.63845809305190082</v>
      </c>
      <c r="K12" s="37">
        <f>2212/35722</f>
        <v>6.192262471306198E-2</v>
      </c>
      <c r="L12" s="2">
        <f>360/35722</f>
        <v>1.0077823190190918E-2</v>
      </c>
      <c r="M12" s="1">
        <f t="shared" si="7"/>
        <v>0.92799955209674712</v>
      </c>
      <c r="N12" s="6">
        <f t="shared" si="8"/>
        <v>0.82381521306252492</v>
      </c>
      <c r="O12" s="6">
        <f t="shared" si="1"/>
        <v>0.96636457068111747</v>
      </c>
      <c r="P12" s="5">
        <f t="shared" si="2"/>
        <v>0.88941439504686559</v>
      </c>
    </row>
    <row r="13" spans="1:16" ht="80" x14ac:dyDescent="0.2">
      <c r="A13" t="s">
        <v>31</v>
      </c>
      <c r="B13" s="3" t="s">
        <v>32</v>
      </c>
      <c r="C13" s="2" t="s">
        <v>21</v>
      </c>
      <c r="D13" s="2" t="s">
        <v>21</v>
      </c>
      <c r="E13" s="4" t="s">
        <v>19</v>
      </c>
      <c r="F13" s="33" t="s">
        <v>33</v>
      </c>
      <c r="G13" s="9">
        <v>1.8981709999999999E-2</v>
      </c>
      <c r="H13">
        <v>1.8971310000000002E-2</v>
      </c>
      <c r="I13">
        <v>0.2869796</v>
      </c>
      <c r="J13">
        <v>0.69404909999999997</v>
      </c>
      <c r="K13" s="31">
        <v>1.7838380000000001E-2</v>
      </c>
      <c r="L13">
        <v>1.1329230000000001E-3</v>
      </c>
      <c r="M13" s="9">
        <f t="shared" si="7"/>
        <v>0.98102869705691387</v>
      </c>
      <c r="N13" s="6">
        <f t="shared" si="8"/>
        <v>0.94147858338277823</v>
      </c>
      <c r="O13" s="6">
        <f t="shared" si="1"/>
        <v>0.99606777592239537</v>
      </c>
      <c r="P13" s="5">
        <f t="shared" si="2"/>
        <v>0.96800417097111291</v>
      </c>
    </row>
    <row r="14" spans="1:16" ht="80" x14ac:dyDescent="0.2">
      <c r="A14" t="s">
        <v>31</v>
      </c>
      <c r="B14" s="3" t="s">
        <v>32</v>
      </c>
      <c r="C14" s="2" t="s">
        <v>21</v>
      </c>
      <c r="D14" s="2" t="s">
        <v>21</v>
      </c>
      <c r="E14" s="4" t="s">
        <v>19</v>
      </c>
      <c r="F14" s="33" t="s">
        <v>34</v>
      </c>
      <c r="G14" s="3">
        <v>1.8567920000000002E-2</v>
      </c>
      <c r="H14" s="4">
        <v>1.8270950000000001E-2</v>
      </c>
      <c r="I14" s="4">
        <v>0.28745340000000003</v>
      </c>
      <c r="J14" s="4">
        <v>0.69427570000000005</v>
      </c>
      <c r="K14" s="32">
        <v>1.7364620000000001E-2</v>
      </c>
      <c r="L14" s="4">
        <v>9.0633819999999998E-4</v>
      </c>
      <c r="M14" s="1">
        <f t="shared" si="7"/>
        <v>0.98172904286336971</v>
      </c>
      <c r="N14" s="6">
        <f t="shared" si="8"/>
        <v>0.94303282988322013</v>
      </c>
      <c r="O14" s="6">
        <f t="shared" si="1"/>
        <v>0.99685691835601753</v>
      </c>
      <c r="P14" s="30">
        <f t="shared" si="2"/>
        <v>0.96919817382323425</v>
      </c>
    </row>
    <row r="15" spans="1:16" ht="80" x14ac:dyDescent="0.2">
      <c r="B15" s="1" t="s">
        <v>32</v>
      </c>
      <c r="C15" s="2" t="s">
        <v>21</v>
      </c>
      <c r="D15" s="2" t="s">
        <v>21</v>
      </c>
      <c r="E15" s="2" t="s">
        <v>19</v>
      </c>
      <c r="F15" s="27" t="s">
        <v>35</v>
      </c>
      <c r="G15" s="3">
        <v>1.7854780000000001E-2</v>
      </c>
      <c r="H15" s="4">
        <v>1.7838380000000001E-2</v>
      </c>
      <c r="I15" s="4">
        <v>0.28819489999999998</v>
      </c>
      <c r="J15" s="4">
        <v>0.69396670000000005</v>
      </c>
      <c r="K15" s="32">
        <v>1.662307E-2</v>
      </c>
      <c r="L15" s="5">
        <v>1.215317E-3</v>
      </c>
      <c r="M15" s="9">
        <f t="shared" si="7"/>
        <v>0.98216161276810099</v>
      </c>
      <c r="N15" s="6">
        <f t="shared" si="8"/>
        <v>0.94546558393522528</v>
      </c>
      <c r="O15" s="6">
        <f t="shared" si="1"/>
        <v>0.99580071148628457</v>
      </c>
      <c r="P15" s="8">
        <f t="shared" si="2"/>
        <v>0.96998057751171607</v>
      </c>
    </row>
    <row r="16" spans="1:16" ht="80" x14ac:dyDescent="0.2">
      <c r="B16" s="9" t="s">
        <v>32</v>
      </c>
      <c r="C16" s="2" t="s">
        <v>21</v>
      </c>
      <c r="D16" s="2" t="s">
        <v>21</v>
      </c>
      <c r="E16" t="s">
        <v>19</v>
      </c>
      <c r="F16" s="25" t="s">
        <v>36</v>
      </c>
      <c r="G16" s="1">
        <v>1.499344E-2</v>
      </c>
      <c r="H16" s="2">
        <v>1.6911450000000001E-2</v>
      </c>
      <c r="I16" s="2">
        <v>0.28976039999999997</v>
      </c>
      <c r="J16" s="2">
        <v>0.6933281</v>
      </c>
      <c r="K16" s="37">
        <v>1.5057569999999999E-2</v>
      </c>
      <c r="L16" s="2">
        <v>1.8538739999999999E-3</v>
      </c>
      <c r="M16" s="1">
        <f t="shared" si="7"/>
        <v>0.98308855505295911</v>
      </c>
      <c r="N16" s="6">
        <f t="shared" si="8"/>
        <v>0.95060143599801539</v>
      </c>
      <c r="O16" s="6">
        <f t="shared" si="1"/>
        <v>0.99364271860025621</v>
      </c>
      <c r="P16" s="30">
        <f t="shared" si="2"/>
        <v>0.97164565770860634</v>
      </c>
    </row>
    <row r="17" spans="1:17" ht="272" x14ac:dyDescent="0.2">
      <c r="B17" s="1" t="s">
        <v>32</v>
      </c>
      <c r="C17" s="2" t="s">
        <v>21</v>
      </c>
      <c r="D17" s="2" t="s">
        <v>21</v>
      </c>
      <c r="E17" s="27" t="s">
        <v>37</v>
      </c>
      <c r="F17" s="27" t="s">
        <v>36</v>
      </c>
      <c r="G17" s="9">
        <v>1.488779E-2</v>
      </c>
      <c r="H17">
        <v>1.699384E-2</v>
      </c>
      <c r="I17">
        <v>0.28973979999999999</v>
      </c>
      <c r="J17">
        <v>0.6932663</v>
      </c>
      <c r="K17" s="31">
        <v>1.507817E-2</v>
      </c>
      <c r="L17" s="8">
        <v>1.9156690000000001E-3</v>
      </c>
      <c r="M17" s="9">
        <f t="shared" si="7"/>
        <v>0.98300615996337581</v>
      </c>
      <c r="N17" s="6">
        <f t="shared" si="8"/>
        <v>0.95053385468054918</v>
      </c>
      <c r="O17" s="6">
        <f t="shared" si="1"/>
        <v>0.99343173983135558</v>
      </c>
      <c r="P17" s="8">
        <f t="shared" si="2"/>
        <v>0.97150947906667806</v>
      </c>
    </row>
    <row r="18" spans="1:17" ht="272" x14ac:dyDescent="0.2">
      <c r="B18" s="9" t="s">
        <v>32</v>
      </c>
      <c r="C18" s="2" t="s">
        <v>21</v>
      </c>
      <c r="D18" s="2" t="s">
        <v>21</v>
      </c>
      <c r="E18" s="25" t="s">
        <v>38</v>
      </c>
      <c r="F18" s="25" t="s">
        <v>39</v>
      </c>
      <c r="G18" s="3">
        <v>1.3655209999999999E-2</v>
      </c>
      <c r="H18" s="4">
        <v>1.6705459999999998E-2</v>
      </c>
      <c r="I18" s="4">
        <v>0.29019299999999998</v>
      </c>
      <c r="J18" s="4">
        <v>0.69310150000000004</v>
      </c>
      <c r="K18" s="32">
        <v>1.4625000000000001E-2</v>
      </c>
      <c r="L18" s="4">
        <v>2.0804579999999999E-3</v>
      </c>
      <c r="M18" s="1">
        <f t="shared" si="7"/>
        <v>0.98329454129837068</v>
      </c>
      <c r="N18" s="6">
        <f t="shared" si="8"/>
        <v>0.95202054996752161</v>
      </c>
      <c r="O18" s="6">
        <f>I18/(I18+L18)</f>
        <v>0.99288181002053222</v>
      </c>
      <c r="P18" s="30">
        <f t="shared" si="2"/>
        <v>0.97202194441709788</v>
      </c>
      <c r="Q18" s="32"/>
    </row>
    <row r="19" spans="1:17" ht="80" x14ac:dyDescent="0.2">
      <c r="B19" s="1" t="s">
        <v>32</v>
      </c>
      <c r="C19" s="2" t="s">
        <v>18</v>
      </c>
      <c r="D19" s="2" t="s">
        <v>18</v>
      </c>
      <c r="E19" s="27" t="s">
        <v>19</v>
      </c>
      <c r="F19" s="27" t="s">
        <v>39</v>
      </c>
      <c r="G19" s="3">
        <v>1.278408E-2</v>
      </c>
      <c r="H19" s="4">
        <v>1.5632630000000002E-2</v>
      </c>
      <c r="I19" s="4">
        <v>0.28565659999999998</v>
      </c>
      <c r="J19" s="4">
        <v>0.69871070000000002</v>
      </c>
      <c r="K19" s="32">
        <v>1.363607E-2</v>
      </c>
      <c r="L19" s="5">
        <v>1.9965590000000002E-3</v>
      </c>
      <c r="M19" s="9">
        <f t="shared" si="7"/>
        <v>0.98436736989008333</v>
      </c>
      <c r="N19" s="6">
        <f t="shared" si="8"/>
        <v>0.95443901115252838</v>
      </c>
      <c r="O19" s="6">
        <f t="shared" si="1"/>
        <v>0.99305914453732802</v>
      </c>
      <c r="P19" s="8">
        <f t="shared" si="2"/>
        <v>0.97336614687826661</v>
      </c>
    </row>
    <row r="20" spans="1:17" ht="80" x14ac:dyDescent="0.2">
      <c r="B20" s="9" t="s">
        <v>32</v>
      </c>
      <c r="C20" s="2" t="s">
        <v>18</v>
      </c>
      <c r="D20" t="s">
        <v>28</v>
      </c>
      <c r="E20" s="25" t="s">
        <v>19</v>
      </c>
      <c r="F20" s="25" t="s">
        <v>39</v>
      </c>
      <c r="G20" s="1">
        <v>1.278408E-2</v>
      </c>
      <c r="H20" s="2">
        <v>1.7014439999999999E-2</v>
      </c>
      <c r="I20" s="2">
        <v>0.2903578</v>
      </c>
      <c r="J20" s="2">
        <v>0.69262780000000002</v>
      </c>
      <c r="K20" s="37">
        <v>1.4460209999999999E-2</v>
      </c>
      <c r="L20" s="2">
        <v>2.5542260000000002E-3</v>
      </c>
      <c r="M20" s="1">
        <f>(I20+J20) / (I20+J20+K25+L20)</f>
        <v>0.99740829753134708</v>
      </c>
      <c r="N20" s="6">
        <f>I20 / (I20+K25)</f>
        <v>1</v>
      </c>
      <c r="O20" s="6">
        <f t="shared" si="1"/>
        <v>0.99127988688316948</v>
      </c>
      <c r="P20" s="30">
        <f t="shared" si="2"/>
        <v>0.9956208501003444</v>
      </c>
    </row>
    <row r="21" spans="1:17" x14ac:dyDescent="0.2">
      <c r="B21" s="1" t="s">
        <v>40</v>
      </c>
      <c r="C21" s="2" t="s">
        <v>21</v>
      </c>
      <c r="D21" s="2" t="s">
        <v>21</v>
      </c>
      <c r="E21" s="2" t="s">
        <v>19</v>
      </c>
      <c r="F21" s="2" t="s">
        <v>41</v>
      </c>
      <c r="G21" s="9">
        <v>3.261932E-2</v>
      </c>
      <c r="H21">
        <v>3.2236800000000003E-2</v>
      </c>
      <c r="I21">
        <v>0.27414670000000002</v>
      </c>
      <c r="J21">
        <v>0.69361649999999997</v>
      </c>
      <c r="K21" s="31">
        <v>3.067131E-2</v>
      </c>
      <c r="L21" s="8">
        <v>1.565493E-3</v>
      </c>
      <c r="M21" s="9">
        <f t="shared" si="7"/>
        <v>0.96776319709671044</v>
      </c>
      <c r="N21" s="6">
        <f t="shared" si="8"/>
        <v>0.89937828804800612</v>
      </c>
      <c r="O21" s="6">
        <f t="shared" si="1"/>
        <v>0.99432200301711005</v>
      </c>
      <c r="P21" s="8">
        <f t="shared" si="2"/>
        <v>0.94447006747726447</v>
      </c>
    </row>
    <row r="22" spans="1:17" x14ac:dyDescent="0.2">
      <c r="B22" s="9" t="s">
        <v>40</v>
      </c>
      <c r="C22" s="2" t="s">
        <v>21</v>
      </c>
      <c r="D22" s="2" t="s">
        <v>21</v>
      </c>
      <c r="E22" t="s">
        <v>19</v>
      </c>
      <c r="F22" t="s">
        <v>42</v>
      </c>
      <c r="G22" s="3">
        <v>3.4653070000000001E-2</v>
      </c>
      <c r="H22" s="4">
        <v>3.4111269999999999E-2</v>
      </c>
      <c r="I22" s="4">
        <v>0.2723546</v>
      </c>
      <c r="J22" s="4">
        <v>0.69353410000000004</v>
      </c>
      <c r="K22" s="32">
        <v>3.2463390000000002E-2</v>
      </c>
      <c r="L22" s="4">
        <v>1.6478879999999999E-3</v>
      </c>
      <c r="M22" s="1">
        <f t="shared" si="7"/>
        <v>0.96588872124955183</v>
      </c>
      <c r="N22" s="6">
        <f t="shared" si="8"/>
        <v>0.89349910088968176</v>
      </c>
      <c r="O22" s="6">
        <f t="shared" si="1"/>
        <v>0.99398586482908147</v>
      </c>
      <c r="P22" s="5">
        <f t="shared" si="2"/>
        <v>0.94106760334764794</v>
      </c>
    </row>
    <row r="23" spans="1:17" x14ac:dyDescent="0.2">
      <c r="B23" s="3" t="s">
        <v>40</v>
      </c>
      <c r="C23" s="2" t="s">
        <v>21</v>
      </c>
      <c r="D23" s="2" t="s">
        <v>21</v>
      </c>
      <c r="E23" s="4" t="s">
        <v>19</v>
      </c>
      <c r="F23" s="4" t="s">
        <v>43</v>
      </c>
      <c r="G23" s="1">
        <v>3.1906179999999999E-2</v>
      </c>
      <c r="H23" s="2">
        <v>3.2937149999999998E-2</v>
      </c>
      <c r="I23" s="2">
        <v>0.27449689999999999</v>
      </c>
      <c r="J23" s="2">
        <v>0.69256600000000001</v>
      </c>
      <c r="K23" s="37">
        <v>3.0321130000000002E-2</v>
      </c>
      <c r="L23" s="2">
        <v>2.616022E-3</v>
      </c>
      <c r="M23" s="9">
        <f t="shared" si="7"/>
        <v>0.96706284971273171</v>
      </c>
      <c r="N23" s="6">
        <f t="shared" si="8"/>
        <v>0.90052711120795581</v>
      </c>
      <c r="O23" s="6">
        <f t="shared" si="1"/>
        <v>0.99055972568467954</v>
      </c>
      <c r="P23" s="5">
        <f t="shared" si="2"/>
        <v>0.94340024037765913</v>
      </c>
    </row>
    <row r="24" spans="1:17" x14ac:dyDescent="0.2">
      <c r="A24" t="s">
        <v>31</v>
      </c>
      <c r="B24" s="1" t="s">
        <v>40</v>
      </c>
      <c r="C24" s="2" t="s">
        <v>18</v>
      </c>
      <c r="D24" s="2" t="s">
        <v>21</v>
      </c>
      <c r="E24" s="2" t="s">
        <v>19</v>
      </c>
      <c r="F24" s="2" t="s">
        <v>44</v>
      </c>
      <c r="G24" s="28">
        <v>1.6234330000000002E-2</v>
      </c>
      <c r="H24" s="13">
        <v>1.8765319999999999E-2</v>
      </c>
      <c r="I24" s="13">
        <v>0.2887923</v>
      </c>
      <c r="J24" s="13">
        <v>0.69244240000000001</v>
      </c>
      <c r="K24" s="38">
        <v>1.6025709999999999E-2</v>
      </c>
      <c r="L24" s="7">
        <v>2.7396130000000001E-3</v>
      </c>
      <c r="M24" s="1">
        <f t="shared" si="7"/>
        <v>0.98123467743160253</v>
      </c>
      <c r="N24" s="6">
        <f t="shared" si="8"/>
        <v>0.94742531781504646</v>
      </c>
      <c r="O24" s="10">
        <f t="shared" si="1"/>
        <v>0.99060269947187574</v>
      </c>
      <c r="P24" s="30">
        <f t="shared" si="2"/>
        <v>0.96853303358270071</v>
      </c>
    </row>
    <row r="25" spans="1:17" x14ac:dyDescent="0.2">
      <c r="K25" s="32"/>
      <c r="O25" s="4"/>
    </row>
    <row r="26" spans="1:17" x14ac:dyDescent="0.2">
      <c r="K26" s="31"/>
      <c r="M26" t="s">
        <v>45</v>
      </c>
      <c r="N26" t="s">
        <v>46</v>
      </c>
    </row>
    <row r="27" spans="1:17" x14ac:dyDescent="0.2">
      <c r="K27" s="31"/>
    </row>
    <row r="28" spans="1:17" x14ac:dyDescent="0.2">
      <c r="K28" s="31"/>
    </row>
  </sheetData>
  <conditionalFormatting sqref="G2:G2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24 G2:G7">
    <cfRule type="colorScale" priority="1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I21 G2:I7"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9:H24 H2:H7">
    <cfRule type="colorScale" priority="1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24 I2:I7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9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1:J24 J2:J7 J9:J1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J24 J2:J1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04857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25 K2:K12 J18">
    <cfRule type="colorScale" priority="1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1:K25 K9:K12 K2:K7 J18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24">
    <cfRule type="colorScale" priority="18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4 L2:L7">
    <cfRule type="colorScale" priority="1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4 N3 M4:N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2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 O3:O25 P3:P3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7008-0915-4414-B51B-1E6BF7CF5440}">
  <dimension ref="A1:D7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9.1640625" bestFit="1" customWidth="1"/>
  </cols>
  <sheetData>
    <row r="1" spans="1:4" x14ac:dyDescent="0.2">
      <c r="A1" s="16" t="s">
        <v>12</v>
      </c>
      <c r="B1" s="20" t="s">
        <v>13</v>
      </c>
      <c r="C1" s="20" t="s">
        <v>14</v>
      </c>
      <c r="D1" s="26" t="s">
        <v>15</v>
      </c>
    </row>
    <row r="2" spans="1:4" x14ac:dyDescent="0.2">
      <c r="A2">
        <v>0.94805935688356147</v>
      </c>
      <c r="B2">
        <v>0.85344826076675706</v>
      </c>
      <c r="C2">
        <v>0.97148113895527044</v>
      </c>
      <c r="D2">
        <v>0.90864763155810124</v>
      </c>
    </row>
    <row r="3" spans="1:4" x14ac:dyDescent="0.2">
      <c r="A3">
        <v>0.95393019999999995</v>
      </c>
      <c r="B3">
        <v>0.89789868626510483</v>
      </c>
      <c r="C3">
        <v>0.9471440698516268</v>
      </c>
      <c r="D3">
        <v>0.92186418250109647</v>
      </c>
    </row>
    <row r="4" spans="1:4" x14ac:dyDescent="0.2">
      <c r="A4">
        <v>0.9606164384246576</v>
      </c>
      <c r="B4">
        <v>0.90463361511791862</v>
      </c>
      <c r="C4">
        <v>0.96300544909227925</v>
      </c>
      <c r="D4">
        <v>0.93290734541259923</v>
      </c>
    </row>
    <row r="5" spans="1:4" x14ac:dyDescent="0.2">
      <c r="A5">
        <v>0.96697651933953044</v>
      </c>
      <c r="B5">
        <v>0.92483836845065004</v>
      </c>
      <c r="C5">
        <v>0.96459680749383769</v>
      </c>
      <c r="D5">
        <v>0.94429927950226411</v>
      </c>
    </row>
    <row r="6" spans="1:4" x14ac:dyDescent="0.2">
      <c r="A6">
        <v>0.8877775</v>
      </c>
      <c r="B6">
        <v>0.87219841435484224</v>
      </c>
      <c r="C6">
        <v>0.9002983303703388</v>
      </c>
      <c r="D6">
        <v>0.88602563421584146</v>
      </c>
    </row>
    <row r="7" spans="1:4" x14ac:dyDescent="0.2">
      <c r="A7">
        <v>0.99373248171260131</v>
      </c>
      <c r="B7">
        <v>0.24582336814009992</v>
      </c>
      <c r="C7">
        <v>0.8247330827588597</v>
      </c>
      <c r="D7">
        <v>0.37875380424845134</v>
      </c>
    </row>
  </sheetData>
  <autoFilter ref="A1:D1" xr:uid="{CC457008-0915-4414-B51B-1E6BF7CF5440}">
    <sortState xmlns:xlrd2="http://schemas.microsoft.com/office/spreadsheetml/2017/richdata2" ref="A2:D9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workbookViewId="0">
      <pane ySplit="1" topLeftCell="A34" activePane="bottomLeft" state="frozen"/>
      <selection pane="bottomLeft" activeCell="E36" sqref="E36"/>
    </sheetView>
  </sheetViews>
  <sheetFormatPr baseColWidth="10" defaultColWidth="8.83203125" defaultRowHeight="15" x14ac:dyDescent="0.2"/>
  <cols>
    <col min="2" max="2" width="17.1640625" customWidth="1"/>
    <col min="3" max="3" width="17.83203125" customWidth="1"/>
    <col min="4" max="4" width="14.6640625" customWidth="1"/>
    <col min="5" max="5" width="27.33203125" customWidth="1"/>
    <col min="6" max="6" width="34.33203125" customWidth="1"/>
    <col min="7" max="7" width="13.83203125" customWidth="1"/>
    <col min="8" max="9" width="13" customWidth="1"/>
    <col min="10" max="10" width="12.5" customWidth="1"/>
    <col min="11" max="12" width="13.5" customWidth="1"/>
    <col min="13" max="16" width="12.5" customWidth="1"/>
    <col min="17" max="17" width="11.33203125" customWidth="1"/>
    <col min="18" max="18" width="13" customWidth="1"/>
  </cols>
  <sheetData>
    <row r="1" spans="1:16" x14ac:dyDescent="0.2">
      <c r="A1" t="s">
        <v>0</v>
      </c>
      <c r="B1" s="14" t="s">
        <v>1</v>
      </c>
      <c r="C1" s="15" t="s">
        <v>47</v>
      </c>
      <c r="D1" s="15" t="s">
        <v>48</v>
      </c>
      <c r="E1" s="15" t="s">
        <v>4</v>
      </c>
      <c r="F1" s="15" t="s">
        <v>5</v>
      </c>
      <c r="G1" s="19" t="s">
        <v>6</v>
      </c>
      <c r="H1" s="19" t="s">
        <v>7</v>
      </c>
      <c r="I1" s="18" t="s">
        <v>8</v>
      </c>
      <c r="J1" s="18" t="s">
        <v>9</v>
      </c>
      <c r="K1" s="19" t="s">
        <v>10</v>
      </c>
      <c r="L1" s="19" t="s">
        <v>11</v>
      </c>
      <c r="M1" s="16" t="s">
        <v>12</v>
      </c>
      <c r="N1" s="17" t="s">
        <v>13</v>
      </c>
      <c r="O1" s="26" t="s">
        <v>14</v>
      </c>
      <c r="P1" s="26" t="s">
        <v>15</v>
      </c>
    </row>
    <row r="2" spans="1:16" x14ac:dyDescent="0.2">
      <c r="A2" t="s">
        <v>16</v>
      </c>
      <c r="B2" s="28" t="s">
        <v>17</v>
      </c>
      <c r="C2" s="13" t="s">
        <v>49</v>
      </c>
      <c r="D2" s="13" t="s">
        <v>49</v>
      </c>
      <c r="E2" s="13" t="s">
        <v>50</v>
      </c>
      <c r="F2" s="13"/>
      <c r="G2" s="28">
        <f>(35348+198109)/(1088098+35348+198109+169189)</f>
        <v>0.156604353262532</v>
      </c>
      <c r="H2" s="13">
        <f>(15166+85039)/(466410+15166+85039+72325)</f>
        <v>0.15683006229066893</v>
      </c>
      <c r="I2" s="13">
        <f>72325/(466410+85039+15166+72325)</f>
        <v>0.11319529220271074</v>
      </c>
      <c r="J2" s="13">
        <f>466410/(466410+15166+85039+72325)</f>
        <v>0.72997464550662039</v>
      </c>
      <c r="K2" s="13">
        <f>15166/(466410+15166+85039+72325)</f>
        <v>2.3736188061476822E-2</v>
      </c>
      <c r="L2" s="13">
        <f>85039/(466410+15166+85039+72325)</f>
        <v>0.13309387422919211</v>
      </c>
      <c r="M2" s="28">
        <f>(I2+J2) / (I2+J2+K2+L2)</f>
        <v>0.84316993770933113</v>
      </c>
      <c r="N2" s="12">
        <f>I2 / (I2+K2)</f>
        <v>0.82665645609262672</v>
      </c>
      <c r="O2">
        <f>I2/(I2+L2)</f>
        <v>0.45960321293307232</v>
      </c>
      <c r="P2" s="8">
        <f>(2*N2*O2)/(N2+O2)</f>
        <v>0.59075779542994833</v>
      </c>
    </row>
    <row r="3" spans="1:16" x14ac:dyDescent="0.2">
      <c r="A3" t="s">
        <v>16</v>
      </c>
      <c r="B3" s="28" t="s">
        <v>17</v>
      </c>
      <c r="C3" s="13" t="s">
        <v>51</v>
      </c>
      <c r="D3" s="13" t="s">
        <v>51</v>
      </c>
      <c r="E3" s="13" t="s">
        <v>50</v>
      </c>
      <c r="F3" s="13"/>
      <c r="G3" s="28">
        <f>(201+1823)/(20022+201+1823+6790)</f>
        <v>7.0190040227493408E-2</v>
      </c>
      <c r="H3" s="13">
        <f>(70+794)/(8500+70+794+2933)</f>
        <v>7.0261039277872653E-2</v>
      </c>
      <c r="I3" s="13">
        <f>2933/(8500+70+794+2933)</f>
        <v>0.23851345856713019</v>
      </c>
      <c r="J3" s="13">
        <f>8500/(8500+70+794+2933)</f>
        <v>0.69122550215499712</v>
      </c>
      <c r="K3" s="13">
        <f>70/(8500+70+794+2933)</f>
        <v>5.6924453118646825E-3</v>
      </c>
      <c r="L3" s="13">
        <f>794/(8500+70+794+2933)</f>
        <v>6.4568593966007976E-2</v>
      </c>
      <c r="M3" s="28">
        <f t="shared" ref="M3:M4" si="0">(I3+J3) / (I3+J3+K3+L3)</f>
        <v>0.92973896072212736</v>
      </c>
      <c r="N3" s="12">
        <f t="shared" ref="N3:N4" si="1">I3 / (I3+K3)</f>
        <v>0.9766899766899767</v>
      </c>
      <c r="O3">
        <f t="shared" ref="O3:O42" si="2">I3/(I3+L3)</f>
        <v>0.78696002146498534</v>
      </c>
      <c r="P3" s="8">
        <f t="shared" ref="P3:P42" si="3">(2*N3*O3)/(N3+O3)</f>
        <v>0.87161961367013374</v>
      </c>
    </row>
    <row r="4" spans="1:16" x14ac:dyDescent="0.2">
      <c r="A4" t="s">
        <v>16</v>
      </c>
      <c r="B4" s="9" t="s">
        <v>17</v>
      </c>
      <c r="C4" t="s">
        <v>51</v>
      </c>
      <c r="D4" t="s">
        <v>51</v>
      </c>
      <c r="E4" t="s">
        <v>52</v>
      </c>
      <c r="G4" s="9">
        <f>(1830+199)/(20024+199+1830+6783)</f>
        <v>7.0363434595644328E-2</v>
      </c>
      <c r="H4">
        <f>(73+788)/(8497+73+788+2939)</f>
        <v>7.0017077335935596E-2</v>
      </c>
      <c r="I4">
        <f>2939/(8497+73+788+2939)</f>
        <v>0.2390013824510043</v>
      </c>
      <c r="J4">
        <f>8497/(8497+73+788+2939)</f>
        <v>0.69098154021306013</v>
      </c>
      <c r="K4">
        <f>73/(8497+73+788+2939)</f>
        <v>5.9364072538017404E-3</v>
      </c>
      <c r="L4">
        <f>788/(8567+3+1030+2697)</f>
        <v>6.4080670082133848E-2</v>
      </c>
      <c r="M4" s="9">
        <f t="shared" si="0"/>
        <v>0.92998292266406446</v>
      </c>
      <c r="N4" s="11">
        <f t="shared" si="1"/>
        <v>0.97576361221779551</v>
      </c>
      <c r="O4">
        <f t="shared" si="2"/>
        <v>0.78856989535819699</v>
      </c>
      <c r="P4" s="8">
        <f t="shared" si="3"/>
        <v>0.87223623683039031</v>
      </c>
    </row>
    <row r="5" spans="1:16" x14ac:dyDescent="0.2">
      <c r="A5" t="s">
        <v>16</v>
      </c>
      <c r="B5" s="3" t="s">
        <v>23</v>
      </c>
      <c r="C5" s="2" t="s">
        <v>51</v>
      </c>
      <c r="D5" s="2" t="s">
        <v>51</v>
      </c>
      <c r="E5" s="2" t="s">
        <v>50</v>
      </c>
      <c r="F5" s="2"/>
      <c r="G5" s="1">
        <f>(4+2369)/(20219+6244+4+2369)</f>
        <v>8.2292967124427796E-2</v>
      </c>
      <c r="H5" s="2">
        <f>(3+1030)/(8567+3+1030+2697)</f>
        <v>8.4004228673660239E-2</v>
      </c>
      <c r="I5" s="2">
        <f>2697/(8567+3+1030+2697)</f>
        <v>0.21932178580141498</v>
      </c>
      <c r="J5" s="2">
        <f>8567/(8567+3+1030+2697)</f>
        <v>0.69667398552492477</v>
      </c>
      <c r="K5" s="2">
        <f>3/(8567+3+1030+2697)</f>
        <v>2.4396194193705782E-4</v>
      </c>
      <c r="L5" s="2">
        <f>1030/(8567+3+1030+2697)</f>
        <v>8.3760266731723182E-2</v>
      </c>
      <c r="M5" s="1">
        <f t="shared" ref="M5:M39" si="4">(I5+J5) / (I5+J5+K5+L5)</f>
        <v>0.9159957713263398</v>
      </c>
      <c r="N5" s="10">
        <f t="shared" ref="N5:N39" si="5">I5 / (I5+K5)</f>
        <v>0.99888888888888883</v>
      </c>
      <c r="O5">
        <f t="shared" si="2"/>
        <v>0.72363831499865849</v>
      </c>
      <c r="P5" s="8">
        <f t="shared" si="3"/>
        <v>0.83927182200093364</v>
      </c>
    </row>
    <row r="6" spans="1:16" x14ac:dyDescent="0.2">
      <c r="A6" t="s">
        <v>16</v>
      </c>
      <c r="B6" s="3" t="s">
        <v>23</v>
      </c>
      <c r="C6" s="13" t="s">
        <v>51</v>
      </c>
      <c r="D6" s="13" t="s">
        <v>51</v>
      </c>
      <c r="E6" t="s">
        <v>53</v>
      </c>
      <c r="G6" s="9">
        <f>(0+2)/(19433+8192+0+2)</f>
        <v>7.2392948926774527E-5</v>
      </c>
      <c r="H6">
        <f>(3+1625)/(8210+3+1625+1969)</f>
        <v>0.13788430592021683</v>
      </c>
      <c r="I6">
        <f>1969/(8210+3+1625+1969)</f>
        <v>0.16676547810620818</v>
      </c>
      <c r="J6">
        <f>8210/(8210+3+1625+1969)</f>
        <v>0.69535021597357505</v>
      </c>
      <c r="K6">
        <f>3/(8210+3+1625+1969)</f>
        <v>2.5408655882103837E-4</v>
      </c>
      <c r="L6">
        <f>1625/(8210+3+1625+1969)</f>
        <v>0.13763021936139577</v>
      </c>
      <c r="M6" s="1">
        <f t="shared" si="4"/>
        <v>0.86211569407978317</v>
      </c>
      <c r="N6" s="10">
        <f t="shared" si="5"/>
        <v>0.99847870182555787</v>
      </c>
      <c r="O6">
        <f t="shared" si="2"/>
        <v>0.54785754034501943</v>
      </c>
      <c r="P6" s="8">
        <f t="shared" si="3"/>
        <v>0.70750988142292481</v>
      </c>
    </row>
    <row r="7" spans="1:16" x14ac:dyDescent="0.2">
      <c r="A7" t="s">
        <v>26</v>
      </c>
      <c r="B7" s="3" t="s">
        <v>27</v>
      </c>
      <c r="C7" s="13" t="s">
        <v>51</v>
      </c>
      <c r="D7" s="13" t="s">
        <v>51</v>
      </c>
      <c r="E7" s="2" t="s">
        <v>50</v>
      </c>
      <c r="F7" s="2" t="s">
        <v>20</v>
      </c>
      <c r="G7" s="9">
        <v>1.3871550000000001E-4</v>
      </c>
      <c r="H7">
        <f t="shared" ref="H7:H12" si="6">K7+L7</f>
        <v>3.4398633813125148E-2</v>
      </c>
      <c r="I7">
        <f>3342/12297</f>
        <v>0.27177360331788242</v>
      </c>
      <c r="J7">
        <f>8532/12297</f>
        <v>0.69382776286899239</v>
      </c>
      <c r="K7">
        <f>38/12297</f>
        <v>3.0901845978693991E-3</v>
      </c>
      <c r="L7">
        <f>385/12297</f>
        <v>3.1308449215255753E-2</v>
      </c>
      <c r="M7" s="9">
        <f t="shared" si="4"/>
        <v>0.96560136618687487</v>
      </c>
      <c r="N7" s="6">
        <f t="shared" si="5"/>
        <v>0.98875739644970406</v>
      </c>
      <c r="O7">
        <f t="shared" si="2"/>
        <v>0.89669975851891592</v>
      </c>
      <c r="P7" s="8">
        <f t="shared" si="3"/>
        <v>0.94048121570282817</v>
      </c>
    </row>
    <row r="8" spans="1:16" x14ac:dyDescent="0.2">
      <c r="A8" t="s">
        <v>26</v>
      </c>
      <c r="B8" s="3" t="s">
        <v>27</v>
      </c>
      <c r="C8" s="13" t="s">
        <v>51</v>
      </c>
      <c r="D8" s="13" t="s">
        <v>54</v>
      </c>
      <c r="E8" t="s">
        <v>50</v>
      </c>
      <c r="F8" t="s">
        <v>20</v>
      </c>
      <c r="G8" s="9">
        <v>1.0403660000000001E-4</v>
      </c>
      <c r="H8" s="2">
        <f t="shared" si="6"/>
        <v>0.96503844823895546</v>
      </c>
      <c r="I8" s="2">
        <f>3620/485848</f>
        <v>7.4508899902850272E-3</v>
      </c>
      <c r="J8" s="2">
        <f>13366/485848</f>
        <v>2.751066177075958E-2</v>
      </c>
      <c r="K8" s="2">
        <f>468741/485848</f>
        <v>0.96478939915364481</v>
      </c>
      <c r="L8" s="2">
        <f>121/485848</f>
        <v>2.4904908531063214E-4</v>
      </c>
      <c r="M8" s="1">
        <f t="shared" si="4"/>
        <v>3.496155176104461E-2</v>
      </c>
      <c r="N8" s="11">
        <f t="shared" si="5"/>
        <v>7.6636301472814226E-3</v>
      </c>
      <c r="O8">
        <f t="shared" si="2"/>
        <v>0.96765570703020587</v>
      </c>
      <c r="P8" s="8">
        <f t="shared" si="3"/>
        <v>1.5206825428164553E-2</v>
      </c>
    </row>
    <row r="9" spans="1:16" x14ac:dyDescent="0.2">
      <c r="A9" t="s">
        <v>26</v>
      </c>
      <c r="B9" s="3" t="s">
        <v>27</v>
      </c>
      <c r="C9" s="13" t="s">
        <v>55</v>
      </c>
      <c r="D9" s="13" t="s">
        <v>51</v>
      </c>
      <c r="E9" s="21" t="s">
        <v>56</v>
      </c>
      <c r="F9" s="2" t="s">
        <v>20</v>
      </c>
      <c r="G9" s="1">
        <v>4.877832E-2</v>
      </c>
      <c r="H9">
        <f t="shared" si="6"/>
        <v>1.7239977230218754E-2</v>
      </c>
      <c r="I9">
        <f>3659/12297</f>
        <v>0.29755224851589818</v>
      </c>
      <c r="J9">
        <f>8426/12297</f>
        <v>0.68520777425388302</v>
      </c>
      <c r="K9">
        <f>144/12297</f>
        <v>1.1710173212978776E-2</v>
      </c>
      <c r="L9">
        <f>68/12297</f>
        <v>5.529804017239977E-3</v>
      </c>
      <c r="M9" s="9">
        <f t="shared" si="4"/>
        <v>0.98276002276978125</v>
      </c>
      <c r="N9" s="6">
        <f t="shared" si="5"/>
        <v>0.96213515645542991</v>
      </c>
      <c r="O9">
        <f t="shared" si="2"/>
        <v>0.98175476254360083</v>
      </c>
      <c r="P9" s="8">
        <f t="shared" si="3"/>
        <v>0.97184594953519265</v>
      </c>
    </row>
    <row r="10" spans="1:16" x14ac:dyDescent="0.2">
      <c r="A10" t="s">
        <v>26</v>
      </c>
      <c r="B10" s="3" t="s">
        <v>27</v>
      </c>
      <c r="C10" s="13" t="s">
        <v>55</v>
      </c>
      <c r="D10" s="13" t="s">
        <v>49</v>
      </c>
      <c r="E10" s="22" t="s">
        <v>56</v>
      </c>
      <c r="F10" s="2" t="s">
        <v>20</v>
      </c>
      <c r="G10" s="9">
        <v>4.877832E-2</v>
      </c>
      <c r="H10" s="4">
        <f t="shared" si="6"/>
        <v>4.9352151757555113E-2</v>
      </c>
      <c r="I10" s="4">
        <f>471201/962957</f>
        <v>0.48932714544886219</v>
      </c>
      <c r="J10" s="4">
        <f>444232/962957</f>
        <v>0.46132070279358267</v>
      </c>
      <c r="K10" s="4">
        <f>37350/962957</f>
        <v>3.87867786412062E-2</v>
      </c>
      <c r="L10" s="4">
        <f>10174/962957</f>
        <v>1.0565373116348913E-2</v>
      </c>
      <c r="M10" s="3">
        <f t="shared" ref="M10" si="7">(I10+J10) / (I10+J10+K10+L10)</f>
        <v>0.95064784824244497</v>
      </c>
      <c r="N10" s="6">
        <f t="shared" ref="N10" si="8">I10 / (I10+K10)</f>
        <v>0.92655603862739422</v>
      </c>
      <c r="O10">
        <f t="shared" si="2"/>
        <v>0.97886471046481427</v>
      </c>
      <c r="P10" s="8">
        <f t="shared" si="3"/>
        <v>0.95199237114693402</v>
      </c>
    </row>
    <row r="11" spans="1:16" x14ac:dyDescent="0.2">
      <c r="A11" t="s">
        <v>26</v>
      </c>
      <c r="B11" s="3" t="s">
        <v>27</v>
      </c>
      <c r="C11" s="13" t="s">
        <v>55</v>
      </c>
      <c r="D11" s="13" t="s">
        <v>54</v>
      </c>
      <c r="E11" s="22" t="s">
        <v>56</v>
      </c>
      <c r="F11" s="2" t="s">
        <v>20</v>
      </c>
      <c r="G11" s="1">
        <v>4.877832E-2</v>
      </c>
      <c r="H11" s="4">
        <f t="shared" si="6"/>
        <v>7.666801139451021E-2</v>
      </c>
      <c r="I11" s="4">
        <f>3655/485848</f>
        <v>7.5229289819038056E-3</v>
      </c>
      <c r="J11" s="4">
        <f>444944/485848</f>
        <v>0.91580905962358594</v>
      </c>
      <c r="K11" s="4">
        <f>37163/485848</f>
        <v>7.6491001300818359E-2</v>
      </c>
      <c r="L11" s="4">
        <f>86/485848</f>
        <v>1.7701009369185423E-4</v>
      </c>
      <c r="M11" s="3">
        <f t="shared" ref="M11:M28" si="9">(I11+J11) / (I11+J11+K11+L11)</f>
        <v>0.92333198860548982</v>
      </c>
      <c r="N11" s="6">
        <f t="shared" ref="N11:N28" si="10">I11 / (I11+K11)</f>
        <v>8.9543828703023187E-2</v>
      </c>
      <c r="O11">
        <f t="shared" si="2"/>
        <v>0.97701149425287348</v>
      </c>
      <c r="P11" s="8">
        <f t="shared" si="3"/>
        <v>0.16405215556902089</v>
      </c>
    </row>
    <row r="12" spans="1:16" x14ac:dyDescent="0.2">
      <c r="A12" t="s">
        <v>26</v>
      </c>
      <c r="B12" s="3" t="s">
        <v>27</v>
      </c>
      <c r="C12" s="13" t="s">
        <v>55</v>
      </c>
      <c r="D12" s="13" t="s">
        <v>51</v>
      </c>
      <c r="E12" s="24" t="s">
        <v>57</v>
      </c>
      <c r="F12" s="2" t="s">
        <v>20</v>
      </c>
      <c r="G12" s="9">
        <v>4.7219650000000002E-2</v>
      </c>
      <c r="H12" s="4">
        <f t="shared" si="6"/>
        <v>1.7321297877531106E-2</v>
      </c>
      <c r="I12" s="4">
        <f>3654/12297</f>
        <v>0.2971456452793364</v>
      </c>
      <c r="J12" s="4">
        <f>8430/12297</f>
        <v>0.68553305684313248</v>
      </c>
      <c r="K12" s="4">
        <f>140/12297</f>
        <v>1.1384890623729365E-2</v>
      </c>
      <c r="L12" s="4">
        <f>73/12297</f>
        <v>5.9364072538017404E-3</v>
      </c>
      <c r="M12" s="3">
        <f t="shared" si="9"/>
        <v>0.98267870212246888</v>
      </c>
      <c r="N12" s="6">
        <f t="shared" si="10"/>
        <v>0.96309963099630991</v>
      </c>
      <c r="O12">
        <f t="shared" si="2"/>
        <v>0.98041320096592433</v>
      </c>
      <c r="P12" s="8">
        <f t="shared" si="3"/>
        <v>0.97167929796569597</v>
      </c>
    </row>
    <row r="13" spans="1:16" x14ac:dyDescent="0.2">
      <c r="A13" t="s">
        <v>26</v>
      </c>
      <c r="B13" s="3" t="s">
        <v>27</v>
      </c>
      <c r="C13" s="13" t="s">
        <v>55</v>
      </c>
      <c r="D13" s="13" t="s">
        <v>49</v>
      </c>
      <c r="E13" s="24" t="s">
        <v>57</v>
      </c>
      <c r="F13" s="2" t="s">
        <v>20</v>
      </c>
      <c r="G13" s="3">
        <v>4.7219650000000002E-2</v>
      </c>
      <c r="H13" s="4">
        <f t="shared" ref="H13:H17" si="11">K13+L13</f>
        <v>4.8225414011217535E-2</v>
      </c>
      <c r="I13" s="4">
        <f>470659/962957</f>
        <v>0.4887642958096779</v>
      </c>
      <c r="J13" s="4">
        <f>445859/962957</f>
        <v>0.46301029017910456</v>
      </c>
      <c r="K13" s="4">
        <f>35723/962957</f>
        <v>3.7097191255684316E-2</v>
      </c>
      <c r="L13" s="4">
        <f>10716/962957</f>
        <v>1.1128222755533218E-2</v>
      </c>
      <c r="M13" s="3">
        <f t="shared" si="9"/>
        <v>0.95177458598878251</v>
      </c>
      <c r="N13" s="6">
        <f t="shared" si="10"/>
        <v>0.92945444348337825</v>
      </c>
      <c r="O13">
        <f t="shared" si="2"/>
        <v>0.97773876915086988</v>
      </c>
      <c r="P13" s="8">
        <f t="shared" si="3"/>
        <v>0.95298540025532597</v>
      </c>
    </row>
    <row r="14" spans="1:16" x14ac:dyDescent="0.2">
      <c r="A14" t="s">
        <v>26</v>
      </c>
      <c r="B14" s="3" t="s">
        <v>27</v>
      </c>
      <c r="C14" s="13" t="s">
        <v>55</v>
      </c>
      <c r="D14" s="13" t="s">
        <v>54</v>
      </c>
      <c r="E14" s="24" t="s">
        <v>57</v>
      </c>
      <c r="F14" s="2" t="s">
        <v>20</v>
      </c>
      <c r="G14" s="3">
        <v>4.7219650000000002E-2</v>
      </c>
      <c r="H14" s="4">
        <f t="shared" si="11"/>
        <v>7.2792313645419965E-2</v>
      </c>
      <c r="I14" s="4">
        <f>3658/485848</f>
        <v>7.5291037526139864E-3</v>
      </c>
      <c r="J14" s="4">
        <f>446824/485848</f>
        <v>0.919678582601966</v>
      </c>
      <c r="K14" s="4">
        <f>35283/485848</f>
        <v>7.2621478322438288E-2</v>
      </c>
      <c r="L14" s="4">
        <f>83/485848</f>
        <v>1.7083532298167329E-4</v>
      </c>
      <c r="M14" s="3">
        <f t="shared" si="9"/>
        <v>0.92720768635458006</v>
      </c>
      <c r="N14" s="6">
        <f t="shared" si="10"/>
        <v>9.3936981587529875E-2</v>
      </c>
      <c r="O14">
        <f t="shared" si="2"/>
        <v>0.97781341887195938</v>
      </c>
      <c r="P14" s="8">
        <f t="shared" si="3"/>
        <v>0.17140715055526923</v>
      </c>
    </row>
    <row r="15" spans="1:16" x14ac:dyDescent="0.2">
      <c r="A15" t="s">
        <v>26</v>
      </c>
      <c r="B15" s="3" t="s">
        <v>27</v>
      </c>
      <c r="C15" s="13" t="s">
        <v>55</v>
      </c>
      <c r="D15" s="13" t="s">
        <v>51</v>
      </c>
      <c r="E15" s="23" t="s">
        <v>58</v>
      </c>
      <c r="F15" s="2" t="s">
        <v>20</v>
      </c>
      <c r="G15" s="3">
        <v>9.3856159999999994E-3</v>
      </c>
      <c r="H15" s="4">
        <f t="shared" si="11"/>
        <v>1.0246401561356429E-2</v>
      </c>
      <c r="I15" s="4">
        <f>3713/12297</f>
        <v>0.30194356347076523</v>
      </c>
      <c r="J15" s="4">
        <f>8458/12297</f>
        <v>0.68781003496787829</v>
      </c>
      <c r="K15" s="4">
        <f>112/12297</f>
        <v>9.1079124989834927E-3</v>
      </c>
      <c r="L15" s="4">
        <f>14/12297</f>
        <v>1.1384890623729366E-3</v>
      </c>
      <c r="M15" s="3">
        <f t="shared" si="9"/>
        <v>0.98975359843864363</v>
      </c>
      <c r="N15" s="6">
        <f t="shared" si="10"/>
        <v>0.97071895424836596</v>
      </c>
      <c r="O15">
        <f t="shared" si="2"/>
        <v>0.99624362758250595</v>
      </c>
      <c r="P15" s="8">
        <f t="shared" si="3"/>
        <v>0.98331567796610164</v>
      </c>
    </row>
    <row r="16" spans="1:16" x14ac:dyDescent="0.2">
      <c r="A16" t="s">
        <v>26</v>
      </c>
      <c r="B16" s="3" t="s">
        <v>27</v>
      </c>
      <c r="C16" s="13" t="s">
        <v>55</v>
      </c>
      <c r="D16" s="13" t="s">
        <v>49</v>
      </c>
      <c r="E16" s="23" t="s">
        <v>58</v>
      </c>
      <c r="F16" s="2" t="s">
        <v>20</v>
      </c>
      <c r="G16" s="3">
        <v>9.3856159999999994E-3</v>
      </c>
      <c r="H16" s="4">
        <f t="shared" si="11"/>
        <v>1.2035843760417131E-2</v>
      </c>
      <c r="I16" s="4">
        <f>479100/962957</f>
        <v>0.49753000393579361</v>
      </c>
      <c r="J16" s="4">
        <f>472267/962957</f>
        <v>0.49043415230378928</v>
      </c>
      <c r="K16" s="4">
        <f>9315/962957</f>
        <v>9.6733291309996187E-3</v>
      </c>
      <c r="L16" s="4">
        <f>2275/962957</f>
        <v>2.3625146294175129E-3</v>
      </c>
      <c r="M16" s="3">
        <f t="shared" si="9"/>
        <v>0.98796415623958289</v>
      </c>
      <c r="N16" s="6">
        <f t="shared" si="10"/>
        <v>0.9809281041737048</v>
      </c>
      <c r="O16">
        <f t="shared" si="2"/>
        <v>0.99527395481693071</v>
      </c>
      <c r="P16" s="8">
        <f t="shared" si="3"/>
        <v>0.98804895905299084</v>
      </c>
    </row>
    <row r="17" spans="1:18" x14ac:dyDescent="0.2">
      <c r="A17" t="s">
        <v>26</v>
      </c>
      <c r="B17" s="3" t="s">
        <v>27</v>
      </c>
      <c r="C17" t="s">
        <v>55</v>
      </c>
      <c r="D17" s="13" t="s">
        <v>54</v>
      </c>
      <c r="E17" s="23" t="s">
        <v>58</v>
      </c>
      <c r="F17" s="2" t="s">
        <v>20</v>
      </c>
      <c r="G17" s="3">
        <v>9.3856159999999994E-3</v>
      </c>
      <c r="H17" s="4">
        <f t="shared" si="11"/>
        <v>1.7610446065436103E-2</v>
      </c>
      <c r="I17" s="4">
        <f>3721/485848</f>
        <v>7.6587739375277861E-3</v>
      </c>
      <c r="J17" s="4">
        <f>473571/485848</f>
        <v>0.97473077999703606</v>
      </c>
      <c r="K17" s="4">
        <f>8536/485848</f>
        <v>1.756928092736823E-2</v>
      </c>
      <c r="L17" s="4">
        <f>20/485848</f>
        <v>4.1165138067873083E-5</v>
      </c>
      <c r="M17" s="3">
        <f t="shared" si="9"/>
        <v>0.98238955393456395</v>
      </c>
      <c r="N17" s="6">
        <f t="shared" si="10"/>
        <v>0.30358162682548745</v>
      </c>
      <c r="O17">
        <f t="shared" si="2"/>
        <v>0.99465383587276124</v>
      </c>
      <c r="P17" s="8">
        <f t="shared" si="3"/>
        <v>0.46518314789348664</v>
      </c>
    </row>
    <row r="18" spans="1:18" x14ac:dyDescent="0.2">
      <c r="A18" t="s">
        <v>26</v>
      </c>
      <c r="B18" s="3" t="s">
        <v>27</v>
      </c>
      <c r="C18" s="2" t="s">
        <v>59</v>
      </c>
      <c r="D18" s="13" t="s">
        <v>51</v>
      </c>
      <c r="E18" s="2" t="s">
        <v>50</v>
      </c>
      <c r="F18" s="2" t="s">
        <v>20</v>
      </c>
      <c r="G18" s="36">
        <v>8.9108490000000002E-6</v>
      </c>
      <c r="H18" s="4">
        <f>K18+L18</f>
        <v>0.22859233959502318</v>
      </c>
      <c r="I18" s="4">
        <f>1218/12297</f>
        <v>9.9048548426445476E-2</v>
      </c>
      <c r="J18" s="4">
        <f>8268/12297</f>
        <v>0.67235911197853138</v>
      </c>
      <c r="K18" s="4">
        <f>302/12297</f>
        <v>2.4558835488330488E-2</v>
      </c>
      <c r="L18" s="4">
        <f>2509/12297</f>
        <v>0.20403350410669269</v>
      </c>
      <c r="M18" s="3">
        <f t="shared" si="9"/>
        <v>0.77140766040497688</v>
      </c>
      <c r="N18" s="6">
        <f t="shared" si="10"/>
        <v>0.8013157894736842</v>
      </c>
      <c r="O18">
        <f t="shared" si="2"/>
        <v>0.32680440032197483</v>
      </c>
      <c r="P18" s="8">
        <f t="shared" si="3"/>
        <v>0.4642652944539738</v>
      </c>
    </row>
    <row r="19" spans="1:18" x14ac:dyDescent="0.2">
      <c r="A19" t="s">
        <v>26</v>
      </c>
      <c r="B19" s="3" t="s">
        <v>27</v>
      </c>
      <c r="C19" s="13" t="s">
        <v>59</v>
      </c>
      <c r="D19" s="13" t="s">
        <v>49</v>
      </c>
      <c r="E19" s="2" t="s">
        <v>50</v>
      </c>
      <c r="F19" s="2" t="s">
        <v>20</v>
      </c>
      <c r="G19" s="36">
        <v>8.9108490000000002E-6</v>
      </c>
      <c r="H19" s="4">
        <f t="shared" ref="H19:H20" si="12">K19+L19</f>
        <v>6.1684997357099015E-4</v>
      </c>
      <c r="I19" s="4">
        <f>481375/962957</f>
        <v>0.49989251856521111</v>
      </c>
      <c r="J19" s="4">
        <f>480988/962957</f>
        <v>0.49949063146121792</v>
      </c>
      <c r="K19" s="4">
        <f>594/962957</f>
        <v>6.1684997357099015E-4</v>
      </c>
      <c r="L19" s="4">
        <f t="shared" ref="L19" si="13">0/962957</f>
        <v>0</v>
      </c>
      <c r="M19" s="3">
        <f t="shared" si="9"/>
        <v>0.99938315002642897</v>
      </c>
      <c r="N19" s="6">
        <f t="shared" si="10"/>
        <v>0.99876755558967478</v>
      </c>
      <c r="O19">
        <f>I19/(I19+L19)</f>
        <v>1</v>
      </c>
      <c r="P19" s="8">
        <f t="shared" si="3"/>
        <v>0.99938339783088914</v>
      </c>
    </row>
    <row r="20" spans="1:18" x14ac:dyDescent="0.2">
      <c r="A20" t="s">
        <v>26</v>
      </c>
      <c r="B20" s="3" t="s">
        <v>27</v>
      </c>
      <c r="C20" s="13" t="s">
        <v>59</v>
      </c>
      <c r="D20" s="13" t="s">
        <v>54</v>
      </c>
      <c r="E20" s="2" t="s">
        <v>50</v>
      </c>
      <c r="F20" s="2" t="s">
        <v>20</v>
      </c>
      <c r="G20" s="36">
        <v>8.9108490000000002E-6</v>
      </c>
      <c r="H20" s="4">
        <f t="shared" si="12"/>
        <v>6.3209069503219108E-3</v>
      </c>
      <c r="I20" s="4">
        <f>1209/485848</f>
        <v>2.4884325962029278E-3</v>
      </c>
      <c r="J20" s="4">
        <f>481568/485848</f>
        <v>0.99119066045347515</v>
      </c>
      <c r="K20" s="4">
        <f>539/485848</f>
        <v>1.1094004709291795E-3</v>
      </c>
      <c r="L20" s="4">
        <f>2532/485848</f>
        <v>5.2115064793927315E-3</v>
      </c>
      <c r="M20" s="3">
        <f t="shared" si="9"/>
        <v>0.99367909304967805</v>
      </c>
      <c r="N20" s="6">
        <f t="shared" si="10"/>
        <v>0.6916475972540046</v>
      </c>
      <c r="O20">
        <f t="shared" si="2"/>
        <v>0.3231756214915798</v>
      </c>
      <c r="P20" s="8">
        <f t="shared" si="3"/>
        <v>0.44051739843323012</v>
      </c>
    </row>
    <row r="21" spans="1:18" x14ac:dyDescent="0.2">
      <c r="A21" t="s">
        <v>26</v>
      </c>
      <c r="B21" s="3" t="s">
        <v>27</v>
      </c>
      <c r="C21" s="13" t="s">
        <v>60</v>
      </c>
      <c r="D21" s="13" t="s">
        <v>51</v>
      </c>
      <c r="E21" s="2" t="s">
        <v>50</v>
      </c>
      <c r="F21" s="4" t="s">
        <v>20</v>
      </c>
      <c r="G21" s="3">
        <v>2.8970369999999999E-3</v>
      </c>
      <c r="H21" s="4">
        <f>K21+L21</f>
        <v>0.14556395868911118</v>
      </c>
      <c r="I21" s="4">
        <f>1938/12297</f>
        <v>0.15759941449133935</v>
      </c>
      <c r="J21" s="4">
        <f>8569/12297</f>
        <v>0.6968366268195495</v>
      </c>
      <c r="K21" s="4">
        <f>1/12297</f>
        <v>8.1320647312352605E-5</v>
      </c>
      <c r="L21" s="4">
        <f>1789/12297</f>
        <v>0.14548263804179881</v>
      </c>
      <c r="M21" s="3">
        <f t="shared" si="9"/>
        <v>0.85443604131088891</v>
      </c>
      <c r="N21" s="6">
        <f t="shared" si="10"/>
        <v>0.99948427024239295</v>
      </c>
      <c r="O21">
        <f t="shared" si="2"/>
        <v>0.51998926750737862</v>
      </c>
      <c r="P21" s="8">
        <f t="shared" si="3"/>
        <v>0.68408048005647726</v>
      </c>
    </row>
    <row r="22" spans="1:18" x14ac:dyDescent="0.2">
      <c r="A22" t="s">
        <v>26</v>
      </c>
      <c r="B22" s="3" t="s">
        <v>27</v>
      </c>
      <c r="C22" s="13" t="s">
        <v>60</v>
      </c>
      <c r="D22" s="13" t="s">
        <v>49</v>
      </c>
      <c r="E22" s="2" t="s">
        <v>50</v>
      </c>
      <c r="F22" s="4" t="s">
        <v>20</v>
      </c>
      <c r="G22" s="3">
        <v>2.8970369999999999E-3</v>
      </c>
      <c r="H22" s="4">
        <f t="shared" ref="H22:H23" si="14">K22+L22</f>
        <v>0.24066702874583185</v>
      </c>
      <c r="I22" s="4">
        <f>249635/962957</f>
        <v>0.25923795143500694</v>
      </c>
      <c r="J22" s="4">
        <f>481570/962957</f>
        <v>0.50009501981916116</v>
      </c>
      <c r="K22" s="4">
        <f>12/962957</f>
        <v>1.2461615627696771E-5</v>
      </c>
      <c r="L22" s="4">
        <f>231740/962957</f>
        <v>0.24065456713020414</v>
      </c>
      <c r="M22" s="3">
        <f t="shared" si="9"/>
        <v>0.7593329712541681</v>
      </c>
      <c r="N22" s="6">
        <f t="shared" si="10"/>
        <v>0.99995193212816502</v>
      </c>
      <c r="O22">
        <f t="shared" si="2"/>
        <v>0.51858737990132431</v>
      </c>
      <c r="P22" s="8">
        <f t="shared" si="3"/>
        <v>0.68297534137139504</v>
      </c>
    </row>
    <row r="23" spans="1:18" x14ac:dyDescent="0.2">
      <c r="A23" t="s">
        <v>26</v>
      </c>
      <c r="B23" s="3" t="s">
        <v>27</v>
      </c>
      <c r="C23" s="13" t="s">
        <v>60</v>
      </c>
      <c r="D23" s="13" t="s">
        <v>54</v>
      </c>
      <c r="E23" s="2" t="s">
        <v>50</v>
      </c>
      <c r="F23" s="4" t="s">
        <v>20</v>
      </c>
      <c r="G23" s="3">
        <v>2.8970369999999999E-3</v>
      </c>
      <c r="H23" s="4">
        <f t="shared" si="14"/>
        <v>5.0880110651891127E-3</v>
      </c>
      <c r="I23" s="4">
        <f>1303/485848</f>
        <v>2.6819087451219309E-3</v>
      </c>
      <c r="J23" s="4">
        <f>482073/485848</f>
        <v>0.99223008018968895</v>
      </c>
      <c r="K23" s="4">
        <f>34/485848</f>
        <v>6.9980734715384239E-5</v>
      </c>
      <c r="L23" s="4">
        <f>2438/485848</f>
        <v>5.0180303304737288E-3</v>
      </c>
      <c r="M23" s="3">
        <f t="shared" si="9"/>
        <v>0.99491198893481092</v>
      </c>
      <c r="N23" s="6">
        <f t="shared" si="10"/>
        <v>0.97456993268511594</v>
      </c>
      <c r="O23">
        <f t="shared" si="2"/>
        <v>0.34830259288960169</v>
      </c>
      <c r="P23" s="8">
        <f t="shared" si="3"/>
        <v>0.51319417093343833</v>
      </c>
    </row>
    <row r="24" spans="1:18" x14ac:dyDescent="0.2">
      <c r="A24" t="s">
        <v>26</v>
      </c>
      <c r="B24" s="3" t="s">
        <v>61</v>
      </c>
      <c r="C24" s="13" t="s">
        <v>51</v>
      </c>
      <c r="D24" s="13" t="s">
        <v>51</v>
      </c>
      <c r="E24" s="2" t="s">
        <v>50</v>
      </c>
      <c r="F24" s="2" t="s">
        <v>20</v>
      </c>
      <c r="G24" s="1">
        <v>0.19402829999999999</v>
      </c>
      <c r="H24" s="2">
        <f>K24+L24</f>
        <v>0.19996747174107507</v>
      </c>
      <c r="I24" s="2">
        <f>1427/12297</f>
        <v>0.11604456371472717</v>
      </c>
      <c r="J24" s="2">
        <f>8411/12297</f>
        <v>0.68398796454419775</v>
      </c>
      <c r="K24" s="2">
        <f>159/12297</f>
        <v>1.2929982922664065E-2</v>
      </c>
      <c r="L24" s="2">
        <f>2300/12297</f>
        <v>0.18703748881841101</v>
      </c>
      <c r="M24" s="3">
        <f t="shared" si="9"/>
        <v>0.8000325282589249</v>
      </c>
      <c r="N24" s="6">
        <f t="shared" si="10"/>
        <v>0.89974779319041609</v>
      </c>
      <c r="O24">
        <f t="shared" si="2"/>
        <v>0.38288167426884889</v>
      </c>
      <c r="P24" s="8">
        <f t="shared" si="3"/>
        <v>0.53717297195558056</v>
      </c>
    </row>
    <row r="25" spans="1:18" x14ac:dyDescent="0.2">
      <c r="A25" t="s">
        <v>26</v>
      </c>
      <c r="B25" s="3" t="s">
        <v>61</v>
      </c>
      <c r="C25" s="13" t="s">
        <v>49</v>
      </c>
      <c r="D25" s="13" t="s">
        <v>49</v>
      </c>
      <c r="E25" s="2" t="s">
        <v>50</v>
      </c>
      <c r="F25" t="s">
        <v>20</v>
      </c>
      <c r="G25" s="9">
        <v>0.35064640000000002</v>
      </c>
      <c r="H25" s="2">
        <f t="shared" ref="H25:H29" si="15">K25+L25</f>
        <v>0.35082355702279538</v>
      </c>
      <c r="I25">
        <f>450294/962957</f>
        <v>0.46761589562150752</v>
      </c>
      <c r="J25">
        <f>174835/962957</f>
        <v>0.1815605473556971</v>
      </c>
      <c r="K25">
        <f>306747/962957</f>
        <v>0.31854693407909179</v>
      </c>
      <c r="L25">
        <f>31081/962957</f>
        <v>3.2276622943703613E-2</v>
      </c>
      <c r="M25" s="3">
        <f t="shared" si="9"/>
        <v>0.64917644297720456</v>
      </c>
      <c r="N25" s="6">
        <f t="shared" si="10"/>
        <v>0.59480794303082651</v>
      </c>
      <c r="O25">
        <f t="shared" si="2"/>
        <v>0.9354328745780317</v>
      </c>
      <c r="P25" s="8">
        <f t="shared" si="3"/>
        <v>0.72720959677523545</v>
      </c>
    </row>
    <row r="26" spans="1:18" x14ac:dyDescent="0.2">
      <c r="A26" t="s">
        <v>26</v>
      </c>
      <c r="B26" s="3" t="s">
        <v>61</v>
      </c>
      <c r="C26" s="13" t="s">
        <v>54</v>
      </c>
      <c r="D26" s="13" t="s">
        <v>54</v>
      </c>
      <c r="E26" s="2" t="s">
        <v>50</v>
      </c>
      <c r="F26" s="2" t="s">
        <v>20</v>
      </c>
      <c r="G26" s="1">
        <v>0.80609600000000003</v>
      </c>
      <c r="H26" s="2">
        <f t="shared" si="15"/>
        <v>0.80618629694883992</v>
      </c>
      <c r="I26" s="2">
        <f>3443/485848</f>
        <v>7.0865785183843507E-3</v>
      </c>
      <c r="J26" s="2">
        <f>90721/485848</f>
        <v>0.18672712453277568</v>
      </c>
      <c r="K26" s="2">
        <f>391386/485848</f>
        <v>0.80557293639162864</v>
      </c>
      <c r="L26" s="2">
        <f>298/485848</f>
        <v>6.1336055721130885E-4</v>
      </c>
      <c r="M26" s="3">
        <f t="shared" si="9"/>
        <v>0.19381370305116005</v>
      </c>
      <c r="N26" s="6">
        <f t="shared" si="10"/>
        <v>8.7202307834530896E-3</v>
      </c>
      <c r="O26">
        <f t="shared" si="2"/>
        <v>0.92034215450414336</v>
      </c>
      <c r="P26" s="8">
        <f t="shared" si="3"/>
        <v>1.7276764432847432E-2</v>
      </c>
    </row>
    <row r="27" spans="1:18" x14ac:dyDescent="0.2">
      <c r="A27" t="s">
        <v>26</v>
      </c>
      <c r="B27" s="3" t="s">
        <v>61</v>
      </c>
      <c r="C27" s="13" t="s">
        <v>51</v>
      </c>
      <c r="D27" s="13" t="s">
        <v>51</v>
      </c>
      <c r="E27" s="2" t="s">
        <v>50</v>
      </c>
      <c r="F27" t="s">
        <v>30</v>
      </c>
      <c r="G27" s="9">
        <v>0.1604245</v>
      </c>
      <c r="H27" s="2">
        <f t="shared" si="15"/>
        <v>0.16792713670000814</v>
      </c>
      <c r="I27" s="2">
        <f>1821/12297</f>
        <v>0.14808489875579409</v>
      </c>
      <c r="J27" s="2">
        <f>8411/12297</f>
        <v>0.68398796454419775</v>
      </c>
      <c r="K27" s="2">
        <f>159/12297</f>
        <v>1.2929982922664065E-2</v>
      </c>
      <c r="L27" s="2">
        <f>1906/12297</f>
        <v>0.15499715377734408</v>
      </c>
      <c r="M27" s="3">
        <f t="shared" si="9"/>
        <v>0.83207286329999186</v>
      </c>
      <c r="N27" s="6">
        <f t="shared" si="10"/>
        <v>0.91969696969696968</v>
      </c>
      <c r="O27">
        <f t="shared" si="2"/>
        <v>0.48859672658975051</v>
      </c>
      <c r="P27" s="8">
        <f t="shared" si="3"/>
        <v>0.63816365866479763</v>
      </c>
    </row>
    <row r="28" spans="1:18" x14ac:dyDescent="0.2">
      <c r="A28" t="s">
        <v>26</v>
      </c>
      <c r="B28" s="3" t="s">
        <v>61</v>
      </c>
      <c r="C28" s="13" t="s">
        <v>49</v>
      </c>
      <c r="D28" s="13" t="s">
        <v>49</v>
      </c>
      <c r="E28" s="2" t="s">
        <v>50</v>
      </c>
      <c r="F28" s="2" t="s">
        <v>30</v>
      </c>
      <c r="G28" s="1">
        <v>0.3418564</v>
      </c>
      <c r="H28" s="2">
        <f t="shared" si="15"/>
        <v>0.34216792650139105</v>
      </c>
      <c r="I28">
        <f>451498/962957</f>
        <v>0.46886621105615306</v>
      </c>
      <c r="J28">
        <f>181966/962957</f>
        <v>0.18896586244245589</v>
      </c>
      <c r="K28">
        <f>299616/962957</f>
        <v>0.311141618992333</v>
      </c>
      <c r="L28">
        <f>29877/962957</f>
        <v>3.1026307509058038E-2</v>
      </c>
      <c r="M28" s="3">
        <f t="shared" si="9"/>
        <v>0.65783207349860895</v>
      </c>
      <c r="N28" s="6">
        <f t="shared" si="10"/>
        <v>0.60110449279337086</v>
      </c>
      <c r="O28">
        <f t="shared" si="2"/>
        <v>0.93793404310568684</v>
      </c>
      <c r="P28" s="8">
        <f t="shared" si="3"/>
        <v>0.73266049433301228</v>
      </c>
    </row>
    <row r="29" spans="1:18" x14ac:dyDescent="0.2">
      <c r="A29" t="s">
        <v>26</v>
      </c>
      <c r="B29" s="1" t="s">
        <v>61</v>
      </c>
      <c r="C29" s="13" t="s">
        <v>54</v>
      </c>
      <c r="D29" s="13" t="s">
        <v>54</v>
      </c>
      <c r="E29" s="2" t="s">
        <v>50</v>
      </c>
      <c r="F29" s="13" t="s">
        <v>30</v>
      </c>
      <c r="G29" s="9">
        <v>0.80658280000000004</v>
      </c>
      <c r="H29" s="2">
        <f t="shared" si="15"/>
        <v>0.80662058915545609</v>
      </c>
      <c r="I29" s="2">
        <f>3445/485848</f>
        <v>7.0906950321911379E-3</v>
      </c>
      <c r="J29" s="2">
        <f>90508/485848</f>
        <v>0.18628871581235285</v>
      </c>
      <c r="K29" s="2">
        <f>391599/485848</f>
        <v>0.80601134511205152</v>
      </c>
      <c r="L29" s="2">
        <f>296/485848</f>
        <v>6.0924404340452162E-4</v>
      </c>
      <c r="M29" s="9">
        <f t="shared" si="4"/>
        <v>0.19337941084454399</v>
      </c>
      <c r="N29" s="11">
        <f t="shared" si="5"/>
        <v>8.7205475845728575E-3</v>
      </c>
      <c r="O29">
        <f t="shared" si="2"/>
        <v>0.92087677091686715</v>
      </c>
      <c r="P29" s="8">
        <f t="shared" si="3"/>
        <v>1.7277480346552652E-2</v>
      </c>
    </row>
    <row r="30" spans="1:18" ht="96" x14ac:dyDescent="0.2">
      <c r="A30" t="s">
        <v>31</v>
      </c>
      <c r="B30" s="28" t="s">
        <v>32</v>
      </c>
      <c r="C30" s="13" t="s">
        <v>51</v>
      </c>
      <c r="D30" s="13" t="s">
        <v>51</v>
      </c>
      <c r="E30" s="13" t="s">
        <v>50</v>
      </c>
      <c r="F30" s="29" t="s">
        <v>33</v>
      </c>
      <c r="G30" s="1">
        <v>4.2294499999999999E-2</v>
      </c>
      <c r="H30" s="2">
        <v>4.2889759999999999E-2</v>
      </c>
      <c r="I30" s="13">
        <v>0.25978469999999998</v>
      </c>
      <c r="J30" s="13">
        <v>0.69732550000000004</v>
      </c>
      <c r="K30" s="13">
        <v>4.2889759999999999E-2</v>
      </c>
      <c r="L30" s="13">
        <v>0</v>
      </c>
      <c r="M30" s="1">
        <f t="shared" si="4"/>
        <v>0.95711023828440955</v>
      </c>
      <c r="N30" s="10">
        <f t="shared" si="5"/>
        <v>0.85829739317945752</v>
      </c>
      <c r="O30" s="13">
        <f t="shared" si="2"/>
        <v>1</v>
      </c>
      <c r="P30" s="7">
        <f t="shared" si="3"/>
        <v>0.92374600139857266</v>
      </c>
      <c r="R30" s="13"/>
    </row>
    <row r="31" spans="1:18" ht="96" x14ac:dyDescent="0.2">
      <c r="A31" t="s">
        <v>31</v>
      </c>
      <c r="B31" s="28" t="s">
        <v>32</v>
      </c>
      <c r="C31" s="13" t="s">
        <v>51</v>
      </c>
      <c r="D31" s="13" t="s">
        <v>51</v>
      </c>
      <c r="E31" s="13" t="s">
        <v>50</v>
      </c>
      <c r="F31" s="29" t="s">
        <v>34</v>
      </c>
      <c r="G31" s="28">
        <v>3.7687480000000002E-2</v>
      </c>
      <c r="H31">
        <v>3.9628179999999999E-2</v>
      </c>
      <c r="I31">
        <v>0.26475860000000001</v>
      </c>
      <c r="J31">
        <v>0.69561320000000004</v>
      </c>
      <c r="K31">
        <v>3.7915850000000001E-2</v>
      </c>
      <c r="L31">
        <v>1.7123290000000001E-3</v>
      </c>
      <c r="M31" s="9">
        <f t="shared" si="4"/>
        <v>0.96037182016780831</v>
      </c>
      <c r="N31" s="6">
        <f t="shared" si="5"/>
        <v>0.87473058925191727</v>
      </c>
      <c r="O31" s="13">
        <f t="shared" si="2"/>
        <v>0.99357404949790973</v>
      </c>
      <c r="P31" s="7">
        <f t="shared" si="3"/>
        <v>0.93037248396951311</v>
      </c>
    </row>
    <row r="32" spans="1:18" ht="96" x14ac:dyDescent="0.2">
      <c r="B32" s="28" t="s">
        <v>32</v>
      </c>
      <c r="C32" s="13" t="s">
        <v>51</v>
      </c>
      <c r="D32" s="13" t="s">
        <v>51</v>
      </c>
      <c r="E32" s="13" t="s">
        <v>50</v>
      </c>
      <c r="F32" s="29" t="s">
        <v>62</v>
      </c>
      <c r="G32" s="9">
        <v>3.3565419999999999E-2</v>
      </c>
      <c r="H32" s="4">
        <v>3.6448139999999997E-2</v>
      </c>
      <c r="I32" s="4">
        <v>0.26997719999999997</v>
      </c>
      <c r="J32" s="4">
        <v>0.69357469999999999</v>
      </c>
      <c r="K32" s="4">
        <v>3.2697329999999997E-2</v>
      </c>
      <c r="L32" s="4">
        <v>3.7508149999999998E-3</v>
      </c>
      <c r="M32" s="3">
        <f t="shared" si="4"/>
        <v>0.9635518566401664</v>
      </c>
      <c r="N32" s="11">
        <f t="shared" si="5"/>
        <v>0.89197198059579041</v>
      </c>
      <c r="O32" s="13">
        <f t="shared" si="2"/>
        <v>0.98629729222271967</v>
      </c>
      <c r="P32" s="7">
        <f t="shared" si="3"/>
        <v>0.93676616226599074</v>
      </c>
      <c r="R32" s="4"/>
    </row>
    <row r="33" spans="1:18" ht="96" x14ac:dyDescent="0.2">
      <c r="B33" s="28" t="s">
        <v>32</v>
      </c>
      <c r="C33" s="13" t="s">
        <v>51</v>
      </c>
      <c r="D33" s="13" t="s">
        <v>51</v>
      </c>
      <c r="E33" s="2" t="s">
        <v>50</v>
      </c>
      <c r="F33" s="29" t="s">
        <v>63</v>
      </c>
      <c r="G33" s="3">
        <v>2.5113440000000001E-2</v>
      </c>
      <c r="H33" s="4">
        <v>3.4328110000000002E-2</v>
      </c>
      <c r="I33" s="4">
        <v>0.27438030000000002</v>
      </c>
      <c r="J33" s="4">
        <v>0.69129160000000001</v>
      </c>
      <c r="K33" s="4">
        <v>2.829419E-2</v>
      </c>
      <c r="L33" s="5">
        <v>6.0339199999999999E-3</v>
      </c>
      <c r="M33" s="4">
        <f t="shared" si="4"/>
        <v>0.96567189034328116</v>
      </c>
      <c r="N33" s="10">
        <f t="shared" si="5"/>
        <v>0.90651940968001632</v>
      </c>
      <c r="O33" s="13">
        <f t="shared" si="2"/>
        <v>0.97848211834620935</v>
      </c>
      <c r="P33" s="7">
        <f t="shared" si="3"/>
        <v>0.94112712283521993</v>
      </c>
      <c r="R33" s="4"/>
    </row>
    <row r="34" spans="1:18" ht="240" x14ac:dyDescent="0.2">
      <c r="B34" s="28" t="s">
        <v>32</v>
      </c>
      <c r="C34" t="s">
        <v>51</v>
      </c>
      <c r="D34" t="s">
        <v>51</v>
      </c>
      <c r="E34" s="33" t="s">
        <v>64</v>
      </c>
      <c r="F34" s="29" t="s">
        <v>36</v>
      </c>
      <c r="G34" s="1">
        <v>2.5252E-2</v>
      </c>
      <c r="H34" s="2">
        <v>3.4328110000000002E-2</v>
      </c>
      <c r="I34" s="2">
        <v>0.27438030000000002</v>
      </c>
      <c r="J34" s="2">
        <v>0.69129160000000001</v>
      </c>
      <c r="K34" s="2">
        <v>2.829419E-2</v>
      </c>
      <c r="L34" s="2">
        <v>6.0339199999999999E-3</v>
      </c>
      <c r="M34" s="1">
        <f t="shared" si="4"/>
        <v>0.96567189034328116</v>
      </c>
      <c r="N34" s="6">
        <f t="shared" si="5"/>
        <v>0.90651940968001632</v>
      </c>
      <c r="O34" s="13">
        <f t="shared" si="2"/>
        <v>0.97848211834620935</v>
      </c>
      <c r="P34" s="7">
        <f t="shared" si="3"/>
        <v>0.94112712283521993</v>
      </c>
      <c r="R34" s="2"/>
    </row>
    <row r="35" spans="1:18" ht="96" x14ac:dyDescent="0.2">
      <c r="B35" s="28" t="s">
        <v>32</v>
      </c>
      <c r="C35" s="2" t="s">
        <v>65</v>
      </c>
      <c r="D35" s="2" t="s">
        <v>65</v>
      </c>
      <c r="E35" s="27" t="s">
        <v>19</v>
      </c>
      <c r="F35" s="29" t="s">
        <v>39</v>
      </c>
      <c r="G35" s="9">
        <v>2.0299069999999999E-2</v>
      </c>
      <c r="H35">
        <v>3.3026899999999998E-2</v>
      </c>
      <c r="I35">
        <v>0.27502549999999998</v>
      </c>
      <c r="J35">
        <v>0.6919476</v>
      </c>
      <c r="K35">
        <v>2.6217230000000001E-2</v>
      </c>
      <c r="L35" s="8">
        <v>6.8096700000000003E-3</v>
      </c>
      <c r="M35">
        <f t="shared" si="4"/>
        <v>0.96697310000000003</v>
      </c>
      <c r="N35" s="11">
        <f t="shared" si="5"/>
        <v>0.91296975034053107</v>
      </c>
      <c r="O35" s="13">
        <f t="shared" si="2"/>
        <v>0.97583811133294684</v>
      </c>
      <c r="P35" s="7">
        <f t="shared" si="3"/>
        <v>0.943357654268838</v>
      </c>
    </row>
    <row r="36" spans="1:18" ht="96" x14ac:dyDescent="0.2">
      <c r="B36" s="28" t="s">
        <v>32</v>
      </c>
      <c r="C36" s="13" t="s">
        <v>49</v>
      </c>
      <c r="D36" s="13" t="s">
        <v>49</v>
      </c>
      <c r="E36" s="29" t="s">
        <v>19</v>
      </c>
      <c r="F36" s="29" t="s">
        <v>33</v>
      </c>
      <c r="G36" s="3">
        <v>0.14650079999999999</v>
      </c>
      <c r="H36" s="4">
        <v>0.1459078</v>
      </c>
      <c r="I36" s="2">
        <v>0.41524929999999999</v>
      </c>
      <c r="J36" s="2">
        <v>0.43884289999999998</v>
      </c>
      <c r="K36" s="2">
        <v>8.4870100000000004E-2</v>
      </c>
      <c r="L36" s="2">
        <v>6.1037729999999998E-2</v>
      </c>
      <c r="M36" s="1">
        <f t="shared" si="4"/>
        <v>0.85409217437723473</v>
      </c>
      <c r="N36" s="6">
        <f t="shared" si="5"/>
        <v>0.83030032428256129</v>
      </c>
      <c r="O36" s="13">
        <f t="shared" si="2"/>
        <v>0.87184675173707749</v>
      </c>
      <c r="P36" s="7">
        <f t="shared" si="3"/>
        <v>0.8505665002636249</v>
      </c>
      <c r="R36" s="4"/>
    </row>
    <row r="37" spans="1:18" ht="96" x14ac:dyDescent="0.2">
      <c r="B37" s="9" t="s">
        <v>32</v>
      </c>
      <c r="C37" s="13" t="s">
        <v>54</v>
      </c>
      <c r="D37" s="13" t="s">
        <v>54</v>
      </c>
      <c r="E37" s="29" t="s">
        <v>19</v>
      </c>
      <c r="F37" s="29" t="s">
        <v>33</v>
      </c>
      <c r="G37" s="3">
        <v>7.7036800000000001E-3</v>
      </c>
      <c r="H37" s="4">
        <v>7.7720530000000001E-3</v>
      </c>
      <c r="I37" s="13">
        <v>0</v>
      </c>
      <c r="J37" s="13">
        <v>0.99222790000000005</v>
      </c>
      <c r="K37" s="13">
        <v>7.7720530000000001E-3</v>
      </c>
      <c r="L37" s="7">
        <v>0</v>
      </c>
      <c r="M37" s="13">
        <f t="shared" si="4"/>
        <v>0.99222794663471359</v>
      </c>
      <c r="N37" s="11">
        <f t="shared" si="5"/>
        <v>0</v>
      </c>
      <c r="O37" s="13" t="e">
        <f t="shared" si="2"/>
        <v>#DIV/0!</v>
      </c>
      <c r="P37" s="7" t="e">
        <f t="shared" si="3"/>
        <v>#DIV/0!</v>
      </c>
      <c r="R37" s="4"/>
    </row>
    <row r="38" spans="1:18" x14ac:dyDescent="0.2">
      <c r="B38" s="3" t="s">
        <v>40</v>
      </c>
      <c r="C38" s="13" t="s">
        <v>51</v>
      </c>
      <c r="D38" s="13" t="s">
        <v>51</v>
      </c>
      <c r="E38" s="13" t="s">
        <v>19</v>
      </c>
      <c r="F38" s="13" t="s">
        <v>41</v>
      </c>
      <c r="G38" s="1">
        <v>4.8806679999999998E-2</v>
      </c>
      <c r="H38" s="2">
        <v>5.1940640000000003E-2</v>
      </c>
      <c r="I38" s="13">
        <v>0.25831700000000002</v>
      </c>
      <c r="J38" s="13">
        <v>0.68974230000000003</v>
      </c>
      <c r="K38" s="13">
        <v>4.4357470000000003E-2</v>
      </c>
      <c r="L38" s="13">
        <v>7.5831700000000002E-3</v>
      </c>
      <c r="M38" s="28">
        <f t="shared" si="4"/>
        <v>0.94805935688356147</v>
      </c>
      <c r="N38" s="6">
        <f t="shared" si="5"/>
        <v>0.85344826076675706</v>
      </c>
      <c r="O38" s="13">
        <f t="shared" si="2"/>
        <v>0.97148113895527044</v>
      </c>
      <c r="P38" s="7">
        <f t="shared" si="3"/>
        <v>0.90864763155810124</v>
      </c>
    </row>
    <row r="39" spans="1:18" x14ac:dyDescent="0.2">
      <c r="B39" s="3" t="s">
        <v>40</v>
      </c>
      <c r="C39" s="13" t="s">
        <v>51</v>
      </c>
      <c r="D39" s="13" t="s">
        <v>51</v>
      </c>
      <c r="E39" s="13" t="s">
        <v>19</v>
      </c>
      <c r="F39" s="13" t="s">
        <v>42</v>
      </c>
      <c r="G39" s="9">
        <v>4.3749349999999999E-2</v>
      </c>
      <c r="H39">
        <v>4.6069800000000001E-2</v>
      </c>
      <c r="I39">
        <v>0.27177099999999998</v>
      </c>
      <c r="J39">
        <v>0.68215919999999997</v>
      </c>
      <c r="K39">
        <v>3.0903460000000001E-2</v>
      </c>
      <c r="L39" s="8">
        <v>1.516634E-2</v>
      </c>
      <c r="M39">
        <f t="shared" si="4"/>
        <v>0.95393019999999995</v>
      </c>
      <c r="N39" s="11">
        <f t="shared" si="5"/>
        <v>0.89789868626510483</v>
      </c>
      <c r="O39" s="13">
        <f t="shared" si="2"/>
        <v>0.9471440698516268</v>
      </c>
      <c r="P39" s="7">
        <f t="shared" si="3"/>
        <v>0.92186418250109647</v>
      </c>
    </row>
    <row r="40" spans="1:18" x14ac:dyDescent="0.2">
      <c r="B40" s="3" t="s">
        <v>40</v>
      </c>
      <c r="C40" s="13" t="s">
        <v>51</v>
      </c>
      <c r="D40" s="13" t="s">
        <v>51</v>
      </c>
      <c r="E40" s="13" t="s">
        <v>19</v>
      </c>
      <c r="F40" s="13" t="s">
        <v>43</v>
      </c>
      <c r="G40" s="3">
        <v>3.7098619999999999E-2</v>
      </c>
      <c r="H40" s="4">
        <v>3.9383559999999998E-2</v>
      </c>
      <c r="I40" s="4">
        <v>0.27380949999999998</v>
      </c>
      <c r="J40" s="4">
        <v>0.6868069</v>
      </c>
      <c r="K40" s="4">
        <v>2.886497E-2</v>
      </c>
      <c r="L40" s="4">
        <v>1.051859E-2</v>
      </c>
      <c r="M40" s="3">
        <f t="shared" ref="M40:M42" si="16">(I40+J40) / (I40+J40+K40+L40)</f>
        <v>0.9606164384246576</v>
      </c>
      <c r="N40" s="10">
        <f t="shared" ref="N40:N42" si="17">I40 / (I40+K40)</f>
        <v>0.90463361511791862</v>
      </c>
      <c r="O40" s="13">
        <f t="shared" si="2"/>
        <v>0.96300544909227925</v>
      </c>
      <c r="P40" s="7">
        <f t="shared" si="3"/>
        <v>0.93290734541259923</v>
      </c>
    </row>
    <row r="41" spans="1:18" x14ac:dyDescent="0.2">
      <c r="B41" s="1" t="s">
        <v>40</v>
      </c>
      <c r="C41" s="13" t="s">
        <v>65</v>
      </c>
      <c r="D41" s="13" t="s">
        <v>51</v>
      </c>
      <c r="E41" s="13" t="s">
        <v>19</v>
      </c>
      <c r="F41" s="13" t="s">
        <v>44</v>
      </c>
      <c r="G41" s="1">
        <v>2.2393989999999999E-2</v>
      </c>
      <c r="H41" s="2">
        <v>3.3023480000000001E-2</v>
      </c>
      <c r="I41" s="2">
        <v>0.27992499999999998</v>
      </c>
      <c r="J41" s="2">
        <v>0.68705150000000004</v>
      </c>
      <c r="K41" s="2">
        <v>2.2749510000000001E-2</v>
      </c>
      <c r="L41" s="2">
        <v>1.027397E-2</v>
      </c>
      <c r="M41" s="1">
        <f t="shared" si="16"/>
        <v>0.96697651933953044</v>
      </c>
      <c r="N41" s="6">
        <f t="shared" si="17"/>
        <v>0.92483836845065004</v>
      </c>
      <c r="O41" s="13">
        <f t="shared" si="2"/>
        <v>0.96459680749383769</v>
      </c>
      <c r="P41" s="7">
        <f t="shared" si="3"/>
        <v>0.94429927950226411</v>
      </c>
    </row>
    <row r="42" spans="1:18" x14ac:dyDescent="0.2">
      <c r="A42" t="s">
        <v>31</v>
      </c>
      <c r="B42" s="3" t="s">
        <v>40</v>
      </c>
      <c r="C42" s="13" t="s">
        <v>49</v>
      </c>
      <c r="D42" s="13" t="s">
        <v>49</v>
      </c>
      <c r="E42" s="13" t="s">
        <v>19</v>
      </c>
      <c r="F42" s="13" t="s">
        <v>44</v>
      </c>
      <c r="G42" s="28">
        <v>0.1125032</v>
      </c>
      <c r="H42" s="13">
        <v>0.1122225</v>
      </c>
      <c r="I42" s="13">
        <v>0.43620340000000002</v>
      </c>
      <c r="J42" s="13">
        <v>0.45157409999999998</v>
      </c>
      <c r="K42" s="13">
        <v>6.3916059999999997E-2</v>
      </c>
      <c r="L42" s="7">
        <v>4.8306439999999999E-2</v>
      </c>
      <c r="M42" s="13">
        <f t="shared" si="16"/>
        <v>0.8877775</v>
      </c>
      <c r="N42" s="12">
        <f t="shared" si="17"/>
        <v>0.87219841435484224</v>
      </c>
      <c r="O42" s="13">
        <f t="shared" si="2"/>
        <v>0.9002983303703388</v>
      </c>
      <c r="P42" s="7">
        <f t="shared" si="3"/>
        <v>0.88602563421584146</v>
      </c>
    </row>
    <row r="43" spans="1:18" x14ac:dyDescent="0.2">
      <c r="B43" s="1" t="s">
        <v>40</v>
      </c>
      <c r="C43" s="13" t="s">
        <v>54</v>
      </c>
      <c r="D43" s="13" t="s">
        <v>54</v>
      </c>
      <c r="E43" s="13" t="s">
        <v>19</v>
      </c>
      <c r="F43" s="13" t="s">
        <v>44</v>
      </c>
      <c r="G43" s="28">
        <v>6.1334470000000002E-3</v>
      </c>
      <c r="H43" s="13">
        <v>6.267519E-3</v>
      </c>
      <c r="I43" s="13">
        <v>1.910552E-3</v>
      </c>
      <c r="J43" s="13">
        <v>0.99182190000000003</v>
      </c>
      <c r="K43" s="13">
        <v>5.8615000000000004E-3</v>
      </c>
      <c r="L43" s="7">
        <v>4.0601809999999999E-4</v>
      </c>
      <c r="M43" s="13">
        <f t="shared" ref="M43" si="18">(I43+J43) / (I43+J43+K43+L43)</f>
        <v>0.99373248171260131</v>
      </c>
      <c r="N43" s="12">
        <f t="shared" ref="N43" si="19">I43 / (I43+K43)</f>
        <v>0.24582336814009992</v>
      </c>
      <c r="O43" s="13">
        <f t="shared" ref="O43" si="20">I43/(I43+L43)</f>
        <v>0.8247330827588597</v>
      </c>
      <c r="P43" s="7">
        <f t="shared" ref="P43" si="21">(2*N43*O43)/(N43+O43)</f>
        <v>0.37875380424845134</v>
      </c>
    </row>
  </sheetData>
  <conditionalFormatting sqref="G2:G43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I11 J9:L11 G29:I39 G12:L28 J29:L29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40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1 J9:L11 I18:L28 J29:L29 I29:I4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1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L14 H15:L17 H2:H43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8 J38:J4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9 J38:J4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1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8 K38:K41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9 K38:K41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2:K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8 L30:L43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P4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1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E9DA-2FA4-48CE-89D6-2446A3BF83D8}">
  <dimension ref="C2:D8"/>
  <sheetViews>
    <sheetView topLeftCell="A8" workbookViewId="0">
      <selection activeCell="C23" sqref="C23"/>
    </sheetView>
  </sheetViews>
  <sheetFormatPr baseColWidth="10" defaultColWidth="8.83203125" defaultRowHeight="15" x14ac:dyDescent="0.2"/>
  <cols>
    <col min="3" max="3" width="16.33203125" customWidth="1"/>
    <col min="4" max="4" width="23.5" customWidth="1"/>
  </cols>
  <sheetData>
    <row r="2" spans="3:4" x14ac:dyDescent="0.2">
      <c r="C2" t="s">
        <v>0</v>
      </c>
      <c r="D2" s="14" t="s">
        <v>1</v>
      </c>
    </row>
    <row r="3" spans="3:4" x14ac:dyDescent="0.2">
      <c r="C3" t="s">
        <v>16</v>
      </c>
      <c r="D3" s="9" t="s">
        <v>17</v>
      </c>
    </row>
    <row r="4" spans="3:4" x14ac:dyDescent="0.2">
      <c r="C4" t="s">
        <v>16</v>
      </c>
      <c r="D4" s="1" t="s">
        <v>23</v>
      </c>
    </row>
    <row r="5" spans="3:4" x14ac:dyDescent="0.2">
      <c r="C5" t="s">
        <v>26</v>
      </c>
      <c r="D5" s="9" t="s">
        <v>29</v>
      </c>
    </row>
    <row r="6" spans="3:4" x14ac:dyDescent="0.2">
      <c r="C6" t="s">
        <v>26</v>
      </c>
      <c r="D6" s="1" t="s">
        <v>66</v>
      </c>
    </row>
    <row r="7" spans="3:4" x14ac:dyDescent="0.2">
      <c r="C7" t="s">
        <v>31</v>
      </c>
      <c r="D7" s="9" t="s">
        <v>67</v>
      </c>
    </row>
    <row r="8" spans="3:4" x14ac:dyDescent="0.2">
      <c r="C8" t="s">
        <v>31</v>
      </c>
      <c r="D8" s="1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92571AF43B945ABF8E46D13CA7540" ma:contentTypeVersion="12" ma:contentTypeDescription="Create a new document." ma:contentTypeScope="" ma:versionID="7c3790ef0e8692f7600606023c11f74f">
  <xsd:schema xmlns:xsd="http://www.w3.org/2001/XMLSchema" xmlns:xs="http://www.w3.org/2001/XMLSchema" xmlns:p="http://schemas.microsoft.com/office/2006/metadata/properties" xmlns:ns2="d7a3153b-82ed-4db8-ac5c-725fe9127726" xmlns:ns3="b07696fb-411e-4c7f-87ee-354747d8dcfd" targetNamespace="http://schemas.microsoft.com/office/2006/metadata/properties" ma:root="true" ma:fieldsID="07c9bb6adad7200c362c447085c35045" ns2:_="" ns3:_="">
    <xsd:import namespace="d7a3153b-82ed-4db8-ac5c-725fe9127726"/>
    <xsd:import namespace="b07696fb-411e-4c7f-87ee-354747d8d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3153b-82ed-4db8-ac5c-725fe91277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696fb-411e-4c7f-87ee-354747d8dcf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87add08-1eac-4236-8e48-75848981e90a}" ma:internalName="TaxCatchAll" ma:showField="CatchAllData" ma:web="b07696fb-411e-4c7f-87ee-354747d8d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7696fb-411e-4c7f-87ee-354747d8dcfd" xsi:nil="true"/>
    <lcf76f155ced4ddcb4097134ff3c332f xmlns="d7a3153b-82ed-4db8-ac5c-725fe912772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CFB618-B240-4F2D-ACD2-52D10ACB6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a3153b-82ed-4db8-ac5c-725fe9127726"/>
    <ds:schemaRef ds:uri="b07696fb-411e-4c7f-87ee-354747d8d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1B4B84-7A45-432F-B8B7-A8B3A86DFE6A}">
  <ds:schemaRefs>
    <ds:schemaRef ds:uri="http://purl.org/dc/elements/1.1/"/>
    <ds:schemaRef ds:uri="http://purl.org/dc/terms/"/>
    <ds:schemaRef ds:uri="http://schemas.microsoft.com/office/infopath/2007/PartnerControls"/>
    <ds:schemaRef ds:uri="b07696fb-411e-4c7f-87ee-354747d8dcfd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d7a3153b-82ed-4db8-ac5c-725fe912772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C78ABAE-9EA9-42B6-93C3-9F6CDBED86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Generic</vt:lpstr>
      <vt:lpstr>Sheet1</vt:lpstr>
      <vt:lpstr>Veteran</vt:lpstr>
      <vt:lpstr>Model_Assignments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Marrero, Giovanni J</cp:lastModifiedBy>
  <cp:revision/>
  <dcterms:created xsi:type="dcterms:W3CDTF">2024-10-07T21:42:10Z</dcterms:created>
  <dcterms:modified xsi:type="dcterms:W3CDTF">2024-12-04T14:24:17Z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0x01010074F92571AF43B945ABF8E46D13CA7540</vt:lpwstr>
  </property>
</Properties>
</file>