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updated stats/clean/Statistics-Sheet/"/>
    </mc:Choice>
  </mc:AlternateContent>
  <xr:revisionPtr revIDLastSave="0" documentId="13_ncr:1_{F36C0BE3-E04B-FA4E-A3A4-FA588BED62EC}" xr6:coauthVersionLast="45" xr6:coauthVersionMax="45" xr10:uidLastSave="{00000000-0000-0000-0000-000000000000}"/>
  <bookViews>
    <workbookView xWindow="1160" yWindow="1080" windowWidth="15640" windowHeight="18740" activeTab="7" xr2:uid="{34D5F05A-A698-714B-8EF6-AC36EAC16669}"/>
  </bookViews>
  <sheets>
    <sheet name="Random Variable x" sheetId="1" r:id="rId1"/>
    <sheet name="Chpater 10" sheetId="11" r:id="rId2"/>
    <sheet name="Normal Distribution" sheetId="6" r:id="rId3"/>
    <sheet name="Chapter 9" sheetId="9" r:id="rId4"/>
    <sheet name="t-values" sheetId="10" r:id="rId5"/>
    <sheet name="Histogram" sheetId="13" r:id="rId6"/>
    <sheet name="Quartiles" sheetId="12" r:id="rId7"/>
    <sheet name="Chapter 8" sheetId="8" r:id="rId8"/>
    <sheet name="Binomial Probability" sheetId="2" r:id="rId9"/>
    <sheet name="x &amp; Probability" sheetId="4" r:id="rId10"/>
    <sheet name="Expected Value" sheetId="5" r:id="rId11"/>
    <sheet name="Poisson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3" l="1"/>
  <c r="D7" i="13"/>
  <c r="E7" i="13"/>
  <c r="F7" i="13" s="1"/>
  <c r="C8" i="13"/>
  <c r="D8" i="13"/>
  <c r="E8" i="13"/>
  <c r="C9" i="13"/>
  <c r="D9" i="13"/>
  <c r="E9" i="13"/>
  <c r="C10" i="13"/>
  <c r="D10" i="13"/>
  <c r="E10" i="13"/>
  <c r="F14" i="13"/>
  <c r="F8" i="13" s="1"/>
  <c r="D3" i="12"/>
  <c r="D4" i="12"/>
  <c r="D5" i="12"/>
  <c r="D7" i="12"/>
  <c r="D8" i="12"/>
  <c r="D9" i="12"/>
  <c r="F9" i="13" l="1"/>
  <c r="G31" i="11"/>
  <c r="G32" i="11" s="1"/>
  <c r="L33" i="11" l="1"/>
  <c r="L34" i="11" s="1"/>
  <c r="L36" i="11" s="1"/>
  <c r="L31" i="11"/>
  <c r="G39" i="11"/>
  <c r="G37" i="11"/>
  <c r="G38" i="11" s="1"/>
  <c r="C36" i="11"/>
  <c r="G34" i="11"/>
  <c r="C33" i="11"/>
  <c r="C34" i="11" s="1"/>
  <c r="C31" i="11"/>
  <c r="G16" i="11"/>
  <c r="G17" i="11" s="1"/>
  <c r="G19" i="11" s="1"/>
  <c r="G20" i="11" s="1"/>
  <c r="C16" i="11"/>
  <c r="C18" i="11" s="1"/>
  <c r="C20" i="11" s="1"/>
  <c r="C21" i="11" s="1"/>
  <c r="G13" i="11"/>
  <c r="G14" i="11" s="1"/>
  <c r="C13" i="11"/>
  <c r="C14" i="11" s="1"/>
  <c r="C39" i="11" l="1"/>
  <c r="C38" i="11"/>
  <c r="F13" i="10"/>
  <c r="I22" i="10" l="1"/>
  <c r="I9" i="10"/>
  <c r="C23" i="10"/>
  <c r="C24" i="10" s="1"/>
  <c r="C26" i="10" s="1"/>
  <c r="C13" i="10"/>
  <c r="C14" i="10" s="1"/>
  <c r="F10" i="10"/>
  <c r="F11" i="10" s="1"/>
  <c r="F12" i="10" s="1"/>
  <c r="I10" i="10"/>
  <c r="C8" i="10"/>
  <c r="C9" i="10" s="1"/>
  <c r="I10" i="9" l="1"/>
  <c r="I9" i="9"/>
  <c r="C19" i="9"/>
  <c r="C21" i="9" s="1"/>
  <c r="F18" i="9"/>
  <c r="C18" i="9"/>
  <c r="F11" i="9"/>
  <c r="F12" i="9" s="1"/>
  <c r="F10" i="9"/>
  <c r="F9" i="9"/>
  <c r="I8" i="9"/>
  <c r="C8" i="9"/>
  <c r="F7" i="9"/>
  <c r="C7" i="9"/>
  <c r="F6" i="9"/>
  <c r="F13" i="9" s="1"/>
  <c r="C20" i="9" l="1"/>
  <c r="AA4" i="6"/>
  <c r="AA5" i="6" s="1"/>
  <c r="I15" i="8" l="1"/>
  <c r="F3" i="8"/>
  <c r="E23" i="8"/>
  <c r="B7" i="8" l="1"/>
  <c r="B11" i="8" s="1"/>
  <c r="B16" i="8" s="1"/>
  <c r="F12" i="8" l="1"/>
  <c r="F6" i="8"/>
  <c r="B10" i="8"/>
  <c r="B17" i="8"/>
  <c r="B6" i="8"/>
  <c r="X7" i="6"/>
  <c r="W7" i="6"/>
  <c r="T7" i="6"/>
  <c r="T6" i="6"/>
  <c r="K28" i="6"/>
  <c r="K27" i="6"/>
  <c r="K9" i="6"/>
  <c r="Q22" i="6"/>
  <c r="Q19" i="6"/>
  <c r="Q31" i="6"/>
  <c r="B10" i="6"/>
  <c r="B9" i="6"/>
  <c r="B12" i="6" s="1"/>
  <c r="B8" i="6"/>
  <c r="AI6" i="6"/>
  <c r="AE4" i="6"/>
  <c r="K7" i="6"/>
  <c r="P10" i="6"/>
  <c r="Q3" i="6"/>
  <c r="Q5" i="6" s="1"/>
  <c r="Q7" i="6" s="1"/>
  <c r="H4" i="6"/>
  <c r="H5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B13" i="8" l="1"/>
  <c r="B14" i="8" s="1"/>
  <c r="F9" i="8"/>
  <c r="F7" i="8"/>
  <c r="F13" i="8" s="1"/>
  <c r="F14" i="8" s="1"/>
  <c r="F15" i="8" s="1"/>
  <c r="B23" i="8"/>
  <c r="B24" i="8"/>
  <c r="K26" i="6"/>
  <c r="K14" i="6"/>
  <c r="Q8" i="6"/>
  <c r="H6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26" i="8" l="1"/>
  <c r="K15" i="6"/>
  <c r="K18" i="6" s="1"/>
  <c r="K22" i="6" s="1"/>
  <c r="K17" i="6"/>
  <c r="K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<sst xmlns="http://schemas.openxmlformats.org/spreadsheetml/2006/main" count="415" uniqueCount="294">
  <si>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</si>
  <si>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</si>
  <si>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</si>
  <si>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</si>
  <si>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</si>
  <si>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</si>
  <si>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</si>
  <si>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</si>
  <si>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</si>
  <si>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</si>
  <si>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</si>
  <si>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</si>
  <si>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</si>
  <si>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</si>
  <si>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</si>
  <si>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</si>
  <si>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</si>
  <si>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</si>
  <si>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</si>
  <si>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</si>
  <si>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</si>
  <si>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</si>
  <si>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</si>
  <si>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</si>
  <si>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</si>
  <si>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</si>
  <si>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</si>
  <si>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</si>
  <si>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</si>
  <si>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</si>
  <si>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</si>
  <si>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</si>
  <si>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</si>
  <si>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</si>
  <si>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</si>
  <si>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</si>
  <si>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</si>
  <si>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</si>
  <si>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</si>
  <si>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</si>
  <si>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</si>
  <si>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</si>
  <si>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</si>
  <si>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</si>
  <si>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</si>
  <si>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</si>
  <si>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</si>
  <si>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</si>
  <si>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</si>
  <si>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</si>
  <si>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</si>
  <si>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</si>
  <si>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</si>
  <si>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</si>
  <si>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</si>
  <si>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</si>
  <si>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</si>
  <si>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</si>
  <si>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</si>
  <si>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</si>
  <si>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</si>
  <si>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</si>
  <si>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</si>
  <si>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</si>
  <si>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</si>
  <si>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</si>
  <si>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</si>
  <si>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</si>
  <si>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</si>
  <si>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</si>
  <si>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</si>
  <si>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</si>
  <si>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</si>
  <si>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</si>
  <si>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</si>
  <si>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</si>
  <si>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</si>
  <si>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</si>
  <si>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</si>
  <si>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</si>
  <si>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</si>
  <si>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</si>
  <si>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</si>
  <si>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</si>
  <si>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</si>
  <si>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</si>
  <si>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</si>
  <si>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</si>
  <si>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</si>
  <si>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</si>
  <si>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</si>
  <si>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</si>
  <si>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</si>
  <si>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</si>
  <si>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</si>
  <si>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</si>
  <si>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</si>
  <si>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</si>
  <si>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</si>
  <si>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</si>
  <si>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</si>
  <si>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</si>
  <si>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</si>
  <si>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</si>
  <si>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</si>
  <si>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</si>
  <si>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</si>
  <si>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</si>
  <si>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</si>
  <si>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</si>
  <si>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</si>
  <si>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</si>
  <si>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</si>
  <si>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</si>
  <si>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</si>
  <si>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</si>
  <si>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</si>
  <si>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</si>
  <si>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</si>
  <si>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</si>
  <si>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</si>
  <si>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</si>
  <si>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</si>
  <si>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</si>
  <si>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</si>
  <si>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</si>
  <si>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</si>
  <si>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</si>
  <si>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</si>
  <si>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</si>
  <si>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</si>
  <si>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</si>
  <si>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</si>
  <si>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</si>
  <si>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</si>
  <si>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</si>
  <si>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</si>
  <si>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</si>
  <si>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</si>
  <si>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</si>
  <si>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</si>
  <si>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</si>
  <si>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</si>
  <si>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</si>
  <si>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</si>
  <si>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</si>
  <si>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</si>
  <si>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</si>
  <si>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</si>
  <si>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</si>
  <si>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</si>
  <si>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</si>
  <si>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</si>
  <si>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</si>
  <si>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</si>
  <si>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</si>
  <si>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</si>
  <si>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</si>
  <si>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</si>
  <si>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</si>
  <si>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</si>
  <si>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</si>
  <si>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</si>
  <si>
    <t>X Bar</t>
  </si>
  <si>
    <t>sample size</t>
  </si>
  <si>
    <t>mean x bar</t>
  </si>
  <si>
    <t>x bar SD</t>
  </si>
  <si>
    <t>Central limit theorem states that a sample distribution has a normal distribution shape</t>
  </si>
  <si>
    <t>Between a range</t>
  </si>
  <si>
    <t xml:space="preserve">lower bound z-score </t>
  </si>
  <si>
    <t>P(lower-bound &lt; X &lt; upper-bound)</t>
  </si>
  <si>
    <t>sample size (n)</t>
  </si>
  <si>
    <t>Current i val</t>
  </si>
  <si>
    <t>z-score for I (using normal SD)</t>
  </si>
  <si>
    <t>z-score for i (using bar SD)</t>
  </si>
  <si>
    <t>bar P(X &lt; i val)</t>
  </si>
  <si>
    <t>bar P(X &gt; i val)</t>
  </si>
  <si>
    <t>normal P(x &lt; I val)</t>
  </si>
  <si>
    <t>normal P(x &gt; I val)</t>
  </si>
  <si>
    <t>Sample Proportion</t>
  </si>
  <si>
    <t>u sub p = p</t>
  </si>
  <si>
    <t>proportion</t>
  </si>
  <si>
    <t>mean of p</t>
  </si>
  <si>
    <t>sd of p</t>
  </si>
  <si>
    <t>if &gt; 10, then it's approx. normal</t>
  </si>
  <si>
    <t xml:space="preserve">proportion </t>
  </si>
  <si>
    <t>P(p &gt; num)</t>
  </si>
  <si>
    <t>P(p &lt; num)</t>
  </si>
  <si>
    <t xml:space="preserve">probability that more/less than </t>
  </si>
  <si>
    <t>between mintues</t>
  </si>
  <si>
    <t>Level of Confidence</t>
  </si>
  <si>
    <t xml:space="preserve">find the population portion </t>
  </si>
  <si>
    <t>level of confidence</t>
  </si>
  <si>
    <t>point estimate</t>
  </si>
  <si>
    <t xml:space="preserve">margin of error </t>
  </si>
  <si>
    <t xml:space="preserve">upper bound </t>
  </si>
  <si>
    <t>np(1-p) &gt;= 10?</t>
  </si>
  <si>
    <t xml:space="preserve">n </t>
  </si>
  <si>
    <t xml:space="preserve">percent </t>
  </si>
  <si>
    <t>E</t>
  </si>
  <si>
    <t>a/2</t>
  </si>
  <si>
    <t>critical value (z(a/2))</t>
  </si>
  <si>
    <t xml:space="preserve">lower bound </t>
  </si>
  <si>
    <t>Find sample size (n)</t>
  </si>
  <si>
    <t>margin of error (estimate) E</t>
  </si>
  <si>
    <t xml:space="preserve">sample size increse and decrese </t>
  </si>
  <si>
    <t>Confidence level</t>
  </si>
  <si>
    <t>given factor</t>
  </si>
  <si>
    <t>previous estimate (p cap)</t>
  </si>
  <si>
    <t>answer</t>
  </si>
  <si>
    <t>z of a/2</t>
  </si>
  <si>
    <t>n (prior estimate)</t>
  </si>
  <si>
    <t xml:space="preserve">Increasing the sample size by a factor M results in the margin of error decreasing by a factor of </t>
  </si>
  <si>
    <t>n (no prior estimate)</t>
  </si>
  <si>
    <t>StartFraction 1 Over StartRoot Upper M EndRoot EndFraction1M.</t>
  </si>
  <si>
    <t>Find the t-value</t>
  </si>
  <si>
    <t>Upper and Lower Bound</t>
  </si>
  <si>
    <t>Determine population mean and margin of error</t>
  </si>
  <si>
    <t>a</t>
  </si>
  <si>
    <t>df (degree of freedom)</t>
  </si>
  <si>
    <t>standard deviation</t>
  </si>
  <si>
    <t>t-value (left)</t>
  </si>
  <si>
    <t>confidence level (CI)</t>
  </si>
  <si>
    <t>t-value (right)</t>
  </si>
  <si>
    <t>Margin of Error</t>
  </si>
  <si>
    <t>t-valvue</t>
  </si>
  <si>
    <t>(a/2)</t>
  </si>
  <si>
    <t>t-value from %</t>
  </si>
  <si>
    <t xml:space="preserve">Use summary to determine the point estimate of the population mean </t>
  </si>
  <si>
    <t xml:space="preserve">mean </t>
  </si>
  <si>
    <t>Find n</t>
  </si>
  <si>
    <t>s</t>
  </si>
  <si>
    <t>CI</t>
  </si>
  <si>
    <t xml:space="preserve">comfidence level (%) </t>
  </si>
  <si>
    <t>(then you can use the 'Upper and Lower Bound' to compute by changing the standard deviation,…)</t>
  </si>
  <si>
    <t>(round up to one more value ex: 48 then should be 49)</t>
  </si>
  <si>
    <t>Population Proportion (Left-Tailed Test)</t>
  </si>
  <si>
    <t>Population Proportion (Two-Tailed Test)</t>
  </si>
  <si>
    <t>p-zero %</t>
  </si>
  <si>
    <t>keyword</t>
  </si>
  <si>
    <t>"is given"</t>
  </si>
  <si>
    <t xml:space="preserve">np(1-p) </t>
  </si>
  <si>
    <t xml:space="preserve">np(1-p) &gt;= 10? </t>
  </si>
  <si>
    <t>p-cap</t>
  </si>
  <si>
    <t>z-zero</t>
  </si>
  <si>
    <t>(do not round up)</t>
  </si>
  <si>
    <t>P-value</t>
  </si>
  <si>
    <t xml:space="preserve">p&gt;a? </t>
  </si>
  <si>
    <t>Find Lower and Upper Bound</t>
  </si>
  <si>
    <t xml:space="preserve">If np(1-p) &lt; 10 </t>
  </si>
  <si>
    <t>p-zero</t>
  </si>
  <si>
    <t xml:space="preserve">p-zero </t>
  </si>
  <si>
    <t xml:space="preserve">Change this -&gt;***new x value </t>
  </si>
  <si>
    <t>np-zero(1-p-zero) &gt;= 10</t>
  </si>
  <si>
    <t>z-value</t>
  </si>
  <si>
    <t xml:space="preserve">p-cap </t>
  </si>
  <si>
    <t>p (less than x)</t>
  </si>
  <si>
    <t>P-value( &gt;= )</t>
  </si>
  <si>
    <t>round up ex:  0.45 -&gt; 0.46</t>
  </si>
  <si>
    <t xml:space="preserve">P-value ( &lt;= ) </t>
  </si>
  <si>
    <t>means (u)</t>
  </si>
  <si>
    <t>x-bar (sample mean)</t>
  </si>
  <si>
    <t xml:space="preserve">s </t>
  </si>
  <si>
    <t>Is (n &gt;= 30)?</t>
  </si>
  <si>
    <t>t-zero</t>
  </si>
  <si>
    <t xml:space="preserve">P-value </t>
  </si>
  <si>
    <t xml:space="preserve">Reject null hypothesis? </t>
  </si>
  <si>
    <t>A​ p-value is the probability of observing the actual​ result, a sample​ mean, for​ example, or something more unusual just by chance if the null hypothesis is true.</t>
  </si>
  <si>
    <t>Type I Error: Rejecting null hypothesis (Hsub0) when Hsub0 is true</t>
  </si>
  <si>
    <t>Type II Error: Rejecting Hsub1 when Hsub1 is true. Or not rejecting Hsub0 when Hsub1 is true</t>
  </si>
  <si>
    <t>α = P(type I error) = P(rejecting Hsub0 when Hsub0 is true)</t>
  </si>
  <si>
    <r>
      <t xml:space="preserve">β </t>
    </r>
    <r>
      <rPr>
        <sz val="18"/>
        <color rgb="FF4D4D4F"/>
        <rFont val="STIXGeneral-Regular"/>
      </rPr>
      <t xml:space="preserve">= </t>
    </r>
    <r>
      <rPr>
        <sz val="18"/>
        <color rgb="FF4D4D4F"/>
        <rFont val="STIXGeneral-Italic"/>
      </rPr>
      <t>P</t>
    </r>
    <r>
      <rPr>
        <sz val="18"/>
        <color rgb="FF4D4D4F"/>
        <rFont val="STIXGeneral-Regular"/>
      </rPr>
      <t xml:space="preserve">(Type II error) = </t>
    </r>
    <r>
      <rPr>
        <sz val="18"/>
        <color rgb="FF4D4D4F"/>
        <rFont val="STIXGeneral-Italic"/>
      </rPr>
      <t>P</t>
    </r>
    <r>
      <rPr>
        <sz val="18"/>
        <color rgb="FF4D4D4F"/>
        <rFont val="STIXGeneral-Regular"/>
      </rPr>
      <t>(not rejecting </t>
    </r>
    <r>
      <rPr>
        <sz val="18"/>
        <color rgb="FF4D4D4F"/>
        <rFont val="STIXGeneral-Italic"/>
      </rPr>
      <t>H</t>
    </r>
    <r>
      <rPr>
        <sz val="13"/>
        <color rgb="FF4D4D4F"/>
        <rFont val="STIXGeneral-Regular"/>
      </rPr>
      <t>0</t>
    </r>
    <r>
      <rPr>
        <sz val="18"/>
        <color rgb="FF4D4D4F"/>
        <rFont val="STIXGeneral-Regular"/>
      </rPr>
      <t>when </t>
    </r>
    <r>
      <rPr>
        <sz val="18"/>
        <color rgb="FF4D4D4F"/>
        <rFont val="STIXGeneral-Italic"/>
      </rPr>
      <t>H</t>
    </r>
    <r>
      <rPr>
        <sz val="13"/>
        <color rgb="FF4D4D4F"/>
        <rFont val="STIXGeneral-Regular"/>
      </rPr>
      <t>1</t>
    </r>
    <r>
      <rPr>
        <sz val="18"/>
        <color rgb="FF4D4D4F"/>
        <rFont val="STIXGeneral-Regular"/>
      </rPr>
      <t>is true)</t>
    </r>
  </si>
  <si>
    <t>level of significance alpha</t>
  </si>
  <si>
    <t>IF P-VALUE is less than alpha, reject the null hypothesis</t>
  </si>
  <si>
    <t>percent (integer)</t>
  </si>
  <si>
    <t>IF P-Value is &gt; alpha, do not reject as there is not enough evdence</t>
  </si>
  <si>
    <t>if P &gt; A, don't reject.</t>
  </si>
  <si>
    <t xml:space="preserve">A​ P-value is the probability of observing a sample statistic as extreme or more extreme than the one observed under the assumption that the statement in the null hypothesis is true. </t>
  </si>
  <si>
    <t>p value = .19</t>
  </si>
  <si>
    <t>If the​ P-value for a particular test statistic is 0.19​, she expects results at least as extreme as the test statistic in about 19 of 100 samples if the null hypothesis is true.</t>
  </si>
  <si>
    <t xml:space="preserve">since the event is not unusual, don't reject </t>
  </si>
  <si>
    <t>Statistical significance means that the result observed in a sample is unusual when the null hypothesis is assumed to be true.</t>
  </si>
  <si>
    <t>if the interval (lower, upper) contains the proportion stated in the null hypothesis, there is insufficient evidence toward a changed result</t>
  </si>
  <si>
    <t>Q2</t>
  </si>
  <si>
    <t>count</t>
  </si>
  <si>
    <t>Dataset</t>
  </si>
  <si>
    <t>Count</t>
  </si>
  <si>
    <t>^ change the &lt; and &gt; string values</t>
  </si>
  <si>
    <t>Relative Freq</t>
  </si>
  <si>
    <t>Frequency</t>
  </si>
  <si>
    <t>Class upperbound</t>
  </si>
  <si>
    <t>Class lowerbound</t>
  </si>
  <si>
    <t>width?</t>
  </si>
  <si>
    <t>How many classes?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</si>
</sst>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166" formatCode="0.0000000000000000000000000000000000000000000000000000E+00"/>
    <numFmt numFmtId="167" formatCode="0.00000000"/>
    <numFmt numFmtId="168" formatCode="0.000000"/>
    <numFmt numFmtId="169" formatCode="0.000"/>
    <numFmt numFmtId="170" formatCode="0.0"/>
    <numFmt numFmtId="171" formatCode="0.0000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color rgb="FF000000"/>
      <name val="Arial"/>
      <family val="2"/>
    </font>
    <font>
      <sz val="18"/>
      <color rgb="FF4D4D4F"/>
      <name val="STIXGeneral-Italic"/>
    </font>
    <font>
      <sz val="16"/>
      <color rgb="FF4D4D4F"/>
      <name val="Myriad"/>
    </font>
    <font>
      <sz val="18"/>
      <color rgb="FF4D4D4F"/>
      <name val="STIXGeneral-Regular"/>
    </font>
    <font>
      <sz val="13"/>
      <color rgb="FF4D4D4F"/>
      <name val="STIXGeneral-Regula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166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7" fontId="0" fillId="0" borderId="0" xfId="0" applyNumberFormat="1"/>
    <xf numFmtId="168" fontId="7" fillId="0" borderId="2" xfId="0" applyNumberFormat="1" applyFont="1" applyBorder="1" applyAlignment="1">
      <alignment horizontal="center"/>
    </xf>
    <xf numFmtId="0" fontId="18" fillId="0" borderId="0" xfId="0" applyFont="1"/>
    <xf numFmtId="0" fontId="18" fillId="0" borderId="2" xfId="0" applyFont="1" applyBorder="1"/>
    <xf numFmtId="0" fontId="19" fillId="3" borderId="2" xfId="0" applyFont="1" applyFill="1" applyBorder="1"/>
    <xf numFmtId="168" fontId="18" fillId="0" borderId="2" xfId="0" applyNumberFormat="1" applyFont="1" applyBorder="1"/>
    <xf numFmtId="169" fontId="19" fillId="3" borderId="2" xfId="0" applyNumberFormat="1" applyFont="1" applyFill="1" applyBorder="1"/>
    <xf numFmtId="0" fontId="19" fillId="3" borderId="4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164" fontId="18" fillId="0" borderId="2" xfId="0" applyNumberFormat="1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" xfId="0" applyFont="1" applyBorder="1"/>
    <xf numFmtId="0" fontId="18" fillId="0" borderId="5" xfId="0" applyFont="1" applyBorder="1"/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20" fillId="0" borderId="2" xfId="0" applyFont="1" applyBorder="1" applyAlignment="1">
      <alignment horizontal="right"/>
    </xf>
    <xf numFmtId="0" fontId="20" fillId="0" borderId="2" xfId="0" applyFont="1" applyBorder="1"/>
    <xf numFmtId="0" fontId="21" fillId="0" borderId="2" xfId="0" applyFont="1" applyBorder="1" applyAlignment="1">
      <alignment horizontal="right"/>
    </xf>
    <xf numFmtId="0" fontId="21" fillId="0" borderId="2" xfId="0" applyFont="1" applyBorder="1"/>
    <xf numFmtId="0" fontId="1" fillId="4" borderId="2" xfId="0" applyFont="1" applyFill="1" applyBorder="1" applyAlignment="1">
      <alignment horizontal="right"/>
    </xf>
    <xf numFmtId="169" fontId="1" fillId="4" borderId="2" xfId="0" applyNumberFormat="1" applyFont="1" applyFill="1" applyBorder="1" applyAlignment="1">
      <alignment horizontal="right"/>
    </xf>
    <xf numFmtId="0" fontId="17" fillId="0" borderId="2" xfId="0" applyFont="1" applyBorder="1" applyAlignment="1">
      <alignment horizontal="right"/>
    </xf>
    <xf numFmtId="0" fontId="17" fillId="0" borderId="2" xfId="0" applyFont="1" applyBorder="1"/>
    <xf numFmtId="0" fontId="22" fillId="0" borderId="2" xfId="0" applyFont="1" applyBorder="1" applyAlignment="1">
      <alignment horizontal="right"/>
    </xf>
    <xf numFmtId="0" fontId="22" fillId="0" borderId="2" xfId="0" applyFont="1" applyBorder="1"/>
    <xf numFmtId="0" fontId="1" fillId="5" borderId="2" xfId="0" applyFont="1" applyFill="1" applyBorder="1" applyAlignment="1">
      <alignment horizontal="right"/>
    </xf>
    <xf numFmtId="0" fontId="1" fillId="5" borderId="2" xfId="0" applyFont="1" applyFill="1" applyBorder="1"/>
    <xf numFmtId="169" fontId="1" fillId="4" borderId="2" xfId="0" applyNumberFormat="1" applyFont="1" applyFill="1" applyBorder="1"/>
    <xf numFmtId="169" fontId="0" fillId="0" borderId="2" xfId="0" applyNumberFormat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horizontal="right"/>
    </xf>
    <xf numFmtId="0" fontId="0" fillId="0" borderId="8" xfId="0" applyBorder="1"/>
    <xf numFmtId="0" fontId="20" fillId="0" borderId="11" xfId="0" applyFont="1" applyBorder="1" applyAlignment="1">
      <alignment horizontal="right"/>
    </xf>
    <xf numFmtId="0" fontId="20" fillId="0" borderId="11" xfId="0" applyFont="1" applyBorder="1"/>
    <xf numFmtId="0" fontId="24" fillId="0" borderId="2" xfId="0" applyFont="1" applyBorder="1" applyAlignment="1">
      <alignment horizontal="right"/>
    </xf>
    <xf numFmtId="0" fontId="24" fillId="0" borderId="2" xfId="0" applyFont="1" applyBorder="1"/>
    <xf numFmtId="0" fontId="1" fillId="7" borderId="2" xfId="0" applyFont="1" applyFill="1" applyBorder="1" applyAlignment="1">
      <alignment horizontal="right"/>
    </xf>
    <xf numFmtId="170" fontId="1" fillId="7" borderId="2" xfId="0" applyNumberFormat="1" applyFont="1" applyFill="1" applyBorder="1" applyAlignment="1">
      <alignment horizontal="right"/>
    </xf>
    <xf numFmtId="2" fontId="1" fillId="7" borderId="2" xfId="0" applyNumberFormat="1" applyFont="1" applyFill="1" applyBorder="1"/>
    <xf numFmtId="0" fontId="1" fillId="4" borderId="2" xfId="0" applyFont="1" applyFill="1" applyBorder="1"/>
    <xf numFmtId="0" fontId="0" fillId="8" borderId="2" xfId="0" applyFill="1" applyBorder="1" applyAlignment="1">
      <alignment horizontal="right"/>
    </xf>
    <xf numFmtId="0" fontId="0" fillId="8" borderId="2" xfId="0" applyFill="1" applyBorder="1"/>
    <xf numFmtId="0" fontId="0" fillId="0" borderId="12" xfId="0" applyBorder="1"/>
    <xf numFmtId="0" fontId="1" fillId="9" borderId="2" xfId="0" applyFont="1" applyFill="1" applyBorder="1" applyAlignment="1">
      <alignment horizontal="right"/>
    </xf>
    <xf numFmtId="168" fontId="1" fillId="9" borderId="2" xfId="0" applyNumberFormat="1" applyFont="1" applyFill="1" applyBorder="1"/>
    <xf numFmtId="2" fontId="1" fillId="9" borderId="2" xfId="0" applyNumberFormat="1" applyFont="1" applyFill="1" applyBorder="1"/>
    <xf numFmtId="0" fontId="1" fillId="10" borderId="2" xfId="0" applyFont="1" applyFill="1" applyBorder="1" applyAlignment="1">
      <alignment horizontal="right"/>
    </xf>
    <xf numFmtId="171" fontId="1" fillId="10" borderId="2" xfId="0" applyNumberFormat="1" applyFont="1" applyFill="1" applyBorder="1"/>
    <xf numFmtId="169" fontId="1" fillId="10" borderId="2" xfId="0" applyNumberFormat="1" applyFont="1" applyFill="1" applyBorder="1"/>
    <xf numFmtId="0" fontId="0" fillId="11" borderId="2" xfId="0" applyFill="1" applyBorder="1" applyAlignment="1">
      <alignment horizontal="right"/>
    </xf>
    <xf numFmtId="0" fontId="16" fillId="11" borderId="2" xfId="0" applyFont="1" applyFill="1" applyBorder="1" applyAlignment="1">
      <alignment horizontal="right"/>
    </xf>
    <xf numFmtId="0" fontId="23" fillId="0" borderId="2" xfId="0" applyFont="1" applyBorder="1" applyAlignment="1">
      <alignment horizontal="right"/>
    </xf>
    <xf numFmtId="0" fontId="23" fillId="0" borderId="2" xfId="0" applyFont="1" applyBorder="1"/>
    <xf numFmtId="0" fontId="25" fillId="0" borderId="2" xfId="0" applyFont="1" applyBorder="1"/>
    <xf numFmtId="0" fontId="26" fillId="0" borderId="2" xfId="0" applyFont="1" applyBorder="1"/>
    <xf numFmtId="0" fontId="0" fillId="0" borderId="13" xfId="0" applyBorder="1"/>
    <xf numFmtId="0" fontId="0" fillId="0" borderId="7" xfId="0" applyBorder="1"/>
    <xf numFmtId="0" fontId="1" fillId="12" borderId="2" xfId="0" applyFont="1" applyFill="1" applyBorder="1" applyAlignment="1">
      <alignment horizontal="right"/>
    </xf>
    <xf numFmtId="0" fontId="1" fillId="12" borderId="2" xfId="0" applyFont="1" applyFill="1" applyBorder="1"/>
    <xf numFmtId="168" fontId="0" fillId="0" borderId="2" xfId="0" applyNumberFormat="1" applyBorder="1"/>
    <xf numFmtId="0" fontId="1" fillId="8" borderId="2" xfId="0" applyFont="1" applyFill="1" applyBorder="1" applyAlignment="1">
      <alignment horizontal="right"/>
    </xf>
    <xf numFmtId="0" fontId="0" fillId="0" borderId="9" xfId="0" applyBorder="1"/>
    <xf numFmtId="0" fontId="26" fillId="11" borderId="2" xfId="0" applyFont="1" applyFill="1" applyBorder="1"/>
    <xf numFmtId="169" fontId="0" fillId="0" borderId="2" xfId="0" applyNumberFormat="1" applyBorder="1"/>
    <xf numFmtId="0" fontId="0" fillId="0" borderId="10" xfId="0" applyBorder="1"/>
    <xf numFmtId="0" fontId="0" fillId="0" borderId="5" xfId="0" applyBorder="1"/>
    <xf numFmtId="2" fontId="1" fillId="4" borderId="2" xfId="0" applyNumberFormat="1" applyFont="1" applyFill="1" applyBorder="1"/>
    <xf numFmtId="0" fontId="1" fillId="13" borderId="2" xfId="0" applyFont="1" applyFill="1" applyBorder="1" applyAlignment="1">
      <alignment horizontal="right"/>
    </xf>
    <xf numFmtId="169" fontId="1" fillId="13" borderId="2" xfId="0" applyNumberFormat="1" applyFont="1" applyFill="1" applyBorder="1"/>
    <xf numFmtId="0" fontId="1" fillId="7" borderId="14" xfId="0" applyFont="1" applyFill="1" applyBorder="1" applyAlignment="1">
      <alignment horizontal="right"/>
    </xf>
    <xf numFmtId="0" fontId="1" fillId="7" borderId="0" xfId="0" applyFont="1" applyFill="1"/>
    <xf numFmtId="0" fontId="1" fillId="0" borderId="2" xfId="0" applyFont="1" applyBorder="1" applyAlignment="1">
      <alignment horizontal="right"/>
    </xf>
    <xf numFmtId="0" fontId="1" fillId="14" borderId="2" xfId="0" applyFont="1" applyFill="1" applyBorder="1"/>
    <xf numFmtId="0" fontId="1" fillId="13" borderId="2" xfId="0" applyFont="1" applyFill="1" applyBorder="1"/>
    <xf numFmtId="0" fontId="27" fillId="0" borderId="2" xfId="0" applyFont="1" applyBorder="1"/>
    <xf numFmtId="0" fontId="28" fillId="0" borderId="0" xfId="0" applyFont="1"/>
    <xf numFmtId="0" fontId="29" fillId="0" borderId="0" xfId="0" applyFont="1"/>
    <xf numFmtId="0" fontId="1" fillId="7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9" fontId="0" fillId="0" borderId="0" xfId="0" applyNumberFormat="1"/>
    <xf numFmtId="0" fontId="3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1154356</xdr:colOff>
      <xdr:row>51</xdr:row>
      <xdr:rowOff>25400</xdr:rowOff>
    </xdr:from>
    <xdr:to>
      <xdr:col>8</xdr:col>
      <xdr:colOff>12699</xdr:colOff>
      <xdr:row>57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618EF-0FFD-3942-B8FE-2053D58D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856" y="13030200"/>
          <a:ext cx="3849443" cy="176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131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FCC-C544-FD4E-85A9-D1AE64548C87}">
  <dimension ref="A3:L69"/>
  <sheetViews>
    <sheetView topLeftCell="A35" zoomScale="58" workbookViewId="0">
      <selection activeCell="O53" sqref="O53:Y78"/>
    </sheetView>
  </sheetViews>
  <sheetFormatPr baseColWidth="10" defaultRowHeight="16"/>
  <cols>
    <col min="1" max="1" width="22.1640625" customWidth="1"/>
    <col min="2" max="2" width="24.33203125" customWidth="1"/>
    <col min="3" max="3" width="17.33203125" customWidth="1"/>
    <col min="6" max="6" width="26.6640625" customWidth="1"/>
    <col min="7" max="7" width="28" customWidth="1"/>
  </cols>
  <sheetData>
    <row r="3" spans="2:7">
      <c r="B3" s="140">
        <v>10.199999999999999</v>
      </c>
      <c r="C3" s="140"/>
      <c r="D3" s="140"/>
      <c r="E3" s="140"/>
      <c r="F3" s="140"/>
      <c r="G3" s="140"/>
    </row>
    <row r="5" spans="2:7">
      <c r="B5" s="141" t="s">
        <v>236</v>
      </c>
      <c r="C5" s="141"/>
      <c r="F5" s="141" t="s">
        <v>237</v>
      </c>
      <c r="G5" s="141"/>
    </row>
    <row r="6" spans="2:7">
      <c r="B6" s="76"/>
      <c r="C6" s="94"/>
      <c r="F6" s="76"/>
      <c r="G6" s="94"/>
    </row>
    <row r="7" spans="2:7">
      <c r="B7" s="84" t="s">
        <v>238</v>
      </c>
      <c r="C7" s="85">
        <v>0.48</v>
      </c>
      <c r="F7" s="84" t="s">
        <v>238</v>
      </c>
      <c r="G7" s="85">
        <v>0.57999999999999996</v>
      </c>
    </row>
    <row r="8" spans="2:7">
      <c r="B8" s="78" t="s">
        <v>197</v>
      </c>
      <c r="C8" s="79">
        <v>2000</v>
      </c>
      <c r="F8" s="86" t="s">
        <v>0</v>
      </c>
      <c r="G8" s="87">
        <v>409</v>
      </c>
    </row>
    <row r="9" spans="2:7">
      <c r="B9" s="86" t="s">
        <v>0</v>
      </c>
      <c r="C9" s="87">
        <v>982</v>
      </c>
      <c r="F9" s="95" t="s">
        <v>197</v>
      </c>
      <c r="G9" s="96">
        <v>700</v>
      </c>
    </row>
    <row r="10" spans="2:7">
      <c r="B10" s="97" t="s">
        <v>218</v>
      </c>
      <c r="C10" s="98">
        <v>0.1</v>
      </c>
      <c r="F10" s="97" t="s">
        <v>218</v>
      </c>
      <c r="G10" s="98">
        <v>0.1</v>
      </c>
    </row>
    <row r="11" spans="2:7">
      <c r="B11" s="74" t="s">
        <v>239</v>
      </c>
      <c r="C11" s="74" t="s">
        <v>240</v>
      </c>
      <c r="F11" s="74" t="s">
        <v>239</v>
      </c>
      <c r="G11" s="74">
        <v>0.01</v>
      </c>
    </row>
    <row r="12" spans="2:7">
      <c r="B12" s="32"/>
      <c r="C12" s="32"/>
      <c r="F12" s="32"/>
      <c r="G12" s="32"/>
    </row>
    <row r="13" spans="2:7">
      <c r="B13" s="99" t="s">
        <v>241</v>
      </c>
      <c r="C13" s="100">
        <f>C8*C7*(1-C7)</f>
        <v>499.20000000000005</v>
      </c>
      <c r="F13" s="99" t="s">
        <v>241</v>
      </c>
      <c r="G13" s="101">
        <f>G9*G7*(1-G7)</f>
        <v>170.52</v>
      </c>
    </row>
    <row r="14" spans="2:7">
      <c r="B14" s="82" t="s">
        <v>242</v>
      </c>
      <c r="C14" s="102" t="b">
        <f>IF(C13&gt;=10, TRUE, FALSE)</f>
        <v>1</v>
      </c>
      <c r="F14" s="82" t="s">
        <v>242</v>
      </c>
      <c r="G14" s="82" t="b">
        <f>IF(G13&gt;=10, TRUE, FALSE)</f>
        <v>1</v>
      </c>
    </row>
    <row r="15" spans="2:7">
      <c r="B15" s="74"/>
      <c r="C15" s="32"/>
      <c r="F15" s="74"/>
      <c r="G15" s="32"/>
    </row>
    <row r="16" spans="2:7">
      <c r="B16" s="103" t="s">
        <v>243</v>
      </c>
      <c r="C16" s="104">
        <f>C9/C8</f>
        <v>0.49099999999999999</v>
      </c>
      <c r="F16" s="74" t="s">
        <v>243</v>
      </c>
      <c r="G16" s="32">
        <f>G8/G9</f>
        <v>0.5842857142857143</v>
      </c>
    </row>
    <row r="17" spans="2:12">
      <c r="B17" s="40"/>
      <c r="C17" s="105"/>
      <c r="F17" s="106" t="s">
        <v>244</v>
      </c>
      <c r="G17" s="107">
        <f>(G16-G7)/SQRT((G7*(1-G7))/G9)</f>
        <v>0.22973840032238738</v>
      </c>
    </row>
    <row r="18" spans="2:12">
      <c r="B18" s="106" t="s">
        <v>244</v>
      </c>
      <c r="C18" s="108">
        <f>(C16-C7)/SQRT((C7*(1-C7))/C8)</f>
        <v>0.98465795180422111</v>
      </c>
      <c r="D18" t="s">
        <v>245</v>
      </c>
      <c r="F18" s="74"/>
      <c r="G18" s="32"/>
    </row>
    <row r="19" spans="2:12">
      <c r="B19" s="74"/>
      <c r="C19" s="32"/>
      <c r="F19" s="109" t="s">
        <v>246</v>
      </c>
      <c r="G19" s="110">
        <f>TDIST(ABS(G17),G9-1,2)</f>
        <v>0.81836226346609831</v>
      </c>
    </row>
    <row r="20" spans="2:12">
      <c r="B20" s="109" t="s">
        <v>246</v>
      </c>
      <c r="C20" s="111">
        <f>TDIST(ABS(C18),C8-1,1)</f>
        <v>0.16245563671949209</v>
      </c>
      <c r="F20" s="112" t="s">
        <v>247</v>
      </c>
      <c r="G20" s="113" t="str">
        <f>IF(G19&gt;G10, "P &gt; a", "P &lt; a")</f>
        <v>P &gt; a</v>
      </c>
    </row>
    <row r="21" spans="2:12">
      <c r="B21" s="112" t="s">
        <v>247</v>
      </c>
      <c r="C21" s="113" t="str">
        <f>IF(C20&gt;C10, "P &gt; a", "P &lt; a")</f>
        <v>P &gt; a</v>
      </c>
    </row>
    <row r="22" spans="2:12">
      <c r="D22" t="s">
        <v>276</v>
      </c>
    </row>
    <row r="24" spans="2:12">
      <c r="B24" s="141" t="s">
        <v>248</v>
      </c>
      <c r="C24" s="141"/>
      <c r="F24" s="142" t="s">
        <v>249</v>
      </c>
      <c r="G24" s="142"/>
    </row>
    <row r="25" spans="2:12">
      <c r="B25" s="32"/>
      <c r="C25" s="32"/>
      <c r="F25" s="32"/>
      <c r="G25" s="32"/>
      <c r="K25" s="98" t="s">
        <v>260</v>
      </c>
      <c r="L25" s="98">
        <v>100</v>
      </c>
    </row>
    <row r="26" spans="2:12">
      <c r="B26" s="85" t="s">
        <v>0</v>
      </c>
      <c r="C26" s="85">
        <v>494</v>
      </c>
      <c r="F26" s="114" t="s">
        <v>0</v>
      </c>
      <c r="G26" s="115">
        <v>13</v>
      </c>
      <c r="K26" s="98" t="s">
        <v>261</v>
      </c>
      <c r="L26" s="98">
        <v>105.2</v>
      </c>
    </row>
    <row r="27" spans="2:12">
      <c r="B27" s="116" t="s">
        <v>20</v>
      </c>
      <c r="C27" s="116">
        <v>1195</v>
      </c>
      <c r="F27" s="114" t="s">
        <v>20</v>
      </c>
      <c r="G27" s="115">
        <v>48</v>
      </c>
      <c r="K27" s="98" t="s">
        <v>262</v>
      </c>
      <c r="L27">
        <v>21.8</v>
      </c>
    </row>
    <row r="28" spans="2:12">
      <c r="B28" s="79" t="s">
        <v>250</v>
      </c>
      <c r="C28" s="79">
        <v>0.4</v>
      </c>
      <c r="F28" s="114" t="s">
        <v>251</v>
      </c>
      <c r="G28" s="115">
        <v>57</v>
      </c>
      <c r="K28" s="98" t="s">
        <v>20</v>
      </c>
      <c r="L28" s="98">
        <v>40</v>
      </c>
    </row>
    <row r="29" spans="2:12">
      <c r="B29" s="117" t="s">
        <v>274</v>
      </c>
      <c r="C29" s="117">
        <v>99</v>
      </c>
      <c r="F29" s="114" t="s">
        <v>252</v>
      </c>
      <c r="G29" s="115">
        <v>39</v>
      </c>
      <c r="K29" s="98" t="s">
        <v>218</v>
      </c>
      <c r="L29" s="98">
        <v>0.1</v>
      </c>
    </row>
    <row r="30" spans="2:12">
      <c r="B30" s="40"/>
      <c r="C30" s="105"/>
      <c r="F30" s="118"/>
      <c r="G30" s="119"/>
      <c r="K30" s="32"/>
      <c r="L30" s="32"/>
    </row>
    <row r="31" spans="2:12">
      <c r="B31" s="32" t="s">
        <v>196</v>
      </c>
      <c r="C31" s="32">
        <f>C27*(C28/100)*(1-(C28/100))</f>
        <v>4.7608800000000002</v>
      </c>
      <c r="F31" s="120" t="s">
        <v>253</v>
      </c>
      <c r="G31" s="121">
        <f>G27*(G28/100)*(1-(G28/100))</f>
        <v>11.764800000000001</v>
      </c>
      <c r="K31" s="31" t="s">
        <v>263</v>
      </c>
      <c r="L31" s="134" t="str">
        <f>IF(L28&gt;=30, "Yes", "No")</f>
        <v>Yes</v>
      </c>
    </row>
    <row r="32" spans="2:12">
      <c r="B32" s="32"/>
      <c r="C32" s="122"/>
      <c r="F32" s="123" t="s">
        <v>196</v>
      </c>
      <c r="G32" s="123" t="b">
        <f>IF(G31 &gt;= 10, TRUE, FALSE)</f>
        <v>1</v>
      </c>
      <c r="K32" s="32"/>
      <c r="L32" s="32"/>
    </row>
    <row r="33" spans="2:12">
      <c r="B33" s="32" t="s">
        <v>200</v>
      </c>
      <c r="C33" s="32">
        <f>((100-C29) /2)/100</f>
        <v>5.0000000000000001E-3</v>
      </c>
      <c r="F33" s="124"/>
      <c r="G33" s="94"/>
      <c r="K33" s="135" t="s">
        <v>264</v>
      </c>
      <c r="L33" s="135">
        <f>(L26-L25)/ (L27/SQRT(L28))</f>
        <v>1.5086095259518884</v>
      </c>
    </row>
    <row r="34" spans="2:12">
      <c r="B34" s="32" t="s">
        <v>201</v>
      </c>
      <c r="C34" s="32">
        <f>_xlfn.NORM.INV((1-C33),0,1)</f>
        <v>2.5758293035488999</v>
      </c>
      <c r="F34" s="74" t="s">
        <v>243</v>
      </c>
      <c r="G34" s="32">
        <f>G26/G27</f>
        <v>0.27083333333333331</v>
      </c>
      <c r="K34" s="136" t="s">
        <v>265</v>
      </c>
      <c r="L34" s="131">
        <f>TDIST(ABS(L33),L28-1,1)</f>
        <v>6.9728940266272882E-2</v>
      </c>
    </row>
    <row r="35" spans="2:12">
      <c r="B35" s="118"/>
      <c r="C35" s="119"/>
      <c r="F35" s="74" t="s">
        <v>254</v>
      </c>
      <c r="G35" s="32"/>
    </row>
    <row r="36" spans="2:12">
      <c r="B36" s="125" t="s">
        <v>255</v>
      </c>
      <c r="C36" s="125">
        <f>C26/C27</f>
        <v>0.41338912133891215</v>
      </c>
      <c r="F36" s="74"/>
      <c r="G36" s="126"/>
      <c r="K36" s="137" t="s">
        <v>266</v>
      </c>
      <c r="L36" s="134" t="str">
        <f>IF(L34&gt;L29, "Do not reject", "Reject")</f>
        <v>Reject</v>
      </c>
    </row>
    <row r="37" spans="2:12">
      <c r="B37" s="127"/>
      <c r="C37" s="128"/>
      <c r="F37" s="74" t="s">
        <v>256</v>
      </c>
      <c r="G37" s="126">
        <f>_xlfn.BINOM.DIST(G29-1,G27,G28/100,TRUE)</f>
        <v>0.99964533162387259</v>
      </c>
    </row>
    <row r="38" spans="2:12">
      <c r="B38" s="102" t="s">
        <v>202</v>
      </c>
      <c r="C38" s="129">
        <f>C36-(C34*SQRT((C36*(1-C36))/C27))</f>
        <v>0.37669574247190074</v>
      </c>
      <c r="F38" s="130" t="s">
        <v>257</v>
      </c>
      <c r="G38" s="131">
        <f>1-G37</f>
        <v>3.5466837612740942E-4</v>
      </c>
    </row>
    <row r="39" spans="2:12">
      <c r="B39" s="102" t="s">
        <v>68</v>
      </c>
      <c r="C39" s="129">
        <f>C36+(C34*SQRT((C36*(1-C36))/C27))</f>
        <v>0.45008250020592355</v>
      </c>
      <c r="D39" t="s">
        <v>258</v>
      </c>
      <c r="F39" s="132" t="s">
        <v>259</v>
      </c>
      <c r="G39" s="133">
        <f>_xlfn.BINOM.DIST(G29,G27,G28/100,TRUE)</f>
        <v>0.99989936814098268</v>
      </c>
    </row>
    <row r="45" spans="2:12">
      <c r="B45" t="s">
        <v>282</v>
      </c>
    </row>
    <row r="47" spans="2:12">
      <c r="B47" t="s">
        <v>273</v>
      </c>
    </row>
    <row r="48" spans="2:12">
      <c r="B48" t="s">
        <v>275</v>
      </c>
    </row>
    <row r="49" spans="1:2">
      <c r="B49" t="s">
        <v>268</v>
      </c>
    </row>
    <row r="50" spans="1:2">
      <c r="B50" t="s">
        <v>269</v>
      </c>
    </row>
    <row r="52" spans="1:2" ht="29">
      <c r="A52" t="s">
        <v>272</v>
      </c>
      <c r="B52" s="138" t="s">
        <v>270</v>
      </c>
    </row>
    <row r="53" spans="1:2" ht="29">
      <c r="B53" s="138" t="s">
        <v>271</v>
      </c>
    </row>
    <row r="55" spans="1:2" ht="21">
      <c r="B55" s="139"/>
    </row>
    <row r="61" spans="1:2" ht="17">
      <c r="B61" s="15" t="s">
        <v>267</v>
      </c>
    </row>
    <row r="62" spans="1:2">
      <c r="B62" t="s">
        <v>277</v>
      </c>
    </row>
    <row r="65" spans="2:2">
      <c r="B65" t="s">
        <v>278</v>
      </c>
    </row>
    <row r="66" spans="2:2">
      <c r="B66" t="s">
        <v>279</v>
      </c>
    </row>
    <row r="67" spans="2:2">
      <c r="B67" t="s">
        <v>280</v>
      </c>
    </row>
    <row r="69" spans="2:2" ht="17">
      <c r="B69" s="15" t="s">
        <v>281</v>
      </c>
    </row>
  </sheetData>
  <mergeCells count="5">
    <mergeCell ref="B3:G3"/>
    <mergeCell ref="B5:C5"/>
    <mergeCell ref="F5:G5"/>
    <mergeCell ref="B24:C24"/>
    <mergeCell ref="F24:G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I33"/>
  <sheetViews>
    <sheetView topLeftCell="E1" zoomScale="125" workbookViewId="0">
      <selection activeCell="G14" sqref="G14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3.6640625" customWidth="1"/>
    <col min="7" max="7" width="15.6640625" customWidth="1"/>
    <col min="8" max="8" width="40.83203125" customWidth="1"/>
    <col min="10" max="10" width="35.5" customWidth="1"/>
    <col min="11" max="11" width="21" customWidth="1"/>
    <col min="14" max="14" width="18" customWidth="1"/>
    <col min="16" max="16" width="24.6640625" customWidth="1"/>
    <col min="17" max="17" width="14.6640625" customWidth="1"/>
    <col min="24" max="24" width="13.33203125" customWidth="1"/>
  </cols>
  <sheetData>
    <row r="1" spans="1:35" ht="26">
      <c r="A1" s="32" t="s">
        <v>139</v>
      </c>
      <c r="B1" s="34"/>
      <c r="D1" s="32" t="s">
        <v>66</v>
      </c>
      <c r="E1" s="34"/>
      <c r="G1" s="32" t="s">
        <v>84</v>
      </c>
      <c r="H1" s="34"/>
      <c r="J1" s="32"/>
      <c r="K1" s="37" t="s">
        <v>77</v>
      </c>
      <c r="L1" s="44"/>
      <c r="P1" s="31" t="s">
        <v>112</v>
      </c>
      <c r="Q1" s="32"/>
      <c r="S1" s="32" t="s">
        <v>154</v>
      </c>
      <c r="T1" s="32"/>
      <c r="V1" s="32" t="s">
        <v>158</v>
      </c>
      <c r="W1" s="32"/>
      <c r="X1" s="32"/>
      <c r="Z1" s="32" t="s">
        <v>162</v>
      </c>
      <c r="AA1" s="32" t="s">
        <v>124</v>
      </c>
      <c r="AD1" s="32" t="s">
        <v>126</v>
      </c>
      <c r="AE1" s="32"/>
      <c r="AH1" s="32" t="s">
        <v>130</v>
      </c>
      <c r="AI1" s="32"/>
    </row>
    <row r="2" spans="1:35">
      <c r="A2" s="35" t="s">
        <v>134</v>
      </c>
      <c r="B2" s="34"/>
      <c r="D2" s="32"/>
      <c r="E2" s="34"/>
      <c r="G2" s="34" t="s">
        <v>81</v>
      </c>
      <c r="H2" s="36">
        <v>-0.89</v>
      </c>
      <c r="J2" s="32" t="s">
        <v>118</v>
      </c>
      <c r="K2" s="40" t="s">
        <v>43</v>
      </c>
      <c r="L2" s="45"/>
      <c r="P2" s="32" t="s">
        <v>113</v>
      </c>
      <c r="Q2" s="32">
        <v>39</v>
      </c>
      <c r="S2" s="32" t="s">
        <v>22</v>
      </c>
      <c r="T2" s="32">
        <v>50</v>
      </c>
      <c r="V2" s="32"/>
      <c r="W2" s="32"/>
      <c r="X2" s="32"/>
      <c r="Z2" s="35" t="s">
        <v>127</v>
      </c>
      <c r="AA2" s="49">
        <v>0.08</v>
      </c>
      <c r="AD2" s="32" t="s">
        <v>125</v>
      </c>
      <c r="AE2" s="32">
        <v>-1.72</v>
      </c>
      <c r="AH2" s="32" t="s">
        <v>25</v>
      </c>
      <c r="AI2" s="32">
        <v>45</v>
      </c>
    </row>
    <row r="3" spans="1:35">
      <c r="A3" s="35" t="s">
        <v>22</v>
      </c>
      <c r="B3" s="36">
        <v>50</v>
      </c>
      <c r="D3" s="32" t="s">
        <v>22</v>
      </c>
      <c r="E3" s="34">
        <v>1252</v>
      </c>
      <c r="G3" s="34" t="s">
        <v>82</v>
      </c>
      <c r="H3" s="36">
        <v>1.88</v>
      </c>
      <c r="J3" s="32"/>
      <c r="K3" s="40"/>
      <c r="L3" s="45"/>
      <c r="P3" s="32" t="s">
        <v>114</v>
      </c>
      <c r="Q3" s="32">
        <f>Q2/100</f>
        <v>0.39</v>
      </c>
      <c r="S3" s="32" t="s">
        <v>131</v>
      </c>
      <c r="T3" s="32">
        <v>7</v>
      </c>
      <c r="V3" s="32"/>
      <c r="W3" s="32" t="s">
        <v>159</v>
      </c>
      <c r="X3" s="32" t="s">
        <v>160</v>
      </c>
      <c r="Z3" s="35"/>
      <c r="AA3" s="49"/>
      <c r="AD3" s="32"/>
      <c r="AE3" s="32"/>
      <c r="AH3" s="32" t="s">
        <v>22</v>
      </c>
      <c r="AI3" s="32">
        <v>47</v>
      </c>
    </row>
    <row r="4" spans="1:35">
      <c r="A4" s="35" t="s">
        <v>23</v>
      </c>
      <c r="B4" s="36">
        <v>7</v>
      </c>
      <c r="D4" s="32" t="s">
        <v>23</v>
      </c>
      <c r="E4" s="34">
        <v>129</v>
      </c>
      <c r="G4" s="34" t="s">
        <v>110</v>
      </c>
      <c r="H4" s="36">
        <f>_xlfn.NORM.DIST(H2, 0, 1, TRUE)</f>
        <v>0.18673294303717258</v>
      </c>
      <c r="J4" s="38" t="s">
        <v>60</v>
      </c>
      <c r="K4" s="41">
        <v>49</v>
      </c>
      <c r="L4" s="45"/>
      <c r="P4" s="32"/>
      <c r="Q4" s="32"/>
      <c r="S4" s="32" t="s">
        <v>155</v>
      </c>
      <c r="T4" s="32">
        <v>41</v>
      </c>
      <c r="V4" s="32" t="s">
        <v>0</v>
      </c>
      <c r="W4" s="32">
        <v>25</v>
      </c>
      <c r="X4" s="32">
        <v>1156</v>
      </c>
      <c r="Z4" s="35" t="s">
        <v>129</v>
      </c>
      <c r="AA4" s="49">
        <f xml:space="preserve"> 1 - AA2</f>
        <v>0.92</v>
      </c>
      <c r="AD4" s="32" t="s">
        <v>79</v>
      </c>
      <c r="AE4" s="32">
        <f>_xlfn.NORM.S.DIST(AE2, TRUE)</f>
        <v>4.2716220791328911E-2</v>
      </c>
      <c r="AH4" s="32" t="s">
        <v>131</v>
      </c>
      <c r="AI4" s="32">
        <v>10</v>
      </c>
    </row>
    <row r="5" spans="1:35">
      <c r="A5" s="35" t="s">
        <v>135</v>
      </c>
      <c r="B5" s="36">
        <v>1000</v>
      </c>
      <c r="D5" s="32"/>
      <c r="E5" s="34"/>
      <c r="G5" s="34" t="s">
        <v>111</v>
      </c>
      <c r="H5" s="36">
        <f>1 - _xlfn.NORM.DIST(H3, 0, 1, TRUE)</f>
        <v>3.0054038961199736E-2</v>
      </c>
      <c r="J5" s="38" t="s">
        <v>23</v>
      </c>
      <c r="K5" s="42">
        <v>5</v>
      </c>
      <c r="L5" s="45"/>
      <c r="P5" s="32" t="s">
        <v>115</v>
      </c>
      <c r="Q5" s="32">
        <f xml:space="preserve"> (1 - Q3) / 2</f>
        <v>0.30499999999999999</v>
      </c>
      <c r="S5" s="32"/>
      <c r="T5" s="32"/>
      <c r="V5" s="32" t="s">
        <v>91</v>
      </c>
      <c r="W5" s="32">
        <v>21.3</v>
      </c>
      <c r="X5" s="32">
        <v>1037</v>
      </c>
      <c r="Z5" s="35" t="s">
        <v>128</v>
      </c>
      <c r="AA5" s="59">
        <f>_xlfn.NORM.INV(AA4,0, 1)</f>
        <v>1.4050715603096329</v>
      </c>
      <c r="AH5" s="32"/>
      <c r="AI5" s="32"/>
    </row>
    <row r="6" spans="1:35">
      <c r="A6" s="35" t="s">
        <v>136</v>
      </c>
      <c r="B6" s="36">
        <v>41</v>
      </c>
      <c r="D6" s="32" t="s">
        <v>67</v>
      </c>
      <c r="E6" s="34">
        <v>1100</v>
      </c>
      <c r="G6" s="50" t="s">
        <v>83</v>
      </c>
      <c r="H6" s="36">
        <f>SUM(H4:H5)</f>
        <v>0.21678698199837232</v>
      </c>
      <c r="J6" s="38" t="s">
        <v>78</v>
      </c>
      <c r="K6" s="42">
        <v>15</v>
      </c>
      <c r="L6" s="45"/>
      <c r="P6" s="33"/>
      <c r="Q6" s="32"/>
      <c r="S6" s="32" t="s">
        <v>156</v>
      </c>
      <c r="T6" s="32">
        <f>(1 - _xlfn.NORM.DIST(T4,T2,T3, TRUE)) * 100</f>
        <v>90.072860315666901</v>
      </c>
      <c r="V6" s="32" t="s">
        <v>131</v>
      </c>
      <c r="W6" s="32">
        <v>4.5999999999999996</v>
      </c>
      <c r="X6" s="32">
        <v>201</v>
      </c>
      <c r="AH6" s="32" t="s">
        <v>132</v>
      </c>
      <c r="AI6" s="32">
        <f>_xlfn.NORM.DIST(AI2,AI3,AI4, TRUE)</f>
        <v>0.42074029056089696</v>
      </c>
    </row>
    <row r="7" spans="1:35">
      <c r="A7" s="35"/>
      <c r="B7" s="36"/>
      <c r="D7" s="32" t="s">
        <v>69</v>
      </c>
      <c r="E7" s="34">
        <f xml:space="preserve"> (E6 - E3) / E4</f>
        <v>-1.1782945736434109</v>
      </c>
      <c r="J7" s="38" t="s">
        <v>121</v>
      </c>
      <c r="K7" s="42">
        <f>K6/100</f>
        <v>0.15</v>
      </c>
      <c r="L7" s="45"/>
      <c r="P7" s="32" t="s">
        <v>116</v>
      </c>
      <c r="Q7" s="32">
        <f>_xlfn.NORM.DIST(Q5, 0, 1, TRUE)</f>
        <v>0.61981692384016507</v>
      </c>
      <c r="S7" s="32"/>
      <c r="T7" s="32">
        <f>NORMINV(0.07,19,2.5)</f>
        <v>15.310522429552075</v>
      </c>
      <c r="V7" s="32" t="s">
        <v>161</v>
      </c>
      <c r="W7" s="32">
        <f>(W4-W5)/W6</f>
        <v>0.80434782608695643</v>
      </c>
      <c r="X7" s="32">
        <f>(X4-X5)/X6</f>
        <v>0.59203980099502485</v>
      </c>
    </row>
    <row r="8" spans="1:35">
      <c r="A8" s="35" t="s">
        <v>137</v>
      </c>
      <c r="B8" s="36">
        <f>_xlfn.NORM.DIST(B6, B3, B4, TRUE) - _xlfn.NORM.DIST(B5, B3, B4, TRUE)</f>
        <v>-0.90072860315666903</v>
      </c>
      <c r="D8" s="32"/>
      <c r="E8" s="34"/>
      <c r="J8" s="32"/>
      <c r="K8" s="40"/>
      <c r="L8" s="45"/>
      <c r="P8" s="32" t="s">
        <v>117</v>
      </c>
      <c r="Q8" s="32">
        <f>_xlfn.NORM.DIST(Q5, 0, 1, TRUE)</f>
        <v>0.61981692384016507</v>
      </c>
    </row>
    <row r="9" spans="1:35" ht="19">
      <c r="A9" s="35" t="s">
        <v>138</v>
      </c>
      <c r="B9" s="36">
        <f>_xlfn.NORM.DIST(B5,B3,B4,TRUE)</f>
        <v>1</v>
      </c>
      <c r="D9" s="32" t="s">
        <v>68</v>
      </c>
      <c r="E9" s="34">
        <v>1400</v>
      </c>
      <c r="J9" s="47" t="s">
        <v>133</v>
      </c>
      <c r="K9" s="48">
        <f>_xlfn.NORM.INV(($K$6/100),K$4,K$5)</f>
        <v>43.81783305253105</v>
      </c>
      <c r="L9" s="45"/>
      <c r="P9" s="32"/>
      <c r="Q9" s="32"/>
      <c r="S9" s="21" t="s">
        <v>157</v>
      </c>
      <c r="T9" t="s">
        <v>43</v>
      </c>
    </row>
    <row r="10" spans="1:35" ht="17">
      <c r="A10" s="35" t="s">
        <v>140</v>
      </c>
      <c r="B10" s="36">
        <f>1 - _xlfn.NORM.DIST(B6, B3, B4, TRUE)</f>
        <v>0.90072860315666903</v>
      </c>
      <c r="D10" s="32" t="s">
        <v>72</v>
      </c>
      <c r="E10" s="34">
        <f>(E9-E3) / E4</f>
        <v>1.1472868217054264</v>
      </c>
      <c r="J10" s="32"/>
      <c r="K10" s="43"/>
      <c r="L10" s="46"/>
      <c r="P10" s="35">
        <f>_xlfn.NORM.INV(0.79, 0, 1)</f>
        <v>0.80642124701824058</v>
      </c>
      <c r="Q10" s="32"/>
      <c r="S10" s="21"/>
    </row>
    <row r="11" spans="1:35" ht="17">
      <c r="A11" s="35"/>
      <c r="B11" s="36"/>
      <c r="D11" s="32"/>
      <c r="E11" s="34"/>
      <c r="J11" s="32"/>
      <c r="K11" s="43"/>
      <c r="L11" s="45"/>
      <c r="S11" s="21"/>
    </row>
    <row r="12" spans="1:35">
      <c r="A12" s="35" t="s">
        <v>141</v>
      </c>
      <c r="B12" s="36">
        <f>B9*100</f>
        <v>100</v>
      </c>
      <c r="D12" s="32" t="s">
        <v>70</v>
      </c>
      <c r="E12" s="34">
        <f>_xlfn.NORM.DIST(E6,E3,E4,TRUE)</f>
        <v>0.11933959517437347</v>
      </c>
      <c r="J12" s="32"/>
      <c r="K12" s="43"/>
      <c r="L12" s="46"/>
    </row>
    <row r="13" spans="1:35">
      <c r="D13" s="32" t="s">
        <v>71</v>
      </c>
      <c r="E13" s="34">
        <f>_xlfn.NORM.DIST(E10,E3,E4,TRUE)</f>
        <v>1.5595941023036459E-22</v>
      </c>
      <c r="J13" s="32"/>
      <c r="K13" s="40"/>
      <c r="L13" s="45"/>
    </row>
    <row r="14" spans="1:35">
      <c r="D14" s="32"/>
      <c r="E14" s="34"/>
      <c r="J14" s="39" t="s">
        <v>119</v>
      </c>
      <c r="K14" s="49">
        <f>(1 - K7)/2</f>
        <v>0.42499999999999999</v>
      </c>
    </row>
    <row r="15" spans="1:35">
      <c r="D15" s="32"/>
      <c r="E15" s="34">
        <f>E13-E12</f>
        <v>-0.11933959517437347</v>
      </c>
      <c r="J15" s="32" t="s">
        <v>120</v>
      </c>
      <c r="K15" s="49">
        <f>K7+K14</f>
        <v>0.57499999999999996</v>
      </c>
      <c r="P15" t="s">
        <v>142</v>
      </c>
    </row>
    <row r="16" spans="1:35">
      <c r="D16" s="32"/>
      <c r="E16" s="34"/>
      <c r="J16" s="32"/>
      <c r="K16" s="49"/>
      <c r="P16" t="s">
        <v>22</v>
      </c>
      <c r="Q16">
        <v>1264</v>
      </c>
    </row>
    <row r="17" spans="4:17">
      <c r="D17" s="32" t="s">
        <v>74</v>
      </c>
      <c r="E17" s="34">
        <v>1175</v>
      </c>
      <c r="J17" s="39" t="s">
        <v>122</v>
      </c>
      <c r="K17" s="49">
        <f>NORMINV(K14, 0, 1)</f>
        <v>-0.18911842627279254</v>
      </c>
      <c r="P17" t="s">
        <v>131</v>
      </c>
      <c r="Q17">
        <v>116</v>
      </c>
    </row>
    <row r="18" spans="4:17">
      <c r="D18" s="32" t="s">
        <v>73</v>
      </c>
      <c r="E18" s="34">
        <f xml:space="preserve"> 1 -_xlfn.NORM.DIST(1175, E3, E4, TRUE)</f>
        <v>0.7247126675619795</v>
      </c>
      <c r="J18" s="32" t="s">
        <v>123</v>
      </c>
      <c r="K18" s="49">
        <f>NORMINV(K15, 0, 1)</f>
        <v>0.18911842627279243</v>
      </c>
      <c r="P18" t="s">
        <v>143</v>
      </c>
      <c r="Q18">
        <v>28</v>
      </c>
    </row>
    <row r="19" spans="4:17">
      <c r="D19" s="32"/>
      <c r="E19" s="34" t="s">
        <v>43</v>
      </c>
      <c r="J19" s="32"/>
      <c r="K19" s="35"/>
      <c r="P19" t="s">
        <v>144</v>
      </c>
      <c r="Q19">
        <f>Q18/100</f>
        <v>0.28000000000000003</v>
      </c>
    </row>
    <row r="20" spans="4:17">
      <c r="D20" s="32" t="s">
        <v>75</v>
      </c>
      <c r="E20" s="34"/>
      <c r="J20" s="32" t="s">
        <v>153</v>
      </c>
      <c r="K20" s="35"/>
      <c r="L20" s="32"/>
    </row>
    <row r="21" spans="4:17">
      <c r="D21" s="32" t="s">
        <v>76</v>
      </c>
      <c r="E21" s="34"/>
      <c r="J21" s="32" t="s">
        <v>148</v>
      </c>
      <c r="K21" s="51">
        <f>K4 + (K17)*K5</f>
        <v>48.054407868636041</v>
      </c>
      <c r="P21" t="s">
        <v>146</v>
      </c>
      <c r="Q21">
        <v>96</v>
      </c>
    </row>
    <row r="22" spans="4:17">
      <c r="D22" s="32"/>
      <c r="E22" s="34"/>
      <c r="J22" s="32" t="s">
        <v>149</v>
      </c>
      <c r="K22" s="51">
        <f>K4+(K18*K5)</f>
        <v>49.945592131363959</v>
      </c>
      <c r="P22" t="s">
        <v>147</v>
      </c>
      <c r="Q22">
        <f>Q21/100</f>
        <v>0.96</v>
      </c>
    </row>
    <row r="23" spans="4:17">
      <c r="D23" s="32" t="s">
        <v>80</v>
      </c>
      <c r="E23" s="34"/>
      <c r="J23" s="32"/>
      <c r="K23" s="35"/>
    </row>
    <row r="24" spans="4:17">
      <c r="E24" s="2"/>
      <c r="J24" s="32"/>
      <c r="K24" s="35"/>
    </row>
    <row r="25" spans="4:17">
      <c r="E25" s="2"/>
      <c r="J25" s="32"/>
      <c r="K25" s="35"/>
    </row>
    <row r="26" spans="4:17">
      <c r="J26" s="34" t="s">
        <v>150</v>
      </c>
      <c r="K26" s="51">
        <f>K28-K27</f>
        <v>6.7448975019608213</v>
      </c>
    </row>
    <row r="27" spans="4:17">
      <c r="J27" s="34" t="s">
        <v>151</v>
      </c>
      <c r="K27" s="30">
        <f>_xlfn.NORM.INV((25/100),K$4,K$5)</f>
        <v>45.627551249019589</v>
      </c>
    </row>
    <row r="28" spans="4:17">
      <c r="J28" s="34" t="s">
        <v>152</v>
      </c>
      <c r="K28" s="30">
        <f>_xlfn.NORM.INV((75/100),K$4,K$5)</f>
        <v>52.372448750980411</v>
      </c>
    </row>
    <row r="31" spans="4:17">
      <c r="P31" t="s">
        <v>145</v>
      </c>
      <c r="Q31">
        <f>NORMINV(0.28,1264,116)</f>
        <v>1196.390385156539</v>
      </c>
    </row>
    <row r="32" spans="4:17">
      <c r="E32" s="2"/>
    </row>
    <row r="33" spans="4:5">
      <c r="D33" s="10"/>
      <c r="E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4CB3-A584-0B47-8E5D-C4DB8D5DE250}">
  <dimension ref="B2:K22"/>
  <sheetViews>
    <sheetView workbookViewId="0">
      <selection activeCell="I11" sqref="I11"/>
    </sheetView>
  </sheetViews>
  <sheetFormatPr baseColWidth="10" defaultRowHeight="16"/>
  <cols>
    <col min="2" max="2" width="28.83203125" customWidth="1"/>
    <col min="5" max="5" width="22" customWidth="1"/>
    <col min="8" max="8" width="18.83203125" customWidth="1"/>
  </cols>
  <sheetData>
    <row r="2" spans="2:11"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2:11">
      <c r="B3" s="143" t="s">
        <v>190</v>
      </c>
      <c r="C3" s="143"/>
      <c r="D3" s="60"/>
      <c r="E3" s="61"/>
      <c r="F3" s="61"/>
      <c r="G3" s="60"/>
      <c r="H3" s="143" t="s">
        <v>191</v>
      </c>
      <c r="I3" s="143"/>
      <c r="J3" s="60"/>
      <c r="K3" s="60"/>
    </row>
    <row r="4" spans="2:11">
      <c r="B4" s="61" t="s">
        <v>192</v>
      </c>
      <c r="C4" s="61">
        <v>95</v>
      </c>
      <c r="D4" s="60"/>
      <c r="E4" s="61" t="s">
        <v>0</v>
      </c>
      <c r="F4" s="61">
        <v>424</v>
      </c>
      <c r="G4" s="60"/>
      <c r="H4" s="61"/>
      <c r="I4" s="61"/>
      <c r="J4" s="60"/>
      <c r="K4" s="60"/>
    </row>
    <row r="5" spans="2:11">
      <c r="B5" s="61" t="s">
        <v>193</v>
      </c>
      <c r="C5" s="61">
        <v>47</v>
      </c>
      <c r="D5" s="60"/>
      <c r="E5" s="61" t="s">
        <v>20</v>
      </c>
      <c r="F5" s="61">
        <v>2285</v>
      </c>
      <c r="G5" s="60"/>
      <c r="H5" s="61" t="s">
        <v>67</v>
      </c>
      <c r="I5" s="61">
        <v>0.113</v>
      </c>
      <c r="J5" s="60"/>
      <c r="K5" s="60"/>
    </row>
    <row r="6" spans="2:11">
      <c r="B6" s="61" t="s">
        <v>194</v>
      </c>
      <c r="C6" s="61">
        <v>3</v>
      </c>
      <c r="D6" s="60"/>
      <c r="E6" s="61" t="s">
        <v>21</v>
      </c>
      <c r="F6" s="61">
        <f>F4/F5</f>
        <v>0.18555798687089717</v>
      </c>
      <c r="G6" s="60"/>
      <c r="H6" s="61" t="s">
        <v>195</v>
      </c>
      <c r="I6" s="61">
        <v>0.65700000000000003</v>
      </c>
      <c r="J6" s="60"/>
      <c r="K6" s="60"/>
    </row>
    <row r="7" spans="2:11">
      <c r="B7" s="62" t="s">
        <v>67</v>
      </c>
      <c r="C7" s="62">
        <f>(C5-C6) / 100</f>
        <v>0.44</v>
      </c>
      <c r="D7" s="60"/>
      <c r="E7" s="61" t="s">
        <v>196</v>
      </c>
      <c r="F7" s="61">
        <f>F5*F6*(1-F6)</f>
        <v>345.32341356673965</v>
      </c>
      <c r="G7" s="60"/>
      <c r="H7" s="61" t="s">
        <v>197</v>
      </c>
      <c r="I7" s="61">
        <v>1200</v>
      </c>
      <c r="J7" s="60"/>
      <c r="K7" s="60"/>
    </row>
    <row r="8" spans="2:11">
      <c r="B8" s="62" t="s">
        <v>68</v>
      </c>
      <c r="C8" s="62">
        <f>(C5+C6)/100</f>
        <v>0.5</v>
      </c>
      <c r="D8" s="60"/>
      <c r="E8" s="61" t="s">
        <v>198</v>
      </c>
      <c r="F8" s="61">
        <v>90</v>
      </c>
      <c r="G8" s="60"/>
      <c r="H8" s="62" t="s">
        <v>21</v>
      </c>
      <c r="I8" s="62">
        <f>(I6+I5)/2</f>
        <v>0.38500000000000001</v>
      </c>
      <c r="J8" s="60"/>
      <c r="K8" s="60"/>
    </row>
    <row r="9" spans="2:11">
      <c r="B9" s="60"/>
      <c r="C9" s="60"/>
      <c r="D9" s="60"/>
      <c r="E9" s="61" t="s">
        <v>131</v>
      </c>
      <c r="F9" s="63">
        <f>SQRT((F6*(1-F6))/F5)</f>
        <v>8.1325512394771204E-3</v>
      </c>
      <c r="G9" s="60"/>
      <c r="H9" s="62" t="s">
        <v>199</v>
      </c>
      <c r="I9" s="62">
        <f>(I6-I5)/2</f>
        <v>0.27200000000000002</v>
      </c>
      <c r="J9" s="60"/>
      <c r="K9" s="60"/>
    </row>
    <row r="10" spans="2:11">
      <c r="B10" s="60"/>
      <c r="C10" s="60"/>
      <c r="D10" s="60"/>
      <c r="E10" s="61" t="s">
        <v>200</v>
      </c>
      <c r="F10" s="61">
        <f>((100-F8) /2)/100</f>
        <v>0.05</v>
      </c>
      <c r="G10" s="60"/>
      <c r="H10" s="62" t="s">
        <v>0</v>
      </c>
      <c r="I10" s="62">
        <f>I7*I8</f>
        <v>462</v>
      </c>
      <c r="J10" s="60"/>
      <c r="K10" s="60"/>
    </row>
    <row r="11" spans="2:11">
      <c r="B11" s="60"/>
      <c r="C11" s="60"/>
      <c r="D11" s="60"/>
      <c r="E11" s="61" t="s">
        <v>201</v>
      </c>
      <c r="F11" s="61">
        <f>_xlfn.NORM.INV((1-F10),0,1)</f>
        <v>1.6448536269514715</v>
      </c>
      <c r="G11" s="60"/>
      <c r="H11" s="60"/>
      <c r="I11" s="60"/>
      <c r="J11" s="60"/>
      <c r="K11" s="60"/>
    </row>
    <row r="12" spans="2:11">
      <c r="B12" s="60"/>
      <c r="C12" s="60"/>
      <c r="D12" s="60"/>
      <c r="E12" s="62" t="s">
        <v>202</v>
      </c>
      <c r="F12" s="64">
        <f>F6-F$11*F9</f>
        <v>0.17218113046827455</v>
      </c>
      <c r="G12" s="60"/>
      <c r="H12" s="60"/>
      <c r="I12" s="60"/>
      <c r="J12" s="60"/>
      <c r="K12" s="60"/>
    </row>
    <row r="13" spans="2:11">
      <c r="B13" s="60"/>
      <c r="C13" s="60"/>
      <c r="D13" s="60"/>
      <c r="E13" s="65" t="s">
        <v>68</v>
      </c>
      <c r="F13" s="64">
        <f>F6+F$11*F9</f>
        <v>0.19893484327351979</v>
      </c>
      <c r="G13" s="60"/>
      <c r="H13" s="60"/>
      <c r="I13" s="60"/>
      <c r="J13" s="60"/>
      <c r="K13" s="60"/>
    </row>
    <row r="14" spans="2:11">
      <c r="B14" s="143" t="s">
        <v>203</v>
      </c>
      <c r="C14" s="143"/>
      <c r="D14" s="60"/>
      <c r="E14" s="60"/>
      <c r="F14" s="60"/>
      <c r="G14" s="60"/>
      <c r="H14" s="60"/>
      <c r="I14" s="60"/>
      <c r="J14" s="60"/>
      <c r="K14" s="60"/>
    </row>
    <row r="15" spans="2:11">
      <c r="B15" s="61" t="s">
        <v>204</v>
      </c>
      <c r="C15" s="61">
        <v>0.05</v>
      </c>
      <c r="D15" s="60"/>
      <c r="E15" s="143" t="s">
        <v>205</v>
      </c>
      <c r="F15" s="143"/>
      <c r="G15" s="66"/>
      <c r="H15" s="66"/>
      <c r="I15" s="66"/>
      <c r="J15" s="67"/>
      <c r="K15" s="60"/>
    </row>
    <row r="16" spans="2:11">
      <c r="B16" s="61" t="s">
        <v>206</v>
      </c>
      <c r="C16" s="61">
        <v>94</v>
      </c>
      <c r="D16" s="60"/>
      <c r="E16" s="61" t="s">
        <v>207</v>
      </c>
      <c r="F16" s="61">
        <v>1</v>
      </c>
      <c r="G16" s="60"/>
      <c r="H16" s="60"/>
      <c r="I16" s="60"/>
      <c r="J16" s="68"/>
      <c r="K16" s="60"/>
    </row>
    <row r="17" spans="2:11">
      <c r="B17" s="61" t="s">
        <v>208</v>
      </c>
      <c r="C17" s="61">
        <v>0.51</v>
      </c>
      <c r="D17" s="60"/>
      <c r="E17" s="61"/>
      <c r="F17" s="61">
        <v>3</v>
      </c>
      <c r="G17" s="60"/>
      <c r="H17" s="60"/>
      <c r="I17" s="60"/>
      <c r="J17" s="68"/>
      <c r="K17" s="60"/>
    </row>
    <row r="18" spans="2:11">
      <c r="B18" s="61" t="s">
        <v>200</v>
      </c>
      <c r="C18" s="61">
        <f>((100-C16)/100)/2</f>
        <v>0.03</v>
      </c>
      <c r="D18" s="60"/>
      <c r="E18" s="61" t="s">
        <v>209</v>
      </c>
      <c r="F18" s="61">
        <f>F17^2</f>
        <v>9</v>
      </c>
      <c r="G18" s="60"/>
      <c r="H18" s="60"/>
      <c r="I18" s="60"/>
      <c r="J18" s="68"/>
      <c r="K18" s="60"/>
    </row>
    <row r="19" spans="2:11">
      <c r="B19" s="61" t="s">
        <v>210</v>
      </c>
      <c r="C19" s="69">
        <f>_xlfn.NORM.INV(1-C18,0,1)</f>
        <v>1.8807936081512504</v>
      </c>
      <c r="D19" s="60"/>
      <c r="E19" s="70"/>
      <c r="F19" s="60"/>
      <c r="G19" s="60"/>
      <c r="H19" s="60"/>
      <c r="I19" s="60"/>
      <c r="J19" s="68"/>
      <c r="K19" s="60"/>
    </row>
    <row r="20" spans="2:11">
      <c r="B20" s="62" t="s">
        <v>211</v>
      </c>
      <c r="C20" s="64">
        <f xml:space="preserve"> C17*(1-C17)*((C19/C15)^2)</f>
        <v>353.59696426240129</v>
      </c>
      <c r="D20" s="60"/>
      <c r="E20" s="70" t="s">
        <v>212</v>
      </c>
      <c r="F20" s="60"/>
      <c r="G20" s="60"/>
      <c r="H20" s="60"/>
      <c r="I20" s="60"/>
      <c r="J20" s="68"/>
      <c r="K20" s="60"/>
    </row>
    <row r="21" spans="2:11">
      <c r="B21" s="62" t="s">
        <v>213</v>
      </c>
      <c r="C21" s="64">
        <f>0.25*((C19/C15)^2)</f>
        <v>353.7384596462598</v>
      </c>
      <c r="D21" s="60"/>
      <c r="E21" s="71" t="s">
        <v>214</v>
      </c>
      <c r="F21" s="72"/>
      <c r="G21" s="72"/>
      <c r="H21" s="72"/>
      <c r="I21" s="72"/>
      <c r="J21" s="73"/>
      <c r="K21" s="60"/>
    </row>
    <row r="22" spans="2:11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4">
    <mergeCell ref="B3:C3"/>
    <mergeCell ref="H3:I3"/>
    <mergeCell ref="B14:C14"/>
    <mergeCell ref="E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4B88-A85A-EB42-B4EC-BEBEC08109DD}">
  <dimension ref="B4:J26"/>
  <sheetViews>
    <sheetView topLeftCell="A3" zoomScale="160" workbookViewId="0">
      <selection activeCell="F14" sqref="F14"/>
    </sheetView>
  </sheetViews>
  <sheetFormatPr baseColWidth="10" defaultRowHeight="16"/>
  <cols>
    <col min="2" max="2" width="27.5" customWidth="1"/>
    <col min="5" max="5" width="20.6640625" customWidth="1"/>
    <col min="7" max="7" width="18.6640625" customWidth="1"/>
    <col min="8" max="8" width="18" customWidth="1"/>
    <col min="9" max="9" width="14.33203125" customWidth="1"/>
    <col min="10" max="10" width="19.1640625" customWidth="1"/>
  </cols>
  <sheetData>
    <row r="4" spans="2:10">
      <c r="B4" s="141" t="s">
        <v>215</v>
      </c>
      <c r="C4" s="141"/>
      <c r="E4" s="141" t="s">
        <v>216</v>
      </c>
      <c r="F4" s="141"/>
      <c r="H4" s="141" t="s">
        <v>217</v>
      </c>
      <c r="I4" s="141"/>
      <c r="J4" s="141"/>
    </row>
    <row r="5" spans="2:10">
      <c r="B5" s="76"/>
      <c r="C5" s="77"/>
      <c r="E5" s="32"/>
      <c r="F5" s="32"/>
      <c r="H5" s="32"/>
      <c r="I5" s="32"/>
      <c r="J5" s="32"/>
    </row>
    <row r="6" spans="2:10">
      <c r="B6" s="74" t="s">
        <v>218</v>
      </c>
      <c r="C6" s="74">
        <v>0.93799999999999994</v>
      </c>
      <c r="E6" s="78" t="s">
        <v>91</v>
      </c>
      <c r="F6" s="79">
        <v>19.600000000000001</v>
      </c>
      <c r="H6" s="74" t="s">
        <v>67</v>
      </c>
      <c r="I6" s="32">
        <v>20</v>
      </c>
      <c r="J6" s="32"/>
    </row>
    <row r="7" spans="2:10">
      <c r="B7" s="75" t="s">
        <v>219</v>
      </c>
      <c r="C7" s="75">
        <v>25</v>
      </c>
      <c r="E7" s="80" t="s">
        <v>220</v>
      </c>
      <c r="F7" s="81">
        <v>5.8</v>
      </c>
      <c r="H7" s="74" t="s">
        <v>68</v>
      </c>
      <c r="I7" s="32">
        <v>30</v>
      </c>
      <c r="J7" s="32"/>
    </row>
    <row r="8" spans="2:10">
      <c r="B8" s="82" t="s">
        <v>221</v>
      </c>
      <c r="C8" s="83">
        <f>_xlfn.T.INV(C6,C7)</f>
        <v>1.5917851223801218</v>
      </c>
      <c r="E8" s="84" t="s">
        <v>222</v>
      </c>
      <c r="F8" s="85">
        <v>90</v>
      </c>
      <c r="H8" s="74"/>
      <c r="I8" s="32"/>
      <c r="J8" s="32"/>
    </row>
    <row r="9" spans="2:10">
      <c r="B9" s="82" t="s">
        <v>223</v>
      </c>
      <c r="C9" s="83">
        <f>ABS(C8)</f>
        <v>1.5917851223801218</v>
      </c>
      <c r="E9" s="86" t="s">
        <v>20</v>
      </c>
      <c r="F9" s="87">
        <v>22</v>
      </c>
      <c r="H9" s="88" t="s">
        <v>91</v>
      </c>
      <c r="I9" s="89">
        <f>(I6+I7)/2</f>
        <v>25</v>
      </c>
      <c r="J9" s="32"/>
    </row>
    <row r="10" spans="2:10">
      <c r="B10" s="74"/>
      <c r="C10" s="74"/>
      <c r="E10" s="74" t="s">
        <v>200</v>
      </c>
      <c r="F10" s="32">
        <f>((100-F8)/100 )/2</f>
        <v>0.05</v>
      </c>
      <c r="H10" s="88" t="s">
        <v>224</v>
      </c>
      <c r="I10" s="89">
        <f>I7-I9</f>
        <v>5</v>
      </c>
      <c r="J10" s="32"/>
    </row>
    <row r="11" spans="2:10">
      <c r="B11" s="74" t="s">
        <v>113</v>
      </c>
      <c r="C11" s="74">
        <v>80</v>
      </c>
      <c r="E11" s="74" t="s">
        <v>225</v>
      </c>
      <c r="F11" s="32">
        <f>ABS(_xlfn.T.INV(F10,F9-1))</f>
        <v>1.7207429028118781</v>
      </c>
    </row>
    <row r="12" spans="2:10">
      <c r="B12" s="74" t="s">
        <v>219</v>
      </c>
      <c r="C12" s="74">
        <v>14</v>
      </c>
      <c r="E12" s="82" t="s">
        <v>202</v>
      </c>
      <c r="F12" s="90">
        <f>F6-(F11*(F7/SQRT(F9)))</f>
        <v>17.472191006648718</v>
      </c>
    </row>
    <row r="13" spans="2:10">
      <c r="B13" s="74" t="s">
        <v>226</v>
      </c>
      <c r="C13" s="74">
        <f>((100-C11)/100)/2</f>
        <v>0.1</v>
      </c>
      <c r="E13" s="82" t="s">
        <v>68</v>
      </c>
      <c r="F13" s="90">
        <f>F6+ (F11*(F7/SQRT(F9)))</f>
        <v>21.727808993351285</v>
      </c>
    </row>
    <row r="14" spans="2:10">
      <c r="B14" s="82" t="s">
        <v>227</v>
      </c>
      <c r="C14" s="83">
        <f>ABS(_xlfn.T.INV(C13,C12))</f>
        <v>1.3450303744546506</v>
      </c>
      <c r="H14" t="s">
        <v>228</v>
      </c>
    </row>
    <row r="16" spans="2:10">
      <c r="H16" s="32" t="s">
        <v>229</v>
      </c>
      <c r="I16" s="32">
        <v>23.86</v>
      </c>
    </row>
    <row r="17" spans="2:9">
      <c r="B17" s="141" t="s">
        <v>230</v>
      </c>
      <c r="C17" s="141"/>
      <c r="H17" s="32" t="s">
        <v>231</v>
      </c>
      <c r="I17" s="32">
        <v>2.9000000000000001E-2</v>
      </c>
    </row>
    <row r="18" spans="2:9">
      <c r="B18" s="32"/>
      <c r="C18" s="32"/>
      <c r="H18" s="32" t="s">
        <v>232</v>
      </c>
      <c r="I18" s="32">
        <v>95</v>
      </c>
    </row>
    <row r="19" spans="2:9">
      <c r="B19" s="74" t="s">
        <v>199</v>
      </c>
      <c r="C19" s="74">
        <v>4</v>
      </c>
      <c r="H19" s="32" t="s">
        <v>67</v>
      </c>
      <c r="I19" s="32">
        <v>23.803999999999998</v>
      </c>
    </row>
    <row r="20" spans="2:9">
      <c r="B20" s="74" t="s">
        <v>233</v>
      </c>
      <c r="C20" s="74">
        <v>99</v>
      </c>
      <c r="H20" s="32" t="s">
        <v>68</v>
      </c>
      <c r="I20" s="32">
        <v>23.916</v>
      </c>
    </row>
    <row r="21" spans="2:9">
      <c r="B21" s="74" t="s">
        <v>231</v>
      </c>
      <c r="C21" s="74">
        <v>15.4</v>
      </c>
      <c r="H21" s="32"/>
      <c r="I21" s="32"/>
    </row>
    <row r="22" spans="2:9">
      <c r="B22" s="74"/>
      <c r="C22" s="74"/>
      <c r="H22" s="89" t="s">
        <v>199</v>
      </c>
      <c r="I22" s="89">
        <f>I20-I16</f>
        <v>5.6000000000000938E-2</v>
      </c>
    </row>
    <row r="23" spans="2:9">
      <c r="B23" s="74" t="s">
        <v>200</v>
      </c>
      <c r="C23" s="74">
        <f>((100-C20)/100 )/2</f>
        <v>5.0000000000000001E-3</v>
      </c>
      <c r="H23" t="s">
        <v>234</v>
      </c>
    </row>
    <row r="24" spans="2:9">
      <c r="B24" s="74" t="s">
        <v>210</v>
      </c>
      <c r="C24" s="91">
        <f>_xlfn.NORM.INV(1-C23,0,1)</f>
        <v>2.5758293035488999</v>
      </c>
    </row>
    <row r="25" spans="2:9">
      <c r="B25" s="74"/>
      <c r="C25" s="74"/>
    </row>
    <row r="26" spans="2:9">
      <c r="B26" s="92" t="s">
        <v>20</v>
      </c>
      <c r="C26" s="93">
        <f>((C24*C21)/C19)^2</f>
        <v>98.345754868636917</v>
      </c>
      <c r="D26" t="s">
        <v>235</v>
      </c>
    </row>
  </sheetData>
  <mergeCells count="4">
    <mergeCell ref="B4:C4"/>
    <mergeCell ref="E4:F4"/>
    <mergeCell ref="H4:J4"/>
    <mergeCell ref="B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8097-6201-8D4A-AA45-F89B2A2E7762}">
  <dimension ref="A2:F27"/>
  <sheetViews>
    <sheetView workbookViewId="0">
      <selection activeCell="D12" sqref="D12"/>
    </sheetView>
  </sheetViews>
  <sheetFormatPr baseColWidth="10" defaultRowHeight="16"/>
  <cols>
    <col min="3" max="3" width="19.6640625" customWidth="1"/>
    <col min="4" max="4" width="20.1640625" customWidth="1"/>
  </cols>
  <sheetData>
    <row r="2" spans="1:6">
      <c r="A2" t="s">
        <v>285</v>
      </c>
    </row>
    <row r="3" spans="1:6">
      <c r="A3" s="7">
        <v>30120</v>
      </c>
      <c r="C3" t="s">
        <v>293</v>
      </c>
      <c r="D3">
        <v>4</v>
      </c>
    </row>
    <row r="4" spans="1:6">
      <c r="A4" s="7">
        <v>30415</v>
      </c>
      <c r="C4" t="s">
        <v>292</v>
      </c>
      <c r="D4">
        <v>6000</v>
      </c>
    </row>
    <row r="5" spans="1:6">
      <c r="A5" s="7">
        <v>30729</v>
      </c>
      <c r="C5" t="s">
        <v>135</v>
      </c>
      <c r="D5">
        <v>30000</v>
      </c>
    </row>
    <row r="6" spans="1:6">
      <c r="A6" s="7">
        <v>32114</v>
      </c>
      <c r="C6" s="4" t="s">
        <v>291</v>
      </c>
      <c r="D6" t="s">
        <v>290</v>
      </c>
      <c r="E6" t="s">
        <v>289</v>
      </c>
      <c r="F6" t="s">
        <v>288</v>
      </c>
    </row>
    <row r="7" spans="1:6">
      <c r="A7" s="7">
        <v>33093</v>
      </c>
      <c r="C7">
        <f>D$5 + D$4*0</f>
        <v>30000</v>
      </c>
      <c r="D7">
        <f>D$5 + ((D$4 * 1) -1)</f>
        <v>35999</v>
      </c>
      <c r="E7">
        <f>COUNTIFS(A$3:A$200,"&gt;30000", A$3:A$200,"&lt;35999")</f>
        <v>14</v>
      </c>
      <c r="F7">
        <f>E7/F14</f>
        <v>0.56000000000000005</v>
      </c>
    </row>
    <row r="8" spans="1:6">
      <c r="A8" s="7">
        <v>33713</v>
      </c>
      <c r="C8">
        <f>D$5 + D$4*1</f>
        <v>36000</v>
      </c>
      <c r="D8">
        <f>D$5 + ((D$4 * 2) -1)</f>
        <v>41999</v>
      </c>
      <c r="E8">
        <f>COUNTIFS(A$3:A$200,"&gt;36000", A$3:A$200,"&lt;41999")</f>
        <v>10</v>
      </c>
      <c r="F8">
        <f>10/F14</f>
        <v>0.4</v>
      </c>
    </row>
    <row r="9" spans="1:6">
      <c r="A9" s="7">
        <v>33915</v>
      </c>
      <c r="C9">
        <f>D$5 + D$4*2</f>
        <v>42000</v>
      </c>
      <c r="D9">
        <f>D$5 + ((D$4 * 3) -1)</f>
        <v>47999</v>
      </c>
      <c r="E9">
        <f>COUNTIFS(A$3:A$200,"&gt;30000", A$3:A$200,"&lt;35999")</f>
        <v>14</v>
      </c>
      <c r="F9">
        <f>1/F14</f>
        <v>0.04</v>
      </c>
    </row>
    <row r="10" spans="1:6">
      <c r="A10" s="7">
        <v>34184</v>
      </c>
      <c r="C10">
        <f>D$5 + D$4*3</f>
        <v>48000</v>
      </c>
      <c r="D10">
        <f>D$5 + ((D$4 * 4) -1)</f>
        <v>53999</v>
      </c>
      <c r="E10">
        <f>COUNTIFS(A$3:A$200,"&gt;30000", A$3:A$200,"&lt;35999")</f>
        <v>14</v>
      </c>
    </row>
    <row r="11" spans="1:6">
      <c r="A11" s="7">
        <v>34676</v>
      </c>
      <c r="D11" s="145" t="s">
        <v>287</v>
      </c>
    </row>
    <row r="12" spans="1:6">
      <c r="A12" s="7">
        <v>34837</v>
      </c>
    </row>
    <row r="13" spans="1:6">
      <c r="A13" s="7">
        <v>35214</v>
      </c>
    </row>
    <row r="14" spans="1:6">
      <c r="A14" s="7">
        <v>35576</v>
      </c>
      <c r="E14" s="4" t="s">
        <v>286</v>
      </c>
      <c r="F14">
        <f>COUNT(A3:A27)</f>
        <v>25</v>
      </c>
    </row>
    <row r="15" spans="1:6">
      <c r="A15" s="7">
        <v>35755</v>
      </c>
    </row>
    <row r="16" spans="1:6">
      <c r="A16" s="7">
        <v>35976</v>
      </c>
    </row>
    <row r="17" spans="1:1">
      <c r="A17" s="7">
        <v>36817</v>
      </c>
    </row>
    <row r="18" spans="1:1">
      <c r="A18" s="7">
        <v>37298</v>
      </c>
    </row>
    <row r="19" spans="1:1">
      <c r="A19" s="7">
        <v>37764</v>
      </c>
    </row>
    <row r="20" spans="1:1">
      <c r="A20" s="7">
        <v>38441</v>
      </c>
    </row>
    <row r="21" spans="1:1">
      <c r="A21" s="7">
        <v>38692</v>
      </c>
    </row>
    <row r="22" spans="1:1">
      <c r="A22" s="7">
        <v>38878</v>
      </c>
    </row>
    <row r="23" spans="1:1">
      <c r="A23" s="7">
        <v>39879</v>
      </c>
    </row>
    <row r="24" spans="1:1">
      <c r="A24" s="7">
        <v>40141</v>
      </c>
    </row>
    <row r="25" spans="1:1">
      <c r="A25" s="7">
        <v>41175</v>
      </c>
    </row>
    <row r="26" spans="1:1">
      <c r="A26" s="7">
        <v>41420</v>
      </c>
    </row>
    <row r="27" spans="1:1">
      <c r="A27" s="7">
        <v>52591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A757-16BD-0749-9653-C8284C431BBD}">
  <dimension ref="A2:D42"/>
  <sheetViews>
    <sheetView workbookViewId="0">
      <selection activeCell="F7" sqref="F7"/>
    </sheetView>
  </sheetViews>
  <sheetFormatPr baseColWidth="10" defaultRowHeight="16"/>
  <sheetData>
    <row r="2" spans="1:4">
      <c r="A2" t="s">
        <v>285</v>
      </c>
    </row>
    <row r="3" spans="1:4">
      <c r="A3">
        <v>0.26</v>
      </c>
      <c r="C3" t="s">
        <v>284</v>
      </c>
      <c r="D3">
        <f>COUNT(A3:A202)</f>
        <v>40</v>
      </c>
    </row>
    <row r="4" spans="1:4">
      <c r="A4">
        <v>0.47</v>
      </c>
      <c r="C4" t="s">
        <v>91</v>
      </c>
      <c r="D4">
        <f>AVERAGE(A3:A200)</f>
        <v>5.6750000000000002E-2</v>
      </c>
    </row>
    <row r="5" spans="1:4">
      <c r="A5">
        <v>-0.05</v>
      </c>
      <c r="C5" t="s">
        <v>131</v>
      </c>
      <c r="D5">
        <f>STDEV(A3:A220)</f>
        <v>0.11958019517011616</v>
      </c>
    </row>
    <row r="6" spans="1:4">
      <c r="A6">
        <v>0.06</v>
      </c>
    </row>
    <row r="7" spans="1:4">
      <c r="A7">
        <v>0.01</v>
      </c>
      <c r="C7" t="s">
        <v>151</v>
      </c>
      <c r="D7" s="5">
        <f>QUARTILE(A$3:A$22, 1)</f>
        <v>-1.2500000000000001E-2</v>
      </c>
    </row>
    <row r="8" spans="1:4">
      <c r="A8">
        <v>0.26</v>
      </c>
      <c r="C8" t="s">
        <v>283</v>
      </c>
      <c r="D8">
        <f>QUARTILE(A$3:A$22, 2)</f>
        <v>0.06</v>
      </c>
    </row>
    <row r="9" spans="1:4">
      <c r="A9">
        <v>0.06</v>
      </c>
      <c r="C9" t="s">
        <v>152</v>
      </c>
      <c r="D9" s="144">
        <f>QUARTILE(A$3:A$22, 3)</f>
        <v>0.10250000000000001</v>
      </c>
    </row>
    <row r="10" spans="1:4">
      <c r="A10">
        <v>-0.02</v>
      </c>
    </row>
    <row r="11" spans="1:4">
      <c r="A11">
        <v>-0.01</v>
      </c>
    </row>
    <row r="12" spans="1:4">
      <c r="A12">
        <v>0.11</v>
      </c>
    </row>
    <row r="13" spans="1:4">
      <c r="A13">
        <v>0.04</v>
      </c>
    </row>
    <row r="14" spans="1:4">
      <c r="A14">
        <v>-0.15</v>
      </c>
    </row>
    <row r="15" spans="1:4">
      <c r="A15">
        <v>0.08</v>
      </c>
    </row>
    <row r="16" spans="1:4">
      <c r="A16">
        <v>7.0000000000000007E-2</v>
      </c>
    </row>
    <row r="17" spans="1:1">
      <c r="A17">
        <v>-0.11</v>
      </c>
    </row>
    <row r="18" spans="1:1">
      <c r="A18">
        <v>0.06</v>
      </c>
    </row>
    <row r="19" spans="1:1">
      <c r="A19">
        <v>0.19</v>
      </c>
    </row>
    <row r="20" spans="1:1">
      <c r="A20">
        <v>0.02</v>
      </c>
    </row>
    <row r="21" spans="1:1">
      <c r="A21">
        <v>-0.05</v>
      </c>
    </row>
    <row r="22" spans="1:1">
      <c r="A22">
        <v>0.1</v>
      </c>
    </row>
    <row r="23" spans="1:1">
      <c r="A23">
        <v>0.06</v>
      </c>
    </row>
    <row r="24" spans="1:1">
      <c r="A24">
        <v>0.05</v>
      </c>
    </row>
    <row r="25" spans="1:1">
      <c r="A25">
        <v>-0.02</v>
      </c>
    </row>
    <row r="26" spans="1:1">
      <c r="A26">
        <v>0.01</v>
      </c>
    </row>
    <row r="27" spans="1:1">
      <c r="A27">
        <v>0.1</v>
      </c>
    </row>
    <row r="28" spans="1:1">
      <c r="A28">
        <v>-0.04</v>
      </c>
    </row>
    <row r="29" spans="1:1">
      <c r="A29">
        <v>0.18</v>
      </c>
    </row>
    <row r="30" spans="1:1">
      <c r="A30">
        <v>0.13</v>
      </c>
    </row>
    <row r="31" spans="1:1">
      <c r="A31">
        <v>-0.1</v>
      </c>
    </row>
    <row r="32" spans="1:1">
      <c r="A32">
        <v>0.25</v>
      </c>
    </row>
    <row r="33" spans="1:1">
      <c r="A33">
        <v>-0.04</v>
      </c>
    </row>
    <row r="34" spans="1:1">
      <c r="A34">
        <v>0.09</v>
      </c>
    </row>
    <row r="35" spans="1:1">
      <c r="A35">
        <v>-0.08</v>
      </c>
    </row>
    <row r="36" spans="1:1">
      <c r="A36">
        <v>0.02</v>
      </c>
    </row>
    <row r="37" spans="1:1">
      <c r="A37">
        <v>-0.02</v>
      </c>
    </row>
    <row r="38" spans="1:1">
      <c r="A38">
        <v>0.22</v>
      </c>
    </row>
    <row r="39" spans="1:1">
      <c r="A39">
        <v>0.02</v>
      </c>
    </row>
    <row r="40" spans="1:1">
      <c r="A40">
        <v>-0.02</v>
      </c>
    </row>
    <row r="41" spans="1:1">
      <c r="A41">
        <v>0.03</v>
      </c>
    </row>
    <row r="42" spans="1:1">
      <c r="A42">
        <v>0.03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351-70B0-5244-BA65-285CF6942DC3}">
  <dimension ref="A1:I26"/>
  <sheetViews>
    <sheetView tabSelected="1" zoomScale="159" zoomScaleNormal="159" workbookViewId="0">
      <selection activeCell="B2" sqref="B2"/>
    </sheetView>
  </sheetViews>
  <sheetFormatPr baseColWidth="10" defaultRowHeight="16"/>
  <cols>
    <col min="1" max="1" width="32.6640625" customWidth="1"/>
    <col min="5" max="5" width="27.6640625" customWidth="1"/>
  </cols>
  <sheetData>
    <row r="1" spans="1:9">
      <c r="A1" s="25" t="s">
        <v>163</v>
      </c>
      <c r="B1" t="s">
        <v>167</v>
      </c>
      <c r="C1" t="s">
        <v>43</v>
      </c>
      <c r="E1" s="16" t="s">
        <v>179</v>
      </c>
      <c r="F1" t="s">
        <v>180</v>
      </c>
    </row>
    <row r="2" spans="1:9">
      <c r="A2" s="16" t="s">
        <v>91</v>
      </c>
      <c r="B2" s="16">
        <v>150.9</v>
      </c>
      <c r="E2" t="s">
        <v>113</v>
      </c>
      <c r="F2">
        <v>5</v>
      </c>
    </row>
    <row r="3" spans="1:9">
      <c r="A3" s="16" t="s">
        <v>131</v>
      </c>
      <c r="B3" s="54">
        <v>33</v>
      </c>
      <c r="E3" t="s">
        <v>181</v>
      </c>
      <c r="F3">
        <f>F2/100</f>
        <v>0.05</v>
      </c>
    </row>
    <row r="4" spans="1:9">
      <c r="A4" s="16" t="s">
        <v>171</v>
      </c>
      <c r="B4" s="16">
        <v>35</v>
      </c>
      <c r="E4" t="s">
        <v>164</v>
      </c>
      <c r="F4">
        <v>300</v>
      </c>
    </row>
    <row r="5" spans="1:9">
      <c r="B5" s="16"/>
    </row>
    <row r="6" spans="1:9">
      <c r="A6" s="16" t="s">
        <v>165</v>
      </c>
      <c r="B6" s="52">
        <f>B2</f>
        <v>150.9</v>
      </c>
      <c r="E6" t="s">
        <v>182</v>
      </c>
      <c r="F6" s="53">
        <f>F3</f>
        <v>0.05</v>
      </c>
    </row>
    <row r="7" spans="1:9">
      <c r="A7" s="16" t="s">
        <v>166</v>
      </c>
      <c r="B7" s="56">
        <f>B3/SQRT(B4)</f>
        <v>5.5780180812082092</v>
      </c>
      <c r="E7" t="s">
        <v>183</v>
      </c>
      <c r="F7" s="53">
        <f>SQRT(F6*(1 - F6)/F4)</f>
        <v>1.2583057392117916E-2</v>
      </c>
    </row>
    <row r="8" spans="1:9">
      <c r="B8" s="16"/>
    </row>
    <row r="9" spans="1:9">
      <c r="A9" s="16" t="s">
        <v>172</v>
      </c>
      <c r="B9" s="16">
        <v>180</v>
      </c>
      <c r="E9" t="s">
        <v>184</v>
      </c>
      <c r="F9" s="53">
        <f>(F4*F6)*(1 - F6)</f>
        <v>14.25</v>
      </c>
    </row>
    <row r="10" spans="1:9">
      <c r="A10" s="16" t="s">
        <v>173</v>
      </c>
      <c r="B10" s="55">
        <f>(B9-B2)/B3</f>
        <v>0.88181818181818161</v>
      </c>
    </row>
    <row r="11" spans="1:9">
      <c r="A11" s="16" t="s">
        <v>174</v>
      </c>
      <c r="B11" s="57">
        <f>(B9-B2)/B7</f>
        <v>5.2169067178242061</v>
      </c>
      <c r="E11" t="s">
        <v>188</v>
      </c>
      <c r="F11">
        <v>20</v>
      </c>
    </row>
    <row r="12" spans="1:9">
      <c r="E12" t="s">
        <v>185</v>
      </c>
      <c r="F12">
        <f>F11/100</f>
        <v>0.2</v>
      </c>
    </row>
    <row r="13" spans="1:9">
      <c r="A13" s="16" t="s">
        <v>177</v>
      </c>
      <c r="B13">
        <f>_xlfn.NORM.S.DIST(B10, TRUE)</f>
        <v>0.81106243112708065</v>
      </c>
      <c r="E13" t="s">
        <v>125</v>
      </c>
      <c r="F13">
        <f>(F12-F6)/F7</f>
        <v>11.920791213585396</v>
      </c>
      <c r="H13">
        <v>19</v>
      </c>
      <c r="I13">
        <v>0.79341189999999995</v>
      </c>
    </row>
    <row r="14" spans="1:9">
      <c r="A14" s="16" t="s">
        <v>178</v>
      </c>
      <c r="B14" s="58">
        <f xml:space="preserve"> 1-B13</f>
        <v>0.18893756887291935</v>
      </c>
      <c r="E14" t="s">
        <v>187</v>
      </c>
      <c r="F14" s="53">
        <f>_xlfn.NORM.S.DIST(F13, TRUE)</f>
        <v>1</v>
      </c>
      <c r="H14">
        <v>14</v>
      </c>
      <c r="I14">
        <v>0.70731049999999995</v>
      </c>
    </row>
    <row r="15" spans="1:9">
      <c r="E15" t="s">
        <v>186</v>
      </c>
      <c r="F15" s="53">
        <f xml:space="preserve"> 1 - F14</f>
        <v>0</v>
      </c>
      <c r="I15">
        <f>I13-I14</f>
        <v>8.6101399999999995E-2</v>
      </c>
    </row>
    <row r="16" spans="1:9">
      <c r="A16" s="16" t="s">
        <v>175</v>
      </c>
      <c r="B16" s="52">
        <f>_xlfn.NORM.S.DIST(B11, TRUE)</f>
        <v>0.99999990903208769</v>
      </c>
    </row>
    <row r="17" spans="1:6">
      <c r="A17" s="16" t="s">
        <v>176</v>
      </c>
      <c r="B17" s="52">
        <f xml:space="preserve"> 1 -B16</f>
        <v>9.0967912313999477E-8</v>
      </c>
    </row>
    <row r="20" spans="1:6">
      <c r="A20" s="25" t="s">
        <v>168</v>
      </c>
      <c r="B20" s="16"/>
    </row>
    <row r="21" spans="1:6">
      <c r="A21" s="16" t="s">
        <v>67</v>
      </c>
      <c r="B21" s="16">
        <v>120</v>
      </c>
      <c r="E21">
        <v>0.174543</v>
      </c>
    </row>
    <row r="22" spans="1:6">
      <c r="A22" s="16" t="s">
        <v>68</v>
      </c>
      <c r="B22" s="16">
        <v>180</v>
      </c>
      <c r="E22">
        <v>0.81106243</v>
      </c>
    </row>
    <row r="23" spans="1:6">
      <c r="A23" s="16" t="s">
        <v>169</v>
      </c>
      <c r="B23">
        <f>(B21-B$6)/B$7</f>
        <v>-5.539601978720551</v>
      </c>
      <c r="E23">
        <f>E22-E21</f>
        <v>0.63651943</v>
      </c>
      <c r="F23" t="s">
        <v>189</v>
      </c>
    </row>
    <row r="24" spans="1:6">
      <c r="A24" s="16" t="s">
        <v>72</v>
      </c>
      <c r="B24">
        <f>(B22-B$6)/B$7</f>
        <v>5.2169067178242061</v>
      </c>
    </row>
    <row r="26" spans="1:6">
      <c r="A26" s="16" t="s">
        <v>170</v>
      </c>
      <c r="B26" s="53">
        <f>_xlfn.NORM.S.DIST(B24, TRUE) - _xlfn.NORM.S.DIST(B23, TRUE)</f>
        <v>0.99999989387409427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Random Variable x</vt:lpstr>
      <vt:lpstr>Chpater 10</vt:lpstr>
      <vt:lpstr>Normal Distribution</vt:lpstr>
      <vt:lpstr>Chapter 9</vt:lpstr>
      <vt:lpstr>t-values</vt:lpstr>
      <vt:lpstr>Histogram</vt:lpstr>
      <vt:lpstr>Quartiles</vt:lpstr>
      <vt:lpstr>Chapter 8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2020-06-17T19:23:29Z</dcterms:modified>
</cp:coreProperties>
</file>