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noa/Desktop/Business-Stats-Excel-Sheet/"/>
    </mc:Choice>
  </mc:AlternateContent>
  <xr:revisionPtr revIDLastSave="0" documentId="13_ncr:1_{620E4AA2-7345-5E46-8DD2-244D4E8E9FE9}" xr6:coauthVersionLast="45" xr6:coauthVersionMax="45" xr10:uidLastSave="{00000000-0000-0000-0000-000000000000}"/>
  <bookViews>
    <workbookView xWindow="11340" yWindow="660" windowWidth="16480" windowHeight="18540" activeTab="2" xr2:uid="{34D5F05A-A698-714B-8EF6-AC36EAC16669}"/>
  </bookViews>
  <sheets>
    <sheet name="Random Variable x" sheetId="1" r:id="rId1"/>
    <sheet name="Normal Distribution" sheetId="6" r:id="rId2"/>
    <sheet name="Chapter 8" sheetId="8" r:id="rId3"/>
    <sheet name="Binomial Probability" sheetId="2" r:id="rId4"/>
    <sheet name="x &amp; Probability" sheetId="4" r:id="rId5"/>
    <sheet name="Expected Value" sheetId="5" r:id="rId6"/>
    <sheet name="Poisso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8" l="1"/>
  <c r="F3" i="8"/>
  <c r="F6" i="8" s="1"/>
  <c r="B14" i="8"/>
  <c r="B13" i="8"/>
  <c r="B10" i="8"/>
  <c r="B7" i="8"/>
  <c r="B11" i="8" s="1"/>
  <c r="B16" i="8" s="1"/>
  <c r="B17" i="8" s="1"/>
  <c r="B6" i="8"/>
  <c r="X7" i="6"/>
  <c r="W7" i="6"/>
  <c r="T7" i="6"/>
  <c r="T6" i="6"/>
  <c r="K28" i="6"/>
  <c r="K27" i="6"/>
  <c r="K9" i="6"/>
  <c r="Q22" i="6"/>
  <c r="Q19" i="6"/>
  <c r="Q31" i="6"/>
  <c r="B10" i="6"/>
  <c r="B9" i="6"/>
  <c r="B12" i="6" s="1"/>
  <c r="B8" i="6"/>
  <c r="AI6" i="6"/>
  <c r="AE4" i="6"/>
  <c r="AA4" i="6"/>
  <c r="AA5" i="6" s="1"/>
  <c r="K7" i="6"/>
  <c r="P10" i="6"/>
  <c r="Q3" i="6"/>
  <c r="Q5" i="6" s="1"/>
  <c r="Q7" i="6" s="1"/>
  <c r="H4" i="6"/>
  <c r="H5" i="6"/>
  <c r="B27" i="3"/>
  <c r="B26" i="3"/>
  <c r="B25" i="3"/>
  <c r="B24" i="3"/>
  <c r="B23" i="3"/>
  <c r="B22" i="3"/>
  <c r="B21" i="3"/>
  <c r="B20" i="3"/>
  <c r="C26" i="3"/>
  <c r="C25" i="3"/>
  <c r="C24" i="3"/>
  <c r="C23" i="3"/>
  <c r="C22" i="3"/>
  <c r="C21" i="3"/>
  <c r="C20" i="3"/>
  <c r="C19" i="3"/>
  <c r="A19" i="3"/>
  <c r="B19" i="3" s="1"/>
  <c r="A56" i="3"/>
  <c r="A57" i="3" s="1"/>
  <c r="B49" i="3"/>
  <c r="B53" i="3" s="1"/>
  <c r="B54" i="3" s="1"/>
  <c r="E41" i="3"/>
  <c r="D10" i="3"/>
  <c r="H8" i="3"/>
  <c r="C17" i="5"/>
  <c r="C16" i="5"/>
  <c r="C15" i="5"/>
  <c r="C14" i="5"/>
  <c r="C13" i="5"/>
  <c r="C12" i="5"/>
  <c r="C11" i="5"/>
  <c r="C10" i="5"/>
  <c r="C7" i="5" s="1"/>
  <c r="E18" i="6"/>
  <c r="E12" i="6"/>
  <c r="E10" i="6"/>
  <c r="E13" i="6" s="1"/>
  <c r="E7" i="6"/>
  <c r="F9" i="8" l="1"/>
  <c r="F7" i="8"/>
  <c r="F13" i="8" s="1"/>
  <c r="F14" i="8" s="1"/>
  <c r="F15" i="8" s="1"/>
  <c r="B23" i="8"/>
  <c r="B24" i="8"/>
  <c r="K26" i="6"/>
  <c r="K14" i="6"/>
  <c r="Q8" i="6"/>
  <c r="H6" i="6"/>
  <c r="A20" i="3"/>
  <c r="B52" i="3"/>
  <c r="E15" i="6"/>
  <c r="B13" i="2"/>
  <c r="B15" i="2"/>
  <c r="B14" i="2"/>
  <c r="U9" i="1"/>
  <c r="U10" i="1"/>
  <c r="U11" i="1"/>
  <c r="E3" i="4"/>
  <c r="E2" i="4"/>
  <c r="AL7" i="1"/>
  <c r="B12" i="3"/>
  <c r="I3" i="1"/>
  <c r="J10" i="1" s="1"/>
  <c r="L10" i="1" s="1"/>
  <c r="B11" i="2"/>
  <c r="B8" i="2"/>
  <c r="B9" i="2"/>
  <c r="B10" i="2" s="1"/>
  <c r="B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B26" i="8" l="1"/>
  <c r="K15" i="6"/>
  <c r="K18" i="6" s="1"/>
  <c r="K22" i="6" s="1"/>
  <c r="K17" i="6"/>
  <c r="K21" i="6" s="1"/>
  <c r="A21" i="3"/>
  <c r="B13" i="3"/>
  <c r="B14" i="3" s="1"/>
  <c r="B16" i="2"/>
  <c r="J11" i="1"/>
  <c r="K10" i="1"/>
  <c r="J7" i="1"/>
  <c r="J8" i="1"/>
  <c r="J9" i="1"/>
  <c r="D3" i="1"/>
  <c r="AM12" i="1"/>
  <c r="AM15" i="1" s="1"/>
  <c r="AL4" i="1"/>
  <c r="A22" i="3" l="1"/>
  <c r="K9" i="1"/>
  <c r="L9" i="1"/>
  <c r="K8" i="1"/>
  <c r="L8" i="1"/>
  <c r="L7" i="1"/>
  <c r="L13" i="1" s="1"/>
  <c r="I5" i="1" s="1"/>
  <c r="K7" i="1"/>
  <c r="I4" i="1" s="1"/>
  <c r="L11" i="1"/>
  <c r="K11" i="1"/>
  <c r="J13" i="1"/>
  <c r="Z31" i="1"/>
  <c r="Z30" i="1"/>
  <c r="Z29" i="1"/>
  <c r="U19" i="1"/>
  <c r="U18" i="1"/>
  <c r="U17" i="1"/>
  <c r="U16" i="1"/>
  <c r="U15" i="1"/>
  <c r="U14" i="1"/>
  <c r="U13" i="1"/>
  <c r="U12" i="1"/>
  <c r="W32" i="1"/>
  <c r="X13" i="1"/>
  <c r="V31" i="1"/>
  <c r="V29" i="1"/>
  <c r="V28" i="1"/>
  <c r="V27" i="1"/>
  <c r="V26" i="1"/>
  <c r="V25" i="1"/>
  <c r="V24" i="1"/>
  <c r="V23" i="1"/>
  <c r="X12" i="1"/>
  <c r="AA4" i="1"/>
  <c r="A23" i="3" l="1"/>
  <c r="A24" i="3" s="1"/>
  <c r="A25" i="3" s="1"/>
  <c r="A26" i="3" s="1"/>
  <c r="Z32" i="1"/>
  <c r="X4" i="1"/>
  <c r="C7" i="1"/>
  <c r="D2" i="1" s="1"/>
  <c r="D4" i="1" l="1"/>
</calcChain>
</file>

<file path=xl/sharedStrings.xml><?xml version="1.0" encoding="utf-8"?>
<sst xmlns="http://schemas.openxmlformats.org/spreadsheetml/2006/main" count="248" uniqueCount="189">
  <si>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</si>
  <si>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</si>
  <si>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</si>
  <si>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</si>
  <si>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</si>
  <si>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</si>
  <si>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</si>
  <si>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</si>
  <si>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</si>
  <si>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</si>
  <si>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</si>
  <si>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</si>
  <si>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</si>
  <si>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</si>
  <si>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</si>
  <si>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</si>
  <si>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</si>
  <si>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</si>
  <si>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</si>
  <si>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</si>
  <si>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</si>
  <si>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</si>
  <si>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</si>
  <si>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</si>
  <si>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</si>
  <si>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</si>
  <si>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</si>
  <si>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</si>
  <si>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</si>
  <si>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</si>
  <si>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</si>
  <si>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</si>
  <si>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</si>
  <si>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</si>
  <si>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</si>
  <si>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</si>
  <si>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</si>
  <si>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</si>
  <si>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</si>
  <si>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</si>
  <si>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</si>
  <si>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</si>
  <si>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</si>
  <si>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</si>
  <si>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</si>
  <si>
    <t>Binomial Distribution</t>
  </si>
  <si>
    <t>Exactly (==)</t>
  </si>
  <si>
    <t>Less Than or Equal to (&lt;=)</t>
  </si>
  <si>
    <t>Greater Than (&gt;)</t>
  </si>
  <si>
    <t>Great Than or Equal to (&gt;=)</t>
  </si>
  <si>
    <t>Less Than ( &lt; )</t>
  </si>
  <si>
    <t>The probability of two or more successes in any sufficiently small subinterval is 0.</t>
  </si>
  <si>
    <t>The number of successes in any interval is independent of the number of successes in any other interval provided the intervals are not overlapping.</t>
  </si>
  <si>
    <t>The experiment is performed a fixed number of times.</t>
  </si>
  <si>
    <t>Discrete Probability Distribution (FREQUENCY)</t>
  </si>
  <si>
    <t>Frequency(x)</t>
  </si>
  <si>
    <t>Frequency Sum</t>
  </si>
  <si>
    <t>P(x) sum</t>
  </si>
  <si>
    <t>x * P(x)</t>
  </si>
  <si>
    <t>Time Interval</t>
  </si>
  <si>
    <t xml:space="preserve">Mean </t>
  </si>
  <si>
    <t>Poisson</t>
  </si>
  <si>
    <t>Lambda</t>
  </si>
  <si>
    <t>The probability of success is the same for any two intervals of equal length.</t>
  </si>
  <si>
    <t>There are two mutually exclusive​ outcomes, success or failure.</t>
  </si>
  <si>
    <t>The trials are independent.</t>
  </si>
  <si>
    <t>Area under Normal Curve</t>
  </si>
  <si>
    <t>lower bound</t>
  </si>
  <si>
    <t>upper bound</t>
  </si>
  <si>
    <t>lower bound z-score</t>
  </si>
  <si>
    <t>P(ZsubLower &lt;= lowerbound z-score)</t>
  </si>
  <si>
    <t>P(ZsubHigher &lt;= upperbound z-score)</t>
  </si>
  <si>
    <t>upper bound z-score</t>
  </si>
  <si>
    <t xml:space="preserve">contains more than </t>
  </si>
  <si>
    <t>bound</t>
  </si>
  <si>
    <t>contains more than - use complement (1 - x)</t>
  </si>
  <si>
    <t>percentile - =norm.dist</t>
  </si>
  <si>
    <t>Normal Inverse (Percentile)</t>
  </si>
  <si>
    <t>Percentile</t>
  </si>
  <si>
    <t>Answer</t>
  </si>
  <si>
    <t>If the z-score is positive, add .5 to the table value</t>
  </si>
  <si>
    <t>Negative Z</t>
  </si>
  <si>
    <t>positive Z</t>
  </si>
  <si>
    <t>Result</t>
  </si>
  <si>
    <t>Less than z1, greater than z2 AKA to the left of z1 to the right of z2</t>
  </si>
  <si>
    <t>&lt;- Also expected profit</t>
  </si>
  <si>
    <t>Sum(mean)</t>
  </si>
  <si>
    <t>x^2 - P(x)</t>
  </si>
  <si>
    <t>Hurricane</t>
  </si>
  <si>
    <t>direct hits</t>
  </si>
  <si>
    <t>years</t>
  </si>
  <si>
    <t>mean</t>
  </si>
  <si>
    <t>Exactly X</t>
  </si>
  <si>
    <t>Fewer Than X</t>
  </si>
  <si>
    <t>At least X</t>
  </si>
  <si>
    <t xml:space="preserve">FROM </t>
  </si>
  <si>
    <t>TO</t>
  </si>
  <si>
    <t>SUM</t>
  </si>
  <si>
    <t>(add each number as an individual entry and sum them up)</t>
  </si>
  <si>
    <t>Compute the probability between two time intervals</t>
  </si>
  <si>
    <t>Poisson with a given lambda and time interval</t>
  </si>
  <si>
    <t xml:space="preserve">lambda </t>
  </si>
  <si>
    <t>time interval</t>
  </si>
  <si>
    <t>Less Than X</t>
  </si>
  <si>
    <t>At Least X</t>
  </si>
  <si>
    <t>Computed Mean</t>
  </si>
  <si>
    <t>Food Problem</t>
  </si>
  <si>
    <t>fragment per gram</t>
  </si>
  <si>
    <t># gram sample</t>
  </si>
  <si>
    <t>Fewer than X</t>
  </si>
  <si>
    <t>Negative Z-score</t>
  </si>
  <si>
    <t>Positive Z-score</t>
  </si>
  <si>
    <t>Middle X%</t>
  </si>
  <si>
    <t>percentage</t>
  </si>
  <si>
    <t>% -&gt; Proportion</t>
  </si>
  <si>
    <t>Area in each tail</t>
  </si>
  <si>
    <t>lower-tail z-score</t>
  </si>
  <si>
    <t>upper-tail z-score</t>
  </si>
  <si>
    <t>Ex: The mean incubation time of fertilized eggs is 19 days. Suppose the incubation times are approximately normally distributed with a standard deviation of 1 day. Determine the 11th percentile for incubation times.</t>
  </si>
  <si>
    <t>X1 (area to the left of the %precentile)</t>
  </si>
  <si>
    <t>x2(area of left + percentile)</t>
  </si>
  <si>
    <t>Proportion of Percentile</t>
  </si>
  <si>
    <t>Zsub1</t>
  </si>
  <si>
    <t>Zsub2</t>
  </si>
  <si>
    <t>(1 - alpha)</t>
  </si>
  <si>
    <t>z-score</t>
  </si>
  <si>
    <t>Simple Z-score to area</t>
  </si>
  <si>
    <t>α</t>
  </si>
  <si>
    <t>Zα</t>
  </si>
  <si>
    <t>Area (1 - α)</t>
  </si>
  <si>
    <t>Normal Distribution on variable X w/ Mean and SD</t>
  </si>
  <si>
    <t>SD</t>
  </si>
  <si>
    <t>P(x &lt;= val)</t>
  </si>
  <si>
    <t>Answer (xth percentile)</t>
  </si>
  <si>
    <t>Probability of a Normal Random Variable</t>
  </si>
  <si>
    <t>lower</t>
  </si>
  <si>
    <t>upper</t>
  </si>
  <si>
    <t>P(lower &lt;= x &lt;= upper)</t>
  </si>
  <si>
    <t>p(x &lt; lower)</t>
  </si>
  <si>
    <t>(Make sure to change values for certain individual questions)</t>
  </si>
  <si>
    <t>p (x &gt; upper)</t>
  </si>
  <si>
    <t>Percentile (change lower bound)</t>
  </si>
  <si>
    <t>Middle X% w/ Mean &amp; SD</t>
  </si>
  <si>
    <t>Percentage</t>
  </si>
  <si>
    <t>Proportion</t>
  </si>
  <si>
    <t>X (Answer)</t>
  </si>
  <si>
    <t>Middle %</t>
  </si>
  <si>
    <t>middle Proportion</t>
  </si>
  <si>
    <t>X1 (lower-bound)</t>
  </si>
  <si>
    <t>X2 (upper-bound)</t>
  </si>
  <si>
    <t>IQR</t>
  </si>
  <si>
    <t>Q1</t>
  </si>
  <si>
    <t>Q3</t>
  </si>
  <si>
    <t>Determine the # of items that make up the middle % (Make sure to change percentile)</t>
  </si>
  <si>
    <t>Time Requred, mean, SD, x</t>
  </si>
  <si>
    <t>x (minutes)</t>
  </si>
  <si>
    <t>Percent(x &gt; time)</t>
  </si>
  <si>
    <t>​for later: (b) If the automotive center does not want to give the discount to more than 55% of its​ customers, how long should it make the guaranteed time​ limit?</t>
  </si>
  <si>
    <t>Calculate Z-score</t>
  </si>
  <si>
    <t>Score A</t>
  </si>
  <si>
    <t>Score B</t>
  </si>
  <si>
    <t>Z-score</t>
  </si>
  <si>
    <t>Find val of Zα</t>
  </si>
  <si>
    <t>X Bar</t>
  </si>
  <si>
    <t>sample size</t>
  </si>
  <si>
    <t>mean x bar</t>
  </si>
  <si>
    <t>x bar SD</t>
  </si>
  <si>
    <t>Central limit theorem states that a sample distribution has a normal distribution shape</t>
  </si>
  <si>
    <t>Between a range</t>
  </si>
  <si>
    <t xml:space="preserve">lower bound z-score </t>
  </si>
  <si>
    <t>P(lower-bound &lt; X &lt; upper-bound)</t>
  </si>
  <si>
    <t>sample size (n)</t>
  </si>
  <si>
    <t>Current i val</t>
  </si>
  <si>
    <t>z-score for I (using normal SD)</t>
  </si>
  <si>
    <t>z-score for i (using bar SD)</t>
  </si>
  <si>
    <t>bar P(X &lt; i val)</t>
  </si>
  <si>
    <t>bar P(X &gt; i val)</t>
  </si>
  <si>
    <t>normal P(x &lt; I val)</t>
  </si>
  <si>
    <t>normal P(x &gt; I val)</t>
  </si>
  <si>
    <t>Sample Proportion</t>
  </si>
  <si>
    <t>u sub p = p</t>
  </si>
  <si>
    <t>proportion</t>
  </si>
  <si>
    <t>mean of p</t>
  </si>
  <si>
    <t>sd of p</t>
  </si>
  <si>
    <t>if &gt; 10, then it's approx. normal</t>
  </si>
  <si>
    <t xml:space="preserve">proportion </t>
  </si>
  <si>
    <t>P(p &gt; num)</t>
  </si>
  <si>
    <t>P(p &lt; num)</t>
  </si>
  <si>
    <t xml:space="preserve">probability that more/less 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</si>
</sst>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.000000000000000000000_);_(* \(#,##0.000000000000000000000\);_(* &quot;-&quot;??_);_(@_)"/>
    <numFmt numFmtId="215" formatCode="0.0000000000000000000000000000000000000000000000000000E+0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  <font>
      <sz val="13"/>
      <color rgb="FF000000"/>
      <name val="Arial"/>
      <family val="2"/>
    </font>
    <font>
      <b/>
      <sz val="12"/>
      <color rgb="FFBD00C7"/>
      <name val="Calibri"/>
      <family val="2"/>
      <scheme val="minor"/>
    </font>
    <font>
      <b/>
      <sz val="13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BD00C7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215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0" borderId="2" xfId="0" applyFont="1" applyBorder="1"/>
    <xf numFmtId="0" fontId="0" fillId="0" borderId="3" xfId="0" applyBorder="1"/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6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N226"/>
  <sheetViews>
    <sheetView zoomScale="82" zoomScaleNormal="106" workbookViewId="0">
      <selection activeCell="B16" sqref="B16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8" max="8" width="16.33203125" customWidth="1"/>
    <col min="9" max="9" width="16.5" customWidth="1"/>
    <col min="10" max="10" width="23.83203125" bestFit="1" customWidth="1"/>
    <col min="11" max="11" width="13.1640625" customWidth="1"/>
    <col min="12" max="12" width="11.33203125" customWidth="1"/>
    <col min="14" max="14" width="17.1640625" customWidth="1"/>
    <col min="15" max="15" width="33" customWidth="1"/>
    <col min="21" max="23" width="11" bestFit="1" customWidth="1"/>
    <col min="24" max="24" width="25.33203125" bestFit="1" customWidth="1"/>
    <col min="26" max="27" width="11" bestFit="1" customWidth="1"/>
    <col min="38" max="39" width="11" bestFit="1" customWidth="1"/>
  </cols>
  <sheetData>
    <row r="1" spans="1:40">
      <c r="A1" t="s">
        <v>7</v>
      </c>
      <c r="H1" t="s">
        <v>54</v>
      </c>
      <c r="U1" t="s">
        <v>8</v>
      </c>
      <c r="Z1" s="3" t="s">
        <v>13</v>
      </c>
      <c r="AK1" t="s">
        <v>29</v>
      </c>
    </row>
    <row r="2" spans="1:40">
      <c r="C2" s="1" t="s">
        <v>3</v>
      </c>
      <c r="D2" s="8">
        <f>SUM(C7:C169)</f>
        <v>1.6335</v>
      </c>
      <c r="U2" t="s">
        <v>9</v>
      </c>
      <c r="V2" s="4">
        <v>54</v>
      </c>
      <c r="Z2" t="s">
        <v>12</v>
      </c>
      <c r="AA2" t="s">
        <v>16</v>
      </c>
      <c r="AK2" t="s">
        <v>30</v>
      </c>
      <c r="AL2">
        <v>2</v>
      </c>
    </row>
    <row r="3" spans="1:40">
      <c r="C3" s="1" t="s">
        <v>5</v>
      </c>
      <c r="D3" s="9">
        <f>SUM(D7:D169)</f>
        <v>4.0903000000000009</v>
      </c>
      <c r="F3" t="s">
        <v>36</v>
      </c>
      <c r="H3" s="16" t="s">
        <v>56</v>
      </c>
      <c r="I3" s="19">
        <f>SUM(I7:I11)</f>
        <v>25869</v>
      </c>
      <c r="U3" t="s">
        <v>10</v>
      </c>
      <c r="V3">
        <v>9.3200000000000005E-2</v>
      </c>
      <c r="AK3" t="s">
        <v>31</v>
      </c>
      <c r="AL3">
        <v>3</v>
      </c>
      <c r="AN3" t="s">
        <v>33</v>
      </c>
    </row>
    <row r="4" spans="1:40">
      <c r="C4" s="1" t="s">
        <v>6</v>
      </c>
      <c r="D4" s="8">
        <f>SQRT(D3 - D2^2)</f>
        <v>1.1924670854996382</v>
      </c>
      <c r="F4" t="s">
        <v>37</v>
      </c>
      <c r="H4" s="16" t="s">
        <v>22</v>
      </c>
      <c r="I4" s="19">
        <f>SUM(K7:K11)</f>
        <v>3.7699949746801193</v>
      </c>
      <c r="U4" t="s">
        <v>11</v>
      </c>
      <c r="V4">
        <v>53</v>
      </c>
      <c r="W4" t="s">
        <v>14</v>
      </c>
      <c r="X4" s="12">
        <f>_xlfn.BINOM.DIST(V4, V2, V3, V5)</f>
        <v>1.1720567113389351E-53</v>
      </c>
      <c r="Z4" t="s">
        <v>17</v>
      </c>
      <c r="AA4">
        <f>_xlfn.BINOM.DIST(8, 10, 0.9, FALSE)</f>
        <v>0.19371024450000002</v>
      </c>
      <c r="AJ4" t="s">
        <v>32</v>
      </c>
      <c r="AL4">
        <f>AL2*AL3</f>
        <v>6</v>
      </c>
    </row>
    <row r="5" spans="1:40">
      <c r="F5" t="s">
        <v>38</v>
      </c>
      <c r="H5" t="s">
        <v>23</v>
      </c>
      <c r="I5" s="19">
        <f>SQRT(L13 - I4^2)</f>
        <v>1.3818272126164455</v>
      </c>
      <c r="U5" t="s">
        <v>15</v>
      </c>
      <c r="V5" t="b">
        <v>0</v>
      </c>
    </row>
    <row r="6" spans="1:40">
      <c r="A6" s="11" t="s">
        <v>0</v>
      </c>
      <c r="B6" s="11" t="s">
        <v>1</v>
      </c>
      <c r="C6" s="11" t="s">
        <v>2</v>
      </c>
      <c r="D6" s="11" t="s">
        <v>4</v>
      </c>
      <c r="F6" s="14" t="s">
        <v>39</v>
      </c>
      <c r="H6" s="18" t="s">
        <v>25</v>
      </c>
      <c r="I6" s="18" t="s">
        <v>55</v>
      </c>
      <c r="J6" s="16" t="s">
        <v>1</v>
      </c>
      <c r="K6" s="16" t="s">
        <v>58</v>
      </c>
      <c r="L6" s="16" t="s">
        <v>4</v>
      </c>
      <c r="AK6" t="s">
        <v>11</v>
      </c>
      <c r="AL6">
        <v>6</v>
      </c>
    </row>
    <row r="7" spans="1:40">
      <c r="A7" s="7">
        <v>0</v>
      </c>
      <c r="B7">
        <v>0.1663</v>
      </c>
      <c r="C7">
        <f>A7*B7</f>
        <v>0</v>
      </c>
      <c r="D7" s="2">
        <f>(A7*A7)*B7</f>
        <v>0</v>
      </c>
      <c r="F7" t="s">
        <v>40</v>
      </c>
      <c r="H7" s="16">
        <v>1</v>
      </c>
      <c r="I7" s="16">
        <v>2492</v>
      </c>
      <c r="J7" s="16">
        <f>I7/I$3</f>
        <v>9.6331516486914834E-2</v>
      </c>
      <c r="K7">
        <f>H7*J7</f>
        <v>9.6331516486914834E-2</v>
      </c>
      <c r="L7">
        <f>H7^2 * J7</f>
        <v>9.6331516486914834E-2</v>
      </c>
      <c r="AI7" t="s">
        <v>34</v>
      </c>
      <c r="AK7" t="s">
        <v>33</v>
      </c>
      <c r="AL7">
        <f>_xlfn.POISSON.DIST(AL6, AL4, FALSE)</f>
        <v>0.16062314104798003</v>
      </c>
    </row>
    <row r="8" spans="1:40">
      <c r="A8" s="7">
        <v>1</v>
      </c>
      <c r="B8">
        <v>0.34200000000000003</v>
      </c>
      <c r="C8">
        <f t="shared" ref="C8:C71" si="0">A8*B8</f>
        <v>0.34200000000000003</v>
      </c>
      <c r="D8" s="2">
        <f t="shared" ref="D8:D14" si="1">(A8*A8)*B8</f>
        <v>0.34200000000000003</v>
      </c>
      <c r="F8" t="s">
        <v>41</v>
      </c>
      <c r="H8" s="16">
        <v>2</v>
      </c>
      <c r="I8" s="16">
        <v>2941</v>
      </c>
      <c r="J8" s="16">
        <f>I8/I$3</f>
        <v>0.11368819822954115</v>
      </c>
      <c r="K8">
        <f t="shared" ref="K8:K11" si="2">H8*J8</f>
        <v>0.22737639645908231</v>
      </c>
      <c r="L8">
        <f t="shared" ref="L8:L11" si="3">H8^2 * J8</f>
        <v>0.45475279291816462</v>
      </c>
      <c r="U8" t="s">
        <v>18</v>
      </c>
      <c r="W8" t="s">
        <v>19</v>
      </c>
    </row>
    <row r="9" spans="1:40">
      <c r="A9" s="7">
        <v>2</v>
      </c>
      <c r="B9">
        <v>0.27660000000000001</v>
      </c>
      <c r="C9">
        <f t="shared" si="0"/>
        <v>0.55320000000000003</v>
      </c>
      <c r="D9" s="2">
        <f t="shared" si="1"/>
        <v>1.1064000000000001</v>
      </c>
      <c r="F9" t="s">
        <v>42</v>
      </c>
      <c r="G9" t="s">
        <v>43</v>
      </c>
      <c r="H9" s="16">
        <v>3</v>
      </c>
      <c r="I9" s="16">
        <v>4582</v>
      </c>
      <c r="J9" s="16">
        <f>I9/I$3</f>
        <v>0.17712319764969656</v>
      </c>
      <c r="K9">
        <f t="shared" si="2"/>
        <v>0.5313695929490897</v>
      </c>
      <c r="L9">
        <f t="shared" si="3"/>
        <v>1.594108778847269</v>
      </c>
      <c r="U9">
        <f>_xlfn.BINOM.DIST(0, X$9, X$10, FALSE)</f>
        <v>2.4399573321127992E-147</v>
      </c>
      <c r="W9" t="s">
        <v>20</v>
      </c>
      <c r="X9">
        <v>400</v>
      </c>
      <c r="AK9" t="s">
        <v>35</v>
      </c>
    </row>
    <row r="10" spans="1:40">
      <c r="A10">
        <v>3</v>
      </c>
      <c r="B10">
        <v>0.14960000000000001</v>
      </c>
      <c r="C10">
        <f t="shared" si="0"/>
        <v>0.44880000000000003</v>
      </c>
      <c r="D10" s="2">
        <f t="shared" si="1"/>
        <v>1.3464</v>
      </c>
      <c r="H10" s="16">
        <v>4</v>
      </c>
      <c r="I10" s="16">
        <v>3864</v>
      </c>
      <c r="J10" s="16">
        <f>I10/I$3</f>
        <v>0.14936796938420505</v>
      </c>
      <c r="K10">
        <f t="shared" si="2"/>
        <v>0.59747187753682018</v>
      </c>
      <c r="L10">
        <f t="shared" si="3"/>
        <v>2.3898875101472807</v>
      </c>
      <c r="U10">
        <f>_xlfn.BINOM.DIST(1, X$9, X$10, FALSE)</f>
        <v>1.2937448179575126E-144</v>
      </c>
      <c r="W10" t="s">
        <v>21</v>
      </c>
      <c r="X10">
        <v>0.56999999999999995</v>
      </c>
      <c r="AK10" s="6"/>
      <c r="AL10" s="6" t="s">
        <v>30</v>
      </c>
      <c r="AM10" s="6">
        <v>37</v>
      </c>
    </row>
    <row r="11" spans="1:40">
      <c r="A11">
        <v>4</v>
      </c>
      <c r="B11">
        <v>3.7999999999999999E-2</v>
      </c>
      <c r="C11">
        <f t="shared" si="0"/>
        <v>0.152</v>
      </c>
      <c r="D11" s="2">
        <f t="shared" si="1"/>
        <v>0.60799999999999998</v>
      </c>
      <c r="H11" s="16">
        <v>5</v>
      </c>
      <c r="I11" s="17">
        <v>11990</v>
      </c>
      <c r="J11" s="16">
        <f>I11/I$3</f>
        <v>0.46348911824964245</v>
      </c>
      <c r="K11">
        <f t="shared" si="2"/>
        <v>2.3174455912482124</v>
      </c>
      <c r="L11">
        <f t="shared" si="3"/>
        <v>11.587227956241062</v>
      </c>
      <c r="U11">
        <f>_xlfn.BINOM.DIST(2, X$9, X$10, FALSE)</f>
        <v>3.4213533017217944E-142</v>
      </c>
      <c r="X11">
        <v>0.56999999999999995</v>
      </c>
      <c r="AK11" s="6"/>
      <c r="AL11" s="6" t="s">
        <v>31</v>
      </c>
      <c r="AM11" s="6">
        <v>106</v>
      </c>
    </row>
    <row r="12" spans="1:40">
      <c r="A12">
        <v>5</v>
      </c>
      <c r="B12">
        <v>2.75E-2</v>
      </c>
      <c r="C12">
        <f t="shared" si="0"/>
        <v>0.13750000000000001</v>
      </c>
      <c r="D12" s="2">
        <f t="shared" si="1"/>
        <v>0.6875</v>
      </c>
      <c r="U12">
        <f>_xlfn.BINOM.DIST(3, X$9, X$10, FALSE)</f>
        <v>6.0168078296788888E-140</v>
      </c>
      <c r="W12" t="s">
        <v>22</v>
      </c>
      <c r="X12">
        <f>X9*X10</f>
        <v>227.99999999999997</v>
      </c>
      <c r="AK12" s="6" t="s">
        <v>32</v>
      </c>
      <c r="AL12" s="6"/>
      <c r="AM12" s="6">
        <f>-AM10/AM11</f>
        <v>-0.34905660377358488</v>
      </c>
    </row>
    <row r="13" spans="1:40">
      <c r="C13">
        <f t="shared" si="0"/>
        <v>0</v>
      </c>
      <c r="D13" s="2">
        <f t="shared" si="1"/>
        <v>0</v>
      </c>
      <c r="I13" s="1" t="s">
        <v>57</v>
      </c>
      <c r="J13" s="19">
        <f>SUM(J7:J11)</f>
        <v>1</v>
      </c>
      <c r="L13">
        <f>SUM(L7:L11)</f>
        <v>16.122308554640689</v>
      </c>
      <c r="U13">
        <f>_xlfn.BINOM.DIST(4, X$9, X$10, FALSE)</f>
        <v>7.9159502545234828E-138</v>
      </c>
      <c r="W13" t="s">
        <v>23</v>
      </c>
      <c r="X13">
        <f>SQRT((X9*X10)*(1-X10))</f>
        <v>9.9015150355892505</v>
      </c>
    </row>
    <row r="14" spans="1:40">
      <c r="C14">
        <f t="shared" si="0"/>
        <v>0</v>
      </c>
      <c r="D14" s="2">
        <f t="shared" si="1"/>
        <v>0</v>
      </c>
      <c r="U14">
        <f>_xlfn.BINOM.DIST(5, X$9, X$10, FALSE)</f>
        <v>8.3106432160515925E-136</v>
      </c>
      <c r="AL14" t="s">
        <v>11</v>
      </c>
      <c r="AM14">
        <v>1</v>
      </c>
    </row>
    <row r="15" spans="1:40">
      <c r="C15">
        <f t="shared" si="0"/>
        <v>0</v>
      </c>
      <c r="U15">
        <f>_xlfn.BINOM.DIST(6, X$9, X$10, FALSE)</f>
        <v>7.2524857367988658E-134</v>
      </c>
      <c r="AL15" s="6" t="s">
        <v>33</v>
      </c>
      <c r="AM15">
        <f>AM14*EXP(AM12)</f>
        <v>0.7053532034869342</v>
      </c>
    </row>
    <row r="16" spans="1:40">
      <c r="C16">
        <f t="shared" si="0"/>
        <v>0</v>
      </c>
      <c r="U16">
        <f>_xlfn.BINOM.DIST(7, X$9, X$10, FALSE)</f>
        <v>5.411173577309513E-132</v>
      </c>
    </row>
    <row r="17" spans="3:26">
      <c r="C17">
        <f t="shared" si="0"/>
        <v>0</v>
      </c>
      <c r="U17">
        <f>_xlfn.BINOM.DIST(8, X$9, X$10, FALSE)</f>
        <v>3.5237121891079178E-130</v>
      </c>
    </row>
    <row r="18" spans="3:26">
      <c r="C18">
        <f t="shared" si="0"/>
        <v>0</v>
      </c>
      <c r="U18">
        <f>_xlfn.BINOM.DIST(9, X$9, X$10, FALSE)</f>
        <v>2.0344657662384347E-128</v>
      </c>
    </row>
    <row r="19" spans="3:26">
      <c r="C19">
        <f t="shared" si="0"/>
        <v>0</v>
      </c>
      <c r="U19">
        <f>_xlfn.BINOM.DIST(10, X$9, X$10, FALSE)</f>
        <v>1.0544683379570883E-126</v>
      </c>
    </row>
    <row r="20" spans="3:26">
      <c r="C20">
        <f t="shared" si="0"/>
        <v>0</v>
      </c>
      <c r="U20" s="13" t="s">
        <v>44</v>
      </c>
    </row>
    <row r="21" spans="3:26">
      <c r="C21">
        <f t="shared" si="0"/>
        <v>0</v>
      </c>
      <c r="U21" t="s">
        <v>24</v>
      </c>
    </row>
    <row r="22" spans="3:26">
      <c r="C22">
        <f t="shared" si="0"/>
        <v>0</v>
      </c>
      <c r="U22" t="s">
        <v>25</v>
      </c>
      <c r="V22" t="s">
        <v>26</v>
      </c>
      <c r="W22" t="s">
        <v>27</v>
      </c>
      <c r="X22">
        <v>6</v>
      </c>
    </row>
    <row r="23" spans="3:26">
      <c r="C23">
        <f t="shared" si="0"/>
        <v>0</v>
      </c>
      <c r="U23">
        <v>0</v>
      </c>
      <c r="V23" s="5">
        <f t="shared" ref="V23:V29" si="4">_xlfn.BINOM.DIST(U23,X$22,X$23, FALSE)</f>
        <v>7.2900000000000037E-4</v>
      </c>
      <c r="W23" t="s">
        <v>28</v>
      </c>
      <c r="X23">
        <v>0.7</v>
      </c>
    </row>
    <row r="24" spans="3:26">
      <c r="C24">
        <f t="shared" si="0"/>
        <v>0</v>
      </c>
      <c r="U24">
        <v>1</v>
      </c>
      <c r="V24" s="5">
        <f t="shared" si="4"/>
        <v>1.0206000000000015E-2</v>
      </c>
    </row>
    <row r="25" spans="3:26">
      <c r="C25">
        <f t="shared" si="0"/>
        <v>0</v>
      </c>
      <c r="U25">
        <v>2</v>
      </c>
      <c r="V25" s="5">
        <f t="shared" si="4"/>
        <v>5.9535000000000053E-2</v>
      </c>
    </row>
    <row r="26" spans="3:26">
      <c r="C26">
        <f t="shared" si="0"/>
        <v>0</v>
      </c>
      <c r="U26">
        <v>3</v>
      </c>
      <c r="V26" s="5">
        <f t="shared" si="4"/>
        <v>0.18522</v>
      </c>
    </row>
    <row r="27" spans="3:26">
      <c r="C27">
        <f t="shared" si="0"/>
        <v>0</v>
      </c>
      <c r="U27">
        <v>4</v>
      </c>
      <c r="V27" s="5">
        <f t="shared" si="4"/>
        <v>0.32413500000000006</v>
      </c>
    </row>
    <row r="28" spans="3:26">
      <c r="C28">
        <f t="shared" si="0"/>
        <v>0</v>
      </c>
      <c r="U28">
        <v>5</v>
      </c>
      <c r="V28" s="5">
        <f t="shared" si="4"/>
        <v>0.30252599999999991</v>
      </c>
    </row>
    <row r="29" spans="3:26">
      <c r="C29">
        <f t="shared" si="0"/>
        <v>0</v>
      </c>
      <c r="U29">
        <v>6</v>
      </c>
      <c r="V29" s="5">
        <f t="shared" si="4"/>
        <v>0.11764899999999995</v>
      </c>
      <c r="Z29">
        <f>_xlfn.BINOM.DIST(23, 25, 0.61, FALSE)</f>
        <v>5.2703162233064466E-4</v>
      </c>
    </row>
    <row r="30" spans="3:26">
      <c r="C30">
        <f t="shared" si="0"/>
        <v>0</v>
      </c>
      <c r="Z30">
        <f>_xlfn.BINOM.DIST(24, 25, 0.61, FALSE)</f>
        <v>6.8694292654207783E-5</v>
      </c>
    </row>
    <row r="31" spans="3:26">
      <c r="C31">
        <f t="shared" si="0"/>
        <v>0</v>
      </c>
      <c r="U31" t="s">
        <v>22</v>
      </c>
      <c r="V31">
        <f>X22*X23</f>
        <v>4.1999999999999993</v>
      </c>
      <c r="Z31">
        <f>_xlfn.BINOM.DIST(25, 25, 0.61, FALSE)</f>
        <v>4.2977967711863337E-6</v>
      </c>
    </row>
    <row r="32" spans="3:26">
      <c r="C32">
        <f t="shared" si="0"/>
        <v>0</v>
      </c>
      <c r="U32" t="s">
        <v>23</v>
      </c>
      <c r="W32">
        <f>SQRT((X22*X23)*(1-X23))</f>
        <v>1.1224972160321824</v>
      </c>
      <c r="Z32">
        <f>SUM(Z29:Z31)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5">A72*B72</f>
        <v>0</v>
      </c>
    </row>
    <row r="73" spans="3:3">
      <c r="C73">
        <f t="shared" si="5"/>
        <v>0</v>
      </c>
    </row>
    <row r="74" spans="3:3">
      <c r="C74">
        <f t="shared" si="5"/>
        <v>0</v>
      </c>
    </row>
    <row r="75" spans="3:3">
      <c r="C75">
        <f t="shared" si="5"/>
        <v>0</v>
      </c>
    </row>
    <row r="76" spans="3:3">
      <c r="C76">
        <f t="shared" si="5"/>
        <v>0</v>
      </c>
    </row>
    <row r="77" spans="3:3">
      <c r="C77">
        <f t="shared" si="5"/>
        <v>0</v>
      </c>
    </row>
    <row r="78" spans="3:3">
      <c r="C78">
        <f t="shared" si="5"/>
        <v>0</v>
      </c>
    </row>
    <row r="79" spans="3:3">
      <c r="C79">
        <f t="shared" si="5"/>
        <v>0</v>
      </c>
    </row>
    <row r="80" spans="3:3">
      <c r="C80">
        <f t="shared" si="5"/>
        <v>0</v>
      </c>
    </row>
    <row r="81" spans="3:3">
      <c r="C81">
        <f t="shared" si="5"/>
        <v>0</v>
      </c>
    </row>
    <row r="82" spans="3:3">
      <c r="C82">
        <f t="shared" si="5"/>
        <v>0</v>
      </c>
    </row>
    <row r="83" spans="3:3">
      <c r="C83">
        <f t="shared" si="5"/>
        <v>0</v>
      </c>
    </row>
    <row r="84" spans="3:3">
      <c r="C84">
        <f t="shared" si="5"/>
        <v>0</v>
      </c>
    </row>
    <row r="85" spans="3:3">
      <c r="C85">
        <f t="shared" si="5"/>
        <v>0</v>
      </c>
    </row>
    <row r="86" spans="3:3">
      <c r="C86">
        <f t="shared" si="5"/>
        <v>0</v>
      </c>
    </row>
    <row r="87" spans="3:3">
      <c r="C87">
        <f t="shared" si="5"/>
        <v>0</v>
      </c>
    </row>
    <row r="88" spans="3:3">
      <c r="C88">
        <f t="shared" si="5"/>
        <v>0</v>
      </c>
    </row>
    <row r="89" spans="3:3">
      <c r="C89">
        <f t="shared" si="5"/>
        <v>0</v>
      </c>
    </row>
    <row r="90" spans="3:3">
      <c r="C90">
        <f t="shared" si="5"/>
        <v>0</v>
      </c>
    </row>
    <row r="91" spans="3:3">
      <c r="C91">
        <f t="shared" si="5"/>
        <v>0</v>
      </c>
    </row>
    <row r="92" spans="3:3">
      <c r="C92">
        <f t="shared" si="5"/>
        <v>0</v>
      </c>
    </row>
    <row r="93" spans="3:3">
      <c r="C93">
        <f t="shared" si="5"/>
        <v>0</v>
      </c>
    </row>
    <row r="94" spans="3:3">
      <c r="C94">
        <f t="shared" si="5"/>
        <v>0</v>
      </c>
    </row>
    <row r="95" spans="3:3">
      <c r="C95">
        <f t="shared" si="5"/>
        <v>0</v>
      </c>
    </row>
    <row r="96" spans="3:3">
      <c r="C96">
        <f t="shared" si="5"/>
        <v>0</v>
      </c>
    </row>
    <row r="97" spans="3:3">
      <c r="C97">
        <f t="shared" si="5"/>
        <v>0</v>
      </c>
    </row>
    <row r="98" spans="3:3">
      <c r="C98">
        <f t="shared" si="5"/>
        <v>0</v>
      </c>
    </row>
    <row r="99" spans="3:3">
      <c r="C99">
        <f t="shared" si="5"/>
        <v>0</v>
      </c>
    </row>
    <row r="100" spans="3:3">
      <c r="C100">
        <f t="shared" si="5"/>
        <v>0</v>
      </c>
    </row>
    <row r="101" spans="3:3">
      <c r="C101">
        <f t="shared" si="5"/>
        <v>0</v>
      </c>
    </row>
    <row r="102" spans="3:3">
      <c r="C102">
        <f t="shared" si="5"/>
        <v>0</v>
      </c>
    </row>
    <row r="103" spans="3:3">
      <c r="C103">
        <f t="shared" si="5"/>
        <v>0</v>
      </c>
    </row>
    <row r="104" spans="3:3">
      <c r="C104">
        <f t="shared" si="5"/>
        <v>0</v>
      </c>
    </row>
    <row r="105" spans="3:3">
      <c r="C105">
        <f t="shared" si="5"/>
        <v>0</v>
      </c>
    </row>
    <row r="106" spans="3:3">
      <c r="C106">
        <f t="shared" si="5"/>
        <v>0</v>
      </c>
    </row>
    <row r="107" spans="3:3">
      <c r="C107">
        <f t="shared" si="5"/>
        <v>0</v>
      </c>
    </row>
    <row r="108" spans="3:3">
      <c r="C108">
        <f t="shared" si="5"/>
        <v>0</v>
      </c>
    </row>
    <row r="109" spans="3:3">
      <c r="C109">
        <f t="shared" si="5"/>
        <v>0</v>
      </c>
    </row>
    <row r="110" spans="3:3">
      <c r="C110">
        <f t="shared" si="5"/>
        <v>0</v>
      </c>
    </row>
    <row r="111" spans="3:3">
      <c r="C111">
        <f t="shared" si="5"/>
        <v>0</v>
      </c>
    </row>
    <row r="112" spans="3:3">
      <c r="C112">
        <f t="shared" si="5"/>
        <v>0</v>
      </c>
    </row>
    <row r="113" spans="3:3">
      <c r="C113">
        <f t="shared" si="5"/>
        <v>0</v>
      </c>
    </row>
    <row r="114" spans="3:3">
      <c r="C114">
        <f t="shared" si="5"/>
        <v>0</v>
      </c>
    </row>
    <row r="115" spans="3:3">
      <c r="C115">
        <f t="shared" si="5"/>
        <v>0</v>
      </c>
    </row>
    <row r="116" spans="3:3">
      <c r="C116">
        <f t="shared" si="5"/>
        <v>0</v>
      </c>
    </row>
    <row r="117" spans="3:3">
      <c r="C117">
        <f t="shared" si="5"/>
        <v>0</v>
      </c>
    </row>
    <row r="118" spans="3:3">
      <c r="C118">
        <f t="shared" si="5"/>
        <v>0</v>
      </c>
    </row>
    <row r="119" spans="3:3">
      <c r="C119">
        <f t="shared" si="5"/>
        <v>0</v>
      </c>
    </row>
    <row r="120" spans="3:3">
      <c r="C120">
        <f t="shared" si="5"/>
        <v>0</v>
      </c>
    </row>
    <row r="121" spans="3:3">
      <c r="C121">
        <f t="shared" si="5"/>
        <v>0</v>
      </c>
    </row>
    <row r="122" spans="3:3">
      <c r="C122">
        <f t="shared" si="5"/>
        <v>0</v>
      </c>
    </row>
    <row r="123" spans="3:3">
      <c r="C123">
        <f t="shared" si="5"/>
        <v>0</v>
      </c>
    </row>
    <row r="124" spans="3:3">
      <c r="C124">
        <f t="shared" si="5"/>
        <v>0</v>
      </c>
    </row>
    <row r="125" spans="3:3">
      <c r="C125">
        <f t="shared" si="5"/>
        <v>0</v>
      </c>
    </row>
    <row r="126" spans="3:3">
      <c r="C126">
        <f t="shared" si="5"/>
        <v>0</v>
      </c>
    </row>
    <row r="127" spans="3:3">
      <c r="C127">
        <f t="shared" si="5"/>
        <v>0</v>
      </c>
    </row>
    <row r="128" spans="3:3">
      <c r="C128">
        <f t="shared" si="5"/>
        <v>0</v>
      </c>
    </row>
    <row r="129" spans="3:3">
      <c r="C129">
        <f t="shared" si="5"/>
        <v>0</v>
      </c>
    </row>
    <row r="130" spans="3:3">
      <c r="C130">
        <f t="shared" si="5"/>
        <v>0</v>
      </c>
    </row>
    <row r="131" spans="3:3">
      <c r="C131">
        <f t="shared" si="5"/>
        <v>0</v>
      </c>
    </row>
    <row r="132" spans="3:3">
      <c r="C132">
        <f t="shared" si="5"/>
        <v>0</v>
      </c>
    </row>
    <row r="133" spans="3:3">
      <c r="C133">
        <f t="shared" si="5"/>
        <v>0</v>
      </c>
    </row>
    <row r="134" spans="3:3">
      <c r="C134">
        <f t="shared" si="5"/>
        <v>0</v>
      </c>
    </row>
    <row r="135" spans="3:3">
      <c r="C135">
        <f t="shared" si="5"/>
        <v>0</v>
      </c>
    </row>
    <row r="136" spans="3:3">
      <c r="C136">
        <f t="shared" ref="C136:C199" si="6">A136*B136</f>
        <v>0</v>
      </c>
    </row>
    <row r="137" spans="3:3">
      <c r="C137">
        <f t="shared" si="6"/>
        <v>0</v>
      </c>
    </row>
    <row r="138" spans="3:3">
      <c r="C138">
        <f t="shared" si="6"/>
        <v>0</v>
      </c>
    </row>
    <row r="139" spans="3:3">
      <c r="C139">
        <f t="shared" si="6"/>
        <v>0</v>
      </c>
    </row>
    <row r="140" spans="3:3">
      <c r="C140">
        <f t="shared" si="6"/>
        <v>0</v>
      </c>
    </row>
    <row r="141" spans="3:3">
      <c r="C141">
        <f t="shared" si="6"/>
        <v>0</v>
      </c>
    </row>
    <row r="142" spans="3:3">
      <c r="C142">
        <f t="shared" si="6"/>
        <v>0</v>
      </c>
    </row>
    <row r="143" spans="3:3">
      <c r="C143">
        <f t="shared" si="6"/>
        <v>0</v>
      </c>
    </row>
    <row r="144" spans="3:3">
      <c r="C144">
        <f t="shared" si="6"/>
        <v>0</v>
      </c>
    </row>
    <row r="145" spans="3:3">
      <c r="C145">
        <f t="shared" si="6"/>
        <v>0</v>
      </c>
    </row>
    <row r="146" spans="3:3">
      <c r="C146">
        <f t="shared" si="6"/>
        <v>0</v>
      </c>
    </row>
    <row r="147" spans="3:3">
      <c r="C147">
        <f t="shared" si="6"/>
        <v>0</v>
      </c>
    </row>
    <row r="148" spans="3:3">
      <c r="C148">
        <f t="shared" si="6"/>
        <v>0</v>
      </c>
    </row>
    <row r="149" spans="3:3">
      <c r="C149">
        <f t="shared" si="6"/>
        <v>0</v>
      </c>
    </row>
    <row r="150" spans="3:3">
      <c r="C150">
        <f t="shared" si="6"/>
        <v>0</v>
      </c>
    </row>
    <row r="151" spans="3:3">
      <c r="C151">
        <f t="shared" si="6"/>
        <v>0</v>
      </c>
    </row>
    <row r="152" spans="3:3">
      <c r="C152">
        <f t="shared" si="6"/>
        <v>0</v>
      </c>
    </row>
    <row r="153" spans="3:3">
      <c r="C153">
        <f t="shared" si="6"/>
        <v>0</v>
      </c>
    </row>
    <row r="154" spans="3:3">
      <c r="C154">
        <f t="shared" si="6"/>
        <v>0</v>
      </c>
    </row>
    <row r="155" spans="3:3">
      <c r="C155">
        <f t="shared" si="6"/>
        <v>0</v>
      </c>
    </row>
    <row r="156" spans="3:3">
      <c r="C156">
        <f t="shared" si="6"/>
        <v>0</v>
      </c>
    </row>
    <row r="157" spans="3:3">
      <c r="C157">
        <f t="shared" si="6"/>
        <v>0</v>
      </c>
    </row>
    <row r="158" spans="3:3">
      <c r="C158">
        <f t="shared" si="6"/>
        <v>0</v>
      </c>
    </row>
    <row r="159" spans="3:3">
      <c r="C159">
        <f t="shared" si="6"/>
        <v>0</v>
      </c>
    </row>
    <row r="160" spans="3:3">
      <c r="C160">
        <f t="shared" si="6"/>
        <v>0</v>
      </c>
    </row>
    <row r="161" spans="3:3">
      <c r="C161">
        <f t="shared" si="6"/>
        <v>0</v>
      </c>
    </row>
    <row r="162" spans="3:3">
      <c r="C162">
        <f t="shared" si="6"/>
        <v>0</v>
      </c>
    </row>
    <row r="163" spans="3:3">
      <c r="C163">
        <f t="shared" si="6"/>
        <v>0</v>
      </c>
    </row>
    <row r="164" spans="3:3">
      <c r="C164">
        <f t="shared" si="6"/>
        <v>0</v>
      </c>
    </row>
    <row r="165" spans="3:3">
      <c r="C165">
        <f t="shared" si="6"/>
        <v>0</v>
      </c>
    </row>
    <row r="166" spans="3:3">
      <c r="C166">
        <f t="shared" si="6"/>
        <v>0</v>
      </c>
    </row>
    <row r="167" spans="3:3">
      <c r="C167">
        <f t="shared" si="6"/>
        <v>0</v>
      </c>
    </row>
    <row r="168" spans="3:3">
      <c r="C168">
        <f t="shared" si="6"/>
        <v>0</v>
      </c>
    </row>
    <row r="169" spans="3:3">
      <c r="C169">
        <f t="shared" si="6"/>
        <v>0</v>
      </c>
    </row>
    <row r="170" spans="3:3">
      <c r="C170">
        <f t="shared" si="6"/>
        <v>0</v>
      </c>
    </row>
    <row r="171" spans="3:3">
      <c r="C171">
        <f t="shared" si="6"/>
        <v>0</v>
      </c>
    </row>
    <row r="172" spans="3:3">
      <c r="C172">
        <f t="shared" si="6"/>
        <v>0</v>
      </c>
    </row>
    <row r="173" spans="3:3">
      <c r="C173">
        <f t="shared" si="6"/>
        <v>0</v>
      </c>
    </row>
    <row r="174" spans="3:3">
      <c r="C174">
        <f t="shared" si="6"/>
        <v>0</v>
      </c>
    </row>
    <row r="175" spans="3:3">
      <c r="C175">
        <f t="shared" si="6"/>
        <v>0</v>
      </c>
    </row>
    <row r="176" spans="3:3">
      <c r="C176">
        <f t="shared" si="6"/>
        <v>0</v>
      </c>
    </row>
    <row r="177" spans="3:3">
      <c r="C177">
        <f t="shared" si="6"/>
        <v>0</v>
      </c>
    </row>
    <row r="178" spans="3:3">
      <c r="C178">
        <f t="shared" si="6"/>
        <v>0</v>
      </c>
    </row>
    <row r="179" spans="3:3">
      <c r="C179">
        <f t="shared" si="6"/>
        <v>0</v>
      </c>
    </row>
    <row r="180" spans="3:3">
      <c r="C180">
        <f t="shared" si="6"/>
        <v>0</v>
      </c>
    </row>
    <row r="181" spans="3:3">
      <c r="C181">
        <f t="shared" si="6"/>
        <v>0</v>
      </c>
    </row>
    <row r="182" spans="3:3">
      <c r="C182">
        <f t="shared" si="6"/>
        <v>0</v>
      </c>
    </row>
    <row r="183" spans="3:3">
      <c r="C183">
        <f t="shared" si="6"/>
        <v>0</v>
      </c>
    </row>
    <row r="184" spans="3:3">
      <c r="C184">
        <f t="shared" si="6"/>
        <v>0</v>
      </c>
    </row>
    <row r="185" spans="3:3">
      <c r="C185">
        <f t="shared" si="6"/>
        <v>0</v>
      </c>
    </row>
    <row r="186" spans="3:3">
      <c r="C186">
        <f t="shared" si="6"/>
        <v>0</v>
      </c>
    </row>
    <row r="187" spans="3:3">
      <c r="C187">
        <f t="shared" si="6"/>
        <v>0</v>
      </c>
    </row>
    <row r="188" spans="3:3">
      <c r="C188">
        <f t="shared" si="6"/>
        <v>0</v>
      </c>
    </row>
    <row r="189" spans="3:3">
      <c r="C189">
        <f t="shared" si="6"/>
        <v>0</v>
      </c>
    </row>
    <row r="190" spans="3:3">
      <c r="C190">
        <f t="shared" si="6"/>
        <v>0</v>
      </c>
    </row>
    <row r="191" spans="3:3">
      <c r="C191">
        <f t="shared" si="6"/>
        <v>0</v>
      </c>
    </row>
    <row r="192" spans="3:3">
      <c r="C192">
        <f t="shared" si="6"/>
        <v>0</v>
      </c>
    </row>
    <row r="193" spans="3:3">
      <c r="C193">
        <f t="shared" si="6"/>
        <v>0</v>
      </c>
    </row>
    <row r="194" spans="3:3">
      <c r="C194">
        <f t="shared" si="6"/>
        <v>0</v>
      </c>
    </row>
    <row r="195" spans="3:3">
      <c r="C195">
        <f t="shared" si="6"/>
        <v>0</v>
      </c>
    </row>
    <row r="196" spans="3:3">
      <c r="C196">
        <f t="shared" si="6"/>
        <v>0</v>
      </c>
    </row>
    <row r="197" spans="3:3">
      <c r="C197">
        <f t="shared" si="6"/>
        <v>0</v>
      </c>
    </row>
    <row r="198" spans="3:3">
      <c r="C198">
        <f t="shared" si="6"/>
        <v>0</v>
      </c>
    </row>
    <row r="199" spans="3:3">
      <c r="C199">
        <f t="shared" si="6"/>
        <v>0</v>
      </c>
    </row>
    <row r="200" spans="3:3">
      <c r="C200">
        <f t="shared" ref="C200:C226" si="7">A200*B200</f>
        <v>0</v>
      </c>
    </row>
    <row r="201" spans="3:3">
      <c r="C201">
        <f t="shared" si="7"/>
        <v>0</v>
      </c>
    </row>
    <row r="202" spans="3:3">
      <c r="C202">
        <f t="shared" si="7"/>
        <v>0</v>
      </c>
    </row>
    <row r="203" spans="3:3">
      <c r="C203">
        <f t="shared" si="7"/>
        <v>0</v>
      </c>
    </row>
    <row r="204" spans="3:3">
      <c r="C204">
        <f t="shared" si="7"/>
        <v>0</v>
      </c>
    </row>
    <row r="205" spans="3:3">
      <c r="C205">
        <f t="shared" si="7"/>
        <v>0</v>
      </c>
    </row>
    <row r="206" spans="3:3">
      <c r="C206">
        <f t="shared" si="7"/>
        <v>0</v>
      </c>
    </row>
    <row r="207" spans="3:3">
      <c r="C207">
        <f t="shared" si="7"/>
        <v>0</v>
      </c>
    </row>
    <row r="208" spans="3:3">
      <c r="C208">
        <f t="shared" si="7"/>
        <v>0</v>
      </c>
    </row>
    <row r="209" spans="3:3">
      <c r="C209">
        <f t="shared" si="7"/>
        <v>0</v>
      </c>
    </row>
    <row r="210" spans="3:3">
      <c r="C210">
        <f t="shared" si="7"/>
        <v>0</v>
      </c>
    </row>
    <row r="211" spans="3:3">
      <c r="C211">
        <f t="shared" si="7"/>
        <v>0</v>
      </c>
    </row>
    <row r="212" spans="3:3">
      <c r="C212">
        <f t="shared" si="7"/>
        <v>0</v>
      </c>
    </row>
    <row r="213" spans="3:3">
      <c r="C213">
        <f t="shared" si="7"/>
        <v>0</v>
      </c>
    </row>
    <row r="214" spans="3:3">
      <c r="C214">
        <f t="shared" si="7"/>
        <v>0</v>
      </c>
    </row>
    <row r="215" spans="3:3">
      <c r="C215">
        <f t="shared" si="7"/>
        <v>0</v>
      </c>
    </row>
    <row r="216" spans="3:3">
      <c r="C216">
        <f t="shared" si="7"/>
        <v>0</v>
      </c>
    </row>
    <row r="217" spans="3:3">
      <c r="C217">
        <f t="shared" si="7"/>
        <v>0</v>
      </c>
    </row>
    <row r="218" spans="3:3">
      <c r="C218">
        <f t="shared" si="7"/>
        <v>0</v>
      </c>
    </row>
    <row r="219" spans="3:3">
      <c r="C219">
        <f t="shared" si="7"/>
        <v>0</v>
      </c>
    </row>
    <row r="220" spans="3:3">
      <c r="C220">
        <f t="shared" si="7"/>
        <v>0</v>
      </c>
    </row>
    <row r="221" spans="3:3">
      <c r="C221">
        <f t="shared" si="7"/>
        <v>0</v>
      </c>
    </row>
    <row r="222" spans="3:3">
      <c r="C222">
        <f t="shared" si="7"/>
        <v>0</v>
      </c>
    </row>
    <row r="223" spans="3:3">
      <c r="C223">
        <f t="shared" si="7"/>
        <v>0</v>
      </c>
    </row>
    <row r="224" spans="3:3">
      <c r="C224">
        <f t="shared" si="7"/>
        <v>0</v>
      </c>
    </row>
    <row r="225" spans="3:3">
      <c r="C225">
        <f t="shared" si="7"/>
        <v>0</v>
      </c>
    </row>
    <row r="226" spans="3:3">
      <c r="C226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6CE9-B77B-704D-8A1F-7836B7353FCF}">
  <dimension ref="A1:AI33"/>
  <sheetViews>
    <sheetView topLeftCell="D1" workbookViewId="0">
      <selection activeCell="H18" sqref="H18"/>
    </sheetView>
  </sheetViews>
  <sheetFormatPr baseColWidth="10" defaultRowHeight="16"/>
  <cols>
    <col min="1" max="1" width="41.33203125" customWidth="1"/>
    <col min="2" max="2" width="40" style="2" customWidth="1"/>
    <col min="4" max="4" width="41.33203125" customWidth="1"/>
    <col min="5" max="5" width="22.5" customWidth="1"/>
    <col min="6" max="6" width="3.6640625" customWidth="1"/>
    <col min="7" max="7" width="15.6640625" customWidth="1"/>
    <col min="8" max="8" width="40.83203125" customWidth="1"/>
    <col min="10" max="10" width="35.5" customWidth="1"/>
    <col min="11" max="11" width="21" customWidth="1"/>
    <col min="14" max="14" width="18" customWidth="1"/>
    <col min="16" max="16" width="24.6640625" customWidth="1"/>
    <col min="17" max="17" width="14.6640625" customWidth="1"/>
    <col min="24" max="24" width="13.33203125" customWidth="1"/>
  </cols>
  <sheetData>
    <row r="1" spans="1:35" ht="26">
      <c r="A1" s="32" t="s">
        <v>139</v>
      </c>
      <c r="B1" s="34"/>
      <c r="D1" s="32" t="s">
        <v>66</v>
      </c>
      <c r="E1" s="34"/>
      <c r="G1" s="32" t="s">
        <v>84</v>
      </c>
      <c r="H1" s="34"/>
      <c r="J1" s="32"/>
      <c r="K1" s="37" t="s">
        <v>77</v>
      </c>
      <c r="L1" s="44"/>
      <c r="P1" s="31" t="s">
        <v>112</v>
      </c>
      <c r="Q1" s="32"/>
      <c r="S1" s="32" t="s">
        <v>154</v>
      </c>
      <c r="T1" s="32"/>
      <c r="V1" s="32" t="s">
        <v>158</v>
      </c>
      <c r="W1" s="32"/>
      <c r="X1" s="32"/>
      <c r="Z1" s="32" t="s">
        <v>162</v>
      </c>
      <c r="AA1" s="32" t="s">
        <v>124</v>
      </c>
      <c r="AD1" s="32" t="s">
        <v>126</v>
      </c>
      <c r="AE1" s="32"/>
      <c r="AH1" s="32" t="s">
        <v>130</v>
      </c>
      <c r="AI1" s="32"/>
    </row>
    <row r="2" spans="1:35">
      <c r="A2" s="35" t="s">
        <v>134</v>
      </c>
      <c r="B2" s="34"/>
      <c r="D2" s="32"/>
      <c r="E2" s="34"/>
      <c r="G2" s="34" t="s">
        <v>81</v>
      </c>
      <c r="H2" s="36">
        <v>-0.89</v>
      </c>
      <c r="J2" s="32" t="s">
        <v>118</v>
      </c>
      <c r="K2" s="40" t="s">
        <v>43</v>
      </c>
      <c r="L2" s="45"/>
      <c r="P2" s="32" t="s">
        <v>113</v>
      </c>
      <c r="Q2" s="32">
        <v>39</v>
      </c>
      <c r="S2" s="32" t="s">
        <v>22</v>
      </c>
      <c r="T2" s="32">
        <v>50</v>
      </c>
      <c r="V2" s="32"/>
      <c r="W2" s="32"/>
      <c r="X2" s="32"/>
      <c r="Z2" s="35" t="s">
        <v>127</v>
      </c>
      <c r="AA2" s="49">
        <v>0.18</v>
      </c>
      <c r="AD2" s="32" t="s">
        <v>125</v>
      </c>
      <c r="AE2" s="32">
        <v>-1.72</v>
      </c>
      <c r="AH2" s="32" t="s">
        <v>25</v>
      </c>
      <c r="AI2" s="32">
        <v>45</v>
      </c>
    </row>
    <row r="3" spans="1:35">
      <c r="A3" s="35" t="s">
        <v>22</v>
      </c>
      <c r="B3" s="36">
        <v>50</v>
      </c>
      <c r="D3" s="32" t="s">
        <v>22</v>
      </c>
      <c r="E3" s="34">
        <v>1252</v>
      </c>
      <c r="G3" s="34" t="s">
        <v>82</v>
      </c>
      <c r="H3" s="36">
        <v>1.88</v>
      </c>
      <c r="J3" s="32"/>
      <c r="K3" s="40"/>
      <c r="L3" s="45"/>
      <c r="P3" s="32" t="s">
        <v>114</v>
      </c>
      <c r="Q3" s="32">
        <f>Q2/100</f>
        <v>0.39</v>
      </c>
      <c r="S3" s="32" t="s">
        <v>131</v>
      </c>
      <c r="T3" s="32">
        <v>7</v>
      </c>
      <c r="V3" s="32"/>
      <c r="W3" s="32" t="s">
        <v>159</v>
      </c>
      <c r="X3" s="32" t="s">
        <v>160</v>
      </c>
      <c r="Z3" s="35"/>
      <c r="AA3" s="49"/>
      <c r="AD3" s="32"/>
      <c r="AE3" s="32"/>
      <c r="AH3" s="32" t="s">
        <v>22</v>
      </c>
      <c r="AI3" s="32">
        <v>47</v>
      </c>
    </row>
    <row r="4" spans="1:35">
      <c r="A4" s="35" t="s">
        <v>23</v>
      </c>
      <c r="B4" s="36">
        <v>7</v>
      </c>
      <c r="D4" s="32" t="s">
        <v>23</v>
      </c>
      <c r="E4" s="34">
        <v>129</v>
      </c>
      <c r="G4" s="34" t="s">
        <v>110</v>
      </c>
      <c r="H4" s="36">
        <f>_xlfn.NORM.DIST(H2, 0, 1, TRUE)</f>
        <v>0.18673294303717258</v>
      </c>
      <c r="J4" s="38" t="s">
        <v>60</v>
      </c>
      <c r="K4" s="41">
        <v>49</v>
      </c>
      <c r="L4" s="45"/>
      <c r="P4" s="32"/>
      <c r="Q4" s="32"/>
      <c r="S4" s="32" t="s">
        <v>155</v>
      </c>
      <c r="T4" s="32">
        <v>41</v>
      </c>
      <c r="V4" s="32" t="s">
        <v>0</v>
      </c>
      <c r="W4" s="32">
        <v>25</v>
      </c>
      <c r="X4" s="32">
        <v>1156</v>
      </c>
      <c r="Z4" s="35" t="s">
        <v>129</v>
      </c>
      <c r="AA4" s="49">
        <f xml:space="preserve"> 1 - AA2</f>
        <v>0.82000000000000006</v>
      </c>
      <c r="AD4" s="32" t="s">
        <v>79</v>
      </c>
      <c r="AE4" s="32">
        <f>_xlfn.NORM.S.DIST(AE2, TRUE)</f>
        <v>4.2716220791328911E-2</v>
      </c>
      <c r="AH4" s="32" t="s">
        <v>131</v>
      </c>
      <c r="AI4" s="32">
        <v>10</v>
      </c>
    </row>
    <row r="5" spans="1:35">
      <c r="A5" s="35" t="s">
        <v>135</v>
      </c>
      <c r="B5" s="36">
        <v>1000</v>
      </c>
      <c r="D5" s="32"/>
      <c r="E5" s="34"/>
      <c r="G5" s="34" t="s">
        <v>111</v>
      </c>
      <c r="H5" s="36">
        <f>1 - _xlfn.NORM.DIST(H3, 0, 1, TRUE)</f>
        <v>3.0054038961199736E-2</v>
      </c>
      <c r="J5" s="38" t="s">
        <v>23</v>
      </c>
      <c r="K5" s="42">
        <v>5</v>
      </c>
      <c r="L5" s="45"/>
      <c r="P5" s="32" t="s">
        <v>115</v>
      </c>
      <c r="Q5" s="32">
        <f xml:space="preserve"> (1 - Q3) / 2</f>
        <v>0.30499999999999999</v>
      </c>
      <c r="S5" s="32"/>
      <c r="T5" s="32"/>
      <c r="V5" s="32" t="s">
        <v>91</v>
      </c>
      <c r="W5" s="32">
        <v>21.3</v>
      </c>
      <c r="X5" s="32">
        <v>1037</v>
      </c>
      <c r="Z5" s="35" t="s">
        <v>128</v>
      </c>
      <c r="AA5" s="49">
        <f>_xlfn.NORM.INV(AA4,0, 1)</f>
        <v>0.91536508784281367</v>
      </c>
      <c r="AH5" s="32"/>
      <c r="AI5" s="32"/>
    </row>
    <row r="6" spans="1:35">
      <c r="A6" s="35" t="s">
        <v>136</v>
      </c>
      <c r="B6" s="36">
        <v>41</v>
      </c>
      <c r="D6" s="32" t="s">
        <v>67</v>
      </c>
      <c r="E6" s="34">
        <v>1100</v>
      </c>
      <c r="G6" s="50" t="s">
        <v>83</v>
      </c>
      <c r="H6" s="36">
        <f>SUM(H4:H5)</f>
        <v>0.21678698199837232</v>
      </c>
      <c r="J6" s="38" t="s">
        <v>78</v>
      </c>
      <c r="K6" s="42">
        <v>15</v>
      </c>
      <c r="L6" s="45"/>
      <c r="P6" s="33"/>
      <c r="Q6" s="32"/>
      <c r="S6" s="32" t="s">
        <v>156</v>
      </c>
      <c r="T6" s="32">
        <f>(1 - _xlfn.NORM.DIST(T4,T2,T3, TRUE)) * 100</f>
        <v>90.072860315666901</v>
      </c>
      <c r="V6" s="32" t="s">
        <v>131</v>
      </c>
      <c r="W6" s="32">
        <v>4.5999999999999996</v>
      </c>
      <c r="X6" s="32">
        <v>201</v>
      </c>
      <c r="AH6" s="32" t="s">
        <v>132</v>
      </c>
      <c r="AI6" s="32">
        <f>_xlfn.NORM.DIST(AI2,AI3,AI4, TRUE)</f>
        <v>0.42074029056089696</v>
      </c>
    </row>
    <row r="7" spans="1:35">
      <c r="A7" s="35"/>
      <c r="B7" s="36"/>
      <c r="D7" s="32" t="s">
        <v>69</v>
      </c>
      <c r="E7" s="34">
        <f xml:space="preserve"> (E6 - E3) / E4</f>
        <v>-1.1782945736434109</v>
      </c>
      <c r="J7" s="38" t="s">
        <v>121</v>
      </c>
      <c r="K7" s="42">
        <f>K6/100</f>
        <v>0.15</v>
      </c>
      <c r="L7" s="45"/>
      <c r="P7" s="32" t="s">
        <v>116</v>
      </c>
      <c r="Q7" s="32">
        <f>_xlfn.NORM.DIST(Q5, 0, 1, TRUE)</f>
        <v>0.61981692384016507</v>
      </c>
      <c r="S7" s="32"/>
      <c r="T7" s="32">
        <f>NORMINV(0.07,19,2.5)</f>
        <v>15.310522429552075</v>
      </c>
      <c r="V7" s="32" t="s">
        <v>161</v>
      </c>
      <c r="W7" s="32">
        <f>(W4-W5)/W6</f>
        <v>0.80434782608695643</v>
      </c>
      <c r="X7" s="32">
        <f>(X4-X5)/X6</f>
        <v>0.59203980099502485</v>
      </c>
    </row>
    <row r="8" spans="1:35">
      <c r="A8" s="35" t="s">
        <v>137</v>
      </c>
      <c r="B8" s="36">
        <f>_xlfn.NORM.DIST(B6, B3, B4, TRUE) - _xlfn.NORM.DIST(B5, B3, B4, TRUE)</f>
        <v>-0.90072860315666903</v>
      </c>
      <c r="D8" s="32"/>
      <c r="E8" s="34"/>
      <c r="J8" s="32"/>
      <c r="K8" s="40"/>
      <c r="L8" s="45"/>
      <c r="P8" s="32" t="s">
        <v>117</v>
      </c>
      <c r="Q8" s="32">
        <f>_xlfn.NORM.DIST(Q5, 0, 1, TRUE)</f>
        <v>0.61981692384016507</v>
      </c>
    </row>
    <row r="9" spans="1:35" ht="19">
      <c r="A9" s="35" t="s">
        <v>138</v>
      </c>
      <c r="B9" s="36">
        <f>_xlfn.NORM.DIST(B5,B3,B4,TRUE)</f>
        <v>1</v>
      </c>
      <c r="D9" s="32" t="s">
        <v>68</v>
      </c>
      <c r="E9" s="34">
        <v>1400</v>
      </c>
      <c r="J9" s="47" t="s">
        <v>133</v>
      </c>
      <c r="K9" s="48">
        <f>_xlfn.NORM.INV(($K$6/100),K$4,K$5)</f>
        <v>43.81783305253105</v>
      </c>
      <c r="L9" s="45"/>
      <c r="P9" s="32"/>
      <c r="Q9" s="32"/>
      <c r="S9" s="21" t="s">
        <v>157</v>
      </c>
      <c r="T9" t="s">
        <v>43</v>
      </c>
    </row>
    <row r="10" spans="1:35" ht="17">
      <c r="A10" s="35" t="s">
        <v>140</v>
      </c>
      <c r="B10" s="36">
        <f>1 - _xlfn.NORM.DIST(B6, B3, B4, TRUE)</f>
        <v>0.90072860315666903</v>
      </c>
      <c r="D10" s="32" t="s">
        <v>72</v>
      </c>
      <c r="E10" s="34">
        <f>(E9-E3) / E4</f>
        <v>1.1472868217054264</v>
      </c>
      <c r="J10" s="32"/>
      <c r="K10" s="43"/>
      <c r="L10" s="46"/>
      <c r="P10" s="35">
        <f>_xlfn.NORM.INV(0.79, 0, 1)</f>
        <v>0.80642124701824058</v>
      </c>
      <c r="Q10" s="32"/>
      <c r="S10" s="21"/>
    </row>
    <row r="11" spans="1:35" ht="17">
      <c r="A11" s="35"/>
      <c r="B11" s="36"/>
      <c r="D11" s="32"/>
      <c r="E11" s="34"/>
      <c r="J11" s="32"/>
      <c r="K11" s="43"/>
      <c r="L11" s="45"/>
      <c r="S11" s="21"/>
    </row>
    <row r="12" spans="1:35">
      <c r="A12" s="35" t="s">
        <v>141</v>
      </c>
      <c r="B12" s="36">
        <f>B9*100</f>
        <v>100</v>
      </c>
      <c r="D12" s="32" t="s">
        <v>70</v>
      </c>
      <c r="E12" s="34">
        <f>_xlfn.NORM.DIST(E6,E3,E4,TRUE)</f>
        <v>0.11933959517437347</v>
      </c>
      <c r="J12" s="32"/>
      <c r="K12" s="43"/>
      <c r="L12" s="46"/>
    </row>
    <row r="13" spans="1:35">
      <c r="D13" s="32" t="s">
        <v>71</v>
      </c>
      <c r="E13" s="34">
        <f>_xlfn.NORM.DIST(E10,E3,E4,TRUE)</f>
        <v>1.5595941023036459E-22</v>
      </c>
      <c r="J13" s="32"/>
      <c r="K13" s="40"/>
      <c r="L13" s="45"/>
    </row>
    <row r="14" spans="1:35">
      <c r="D14" s="32"/>
      <c r="E14" s="34"/>
      <c r="J14" s="39" t="s">
        <v>119</v>
      </c>
      <c r="K14" s="49">
        <f>(1 - K7)/2</f>
        <v>0.42499999999999999</v>
      </c>
    </row>
    <row r="15" spans="1:35">
      <c r="D15" s="32"/>
      <c r="E15" s="34">
        <f>E13-E12</f>
        <v>-0.11933959517437347</v>
      </c>
      <c r="J15" s="32" t="s">
        <v>120</v>
      </c>
      <c r="K15" s="49">
        <f>K7+K14</f>
        <v>0.57499999999999996</v>
      </c>
      <c r="P15" t="s">
        <v>142</v>
      </c>
    </row>
    <row r="16" spans="1:35">
      <c r="D16" s="32"/>
      <c r="E16" s="34"/>
      <c r="J16" s="32"/>
      <c r="K16" s="49"/>
      <c r="P16" t="s">
        <v>22</v>
      </c>
      <c r="Q16">
        <v>1264</v>
      </c>
    </row>
    <row r="17" spans="4:17">
      <c r="D17" s="32" t="s">
        <v>74</v>
      </c>
      <c r="E17" s="34">
        <v>1175</v>
      </c>
      <c r="J17" s="39" t="s">
        <v>122</v>
      </c>
      <c r="K17" s="49">
        <f>NORMINV(K14, 0, 1)</f>
        <v>-0.18911842627279254</v>
      </c>
      <c r="P17" t="s">
        <v>131</v>
      </c>
      <c r="Q17">
        <v>116</v>
      </c>
    </row>
    <row r="18" spans="4:17">
      <c r="D18" s="32" t="s">
        <v>73</v>
      </c>
      <c r="E18" s="34">
        <f xml:space="preserve"> 1 -_xlfn.NORM.DIST(1175, E3, E4, TRUE)</f>
        <v>0.7247126675619795</v>
      </c>
      <c r="J18" s="32" t="s">
        <v>123</v>
      </c>
      <c r="K18" s="49">
        <f>NORMINV(K15, 0, 1)</f>
        <v>0.18911842627279243</v>
      </c>
      <c r="P18" t="s">
        <v>143</v>
      </c>
      <c r="Q18">
        <v>28</v>
      </c>
    </row>
    <row r="19" spans="4:17">
      <c r="D19" s="32"/>
      <c r="E19" s="34" t="s">
        <v>43</v>
      </c>
      <c r="J19" s="32"/>
      <c r="K19" s="35"/>
      <c r="P19" t="s">
        <v>144</v>
      </c>
      <c r="Q19">
        <f>Q18/100</f>
        <v>0.28000000000000003</v>
      </c>
    </row>
    <row r="20" spans="4:17">
      <c r="D20" s="32" t="s">
        <v>75</v>
      </c>
      <c r="E20" s="34"/>
      <c r="J20" s="32" t="s">
        <v>153</v>
      </c>
      <c r="K20" s="35"/>
      <c r="L20" s="32"/>
    </row>
    <row r="21" spans="4:17">
      <c r="D21" s="32" t="s">
        <v>76</v>
      </c>
      <c r="E21" s="34"/>
      <c r="J21" s="32" t="s">
        <v>148</v>
      </c>
      <c r="K21" s="51">
        <f>K4 + (K17)*K5</f>
        <v>48.054407868636041</v>
      </c>
      <c r="P21" t="s">
        <v>146</v>
      </c>
      <c r="Q21">
        <v>96</v>
      </c>
    </row>
    <row r="22" spans="4:17">
      <c r="D22" s="32"/>
      <c r="E22" s="34"/>
      <c r="J22" s="32" t="s">
        <v>149</v>
      </c>
      <c r="K22" s="51">
        <f>K4+(K18*K5)</f>
        <v>49.945592131363959</v>
      </c>
      <c r="P22" t="s">
        <v>147</v>
      </c>
      <c r="Q22">
        <f>Q21/100</f>
        <v>0.96</v>
      </c>
    </row>
    <row r="23" spans="4:17">
      <c r="D23" s="32" t="s">
        <v>80</v>
      </c>
      <c r="E23" s="34"/>
      <c r="J23" s="32"/>
      <c r="K23" s="35"/>
    </row>
    <row r="24" spans="4:17">
      <c r="E24" s="2"/>
      <c r="J24" s="32"/>
      <c r="K24" s="35"/>
    </row>
    <row r="25" spans="4:17">
      <c r="E25" s="2"/>
      <c r="J25" s="32"/>
      <c r="K25" s="35"/>
    </row>
    <row r="26" spans="4:17">
      <c r="J26" s="34" t="s">
        <v>150</v>
      </c>
      <c r="K26" s="51">
        <f>K28-K27</f>
        <v>6.7448975019608213</v>
      </c>
    </row>
    <row r="27" spans="4:17">
      <c r="J27" s="34" t="s">
        <v>151</v>
      </c>
      <c r="K27" s="30">
        <f>_xlfn.NORM.INV((25/100),K$4,K$5)</f>
        <v>45.627551249019589</v>
      </c>
    </row>
    <row r="28" spans="4:17">
      <c r="J28" s="34" t="s">
        <v>152</v>
      </c>
      <c r="K28" s="30">
        <f>_xlfn.NORM.INV((75/100),K$4,K$5)</f>
        <v>52.372448750980411</v>
      </c>
    </row>
    <row r="31" spans="4:17">
      <c r="P31" t="s">
        <v>145</v>
      </c>
      <c r="Q31">
        <f>NORMINV(0.28,1264,116)</f>
        <v>1196.390385156539</v>
      </c>
    </row>
    <row r="32" spans="4:17">
      <c r="E32" s="2"/>
    </row>
    <row r="33" spans="4:5">
      <c r="D33" s="10"/>
      <c r="E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A351-70B0-5244-BA65-285CF6942DC3}">
  <dimension ref="A1:F26"/>
  <sheetViews>
    <sheetView tabSelected="1" workbookViewId="0">
      <selection activeCell="E12" sqref="E12"/>
    </sheetView>
  </sheetViews>
  <sheetFormatPr baseColWidth="10" defaultRowHeight="16"/>
  <cols>
    <col min="1" max="1" width="32.6640625" customWidth="1"/>
    <col min="5" max="5" width="27.6640625" customWidth="1"/>
  </cols>
  <sheetData>
    <row r="1" spans="1:6">
      <c r="A1" s="25" t="s">
        <v>163</v>
      </c>
      <c r="B1" t="s">
        <v>167</v>
      </c>
      <c r="C1" t="s">
        <v>43</v>
      </c>
      <c r="E1" s="16" t="s">
        <v>179</v>
      </c>
      <c r="F1" t="s">
        <v>180</v>
      </c>
    </row>
    <row r="2" spans="1:6">
      <c r="A2" s="16" t="s">
        <v>91</v>
      </c>
      <c r="B2" s="16">
        <v>43.7</v>
      </c>
      <c r="E2" t="s">
        <v>113</v>
      </c>
      <c r="F2">
        <v>51</v>
      </c>
    </row>
    <row r="3" spans="1:6">
      <c r="A3" s="16" t="s">
        <v>131</v>
      </c>
      <c r="B3" s="54">
        <v>4.2</v>
      </c>
      <c r="E3" t="s">
        <v>181</v>
      </c>
      <c r="F3">
        <f>F2/100</f>
        <v>0.51</v>
      </c>
    </row>
    <row r="4" spans="1:6">
      <c r="A4" s="16" t="s">
        <v>171</v>
      </c>
      <c r="B4" s="16">
        <v>12</v>
      </c>
      <c r="E4" t="s">
        <v>164</v>
      </c>
      <c r="F4">
        <v>300</v>
      </c>
    </row>
    <row r="5" spans="1:6">
      <c r="B5" s="16"/>
    </row>
    <row r="6" spans="1:6">
      <c r="A6" s="16" t="s">
        <v>165</v>
      </c>
      <c r="B6" s="52">
        <f>B2</f>
        <v>43.7</v>
      </c>
      <c r="E6" t="s">
        <v>182</v>
      </c>
      <c r="F6" s="53">
        <f>F3</f>
        <v>0.51</v>
      </c>
    </row>
    <row r="7" spans="1:6">
      <c r="A7" s="16" t="s">
        <v>166</v>
      </c>
      <c r="B7" s="56">
        <f>B3/SQRT(B4)</f>
        <v>1.2124355652982142</v>
      </c>
      <c r="E7" t="s">
        <v>183</v>
      </c>
      <c r="F7" s="53">
        <f>SQRT(F6*(1 - F6)/F4)</f>
        <v>2.8861739379323625E-2</v>
      </c>
    </row>
    <row r="8" spans="1:6">
      <c r="B8" s="16"/>
    </row>
    <row r="9" spans="1:6">
      <c r="A9" s="16" t="s">
        <v>172</v>
      </c>
      <c r="B9" s="16">
        <v>40</v>
      </c>
      <c r="E9" t="s">
        <v>184</v>
      </c>
      <c r="F9" s="53">
        <f>(F4*F6)*(1 - F6)</f>
        <v>74.97</v>
      </c>
    </row>
    <row r="10" spans="1:6">
      <c r="A10" s="16" t="s">
        <v>173</v>
      </c>
      <c r="B10" s="55">
        <f>(B9-B2)/B3</f>
        <v>-0.8809523809523816</v>
      </c>
    </row>
    <row r="11" spans="1:6">
      <c r="A11" s="16" t="s">
        <v>174</v>
      </c>
      <c r="B11" s="57">
        <f>(B9-B2)/B7</f>
        <v>-3.0517085657165954</v>
      </c>
      <c r="E11" t="s">
        <v>188</v>
      </c>
      <c r="F11">
        <v>45</v>
      </c>
    </row>
    <row r="12" spans="1:6">
      <c r="E12" t="s">
        <v>185</v>
      </c>
      <c r="F12">
        <f>F11/100</f>
        <v>0.45</v>
      </c>
    </row>
    <row r="13" spans="1:6">
      <c r="A13" s="16" t="s">
        <v>177</v>
      </c>
      <c r="B13">
        <f>_xlfn.NORM.S.DIST(B10, TRUE)</f>
        <v>0.18917179719797161</v>
      </c>
      <c r="E13" t="s">
        <v>125</v>
      </c>
      <c r="F13">
        <f>(F12-F6)/F7</f>
        <v>-2.0788767860257109</v>
      </c>
    </row>
    <row r="14" spans="1:6">
      <c r="A14" s="16" t="s">
        <v>178</v>
      </c>
      <c r="B14">
        <f xml:space="preserve"> 1-B13</f>
        <v>0.81082820280202839</v>
      </c>
      <c r="E14" t="s">
        <v>187</v>
      </c>
      <c r="F14" s="53">
        <f>_xlfn.NORM.S.DIST(F13, TRUE)</f>
        <v>1.8814338445845531E-2</v>
      </c>
    </row>
    <row r="15" spans="1:6">
      <c r="E15" t="s">
        <v>186</v>
      </c>
      <c r="F15" s="53">
        <f xml:space="preserve"> 1 - F14</f>
        <v>0.98118566155415443</v>
      </c>
    </row>
    <row r="16" spans="1:6">
      <c r="A16" s="16" t="s">
        <v>175</v>
      </c>
      <c r="B16" s="52">
        <f>_xlfn.NORM.S.DIST(B11, TRUE)</f>
        <v>1.1377145360498184E-3</v>
      </c>
    </row>
    <row r="17" spans="1:2">
      <c r="A17" s="16" t="s">
        <v>176</v>
      </c>
      <c r="B17" s="52">
        <f xml:space="preserve"> 1 -B16</f>
        <v>0.99886228546395017</v>
      </c>
    </row>
    <row r="20" spans="1:2">
      <c r="A20" s="25" t="s">
        <v>168</v>
      </c>
      <c r="B20" s="16"/>
    </row>
    <row r="21" spans="1:2">
      <c r="A21" s="16" t="s">
        <v>67</v>
      </c>
      <c r="B21" s="16">
        <v>155</v>
      </c>
    </row>
    <row r="22" spans="1:2">
      <c r="A22" s="16" t="s">
        <v>68</v>
      </c>
      <c r="B22" s="16">
        <v>160</v>
      </c>
    </row>
    <row r="23" spans="1:2">
      <c r="A23" s="16" t="s">
        <v>169</v>
      </c>
      <c r="B23">
        <f>(B21-B$6)/B$7</f>
        <v>91.798692801150494</v>
      </c>
    </row>
    <row r="24" spans="1:2">
      <c r="A24" s="16" t="s">
        <v>72</v>
      </c>
      <c r="B24">
        <f>(B22-B$6)/B$7</f>
        <v>95.922623295362101</v>
      </c>
    </row>
    <row r="26" spans="1:2">
      <c r="A26" s="16" t="s">
        <v>170</v>
      </c>
      <c r="B26" s="53">
        <f>_xlfn.NORM.S.DIST(B24, TRUE) - _xlfn.NORM.S.DIST(B23, TRUE)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:B20"/>
  <sheetViews>
    <sheetView workbookViewId="0">
      <selection activeCell="B5" sqref="B5"/>
    </sheetView>
  </sheetViews>
  <sheetFormatPr baseColWidth="10" defaultRowHeight="16"/>
  <cols>
    <col min="1" max="1" width="23.83203125" customWidth="1"/>
    <col min="2" max="2" width="25.33203125" bestFit="1" customWidth="1"/>
  </cols>
  <sheetData>
    <row r="1" spans="1:2">
      <c r="A1" t="s">
        <v>8</v>
      </c>
    </row>
    <row r="2" spans="1:2">
      <c r="A2" s="1" t="s">
        <v>11</v>
      </c>
      <c r="B2" s="2">
        <v>3</v>
      </c>
    </row>
    <row r="3" spans="1:2">
      <c r="A3" s="1" t="s">
        <v>9</v>
      </c>
      <c r="B3" s="10">
        <v>9</v>
      </c>
    </row>
    <row r="4" spans="1:2">
      <c r="A4" s="1" t="s">
        <v>10</v>
      </c>
      <c r="B4" s="2">
        <v>0.6</v>
      </c>
    </row>
    <row r="5" spans="1:2">
      <c r="A5" s="1"/>
    </row>
    <row r="6" spans="1:2">
      <c r="A6" s="4" t="s">
        <v>45</v>
      </c>
    </row>
    <row r="7" spans="1:2">
      <c r="A7" s="1" t="s">
        <v>46</v>
      </c>
      <c r="B7" s="12">
        <f>_xlfn.BINOM.DIST(B$2, B$3, B$4, FALSE)</f>
        <v>7.4317824000000032E-2</v>
      </c>
    </row>
    <row r="8" spans="1:2">
      <c r="A8" s="1" t="s">
        <v>50</v>
      </c>
      <c r="B8" s="12">
        <f>_xlfn.BINOM.DIST(B$2 - 1, B$3, B$4, TRUE)</f>
        <v>2.5034752000000014E-2</v>
      </c>
    </row>
    <row r="9" spans="1:2">
      <c r="A9" s="1" t="s">
        <v>47</v>
      </c>
      <c r="B9" s="12">
        <f>_xlfn.BINOM.DIST(B$2, B$3, B$4, TRUE)</f>
        <v>9.935257600000004E-2</v>
      </c>
    </row>
    <row r="10" spans="1:2">
      <c r="A10" s="1" t="s">
        <v>48</v>
      </c>
      <c r="B10" s="12">
        <f xml:space="preserve"> 1 - B9</f>
        <v>0.90064742399999997</v>
      </c>
    </row>
    <row r="11" spans="1:2">
      <c r="A11" s="1" t="s">
        <v>49</v>
      </c>
      <c r="B11">
        <f>1 - _xlfn.BINOM.DIST(B$2 - 1, B$3, B$4, FALSE)</f>
        <v>0.97876633599999996</v>
      </c>
    </row>
    <row r="13" spans="1:2">
      <c r="A13" s="1"/>
      <c r="B13">
        <f>_xlfn.BINOM.DIST(8, B$3, B$4, FALSE)</f>
        <v>6.0466175999999983E-2</v>
      </c>
    </row>
    <row r="14" spans="1:2">
      <c r="A14" s="1"/>
      <c r="B14">
        <f>_xlfn.BINOM.DIST(6, B$3, B$4, FALSE)</f>
        <v>0.25082265600000003</v>
      </c>
    </row>
    <row r="15" spans="1:2">
      <c r="A15" s="1"/>
      <c r="B15">
        <f>_xlfn.BINOM.DIST(7, B$3, B$4, FALSE)</f>
        <v>0.16124313599999995</v>
      </c>
    </row>
    <row r="16" spans="1:2">
      <c r="B16">
        <f>SUM(B13:B15)</f>
        <v>0.47253196799999997</v>
      </c>
    </row>
    <row r="18" spans="1:1" ht="17">
      <c r="A18" s="15" t="s">
        <v>53</v>
      </c>
    </row>
    <row r="19" spans="1:1" ht="17">
      <c r="A19" s="15" t="s">
        <v>64</v>
      </c>
    </row>
    <row r="20" spans="1:1" ht="17">
      <c r="A20" s="15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64C7-EB3F-884D-A423-6A64CF5D743E}">
  <dimension ref="A1:E6"/>
  <sheetViews>
    <sheetView workbookViewId="0">
      <selection activeCell="B4" sqref="B4"/>
    </sheetView>
  </sheetViews>
  <sheetFormatPr baseColWidth="10" defaultRowHeight="16"/>
  <cols>
    <col min="4" max="4" width="17.6640625" customWidth="1"/>
  </cols>
  <sheetData>
    <row r="1" spans="1:5">
      <c r="A1" s="6" t="s">
        <v>19</v>
      </c>
      <c r="B1" s="6"/>
      <c r="C1" s="6"/>
    </row>
    <row r="2" spans="1:5">
      <c r="A2" s="22" t="s">
        <v>20</v>
      </c>
      <c r="B2" s="23">
        <v>150</v>
      </c>
      <c r="C2" s="6"/>
      <c r="D2" s="22" t="s">
        <v>22</v>
      </c>
      <c r="E2" s="19">
        <f>B2*B3</f>
        <v>63</v>
      </c>
    </row>
    <row r="3" spans="1:5">
      <c r="A3" s="22" t="s">
        <v>21</v>
      </c>
      <c r="B3" s="23">
        <v>0.42</v>
      </c>
      <c r="C3" s="6"/>
      <c r="D3" s="22" t="s">
        <v>23</v>
      </c>
      <c r="E3" s="19">
        <f>SQRT((B2*B3)*(1-B3))</f>
        <v>6.044832503882966</v>
      </c>
    </row>
    <row r="4" spans="1:5">
      <c r="A4" s="6"/>
      <c r="B4" s="6"/>
      <c r="C4" s="6"/>
    </row>
    <row r="5" spans="1:5">
      <c r="C5" s="6"/>
    </row>
    <row r="6" spans="1:5">
      <c r="C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183-3309-E141-80C9-0F546E3ED993}">
  <dimension ref="A6:D17"/>
  <sheetViews>
    <sheetView workbookViewId="0">
      <selection activeCell="D10" sqref="D10"/>
    </sheetView>
  </sheetViews>
  <sheetFormatPr baseColWidth="10" defaultRowHeight="16"/>
  <sheetData>
    <row r="6" spans="1:4">
      <c r="C6" s="27" t="s">
        <v>86</v>
      </c>
    </row>
    <row r="7" spans="1:4">
      <c r="C7" s="26">
        <f>SUM(C10:C17)</f>
        <v>1.6335</v>
      </c>
      <c r="D7" t="s">
        <v>85</v>
      </c>
    </row>
    <row r="9" spans="1:4">
      <c r="A9" t="s">
        <v>0</v>
      </c>
      <c r="B9" t="s">
        <v>1</v>
      </c>
      <c r="C9" t="s">
        <v>58</v>
      </c>
      <c r="D9" t="s">
        <v>87</v>
      </c>
    </row>
    <row r="10" spans="1:4">
      <c r="A10" s="7">
        <v>0</v>
      </c>
      <c r="B10">
        <v>0.1663</v>
      </c>
      <c r="C10">
        <f>A10*B10</f>
        <v>0</v>
      </c>
    </row>
    <row r="11" spans="1:4">
      <c r="A11" s="7">
        <v>1</v>
      </c>
      <c r="B11">
        <v>0.34200000000000003</v>
      </c>
      <c r="C11">
        <f t="shared" ref="C11:C17" si="0">A11*B11</f>
        <v>0.34200000000000003</v>
      </c>
    </row>
    <row r="12" spans="1:4">
      <c r="A12" s="7">
        <v>2</v>
      </c>
      <c r="B12">
        <v>0.27660000000000001</v>
      </c>
      <c r="C12">
        <f t="shared" si="0"/>
        <v>0.55320000000000003</v>
      </c>
    </row>
    <row r="13" spans="1:4">
      <c r="A13">
        <v>3</v>
      </c>
      <c r="B13">
        <v>0.14960000000000001</v>
      </c>
      <c r="C13">
        <f t="shared" si="0"/>
        <v>0.44880000000000003</v>
      </c>
    </row>
    <row r="14" spans="1:4">
      <c r="A14">
        <v>4</v>
      </c>
      <c r="B14">
        <v>3.7999999999999999E-2</v>
      </c>
      <c r="C14">
        <f t="shared" si="0"/>
        <v>0.152</v>
      </c>
    </row>
    <row r="15" spans="1:4">
      <c r="A15">
        <v>5</v>
      </c>
      <c r="B15">
        <v>2.75E-2</v>
      </c>
      <c r="C15">
        <f t="shared" si="0"/>
        <v>0.13750000000000001</v>
      </c>
    </row>
    <row r="16" spans="1:4">
      <c r="C16">
        <f t="shared" si="0"/>
        <v>0</v>
      </c>
    </row>
    <row r="17" spans="3:3">
      <c r="C1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:H57"/>
  <sheetViews>
    <sheetView zoomScale="85" workbookViewId="0">
      <selection activeCell="J19" sqref="J19"/>
    </sheetView>
  </sheetViews>
  <sheetFormatPr baseColWidth="10" defaultRowHeight="16"/>
  <cols>
    <col min="1" max="1" width="17.1640625" customWidth="1"/>
    <col min="2" max="2" width="14.1640625" customWidth="1"/>
    <col min="3" max="3" width="15" customWidth="1"/>
  </cols>
  <sheetData>
    <row r="1" spans="1:8" ht="17">
      <c r="A1" s="15" t="s">
        <v>51</v>
      </c>
    </row>
    <row r="2" spans="1:8" ht="17">
      <c r="A2" s="15" t="s">
        <v>52</v>
      </c>
    </row>
    <row r="3" spans="1:8" ht="17">
      <c r="A3" s="15" t="s">
        <v>63</v>
      </c>
    </row>
    <row r="5" spans="1:8" ht="17">
      <c r="A5" s="21" t="s">
        <v>99</v>
      </c>
      <c r="G5" s="4" t="s">
        <v>100</v>
      </c>
    </row>
    <row r="6" spans="1:8" ht="17">
      <c r="A6" s="21" t="s">
        <v>62</v>
      </c>
      <c r="B6" s="29">
        <v>0.12</v>
      </c>
      <c r="G6" t="s">
        <v>101</v>
      </c>
      <c r="H6">
        <v>0.12</v>
      </c>
    </row>
    <row r="7" spans="1:8">
      <c r="B7" s="2"/>
      <c r="G7" t="s">
        <v>102</v>
      </c>
      <c r="H7">
        <v>14</v>
      </c>
    </row>
    <row r="8" spans="1:8" ht="17">
      <c r="A8" s="21" t="s">
        <v>59</v>
      </c>
      <c r="B8" s="29">
        <v>14</v>
      </c>
      <c r="G8" t="s">
        <v>91</v>
      </c>
      <c r="H8">
        <f>H6*H7</f>
        <v>1.68</v>
      </c>
    </row>
    <row r="9" spans="1:8" ht="17">
      <c r="A9" s="21" t="s">
        <v>0</v>
      </c>
      <c r="B9" s="29">
        <v>6</v>
      </c>
    </row>
    <row r="10" spans="1:8" ht="17">
      <c r="A10" s="21" t="s">
        <v>60</v>
      </c>
      <c r="B10" s="29">
        <v>1.68</v>
      </c>
      <c r="C10" t="s">
        <v>105</v>
      </c>
      <c r="D10">
        <f>B6*B8</f>
        <v>1.68</v>
      </c>
      <c r="G10" t="s">
        <v>0</v>
      </c>
      <c r="H10">
        <v>6</v>
      </c>
    </row>
    <row r="11" spans="1:8" ht="26">
      <c r="A11" s="24" t="s">
        <v>61</v>
      </c>
      <c r="B11" s="2"/>
      <c r="G11" t="s">
        <v>92</v>
      </c>
    </row>
    <row r="12" spans="1:8" ht="17">
      <c r="A12" s="21" t="s">
        <v>92</v>
      </c>
      <c r="B12" s="29">
        <f>_xlfn.POISSON.DIST(B9,B10, FALSE)</f>
        <v>5.8198054157415332E-3</v>
      </c>
      <c r="G12" t="s">
        <v>103</v>
      </c>
    </row>
    <row r="13" spans="1:8" ht="17">
      <c r="A13" s="21" t="s">
        <v>93</v>
      </c>
      <c r="B13" s="29">
        <f>_xlfn.POISSON.DIST(B9 - 1, B10, TRUE)</f>
        <v>0.99242454151988369</v>
      </c>
      <c r="G13" t="s">
        <v>104</v>
      </c>
    </row>
    <row r="14" spans="1:8" ht="17">
      <c r="A14" s="21" t="s">
        <v>94</v>
      </c>
      <c r="B14" s="29">
        <f>1 - B13</f>
        <v>7.575458480116315E-3</v>
      </c>
    </row>
    <row r="16" spans="1:8" ht="17">
      <c r="A16" s="21" t="s">
        <v>95</v>
      </c>
      <c r="B16">
        <v>4</v>
      </c>
    </row>
    <row r="17" spans="1:3" ht="17">
      <c r="A17" s="21" t="s">
        <v>96</v>
      </c>
      <c r="B17">
        <v>7</v>
      </c>
    </row>
    <row r="18" spans="1:3" ht="17">
      <c r="A18" s="21" t="s">
        <v>98</v>
      </c>
    </row>
    <row r="19" spans="1:3">
      <c r="A19" s="16">
        <f>B16</f>
        <v>4</v>
      </c>
      <c r="B19">
        <f>_xlfn.POISSON.DIST(A19, B$10, FALSE)</f>
        <v>6.1860176612899005E-2</v>
      </c>
      <c r="C19" t="str">
        <f>IF(A19&gt;B$17,"ERASE","")</f>
        <v/>
      </c>
    </row>
    <row r="20" spans="1:3">
      <c r="A20" s="16">
        <f>A19+1</f>
        <v>5</v>
      </c>
      <c r="B20">
        <f t="shared" ref="B20:B26" si="0">_xlfn.POISSON.DIST(A20, B$10, FALSE)</f>
        <v>2.0785019341934056E-2</v>
      </c>
      <c r="C20" t="str">
        <f t="shared" ref="C20:C26" si="1">IF(A20&gt;B$17,"ERASE","")</f>
        <v/>
      </c>
    </row>
    <row r="21" spans="1:3">
      <c r="A21" s="16">
        <f t="shared" ref="A21:A26" si="2">A20+1</f>
        <v>6</v>
      </c>
      <c r="B21">
        <f t="shared" si="0"/>
        <v>5.8198054157415332E-3</v>
      </c>
      <c r="C21" t="str">
        <f t="shared" si="1"/>
        <v/>
      </c>
    </row>
    <row r="22" spans="1:3">
      <c r="A22" s="16">
        <f t="shared" si="2"/>
        <v>7</v>
      </c>
      <c r="B22">
        <f t="shared" si="0"/>
        <v>1.3967532997779695E-3</v>
      </c>
      <c r="C22" t="str">
        <f t="shared" si="1"/>
        <v/>
      </c>
    </row>
    <row r="23" spans="1:3">
      <c r="A23" s="16">
        <f t="shared" si="2"/>
        <v>8</v>
      </c>
      <c r="B23">
        <f t="shared" si="0"/>
        <v>2.9331819295337359E-4</v>
      </c>
      <c r="C23" t="str">
        <f t="shared" si="1"/>
        <v>ERASE</v>
      </c>
    </row>
    <row r="24" spans="1:3">
      <c r="A24" s="16">
        <f t="shared" si="2"/>
        <v>9</v>
      </c>
      <c r="B24">
        <f t="shared" si="0"/>
        <v>5.4752729351296345E-5</v>
      </c>
      <c r="C24" t="str">
        <f t="shared" si="1"/>
        <v>ERASE</v>
      </c>
    </row>
    <row r="25" spans="1:3">
      <c r="A25" s="16">
        <f t="shared" si="2"/>
        <v>10</v>
      </c>
      <c r="B25">
        <f t="shared" si="0"/>
        <v>9.1984585310177959E-6</v>
      </c>
      <c r="C25" t="str">
        <f t="shared" si="1"/>
        <v>ERASE</v>
      </c>
    </row>
    <row r="26" spans="1:3">
      <c r="A26" s="16">
        <f t="shared" si="2"/>
        <v>11</v>
      </c>
      <c r="B26">
        <f t="shared" si="0"/>
        <v>1.4048554847372632E-6</v>
      </c>
      <c r="C26" t="str">
        <f t="shared" si="1"/>
        <v>ERASE</v>
      </c>
    </row>
    <row r="27" spans="1:3">
      <c r="A27" s="25" t="s">
        <v>97</v>
      </c>
      <c r="B27" s="20">
        <f>SUMIF(C19:C26,"",B19:B26)</f>
        <v>8.9861754670352567E-2</v>
      </c>
    </row>
    <row r="39" spans="1:5">
      <c r="A39" s="28" t="s">
        <v>88</v>
      </c>
    </row>
    <row r="40" spans="1:5">
      <c r="A40" t="s">
        <v>89</v>
      </c>
      <c r="B40">
        <v>37</v>
      </c>
    </row>
    <row r="41" spans="1:5">
      <c r="A41" t="s">
        <v>90</v>
      </c>
      <c r="B41">
        <v>106</v>
      </c>
      <c r="E41">
        <f>_xlfn.POISSON.DIST(6, 7.2, FALSE)</f>
        <v>0.14445820444290103</v>
      </c>
    </row>
    <row r="42" spans="1:5">
      <c r="A42">
        <v>0.34905660379999998</v>
      </c>
    </row>
    <row r="46" spans="1:5">
      <c r="A46" t="s">
        <v>106</v>
      </c>
    </row>
    <row r="47" spans="1:5">
      <c r="A47" t="s">
        <v>107</v>
      </c>
      <c r="B47" s="20">
        <v>0.8</v>
      </c>
    </row>
    <row r="48" spans="1:5">
      <c r="A48" t="s">
        <v>108</v>
      </c>
      <c r="B48" s="20">
        <v>9</v>
      </c>
    </row>
    <row r="49" spans="1:2">
      <c r="A49" t="s">
        <v>91</v>
      </c>
      <c r="B49">
        <f>B47*B48</f>
        <v>7.2</v>
      </c>
    </row>
    <row r="51" spans="1:2">
      <c r="A51" t="s">
        <v>0</v>
      </c>
      <c r="B51">
        <v>8</v>
      </c>
    </row>
    <row r="52" spans="1:2">
      <c r="A52" t="s">
        <v>92</v>
      </c>
      <c r="B52">
        <f>_xlfn.POISSON.DIST(B51, B49, FALSE)</f>
        <v>0.13372702354142837</v>
      </c>
    </row>
    <row r="53" spans="1:2">
      <c r="A53" t="s">
        <v>109</v>
      </c>
      <c r="B53">
        <f>_xlfn.POISSON.DIST(B51 - 1, B49, TRUE)</f>
        <v>0.56894123888215242</v>
      </c>
    </row>
    <row r="54" spans="1:2">
      <c r="A54" t="s">
        <v>94</v>
      </c>
      <c r="B54">
        <f xml:space="preserve"> 1 - B53</f>
        <v>0.43105876111784758</v>
      </c>
    </row>
    <row r="56" spans="1:2">
      <c r="A56">
        <f>_xlfn.POISSON.DIST(1, 7.2, FALSE)</f>
        <v>5.3754178203120903E-3</v>
      </c>
    </row>
    <row r="57" spans="1:2">
      <c r="A57">
        <f xml:space="preserve"> 1 - A56</f>
        <v>0.99462458217968786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Random Variable x</vt:lpstr>
      <vt:lpstr>Normal Distribution</vt:lpstr>
      <vt:lpstr>Chapter 8</vt:lpstr>
      <vt:lpstr>Binomial Probability</vt:lpstr>
      <vt:lpstr>x &amp; Probability</vt:lpstr>
      <vt:lpstr>Expected Value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2020-05-29T16:25:00Z</dcterms:created>
  <dcterms:modified xsi:type="dcterms:W3CDTF">2020-06-07T20:21:00Z</dcterms:modified>
</cp:coreProperties>
</file>