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noa/Desktop/Business-Stats-Excel-Sheet/"/>
    </mc:Choice>
  </mc:AlternateContent>
  <xr:revisionPtr revIDLastSave="0" documentId="13_ncr:1_{3A3A3623-D9D3-B549-A7F6-93C01C045B4F}" xr6:coauthVersionLast="45" xr6:coauthVersionMax="45" xr10:uidLastSave="{00000000-0000-0000-0000-000000000000}"/>
  <bookViews>
    <workbookView xWindow="0" yWindow="0" windowWidth="30720" windowHeight="19200" activeTab="1" xr2:uid="{34D5F05A-A698-714B-8EF6-AC36EAC16669}"/>
  </bookViews>
  <sheets>
    <sheet name="Random Variable x" sheetId="1" r:id="rId1"/>
    <sheet name="Normal Distribution" sheetId="6" r:id="rId2"/>
    <sheet name="Binomial Probability" sheetId="2" r:id="rId3"/>
    <sheet name="x &amp; Probability" sheetId="4" r:id="rId4"/>
    <sheet name="Expected Value" sheetId="5" r:id="rId5"/>
    <sheet name="Poiss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6" l="1"/>
  <c r="U7" i="6"/>
  <c r="R7" i="6"/>
  <c r="R6" i="6"/>
  <c r="I28" i="6"/>
  <c r="I27" i="6"/>
  <c r="I9" i="6"/>
  <c r="O22" i="6"/>
  <c r="O19" i="6"/>
  <c r="O31" i="6"/>
  <c r="B10" i="6"/>
  <c r="B9" i="6"/>
  <c r="B12" i="6" s="1"/>
  <c r="B8" i="6"/>
  <c r="AG6" i="6"/>
  <c r="AC4" i="6"/>
  <c r="Y4" i="6"/>
  <c r="Y5" i="6" s="1"/>
  <c r="I7" i="6"/>
  <c r="N10" i="6"/>
  <c r="O3" i="6"/>
  <c r="O5" i="6" s="1"/>
  <c r="O7" i="6" s="1"/>
  <c r="E29" i="6"/>
  <c r="E30" i="6"/>
  <c r="B27" i="3"/>
  <c r="B26" i="3"/>
  <c r="B25" i="3"/>
  <c r="B24" i="3"/>
  <c r="B23" i="3"/>
  <c r="B22" i="3"/>
  <c r="B21" i="3"/>
  <c r="B20" i="3"/>
  <c r="C26" i="3"/>
  <c r="C25" i="3"/>
  <c r="C24" i="3"/>
  <c r="C23" i="3"/>
  <c r="C22" i="3"/>
  <c r="C21" i="3"/>
  <c r="C20" i="3"/>
  <c r="C19" i="3"/>
  <c r="A19" i="3"/>
  <c r="B19" i="3" s="1"/>
  <c r="A56" i="3"/>
  <c r="A57" i="3" s="1"/>
  <c r="B49" i="3"/>
  <c r="B53" i="3" s="1"/>
  <c r="B54" i="3" s="1"/>
  <c r="E41" i="3"/>
  <c r="D10" i="3"/>
  <c r="H8" i="3"/>
  <c r="C17" i="5"/>
  <c r="C16" i="5"/>
  <c r="C15" i="5"/>
  <c r="C14" i="5"/>
  <c r="C13" i="5"/>
  <c r="C12" i="5"/>
  <c r="C11" i="5"/>
  <c r="C10" i="5"/>
  <c r="C7" i="5" s="1"/>
  <c r="E18" i="6"/>
  <c r="E12" i="6"/>
  <c r="E10" i="6"/>
  <c r="E13" i="6" s="1"/>
  <c r="E7" i="6"/>
  <c r="I26" i="6" l="1"/>
  <c r="I14" i="6"/>
  <c r="O8" i="6"/>
  <c r="E31" i="6"/>
  <c r="A20" i="3"/>
  <c r="B52" i="3"/>
  <c r="E15" i="6"/>
  <c r="B13" i="2"/>
  <c r="B15" i="2"/>
  <c r="B14" i="2"/>
  <c r="U9" i="1"/>
  <c r="U10" i="1"/>
  <c r="U11" i="1"/>
  <c r="E3" i="4"/>
  <c r="E2" i="4"/>
  <c r="AL7" i="1"/>
  <c r="B12" i="3"/>
  <c r="I3" i="1"/>
  <c r="J10" i="1" s="1"/>
  <c r="L10" i="1" s="1"/>
  <c r="B11" i="2"/>
  <c r="B8" i="2"/>
  <c r="B9" i="2"/>
  <c r="B10" i="2" s="1"/>
  <c r="B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14" i="1"/>
  <c r="D13" i="1"/>
  <c r="D12" i="1"/>
  <c r="D11" i="1"/>
  <c r="D10" i="1"/>
  <c r="D9" i="1"/>
  <c r="D8" i="1"/>
  <c r="D7" i="1"/>
  <c r="I15" i="6" l="1"/>
  <c r="I18" i="6" s="1"/>
  <c r="I22" i="6" s="1"/>
  <c r="I17" i="6"/>
  <c r="I21" i="6" s="1"/>
  <c r="A21" i="3"/>
  <c r="B13" i="3"/>
  <c r="B14" i="3" s="1"/>
  <c r="B16" i="2"/>
  <c r="J11" i="1"/>
  <c r="K10" i="1"/>
  <c r="J7" i="1"/>
  <c r="J8" i="1"/>
  <c r="J9" i="1"/>
  <c r="D3" i="1"/>
  <c r="AM12" i="1"/>
  <c r="AM15" i="1" s="1"/>
  <c r="AL4" i="1"/>
  <c r="A22" i="3" l="1"/>
  <c r="K9" i="1"/>
  <c r="L9" i="1"/>
  <c r="K8" i="1"/>
  <c r="L8" i="1"/>
  <c r="L7" i="1"/>
  <c r="L13" i="1" s="1"/>
  <c r="I5" i="1" s="1"/>
  <c r="K7" i="1"/>
  <c r="I4" i="1" s="1"/>
  <c r="L11" i="1"/>
  <c r="K11" i="1"/>
  <c r="J13" i="1"/>
  <c r="Z31" i="1"/>
  <c r="Z30" i="1"/>
  <c r="Z29" i="1"/>
  <c r="U19" i="1"/>
  <c r="U18" i="1"/>
  <c r="U17" i="1"/>
  <c r="U16" i="1"/>
  <c r="U15" i="1"/>
  <c r="U14" i="1"/>
  <c r="U13" i="1"/>
  <c r="U12" i="1"/>
  <c r="W32" i="1"/>
  <c r="X13" i="1"/>
  <c r="V31" i="1"/>
  <c r="V29" i="1"/>
  <c r="V28" i="1"/>
  <c r="V27" i="1"/>
  <c r="V26" i="1"/>
  <c r="V25" i="1"/>
  <c r="V24" i="1"/>
  <c r="V23" i="1"/>
  <c r="X12" i="1"/>
  <c r="AA4" i="1"/>
  <c r="A23" i="3" l="1"/>
  <c r="A24" i="3" s="1"/>
  <c r="A25" i="3" s="1"/>
  <c r="A26" i="3" s="1"/>
  <c r="Z32" i="1"/>
  <c r="X4" i="1"/>
  <c r="C7" i="1"/>
  <c r="D2" i="1" s="1"/>
  <c r="D4" i="1" l="1"/>
</calcChain>
</file>

<file path=xl/sharedStrings.xml><?xml version="1.0" encoding="utf-8"?>
<sst xmlns="http://schemas.openxmlformats.org/spreadsheetml/2006/main" count="214" uniqueCount="163">
  <si>
    <t>x</t>
  </si>
  <si>
    <t>P(x)</t>
  </si>
  <si>
    <t>x * P(X)</t>
  </si>
  <si>
    <t>mean -&gt;</t>
  </si>
  <si>
    <t>x^2 * P(x)</t>
  </si>
  <si>
    <t>sum of X^2 * P(x) -&gt;</t>
  </si>
  <si>
    <t>SQRT(SUM(X^2 * P(x)) - mean ^2 -&gt;</t>
  </si>
  <si>
    <t>Mean and Standard Deviation Approximation of a random variable x</t>
  </si>
  <si>
    <t>Binomial Probability Distribution Function. p, n, x</t>
  </si>
  <si>
    <t>N -&gt;</t>
  </si>
  <si>
    <t xml:space="preserve">p -&gt; </t>
  </si>
  <si>
    <t>x -&gt;</t>
  </si>
  <si>
    <t>(x, n, p, bool)</t>
  </si>
  <si>
    <t>BINOM.DIST bool is false if we only want to find exactly x number of. We change to true if we want x or fewer or if it's continuous</t>
  </si>
  <si>
    <t xml:space="preserve">binom distribution </t>
  </si>
  <si>
    <t>cont</t>
  </si>
  <si>
    <t>if it's P(x &lt; 3) then x cell val must be 2</t>
  </si>
  <si>
    <t>BINOM -&gt;</t>
  </si>
  <si>
    <t xml:space="preserve">Between X and Y </t>
  </si>
  <si>
    <t>Mu sub X (n * p) -&gt;</t>
  </si>
  <si>
    <t>n</t>
  </si>
  <si>
    <t>p</t>
  </si>
  <si>
    <t>Mean</t>
  </si>
  <si>
    <t>Standard Deviation</t>
  </si>
  <si>
    <t>Construct a binomial probability distribution with the given parameters</t>
  </si>
  <si>
    <t>X</t>
  </si>
  <si>
    <t>Result (Px)</t>
  </si>
  <si>
    <t>n -&gt;</t>
  </si>
  <si>
    <t>p -&gt;</t>
  </si>
  <si>
    <t>Poisson Distribution</t>
  </si>
  <si>
    <t>lambda -&gt;</t>
  </si>
  <si>
    <t xml:space="preserve">t -&gt; </t>
  </si>
  <si>
    <t>mean (lambda * t) -&gt;</t>
  </si>
  <si>
    <t>ANS -&gt;</t>
  </si>
  <si>
    <t>for ans use (x, mean)</t>
  </si>
  <si>
    <t>Poisson v2</t>
  </si>
  <si>
    <t>ctrl + d</t>
  </si>
  <si>
    <t>lazst cell un col = cmd down arrow</t>
  </si>
  <si>
    <t>ty =]</t>
  </si>
  <si>
    <t>comma to remove sscientific notation</t>
  </si>
  <si>
    <t>make tabs</t>
  </si>
  <si>
    <t xml:space="preserve">equals = if </t>
  </si>
  <si>
    <t>diff between countif countifs</t>
  </si>
  <si>
    <t xml:space="preserve"> </t>
  </si>
  <si>
    <t>// move horizontally</t>
  </si>
  <si>
    <t>Binomial Distribution</t>
  </si>
  <si>
    <t>Exactly (==)</t>
  </si>
  <si>
    <t>Less Than or Equal to (&lt;=)</t>
  </si>
  <si>
    <t>Greater Than (&gt;)</t>
  </si>
  <si>
    <t>Great Than or Equal to (&gt;=)</t>
  </si>
  <si>
    <t>Less Than ( &lt; )</t>
  </si>
  <si>
    <t>The probability of two or more successes in any sufficiently small subinterval is 0.</t>
  </si>
  <si>
    <t>The number of successes in any interval is independent of the number of successes in any other interval provided the intervals are not overlapping.</t>
  </si>
  <si>
    <t>The experiment is performed a fixed number of times.</t>
  </si>
  <si>
    <t>Discrete Probability Distribution (FREQUENCY)</t>
  </si>
  <si>
    <t>Frequency(x)</t>
  </si>
  <si>
    <t>Frequency Sum</t>
  </si>
  <si>
    <t>P(x) sum</t>
  </si>
  <si>
    <t>x * P(x)</t>
  </si>
  <si>
    <t>Time Interval</t>
  </si>
  <si>
    <t xml:space="preserve">Mean </t>
  </si>
  <si>
    <t>Poisson</t>
  </si>
  <si>
    <t>Lambda</t>
  </si>
  <si>
    <t>The probability of success is the same for any two intervals of equal length.</t>
  </si>
  <si>
    <t>There are two mutually exclusive​ outcomes, success or failure.</t>
  </si>
  <si>
    <t>The trials are independent.</t>
  </si>
  <si>
    <t>Area under Normal Curve</t>
  </si>
  <si>
    <t>lower bound</t>
  </si>
  <si>
    <t>upper bound</t>
  </si>
  <si>
    <t>lower bound z-score</t>
  </si>
  <si>
    <t>P(ZsubLower &lt;= lowerbound z-score)</t>
  </si>
  <si>
    <t>P(ZsubHigher &lt;= upperbound z-score)</t>
  </si>
  <si>
    <t>upper bound z-score</t>
  </si>
  <si>
    <t xml:space="preserve">contains more than </t>
  </si>
  <si>
    <t>bound</t>
  </si>
  <si>
    <t>contains more than - use complement (1 - x)</t>
  </si>
  <si>
    <t>percentile - =norm.dist</t>
  </si>
  <si>
    <t>Normal Inverse (Percentile)</t>
  </si>
  <si>
    <t>Percentile</t>
  </si>
  <si>
    <t>Answer</t>
  </si>
  <si>
    <t>If the z-score is positive, add .5 to the table value</t>
  </si>
  <si>
    <t>Negative Z</t>
  </si>
  <si>
    <t>positive Z</t>
  </si>
  <si>
    <t>Result</t>
  </si>
  <si>
    <t>Less than z1, greater than z2 AKA to the left of z1 to the right of z2</t>
  </si>
  <si>
    <t>&lt;- Also expected profit</t>
  </si>
  <si>
    <t>Sum(mean)</t>
  </si>
  <si>
    <t>x^2 - P(x)</t>
  </si>
  <si>
    <t>Hurricane</t>
  </si>
  <si>
    <t>direct hits</t>
  </si>
  <si>
    <t>years</t>
  </si>
  <si>
    <t>mean</t>
  </si>
  <si>
    <t>Exactly X</t>
  </si>
  <si>
    <t>Fewer Than X</t>
  </si>
  <si>
    <t>At least X</t>
  </si>
  <si>
    <t xml:space="preserve">FROM </t>
  </si>
  <si>
    <t>TO</t>
  </si>
  <si>
    <t>SUM</t>
  </si>
  <si>
    <t>(add each number as an individual entry and sum them up)</t>
  </si>
  <si>
    <t>Compute the probability between two time intervals</t>
  </si>
  <si>
    <t>Poisson with a given lambda and time interval</t>
  </si>
  <si>
    <t xml:space="preserve">lambda </t>
  </si>
  <si>
    <t>time interval</t>
  </si>
  <si>
    <t>Less Than X</t>
  </si>
  <si>
    <t>At Least X</t>
  </si>
  <si>
    <t>Computed Mean</t>
  </si>
  <si>
    <t>Food Problem</t>
  </si>
  <si>
    <t>fragment per gram</t>
  </si>
  <si>
    <t># gram sample</t>
  </si>
  <si>
    <t>Fewer than X</t>
  </si>
  <si>
    <t>Negative Z-score</t>
  </si>
  <si>
    <t>Positive Z-score</t>
  </si>
  <si>
    <t>Middle X%</t>
  </si>
  <si>
    <t>percentage</t>
  </si>
  <si>
    <t>% -&gt; Proportion</t>
  </si>
  <si>
    <t>Area in each tail</t>
  </si>
  <si>
    <t>lower-tail z-score</t>
  </si>
  <si>
    <t>upper-tail z-score</t>
  </si>
  <si>
    <t>Ex: The mean incubation time of fertilized eggs is 19 days. Suppose the incubation times are approximately normally distributed with a standard deviation of 1 day. Determine the 11th percentile for incubation times.</t>
  </si>
  <si>
    <t>X1 (area to the left of the %precentile)</t>
  </si>
  <si>
    <t>x2(area of left + percentile)</t>
  </si>
  <si>
    <t>Proportion of Percentile</t>
  </si>
  <si>
    <t>Zsub1</t>
  </si>
  <si>
    <t>Zsub2</t>
  </si>
  <si>
    <t>(1 - alpha)</t>
  </si>
  <si>
    <t>z-score</t>
  </si>
  <si>
    <t>Simple Z-score to area</t>
  </si>
  <si>
    <t>α</t>
  </si>
  <si>
    <t>Zα</t>
  </si>
  <si>
    <t>Area (1 - α)</t>
  </si>
  <si>
    <t>Normal Distribution on variable X w/ Mean and SD</t>
  </si>
  <si>
    <t>SD</t>
  </si>
  <si>
    <t>P(x &lt;= val)</t>
  </si>
  <si>
    <t>Answer (xth percentile)</t>
  </si>
  <si>
    <t>Probability of a Normal Random Variable</t>
  </si>
  <si>
    <t>lower</t>
  </si>
  <si>
    <t>upper</t>
  </si>
  <si>
    <t>P(lower &lt;= x &lt;= upper)</t>
  </si>
  <si>
    <t>p(x &lt; lower)</t>
  </si>
  <si>
    <t>(Make sure to change values for certain individual questions)</t>
  </si>
  <si>
    <t>p (x &gt; upper)</t>
  </si>
  <si>
    <t>Percentile (change lower bound)</t>
  </si>
  <si>
    <t>Middle X% w/ Mean &amp; SD</t>
  </si>
  <si>
    <t>Percentage</t>
  </si>
  <si>
    <t>Proportion</t>
  </si>
  <si>
    <t>X (Answer)</t>
  </si>
  <si>
    <t>Middle %</t>
  </si>
  <si>
    <t>middle Proportion</t>
  </si>
  <si>
    <t>X1 (lower-bound)</t>
  </si>
  <si>
    <t>X2 (upper-bound)</t>
  </si>
  <si>
    <t>IQR</t>
  </si>
  <si>
    <t>Q1</t>
  </si>
  <si>
    <t>Q3</t>
  </si>
  <si>
    <t>Determine the # of items that make up the middle % (Make sure to change percentile)</t>
  </si>
  <si>
    <t>Time Requred, mean, SD, x</t>
  </si>
  <si>
    <t>x (minutes)</t>
  </si>
  <si>
    <t>Percent(x &gt; time)</t>
  </si>
  <si>
    <t>​for later: (b) If the automotive center does not want to give the discount to more than 55% of its​ customers, how long should it make the guaranteed time​ limit?</t>
  </si>
  <si>
    <t>Calculate Z-score</t>
  </si>
  <si>
    <t>Score A</t>
  </si>
  <si>
    <t>Score B</t>
  </si>
  <si>
    <t>Z-score</t>
  </si>
  <si>
    <t>Find val of Zα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</si>
</sst>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.000000000000000000000_);_(* \(#,##0.000000000000000000000\);_(* &quot;-&quot;??_);_(@_)"/>
    <numFmt numFmtId="215" formatCode="0.0000000000000000000000000000000000000000000000000000E+0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BD00C7"/>
      <name val="Calibri (Body)"/>
    </font>
    <font>
      <sz val="13"/>
      <color rgb="FF000000"/>
      <name val="Arial"/>
      <family val="2"/>
    </font>
    <font>
      <b/>
      <sz val="12"/>
      <color rgb="FFBD00C7"/>
      <name val="Calibri"/>
      <family val="2"/>
      <scheme val="minor"/>
    </font>
    <font>
      <b/>
      <sz val="13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BD00C7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1" applyNumberFormat="1" applyFont="1"/>
    <xf numFmtId="0" fontId="5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215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0" borderId="2" xfId="0" applyFont="1" applyBorder="1"/>
    <xf numFmtId="0" fontId="7" fillId="0" borderId="2" xfId="0" applyFont="1" applyBorder="1"/>
    <xf numFmtId="0" fontId="0" fillId="0" borderId="3" xfId="0" applyBorder="1"/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D0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8083-BD50-CB42-8AAE-F1525497B3A5}">
  <dimension ref="A1:AN226"/>
  <sheetViews>
    <sheetView zoomScale="82" zoomScaleNormal="106" workbookViewId="0">
      <selection activeCell="B16" sqref="B16"/>
    </sheetView>
  </sheetViews>
  <sheetFormatPr baseColWidth="10" defaultRowHeight="16"/>
  <cols>
    <col min="4" max="4" width="32.83203125" customWidth="1"/>
    <col min="5" max="5" width="16.33203125" customWidth="1"/>
    <col min="6" max="6" width="29.6640625" customWidth="1"/>
    <col min="7" max="7" width="16" customWidth="1"/>
    <col min="8" max="8" width="16.33203125" customWidth="1"/>
    <col min="9" max="9" width="16.5" customWidth="1"/>
    <col min="10" max="10" width="23.83203125" bestFit="1" customWidth="1"/>
    <col min="11" max="11" width="13.1640625" customWidth="1"/>
    <col min="12" max="12" width="11.33203125" customWidth="1"/>
    <col min="14" max="14" width="17.1640625" customWidth="1"/>
    <col min="15" max="15" width="33" customWidth="1"/>
    <col min="21" max="23" width="11" bestFit="1" customWidth="1"/>
    <col min="24" max="24" width="25.33203125" bestFit="1" customWidth="1"/>
    <col min="26" max="27" width="11" bestFit="1" customWidth="1"/>
    <col min="38" max="39" width="11" bestFit="1" customWidth="1"/>
  </cols>
  <sheetData>
    <row r="1" spans="1:40">
      <c r="A1" t="s">
        <v>7</v>
      </c>
      <c r="H1" t="s">
        <v>54</v>
      </c>
      <c r="U1" t="s">
        <v>8</v>
      </c>
      <c r="Z1" s="3" t="s">
        <v>13</v>
      </c>
      <c r="AK1" t="s">
        <v>29</v>
      </c>
    </row>
    <row r="2" spans="1:40">
      <c r="C2" s="1" t="s">
        <v>3</v>
      </c>
      <c r="D2" s="8">
        <f>SUM(C7:C169)</f>
        <v>1.6335</v>
      </c>
      <c r="U2" t="s">
        <v>9</v>
      </c>
      <c r="V2" s="4">
        <v>54</v>
      </c>
      <c r="Z2" t="s">
        <v>12</v>
      </c>
      <c r="AA2" t="s">
        <v>16</v>
      </c>
      <c r="AK2" t="s">
        <v>30</v>
      </c>
      <c r="AL2">
        <v>2</v>
      </c>
    </row>
    <row r="3" spans="1:40">
      <c r="C3" s="1" t="s">
        <v>5</v>
      </c>
      <c r="D3" s="9">
        <f>SUM(D7:D169)</f>
        <v>4.0903000000000009</v>
      </c>
      <c r="F3" t="s">
        <v>36</v>
      </c>
      <c r="H3" s="16" t="s">
        <v>56</v>
      </c>
      <c r="I3" s="19">
        <f>SUM(I7:I11)</f>
        <v>25869</v>
      </c>
      <c r="U3" t="s">
        <v>10</v>
      </c>
      <c r="V3">
        <v>9.3200000000000005E-2</v>
      </c>
      <c r="AK3" t="s">
        <v>31</v>
      </c>
      <c r="AL3">
        <v>3</v>
      </c>
      <c r="AN3" t="s">
        <v>33</v>
      </c>
    </row>
    <row r="4" spans="1:40">
      <c r="C4" s="1" t="s">
        <v>6</v>
      </c>
      <c r="D4" s="8">
        <f>SQRT(D3 - D2^2)</f>
        <v>1.1924670854996382</v>
      </c>
      <c r="F4" t="s">
        <v>37</v>
      </c>
      <c r="H4" s="16" t="s">
        <v>22</v>
      </c>
      <c r="I4" s="19">
        <f>SUM(K7:K11)</f>
        <v>3.7699949746801193</v>
      </c>
      <c r="U4" t="s">
        <v>11</v>
      </c>
      <c r="V4">
        <v>53</v>
      </c>
      <c r="W4" t="s">
        <v>14</v>
      </c>
      <c r="X4" s="12">
        <f>_xlfn.BINOM.DIST(V4, V2, V3, V5)</f>
        <v>1.1720567113389351E-53</v>
      </c>
      <c r="Z4" t="s">
        <v>17</v>
      </c>
      <c r="AA4">
        <f>_xlfn.BINOM.DIST(8, 10, 0.9, FALSE)</f>
        <v>0.19371024450000002</v>
      </c>
      <c r="AJ4" t="s">
        <v>32</v>
      </c>
      <c r="AL4">
        <f>AL2*AL3</f>
        <v>6</v>
      </c>
    </row>
    <row r="5" spans="1:40">
      <c r="F5" t="s">
        <v>38</v>
      </c>
      <c r="H5" t="s">
        <v>23</v>
      </c>
      <c r="I5" s="19">
        <f>SQRT(L13 - I4^2)</f>
        <v>1.3818272126164455</v>
      </c>
      <c r="U5" t="s">
        <v>15</v>
      </c>
      <c r="V5" t="b">
        <v>0</v>
      </c>
    </row>
    <row r="6" spans="1:40">
      <c r="A6" s="11" t="s">
        <v>0</v>
      </c>
      <c r="B6" s="11" t="s">
        <v>1</v>
      </c>
      <c r="C6" s="11" t="s">
        <v>2</v>
      </c>
      <c r="D6" s="11" t="s">
        <v>4</v>
      </c>
      <c r="F6" s="14" t="s">
        <v>39</v>
      </c>
      <c r="H6" s="18" t="s">
        <v>25</v>
      </c>
      <c r="I6" s="18" t="s">
        <v>55</v>
      </c>
      <c r="J6" s="16" t="s">
        <v>1</v>
      </c>
      <c r="K6" s="16" t="s">
        <v>58</v>
      </c>
      <c r="L6" s="16" t="s">
        <v>4</v>
      </c>
      <c r="AK6" t="s">
        <v>11</v>
      </c>
      <c r="AL6">
        <v>6</v>
      </c>
    </row>
    <row r="7" spans="1:40">
      <c r="A7" s="7">
        <v>0</v>
      </c>
      <c r="B7">
        <v>0.1663</v>
      </c>
      <c r="C7">
        <f>A7*B7</f>
        <v>0</v>
      </c>
      <c r="D7" s="2">
        <f>(A7*A7)*B7</f>
        <v>0</v>
      </c>
      <c r="F7" t="s">
        <v>40</v>
      </c>
      <c r="H7" s="16">
        <v>1</v>
      </c>
      <c r="I7" s="16">
        <v>2492</v>
      </c>
      <c r="J7" s="16">
        <f>I7/I$3</f>
        <v>9.6331516486914834E-2</v>
      </c>
      <c r="K7">
        <f>H7*J7</f>
        <v>9.6331516486914834E-2</v>
      </c>
      <c r="L7">
        <f>H7^2 * J7</f>
        <v>9.6331516486914834E-2</v>
      </c>
      <c r="AI7" t="s">
        <v>34</v>
      </c>
      <c r="AK7" t="s">
        <v>33</v>
      </c>
      <c r="AL7">
        <f>_xlfn.POISSON.DIST(AL6, AL4, FALSE)</f>
        <v>0.16062314104798003</v>
      </c>
    </row>
    <row r="8" spans="1:40">
      <c r="A8" s="7">
        <v>1</v>
      </c>
      <c r="B8">
        <v>0.34200000000000003</v>
      </c>
      <c r="C8">
        <f t="shared" ref="C8:C71" si="0">A8*B8</f>
        <v>0.34200000000000003</v>
      </c>
      <c r="D8" s="2">
        <f t="shared" ref="D8:D14" si="1">(A8*A8)*B8</f>
        <v>0.34200000000000003</v>
      </c>
      <c r="F8" t="s">
        <v>41</v>
      </c>
      <c r="H8" s="16">
        <v>2</v>
      </c>
      <c r="I8" s="16">
        <v>2941</v>
      </c>
      <c r="J8" s="16">
        <f>I8/I$3</f>
        <v>0.11368819822954115</v>
      </c>
      <c r="K8">
        <f t="shared" ref="K8:K11" si="2">H8*J8</f>
        <v>0.22737639645908231</v>
      </c>
      <c r="L8">
        <f t="shared" ref="L8:L11" si="3">H8^2 * J8</f>
        <v>0.45475279291816462</v>
      </c>
      <c r="U8" t="s">
        <v>18</v>
      </c>
      <c r="W8" t="s">
        <v>19</v>
      </c>
    </row>
    <row r="9" spans="1:40">
      <c r="A9" s="7">
        <v>2</v>
      </c>
      <c r="B9">
        <v>0.27660000000000001</v>
      </c>
      <c r="C9">
        <f t="shared" si="0"/>
        <v>0.55320000000000003</v>
      </c>
      <c r="D9" s="2">
        <f t="shared" si="1"/>
        <v>1.1064000000000001</v>
      </c>
      <c r="F9" t="s">
        <v>42</v>
      </c>
      <c r="G9" t="s">
        <v>43</v>
      </c>
      <c r="H9" s="16">
        <v>3</v>
      </c>
      <c r="I9" s="16">
        <v>4582</v>
      </c>
      <c r="J9" s="16">
        <f>I9/I$3</f>
        <v>0.17712319764969656</v>
      </c>
      <c r="K9">
        <f t="shared" si="2"/>
        <v>0.5313695929490897</v>
      </c>
      <c r="L9">
        <f t="shared" si="3"/>
        <v>1.594108778847269</v>
      </c>
      <c r="U9">
        <f>_xlfn.BINOM.DIST(0, X$9, X$10, FALSE)</f>
        <v>2.4399573321127992E-147</v>
      </c>
      <c r="W9" t="s">
        <v>20</v>
      </c>
      <c r="X9">
        <v>400</v>
      </c>
      <c r="AK9" t="s">
        <v>35</v>
      </c>
    </row>
    <row r="10" spans="1:40">
      <c r="A10">
        <v>3</v>
      </c>
      <c r="B10">
        <v>0.14960000000000001</v>
      </c>
      <c r="C10">
        <f t="shared" si="0"/>
        <v>0.44880000000000003</v>
      </c>
      <c r="D10" s="2">
        <f t="shared" si="1"/>
        <v>1.3464</v>
      </c>
      <c r="H10" s="16">
        <v>4</v>
      </c>
      <c r="I10" s="16">
        <v>3864</v>
      </c>
      <c r="J10" s="16">
        <f>I10/I$3</f>
        <v>0.14936796938420505</v>
      </c>
      <c r="K10">
        <f t="shared" si="2"/>
        <v>0.59747187753682018</v>
      </c>
      <c r="L10">
        <f t="shared" si="3"/>
        <v>2.3898875101472807</v>
      </c>
      <c r="U10">
        <f>_xlfn.BINOM.DIST(1, X$9, X$10, FALSE)</f>
        <v>1.2937448179575126E-144</v>
      </c>
      <c r="W10" t="s">
        <v>21</v>
      </c>
      <c r="X10">
        <v>0.56999999999999995</v>
      </c>
      <c r="AK10" s="6"/>
      <c r="AL10" s="6" t="s">
        <v>30</v>
      </c>
      <c r="AM10" s="6">
        <v>37</v>
      </c>
    </row>
    <row r="11" spans="1:40">
      <c r="A11">
        <v>4</v>
      </c>
      <c r="B11">
        <v>3.7999999999999999E-2</v>
      </c>
      <c r="C11">
        <f t="shared" si="0"/>
        <v>0.152</v>
      </c>
      <c r="D11" s="2">
        <f t="shared" si="1"/>
        <v>0.60799999999999998</v>
      </c>
      <c r="H11" s="16">
        <v>5</v>
      </c>
      <c r="I11" s="17">
        <v>11990</v>
      </c>
      <c r="J11" s="16">
        <f>I11/I$3</f>
        <v>0.46348911824964245</v>
      </c>
      <c r="K11">
        <f t="shared" si="2"/>
        <v>2.3174455912482124</v>
      </c>
      <c r="L11">
        <f t="shared" si="3"/>
        <v>11.587227956241062</v>
      </c>
      <c r="U11">
        <f>_xlfn.BINOM.DIST(2, X$9, X$10, FALSE)</f>
        <v>3.4213533017217944E-142</v>
      </c>
      <c r="X11">
        <v>0.56999999999999995</v>
      </c>
      <c r="AK11" s="6"/>
      <c r="AL11" s="6" t="s">
        <v>31</v>
      </c>
      <c r="AM11" s="6">
        <v>106</v>
      </c>
    </row>
    <row r="12" spans="1:40">
      <c r="A12">
        <v>5</v>
      </c>
      <c r="B12">
        <v>2.75E-2</v>
      </c>
      <c r="C12">
        <f t="shared" si="0"/>
        <v>0.13750000000000001</v>
      </c>
      <c r="D12" s="2">
        <f t="shared" si="1"/>
        <v>0.6875</v>
      </c>
      <c r="U12">
        <f>_xlfn.BINOM.DIST(3, X$9, X$10, FALSE)</f>
        <v>6.0168078296788888E-140</v>
      </c>
      <c r="W12" t="s">
        <v>22</v>
      </c>
      <c r="X12">
        <f>X9*X10</f>
        <v>227.99999999999997</v>
      </c>
      <c r="AK12" s="6" t="s">
        <v>32</v>
      </c>
      <c r="AL12" s="6"/>
      <c r="AM12" s="6">
        <f>-AM10/AM11</f>
        <v>-0.34905660377358488</v>
      </c>
    </row>
    <row r="13" spans="1:40">
      <c r="C13">
        <f t="shared" si="0"/>
        <v>0</v>
      </c>
      <c r="D13" s="2">
        <f t="shared" si="1"/>
        <v>0</v>
      </c>
      <c r="I13" s="1" t="s">
        <v>57</v>
      </c>
      <c r="J13" s="19">
        <f>SUM(J7:J11)</f>
        <v>1</v>
      </c>
      <c r="L13">
        <f>SUM(L7:L11)</f>
        <v>16.122308554640689</v>
      </c>
      <c r="U13">
        <f>_xlfn.BINOM.DIST(4, X$9, X$10, FALSE)</f>
        <v>7.9159502545234828E-138</v>
      </c>
      <c r="W13" t="s">
        <v>23</v>
      </c>
      <c r="X13">
        <f>SQRT((X9*X10)*(1-X10))</f>
        <v>9.9015150355892505</v>
      </c>
    </row>
    <row r="14" spans="1:40">
      <c r="C14">
        <f t="shared" si="0"/>
        <v>0</v>
      </c>
      <c r="D14" s="2">
        <f t="shared" si="1"/>
        <v>0</v>
      </c>
      <c r="U14">
        <f>_xlfn.BINOM.DIST(5, X$9, X$10, FALSE)</f>
        <v>8.3106432160515925E-136</v>
      </c>
      <c r="AL14" t="s">
        <v>11</v>
      </c>
      <c r="AM14">
        <v>1</v>
      </c>
    </row>
    <row r="15" spans="1:40">
      <c r="C15">
        <f t="shared" si="0"/>
        <v>0</v>
      </c>
      <c r="U15">
        <f>_xlfn.BINOM.DIST(6, X$9, X$10, FALSE)</f>
        <v>7.2524857367988658E-134</v>
      </c>
      <c r="AL15" s="6" t="s">
        <v>33</v>
      </c>
      <c r="AM15">
        <f>AM14*EXP(AM12)</f>
        <v>0.7053532034869342</v>
      </c>
    </row>
    <row r="16" spans="1:40">
      <c r="C16">
        <f t="shared" si="0"/>
        <v>0</v>
      </c>
      <c r="U16">
        <f>_xlfn.BINOM.DIST(7, X$9, X$10, FALSE)</f>
        <v>5.411173577309513E-132</v>
      </c>
    </row>
    <row r="17" spans="3:26">
      <c r="C17">
        <f t="shared" si="0"/>
        <v>0</v>
      </c>
      <c r="U17">
        <f>_xlfn.BINOM.DIST(8, X$9, X$10, FALSE)</f>
        <v>3.5237121891079178E-130</v>
      </c>
    </row>
    <row r="18" spans="3:26">
      <c r="C18">
        <f t="shared" si="0"/>
        <v>0</v>
      </c>
      <c r="U18">
        <f>_xlfn.BINOM.DIST(9, X$9, X$10, FALSE)</f>
        <v>2.0344657662384347E-128</v>
      </c>
    </row>
    <row r="19" spans="3:26">
      <c r="C19">
        <f t="shared" si="0"/>
        <v>0</v>
      </c>
      <c r="U19">
        <f>_xlfn.BINOM.DIST(10, X$9, X$10, FALSE)</f>
        <v>1.0544683379570883E-126</v>
      </c>
    </row>
    <row r="20" spans="3:26">
      <c r="C20">
        <f t="shared" si="0"/>
        <v>0</v>
      </c>
      <c r="U20" s="13" t="s">
        <v>44</v>
      </c>
    </row>
    <row r="21" spans="3:26">
      <c r="C21">
        <f t="shared" si="0"/>
        <v>0</v>
      </c>
      <c r="U21" t="s">
        <v>24</v>
      </c>
    </row>
    <row r="22" spans="3:26">
      <c r="C22">
        <f t="shared" si="0"/>
        <v>0</v>
      </c>
      <c r="U22" t="s">
        <v>25</v>
      </c>
      <c r="V22" t="s">
        <v>26</v>
      </c>
      <c r="W22" t="s">
        <v>27</v>
      </c>
      <c r="X22">
        <v>6</v>
      </c>
    </row>
    <row r="23" spans="3:26">
      <c r="C23">
        <f t="shared" si="0"/>
        <v>0</v>
      </c>
      <c r="U23">
        <v>0</v>
      </c>
      <c r="V23" s="5">
        <f t="shared" ref="V23:V29" si="4">_xlfn.BINOM.DIST(U23,X$22,X$23, FALSE)</f>
        <v>7.2900000000000037E-4</v>
      </c>
      <c r="W23" t="s">
        <v>28</v>
      </c>
      <c r="X23">
        <v>0.7</v>
      </c>
    </row>
    <row r="24" spans="3:26">
      <c r="C24">
        <f t="shared" si="0"/>
        <v>0</v>
      </c>
      <c r="U24">
        <v>1</v>
      </c>
      <c r="V24" s="5">
        <f t="shared" si="4"/>
        <v>1.0206000000000015E-2</v>
      </c>
    </row>
    <row r="25" spans="3:26">
      <c r="C25">
        <f t="shared" si="0"/>
        <v>0</v>
      </c>
      <c r="U25">
        <v>2</v>
      </c>
      <c r="V25" s="5">
        <f t="shared" si="4"/>
        <v>5.9535000000000053E-2</v>
      </c>
    </row>
    <row r="26" spans="3:26">
      <c r="C26">
        <f t="shared" si="0"/>
        <v>0</v>
      </c>
      <c r="U26">
        <v>3</v>
      </c>
      <c r="V26" s="5">
        <f t="shared" si="4"/>
        <v>0.18522</v>
      </c>
    </row>
    <row r="27" spans="3:26">
      <c r="C27">
        <f t="shared" si="0"/>
        <v>0</v>
      </c>
      <c r="U27">
        <v>4</v>
      </c>
      <c r="V27" s="5">
        <f t="shared" si="4"/>
        <v>0.32413500000000006</v>
      </c>
    </row>
    <row r="28" spans="3:26">
      <c r="C28">
        <f t="shared" si="0"/>
        <v>0</v>
      </c>
      <c r="U28">
        <v>5</v>
      </c>
      <c r="V28" s="5">
        <f t="shared" si="4"/>
        <v>0.30252599999999991</v>
      </c>
    </row>
    <row r="29" spans="3:26">
      <c r="C29">
        <f t="shared" si="0"/>
        <v>0</v>
      </c>
      <c r="U29">
        <v>6</v>
      </c>
      <c r="V29" s="5">
        <f t="shared" si="4"/>
        <v>0.11764899999999995</v>
      </c>
      <c r="Z29">
        <f>_xlfn.BINOM.DIST(23, 25, 0.61, FALSE)</f>
        <v>5.2703162233064466E-4</v>
      </c>
    </row>
    <row r="30" spans="3:26">
      <c r="C30">
        <f t="shared" si="0"/>
        <v>0</v>
      </c>
      <c r="Z30">
        <f>_xlfn.BINOM.DIST(24, 25, 0.61, FALSE)</f>
        <v>6.8694292654207783E-5</v>
      </c>
    </row>
    <row r="31" spans="3:26">
      <c r="C31">
        <f t="shared" si="0"/>
        <v>0</v>
      </c>
      <c r="U31" t="s">
        <v>22</v>
      </c>
      <c r="V31">
        <f>X22*X23</f>
        <v>4.1999999999999993</v>
      </c>
      <c r="Z31">
        <f>_xlfn.BINOM.DIST(25, 25, 0.61, FALSE)</f>
        <v>4.2977967711863337E-6</v>
      </c>
    </row>
    <row r="32" spans="3:26">
      <c r="C32">
        <f t="shared" si="0"/>
        <v>0</v>
      </c>
      <c r="U32" t="s">
        <v>23</v>
      </c>
      <c r="W32">
        <f>SQRT((X22*X23)*(1-X23))</f>
        <v>1.1224972160321824</v>
      </c>
      <c r="Z32">
        <f>SUM(Z29:Z31)</f>
        <v>6.0002371175603886E-4</v>
      </c>
    </row>
    <row r="33" spans="3:3">
      <c r="C33">
        <f t="shared" si="0"/>
        <v>0</v>
      </c>
    </row>
    <row r="34" spans="3:3">
      <c r="C34">
        <f t="shared" si="0"/>
        <v>0</v>
      </c>
    </row>
    <row r="35" spans="3:3">
      <c r="C35">
        <f t="shared" si="0"/>
        <v>0</v>
      </c>
    </row>
    <row r="36" spans="3:3">
      <c r="C36">
        <f t="shared" si="0"/>
        <v>0</v>
      </c>
    </row>
    <row r="37" spans="3:3">
      <c r="C37">
        <f t="shared" si="0"/>
        <v>0</v>
      </c>
    </row>
    <row r="38" spans="3:3">
      <c r="C38">
        <f t="shared" si="0"/>
        <v>0</v>
      </c>
    </row>
    <row r="39" spans="3:3">
      <c r="C39">
        <f t="shared" si="0"/>
        <v>0</v>
      </c>
    </row>
    <row r="40" spans="3:3">
      <c r="C40">
        <f t="shared" si="0"/>
        <v>0</v>
      </c>
    </row>
    <row r="41" spans="3:3">
      <c r="C41">
        <f t="shared" si="0"/>
        <v>0</v>
      </c>
    </row>
    <row r="42" spans="3:3">
      <c r="C42">
        <f t="shared" si="0"/>
        <v>0</v>
      </c>
    </row>
    <row r="43" spans="3:3">
      <c r="C43">
        <f t="shared" si="0"/>
        <v>0</v>
      </c>
    </row>
    <row r="44" spans="3:3">
      <c r="C44">
        <f t="shared" si="0"/>
        <v>0</v>
      </c>
    </row>
    <row r="45" spans="3:3">
      <c r="C45">
        <f t="shared" si="0"/>
        <v>0</v>
      </c>
    </row>
    <row r="46" spans="3:3">
      <c r="C46">
        <f t="shared" si="0"/>
        <v>0</v>
      </c>
    </row>
    <row r="47" spans="3:3">
      <c r="C47">
        <f t="shared" si="0"/>
        <v>0</v>
      </c>
    </row>
    <row r="48" spans="3:3">
      <c r="C48">
        <f t="shared" si="0"/>
        <v>0</v>
      </c>
    </row>
    <row r="49" spans="3:3">
      <c r="C49">
        <f t="shared" si="0"/>
        <v>0</v>
      </c>
    </row>
    <row r="50" spans="3:3">
      <c r="C50">
        <f t="shared" si="0"/>
        <v>0</v>
      </c>
    </row>
    <row r="51" spans="3:3">
      <c r="C51">
        <f t="shared" si="0"/>
        <v>0</v>
      </c>
    </row>
    <row r="52" spans="3:3">
      <c r="C52">
        <f t="shared" si="0"/>
        <v>0</v>
      </c>
    </row>
    <row r="53" spans="3:3">
      <c r="C53">
        <f t="shared" si="0"/>
        <v>0</v>
      </c>
    </row>
    <row r="54" spans="3:3">
      <c r="C54">
        <f t="shared" si="0"/>
        <v>0</v>
      </c>
    </row>
    <row r="55" spans="3:3">
      <c r="C55">
        <f t="shared" si="0"/>
        <v>0</v>
      </c>
    </row>
    <row r="56" spans="3:3">
      <c r="C56">
        <f t="shared" si="0"/>
        <v>0</v>
      </c>
    </row>
    <row r="57" spans="3:3">
      <c r="C57">
        <f t="shared" si="0"/>
        <v>0</v>
      </c>
    </row>
    <row r="58" spans="3:3">
      <c r="C58">
        <f t="shared" si="0"/>
        <v>0</v>
      </c>
    </row>
    <row r="59" spans="3:3">
      <c r="C59">
        <f t="shared" si="0"/>
        <v>0</v>
      </c>
    </row>
    <row r="60" spans="3:3">
      <c r="C60">
        <f t="shared" si="0"/>
        <v>0</v>
      </c>
    </row>
    <row r="61" spans="3:3">
      <c r="C61">
        <f t="shared" si="0"/>
        <v>0</v>
      </c>
    </row>
    <row r="62" spans="3:3">
      <c r="C62">
        <f t="shared" si="0"/>
        <v>0</v>
      </c>
    </row>
    <row r="63" spans="3:3">
      <c r="C63">
        <f t="shared" si="0"/>
        <v>0</v>
      </c>
    </row>
    <row r="64" spans="3:3">
      <c r="C64">
        <f t="shared" si="0"/>
        <v>0</v>
      </c>
    </row>
    <row r="65" spans="3:3">
      <c r="C65">
        <f t="shared" si="0"/>
        <v>0</v>
      </c>
    </row>
    <row r="66" spans="3:3">
      <c r="C66">
        <f t="shared" si="0"/>
        <v>0</v>
      </c>
    </row>
    <row r="67" spans="3:3">
      <c r="C67">
        <f t="shared" si="0"/>
        <v>0</v>
      </c>
    </row>
    <row r="68" spans="3:3">
      <c r="C68">
        <f t="shared" si="0"/>
        <v>0</v>
      </c>
    </row>
    <row r="69" spans="3:3">
      <c r="C69">
        <f t="shared" si="0"/>
        <v>0</v>
      </c>
    </row>
    <row r="70" spans="3:3">
      <c r="C70">
        <f t="shared" si="0"/>
        <v>0</v>
      </c>
    </row>
    <row r="71" spans="3:3">
      <c r="C71">
        <f t="shared" si="0"/>
        <v>0</v>
      </c>
    </row>
    <row r="72" spans="3:3">
      <c r="C72">
        <f t="shared" ref="C72:C135" si="5">A72*B72</f>
        <v>0</v>
      </c>
    </row>
    <row r="73" spans="3:3">
      <c r="C73">
        <f t="shared" si="5"/>
        <v>0</v>
      </c>
    </row>
    <row r="74" spans="3:3">
      <c r="C74">
        <f t="shared" si="5"/>
        <v>0</v>
      </c>
    </row>
    <row r="75" spans="3:3">
      <c r="C75">
        <f t="shared" si="5"/>
        <v>0</v>
      </c>
    </row>
    <row r="76" spans="3:3">
      <c r="C76">
        <f t="shared" si="5"/>
        <v>0</v>
      </c>
    </row>
    <row r="77" spans="3:3">
      <c r="C77">
        <f t="shared" si="5"/>
        <v>0</v>
      </c>
    </row>
    <row r="78" spans="3:3">
      <c r="C78">
        <f t="shared" si="5"/>
        <v>0</v>
      </c>
    </row>
    <row r="79" spans="3:3">
      <c r="C79">
        <f t="shared" si="5"/>
        <v>0</v>
      </c>
    </row>
    <row r="80" spans="3:3">
      <c r="C80">
        <f t="shared" si="5"/>
        <v>0</v>
      </c>
    </row>
    <row r="81" spans="3:3">
      <c r="C81">
        <f t="shared" si="5"/>
        <v>0</v>
      </c>
    </row>
    <row r="82" spans="3:3">
      <c r="C82">
        <f t="shared" si="5"/>
        <v>0</v>
      </c>
    </row>
    <row r="83" spans="3:3">
      <c r="C83">
        <f t="shared" si="5"/>
        <v>0</v>
      </c>
    </row>
    <row r="84" spans="3:3">
      <c r="C84">
        <f t="shared" si="5"/>
        <v>0</v>
      </c>
    </row>
    <row r="85" spans="3:3">
      <c r="C85">
        <f t="shared" si="5"/>
        <v>0</v>
      </c>
    </row>
    <row r="86" spans="3:3">
      <c r="C86">
        <f t="shared" si="5"/>
        <v>0</v>
      </c>
    </row>
    <row r="87" spans="3:3">
      <c r="C87">
        <f t="shared" si="5"/>
        <v>0</v>
      </c>
    </row>
    <row r="88" spans="3:3">
      <c r="C88">
        <f t="shared" si="5"/>
        <v>0</v>
      </c>
    </row>
    <row r="89" spans="3:3">
      <c r="C89">
        <f t="shared" si="5"/>
        <v>0</v>
      </c>
    </row>
    <row r="90" spans="3:3">
      <c r="C90">
        <f t="shared" si="5"/>
        <v>0</v>
      </c>
    </row>
    <row r="91" spans="3:3">
      <c r="C91">
        <f t="shared" si="5"/>
        <v>0</v>
      </c>
    </row>
    <row r="92" spans="3:3">
      <c r="C92">
        <f t="shared" si="5"/>
        <v>0</v>
      </c>
    </row>
    <row r="93" spans="3:3">
      <c r="C93">
        <f t="shared" si="5"/>
        <v>0</v>
      </c>
    </row>
    <row r="94" spans="3:3">
      <c r="C94">
        <f t="shared" si="5"/>
        <v>0</v>
      </c>
    </row>
    <row r="95" spans="3:3">
      <c r="C95">
        <f t="shared" si="5"/>
        <v>0</v>
      </c>
    </row>
    <row r="96" spans="3:3">
      <c r="C96">
        <f t="shared" si="5"/>
        <v>0</v>
      </c>
    </row>
    <row r="97" spans="3:3">
      <c r="C97">
        <f t="shared" si="5"/>
        <v>0</v>
      </c>
    </row>
    <row r="98" spans="3:3">
      <c r="C98">
        <f t="shared" si="5"/>
        <v>0</v>
      </c>
    </row>
    <row r="99" spans="3:3">
      <c r="C99">
        <f t="shared" si="5"/>
        <v>0</v>
      </c>
    </row>
    <row r="100" spans="3:3">
      <c r="C100">
        <f t="shared" si="5"/>
        <v>0</v>
      </c>
    </row>
    <row r="101" spans="3:3">
      <c r="C101">
        <f t="shared" si="5"/>
        <v>0</v>
      </c>
    </row>
    <row r="102" spans="3:3">
      <c r="C102">
        <f t="shared" si="5"/>
        <v>0</v>
      </c>
    </row>
    <row r="103" spans="3:3">
      <c r="C103">
        <f t="shared" si="5"/>
        <v>0</v>
      </c>
    </row>
    <row r="104" spans="3:3">
      <c r="C104">
        <f t="shared" si="5"/>
        <v>0</v>
      </c>
    </row>
    <row r="105" spans="3:3">
      <c r="C105">
        <f t="shared" si="5"/>
        <v>0</v>
      </c>
    </row>
    <row r="106" spans="3:3">
      <c r="C106">
        <f t="shared" si="5"/>
        <v>0</v>
      </c>
    </row>
    <row r="107" spans="3:3">
      <c r="C107">
        <f t="shared" si="5"/>
        <v>0</v>
      </c>
    </row>
    <row r="108" spans="3:3">
      <c r="C108">
        <f t="shared" si="5"/>
        <v>0</v>
      </c>
    </row>
    <row r="109" spans="3:3">
      <c r="C109">
        <f t="shared" si="5"/>
        <v>0</v>
      </c>
    </row>
    <row r="110" spans="3:3">
      <c r="C110">
        <f t="shared" si="5"/>
        <v>0</v>
      </c>
    </row>
    <row r="111" spans="3:3">
      <c r="C111">
        <f t="shared" si="5"/>
        <v>0</v>
      </c>
    </row>
    <row r="112" spans="3:3">
      <c r="C112">
        <f t="shared" si="5"/>
        <v>0</v>
      </c>
    </row>
    <row r="113" spans="3:3">
      <c r="C113">
        <f t="shared" si="5"/>
        <v>0</v>
      </c>
    </row>
    <row r="114" spans="3:3">
      <c r="C114">
        <f t="shared" si="5"/>
        <v>0</v>
      </c>
    </row>
    <row r="115" spans="3:3">
      <c r="C115">
        <f t="shared" si="5"/>
        <v>0</v>
      </c>
    </row>
    <row r="116" spans="3:3">
      <c r="C116">
        <f t="shared" si="5"/>
        <v>0</v>
      </c>
    </row>
    <row r="117" spans="3:3">
      <c r="C117">
        <f t="shared" si="5"/>
        <v>0</v>
      </c>
    </row>
    <row r="118" spans="3:3">
      <c r="C118">
        <f t="shared" si="5"/>
        <v>0</v>
      </c>
    </row>
    <row r="119" spans="3:3">
      <c r="C119">
        <f t="shared" si="5"/>
        <v>0</v>
      </c>
    </row>
    <row r="120" spans="3:3">
      <c r="C120">
        <f t="shared" si="5"/>
        <v>0</v>
      </c>
    </row>
    <row r="121" spans="3:3">
      <c r="C121">
        <f t="shared" si="5"/>
        <v>0</v>
      </c>
    </row>
    <row r="122" spans="3:3">
      <c r="C122">
        <f t="shared" si="5"/>
        <v>0</v>
      </c>
    </row>
    <row r="123" spans="3:3">
      <c r="C123">
        <f t="shared" si="5"/>
        <v>0</v>
      </c>
    </row>
    <row r="124" spans="3:3">
      <c r="C124">
        <f t="shared" si="5"/>
        <v>0</v>
      </c>
    </row>
    <row r="125" spans="3:3">
      <c r="C125">
        <f t="shared" si="5"/>
        <v>0</v>
      </c>
    </row>
    <row r="126" spans="3:3">
      <c r="C126">
        <f t="shared" si="5"/>
        <v>0</v>
      </c>
    </row>
    <row r="127" spans="3:3">
      <c r="C127">
        <f t="shared" si="5"/>
        <v>0</v>
      </c>
    </row>
    <row r="128" spans="3:3">
      <c r="C128">
        <f t="shared" si="5"/>
        <v>0</v>
      </c>
    </row>
    <row r="129" spans="3:3">
      <c r="C129">
        <f t="shared" si="5"/>
        <v>0</v>
      </c>
    </row>
    <row r="130" spans="3:3">
      <c r="C130">
        <f t="shared" si="5"/>
        <v>0</v>
      </c>
    </row>
    <row r="131" spans="3:3">
      <c r="C131">
        <f t="shared" si="5"/>
        <v>0</v>
      </c>
    </row>
    <row r="132" spans="3:3">
      <c r="C132">
        <f t="shared" si="5"/>
        <v>0</v>
      </c>
    </row>
    <row r="133" spans="3:3">
      <c r="C133">
        <f t="shared" si="5"/>
        <v>0</v>
      </c>
    </row>
    <row r="134" spans="3:3">
      <c r="C134">
        <f t="shared" si="5"/>
        <v>0</v>
      </c>
    </row>
    <row r="135" spans="3:3">
      <c r="C135">
        <f t="shared" si="5"/>
        <v>0</v>
      </c>
    </row>
    <row r="136" spans="3:3">
      <c r="C136">
        <f t="shared" ref="C136:C199" si="6">A136*B136</f>
        <v>0</v>
      </c>
    </row>
    <row r="137" spans="3:3">
      <c r="C137">
        <f t="shared" si="6"/>
        <v>0</v>
      </c>
    </row>
    <row r="138" spans="3:3">
      <c r="C138">
        <f t="shared" si="6"/>
        <v>0</v>
      </c>
    </row>
    <row r="139" spans="3:3">
      <c r="C139">
        <f t="shared" si="6"/>
        <v>0</v>
      </c>
    </row>
    <row r="140" spans="3:3">
      <c r="C140">
        <f t="shared" si="6"/>
        <v>0</v>
      </c>
    </row>
    <row r="141" spans="3:3">
      <c r="C141">
        <f t="shared" si="6"/>
        <v>0</v>
      </c>
    </row>
    <row r="142" spans="3:3">
      <c r="C142">
        <f t="shared" si="6"/>
        <v>0</v>
      </c>
    </row>
    <row r="143" spans="3:3">
      <c r="C143">
        <f t="shared" si="6"/>
        <v>0</v>
      </c>
    </row>
    <row r="144" spans="3:3">
      <c r="C144">
        <f t="shared" si="6"/>
        <v>0</v>
      </c>
    </row>
    <row r="145" spans="3:3">
      <c r="C145">
        <f t="shared" si="6"/>
        <v>0</v>
      </c>
    </row>
    <row r="146" spans="3:3">
      <c r="C146">
        <f t="shared" si="6"/>
        <v>0</v>
      </c>
    </row>
    <row r="147" spans="3:3">
      <c r="C147">
        <f t="shared" si="6"/>
        <v>0</v>
      </c>
    </row>
    <row r="148" spans="3:3">
      <c r="C148">
        <f t="shared" si="6"/>
        <v>0</v>
      </c>
    </row>
    <row r="149" spans="3:3">
      <c r="C149">
        <f t="shared" si="6"/>
        <v>0</v>
      </c>
    </row>
    <row r="150" spans="3:3">
      <c r="C150">
        <f t="shared" si="6"/>
        <v>0</v>
      </c>
    </row>
    <row r="151" spans="3:3">
      <c r="C151">
        <f t="shared" si="6"/>
        <v>0</v>
      </c>
    </row>
    <row r="152" spans="3:3">
      <c r="C152">
        <f t="shared" si="6"/>
        <v>0</v>
      </c>
    </row>
    <row r="153" spans="3:3">
      <c r="C153">
        <f t="shared" si="6"/>
        <v>0</v>
      </c>
    </row>
    <row r="154" spans="3:3">
      <c r="C154">
        <f t="shared" si="6"/>
        <v>0</v>
      </c>
    </row>
    <row r="155" spans="3:3">
      <c r="C155">
        <f t="shared" si="6"/>
        <v>0</v>
      </c>
    </row>
    <row r="156" spans="3:3">
      <c r="C156">
        <f t="shared" si="6"/>
        <v>0</v>
      </c>
    </row>
    <row r="157" spans="3:3">
      <c r="C157">
        <f t="shared" si="6"/>
        <v>0</v>
      </c>
    </row>
    <row r="158" spans="3:3">
      <c r="C158">
        <f t="shared" si="6"/>
        <v>0</v>
      </c>
    </row>
    <row r="159" spans="3:3">
      <c r="C159">
        <f t="shared" si="6"/>
        <v>0</v>
      </c>
    </row>
    <row r="160" spans="3:3">
      <c r="C160">
        <f t="shared" si="6"/>
        <v>0</v>
      </c>
    </row>
    <row r="161" spans="3:3">
      <c r="C161">
        <f t="shared" si="6"/>
        <v>0</v>
      </c>
    </row>
    <row r="162" spans="3:3">
      <c r="C162">
        <f t="shared" si="6"/>
        <v>0</v>
      </c>
    </row>
    <row r="163" spans="3:3">
      <c r="C163">
        <f t="shared" si="6"/>
        <v>0</v>
      </c>
    </row>
    <row r="164" spans="3:3">
      <c r="C164">
        <f t="shared" si="6"/>
        <v>0</v>
      </c>
    </row>
    <row r="165" spans="3:3">
      <c r="C165">
        <f t="shared" si="6"/>
        <v>0</v>
      </c>
    </row>
    <row r="166" spans="3:3">
      <c r="C166">
        <f t="shared" si="6"/>
        <v>0</v>
      </c>
    </row>
    <row r="167" spans="3:3">
      <c r="C167">
        <f t="shared" si="6"/>
        <v>0</v>
      </c>
    </row>
    <row r="168" spans="3:3">
      <c r="C168">
        <f t="shared" si="6"/>
        <v>0</v>
      </c>
    </row>
    <row r="169" spans="3:3">
      <c r="C169">
        <f t="shared" si="6"/>
        <v>0</v>
      </c>
    </row>
    <row r="170" spans="3:3">
      <c r="C170">
        <f t="shared" si="6"/>
        <v>0</v>
      </c>
    </row>
    <row r="171" spans="3:3">
      <c r="C171">
        <f t="shared" si="6"/>
        <v>0</v>
      </c>
    </row>
    <row r="172" spans="3:3">
      <c r="C172">
        <f t="shared" si="6"/>
        <v>0</v>
      </c>
    </row>
    <row r="173" spans="3:3">
      <c r="C173">
        <f t="shared" si="6"/>
        <v>0</v>
      </c>
    </row>
    <row r="174" spans="3:3">
      <c r="C174">
        <f t="shared" si="6"/>
        <v>0</v>
      </c>
    </row>
    <row r="175" spans="3:3">
      <c r="C175">
        <f t="shared" si="6"/>
        <v>0</v>
      </c>
    </row>
    <row r="176" spans="3:3">
      <c r="C176">
        <f t="shared" si="6"/>
        <v>0</v>
      </c>
    </row>
    <row r="177" spans="3:3">
      <c r="C177">
        <f t="shared" si="6"/>
        <v>0</v>
      </c>
    </row>
    <row r="178" spans="3:3">
      <c r="C178">
        <f t="shared" si="6"/>
        <v>0</v>
      </c>
    </row>
    <row r="179" spans="3:3">
      <c r="C179">
        <f t="shared" si="6"/>
        <v>0</v>
      </c>
    </row>
    <row r="180" spans="3:3">
      <c r="C180">
        <f t="shared" si="6"/>
        <v>0</v>
      </c>
    </row>
    <row r="181" spans="3:3">
      <c r="C181">
        <f t="shared" si="6"/>
        <v>0</v>
      </c>
    </row>
    <row r="182" spans="3:3">
      <c r="C182">
        <f t="shared" si="6"/>
        <v>0</v>
      </c>
    </row>
    <row r="183" spans="3:3">
      <c r="C183">
        <f t="shared" si="6"/>
        <v>0</v>
      </c>
    </row>
    <row r="184" spans="3:3">
      <c r="C184">
        <f t="shared" si="6"/>
        <v>0</v>
      </c>
    </row>
    <row r="185" spans="3:3">
      <c r="C185">
        <f t="shared" si="6"/>
        <v>0</v>
      </c>
    </row>
    <row r="186" spans="3:3">
      <c r="C186">
        <f t="shared" si="6"/>
        <v>0</v>
      </c>
    </row>
    <row r="187" spans="3:3">
      <c r="C187">
        <f t="shared" si="6"/>
        <v>0</v>
      </c>
    </row>
    <row r="188" spans="3:3">
      <c r="C188">
        <f t="shared" si="6"/>
        <v>0</v>
      </c>
    </row>
    <row r="189" spans="3:3">
      <c r="C189">
        <f t="shared" si="6"/>
        <v>0</v>
      </c>
    </row>
    <row r="190" spans="3:3">
      <c r="C190">
        <f t="shared" si="6"/>
        <v>0</v>
      </c>
    </row>
    <row r="191" spans="3:3">
      <c r="C191">
        <f t="shared" si="6"/>
        <v>0</v>
      </c>
    </row>
    <row r="192" spans="3:3">
      <c r="C192">
        <f t="shared" si="6"/>
        <v>0</v>
      </c>
    </row>
    <row r="193" spans="3:3">
      <c r="C193">
        <f t="shared" si="6"/>
        <v>0</v>
      </c>
    </row>
    <row r="194" spans="3:3">
      <c r="C194">
        <f t="shared" si="6"/>
        <v>0</v>
      </c>
    </row>
    <row r="195" spans="3:3">
      <c r="C195">
        <f t="shared" si="6"/>
        <v>0</v>
      </c>
    </row>
    <row r="196" spans="3:3">
      <c r="C196">
        <f t="shared" si="6"/>
        <v>0</v>
      </c>
    </row>
    <row r="197" spans="3:3">
      <c r="C197">
        <f t="shared" si="6"/>
        <v>0</v>
      </c>
    </row>
    <row r="198" spans="3:3">
      <c r="C198">
        <f t="shared" si="6"/>
        <v>0</v>
      </c>
    </row>
    <row r="199" spans="3:3">
      <c r="C199">
        <f t="shared" si="6"/>
        <v>0</v>
      </c>
    </row>
    <row r="200" spans="3:3">
      <c r="C200">
        <f t="shared" ref="C200:C226" si="7">A200*B200</f>
        <v>0</v>
      </c>
    </row>
    <row r="201" spans="3:3">
      <c r="C201">
        <f t="shared" si="7"/>
        <v>0</v>
      </c>
    </row>
    <row r="202" spans="3:3">
      <c r="C202">
        <f t="shared" si="7"/>
        <v>0</v>
      </c>
    </row>
    <row r="203" spans="3:3">
      <c r="C203">
        <f t="shared" si="7"/>
        <v>0</v>
      </c>
    </row>
    <row r="204" spans="3:3">
      <c r="C204">
        <f t="shared" si="7"/>
        <v>0</v>
      </c>
    </row>
    <row r="205" spans="3:3">
      <c r="C205">
        <f t="shared" si="7"/>
        <v>0</v>
      </c>
    </row>
    <row r="206" spans="3:3">
      <c r="C206">
        <f t="shared" si="7"/>
        <v>0</v>
      </c>
    </row>
    <row r="207" spans="3:3">
      <c r="C207">
        <f t="shared" si="7"/>
        <v>0</v>
      </c>
    </row>
    <row r="208" spans="3:3">
      <c r="C208">
        <f t="shared" si="7"/>
        <v>0</v>
      </c>
    </row>
    <row r="209" spans="3:3">
      <c r="C209">
        <f t="shared" si="7"/>
        <v>0</v>
      </c>
    </row>
    <row r="210" spans="3:3">
      <c r="C210">
        <f t="shared" si="7"/>
        <v>0</v>
      </c>
    </row>
    <row r="211" spans="3:3">
      <c r="C211">
        <f t="shared" si="7"/>
        <v>0</v>
      </c>
    </row>
    <row r="212" spans="3:3">
      <c r="C212">
        <f t="shared" si="7"/>
        <v>0</v>
      </c>
    </row>
    <row r="213" spans="3:3">
      <c r="C213">
        <f t="shared" si="7"/>
        <v>0</v>
      </c>
    </row>
    <row r="214" spans="3:3">
      <c r="C214">
        <f t="shared" si="7"/>
        <v>0</v>
      </c>
    </row>
    <row r="215" spans="3:3">
      <c r="C215">
        <f t="shared" si="7"/>
        <v>0</v>
      </c>
    </row>
    <row r="216" spans="3:3">
      <c r="C216">
        <f t="shared" si="7"/>
        <v>0</v>
      </c>
    </row>
    <row r="217" spans="3:3">
      <c r="C217">
        <f t="shared" si="7"/>
        <v>0</v>
      </c>
    </row>
    <row r="218" spans="3:3">
      <c r="C218">
        <f t="shared" si="7"/>
        <v>0</v>
      </c>
    </row>
    <row r="219" spans="3:3">
      <c r="C219">
        <f t="shared" si="7"/>
        <v>0</v>
      </c>
    </row>
    <row r="220" spans="3:3">
      <c r="C220">
        <f t="shared" si="7"/>
        <v>0</v>
      </c>
    </row>
    <row r="221" spans="3:3">
      <c r="C221">
        <f t="shared" si="7"/>
        <v>0</v>
      </c>
    </row>
    <row r="222" spans="3:3">
      <c r="C222">
        <f t="shared" si="7"/>
        <v>0</v>
      </c>
    </row>
    <row r="223" spans="3:3">
      <c r="C223">
        <f t="shared" si="7"/>
        <v>0</v>
      </c>
    </row>
    <row r="224" spans="3:3">
      <c r="C224">
        <f t="shared" si="7"/>
        <v>0</v>
      </c>
    </row>
    <row r="225" spans="3:3">
      <c r="C225">
        <f t="shared" si="7"/>
        <v>0</v>
      </c>
    </row>
    <row r="226" spans="3:3">
      <c r="C226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6CE9-B77B-704D-8A1F-7836B7353FCF}">
  <dimension ref="A1:AG33"/>
  <sheetViews>
    <sheetView tabSelected="1" topLeftCell="I1" zoomScale="75" workbookViewId="0">
      <selection activeCell="Q25" sqref="Q25"/>
    </sheetView>
  </sheetViews>
  <sheetFormatPr baseColWidth="10" defaultRowHeight="16"/>
  <cols>
    <col min="1" max="1" width="41.33203125" customWidth="1"/>
    <col min="2" max="2" width="40" style="2" customWidth="1"/>
    <col min="4" max="4" width="41.33203125" customWidth="1"/>
    <col min="5" max="5" width="22.5" customWidth="1"/>
    <col min="6" max="6" width="21.6640625" customWidth="1"/>
    <col min="8" max="8" width="36.33203125" customWidth="1"/>
    <col min="11" max="11" width="21" customWidth="1"/>
    <col min="14" max="14" width="18" customWidth="1"/>
    <col min="17" max="17" width="14.6640625" customWidth="1"/>
    <col min="24" max="24" width="13.33203125" customWidth="1"/>
  </cols>
  <sheetData>
    <row r="1" spans="1:33" ht="26">
      <c r="A1" s="33" t="s">
        <v>139</v>
      </c>
      <c r="B1" s="35"/>
      <c r="D1" t="s">
        <v>66</v>
      </c>
      <c r="E1" s="2"/>
      <c r="H1" s="33"/>
      <c r="I1" s="38" t="s">
        <v>77</v>
      </c>
      <c r="J1" s="46"/>
      <c r="N1" s="32" t="s">
        <v>112</v>
      </c>
      <c r="O1" s="33"/>
      <c r="Q1" s="33" t="s">
        <v>154</v>
      </c>
      <c r="R1" s="33"/>
      <c r="T1" s="33" t="s">
        <v>158</v>
      </c>
      <c r="U1" s="33"/>
      <c r="V1" s="33"/>
      <c r="X1" s="33" t="s">
        <v>162</v>
      </c>
      <c r="Y1" s="33" t="s">
        <v>124</v>
      </c>
      <c r="AB1" t="s">
        <v>126</v>
      </c>
      <c r="AF1" t="s">
        <v>130</v>
      </c>
    </row>
    <row r="2" spans="1:33">
      <c r="A2" s="36" t="s">
        <v>134</v>
      </c>
      <c r="B2" s="35"/>
      <c r="E2" s="2"/>
      <c r="H2" s="33" t="s">
        <v>118</v>
      </c>
      <c r="I2" s="42" t="s">
        <v>43</v>
      </c>
      <c r="J2" s="47"/>
      <c r="N2" s="33" t="s">
        <v>113</v>
      </c>
      <c r="O2" s="33">
        <v>39</v>
      </c>
      <c r="Q2" s="33" t="s">
        <v>22</v>
      </c>
      <c r="R2" s="33">
        <v>19</v>
      </c>
      <c r="T2" s="33"/>
      <c r="U2" s="33"/>
      <c r="V2" s="33"/>
      <c r="X2" s="36" t="s">
        <v>127</v>
      </c>
      <c r="Y2" s="51">
        <v>0.18</v>
      </c>
      <c r="AB2" t="s">
        <v>125</v>
      </c>
      <c r="AC2">
        <v>-1.72</v>
      </c>
      <c r="AF2" t="s">
        <v>25</v>
      </c>
      <c r="AG2">
        <v>45</v>
      </c>
    </row>
    <row r="3" spans="1:33">
      <c r="A3" s="36" t="s">
        <v>22</v>
      </c>
      <c r="B3" s="37">
        <v>1252</v>
      </c>
      <c r="D3" t="s">
        <v>22</v>
      </c>
      <c r="E3" s="2">
        <v>1252</v>
      </c>
      <c r="H3" s="33"/>
      <c r="I3" s="42"/>
      <c r="J3" s="47"/>
      <c r="N3" s="33" t="s">
        <v>114</v>
      </c>
      <c r="O3" s="33">
        <f>O2/100</f>
        <v>0.39</v>
      </c>
      <c r="Q3" s="33" t="s">
        <v>131</v>
      </c>
      <c r="R3" s="33">
        <v>3</v>
      </c>
      <c r="T3" s="33"/>
      <c r="U3" s="33" t="s">
        <v>159</v>
      </c>
      <c r="V3" s="33" t="s">
        <v>160</v>
      </c>
      <c r="X3" s="36"/>
      <c r="Y3" s="51"/>
      <c r="AF3" t="s">
        <v>22</v>
      </c>
      <c r="AG3">
        <v>47</v>
      </c>
    </row>
    <row r="4" spans="1:33">
      <c r="A4" s="36" t="s">
        <v>23</v>
      </c>
      <c r="B4" s="37">
        <v>129</v>
      </c>
      <c r="D4" t="s">
        <v>23</v>
      </c>
      <c r="E4" s="2">
        <v>129</v>
      </c>
      <c r="H4" s="39" t="s">
        <v>60</v>
      </c>
      <c r="I4" s="43">
        <v>1262</v>
      </c>
      <c r="J4" s="47"/>
      <c r="N4" s="33"/>
      <c r="O4" s="33"/>
      <c r="Q4" s="33" t="s">
        <v>155</v>
      </c>
      <c r="R4" s="33">
        <v>20</v>
      </c>
      <c r="T4" s="33" t="s">
        <v>0</v>
      </c>
      <c r="U4" s="33">
        <v>25</v>
      </c>
      <c r="V4" s="33">
        <v>1229</v>
      </c>
      <c r="X4" s="36" t="s">
        <v>129</v>
      </c>
      <c r="Y4" s="51">
        <f xml:space="preserve"> 1 - Y2</f>
        <v>0.82000000000000006</v>
      </c>
      <c r="AB4" t="s">
        <v>79</v>
      </c>
      <c r="AC4">
        <f>_xlfn.NORM.S.DIST(AC2, TRUE)</f>
        <v>4.2716220791328911E-2</v>
      </c>
      <c r="AF4" t="s">
        <v>131</v>
      </c>
      <c r="AG4">
        <v>10</v>
      </c>
    </row>
    <row r="5" spans="1:33">
      <c r="A5" s="36" t="s">
        <v>135</v>
      </c>
      <c r="B5" s="37">
        <v>1000</v>
      </c>
      <c r="E5" s="2"/>
      <c r="H5" s="39" t="s">
        <v>23</v>
      </c>
      <c r="I5" s="44">
        <v>118</v>
      </c>
      <c r="J5" s="47"/>
      <c r="N5" s="33" t="s">
        <v>115</v>
      </c>
      <c r="O5" s="33">
        <f xml:space="preserve"> (1 - O3) / 2</f>
        <v>0.30499999999999999</v>
      </c>
      <c r="Q5" s="33"/>
      <c r="R5" s="33"/>
      <c r="T5" s="33" t="s">
        <v>91</v>
      </c>
      <c r="U5" s="33">
        <v>21.4</v>
      </c>
      <c r="V5" s="33">
        <v>1026</v>
      </c>
      <c r="X5" s="36" t="s">
        <v>128</v>
      </c>
      <c r="Y5" s="51">
        <f>_xlfn.NORM.INV(Y4,0, 1)</f>
        <v>0.91536508784281367</v>
      </c>
    </row>
    <row r="6" spans="1:33">
      <c r="A6" s="36" t="s">
        <v>136</v>
      </c>
      <c r="B6" s="37">
        <v>1225</v>
      </c>
      <c r="D6" t="s">
        <v>67</v>
      </c>
      <c r="E6" s="2">
        <v>1100</v>
      </c>
      <c r="H6" s="39" t="s">
        <v>78</v>
      </c>
      <c r="I6" s="44">
        <v>97</v>
      </c>
      <c r="J6" s="47"/>
      <c r="N6" s="34"/>
      <c r="O6" s="33"/>
      <c r="Q6" s="33" t="s">
        <v>156</v>
      </c>
      <c r="R6" s="33">
        <f>(1 - _xlfn.NORM.DIST(R4,R2,R3, TRUE)) * 100</f>
        <v>36.944134018176356</v>
      </c>
      <c r="T6" s="33" t="s">
        <v>131</v>
      </c>
      <c r="U6" s="33">
        <v>5.0999999999999996</v>
      </c>
      <c r="V6" s="33">
        <v>203</v>
      </c>
      <c r="AF6" t="s">
        <v>132</v>
      </c>
      <c r="AG6">
        <f>_xlfn.NORM.DIST(AG2,AG3,AG4, TRUE)</f>
        <v>0.42074029056089696</v>
      </c>
    </row>
    <row r="7" spans="1:33">
      <c r="A7" s="36"/>
      <c r="B7" s="37"/>
      <c r="D7" t="s">
        <v>69</v>
      </c>
      <c r="E7" s="2">
        <f xml:space="preserve"> (E6 - E3) / E4</f>
        <v>-1.1782945736434109</v>
      </c>
      <c r="H7" s="39" t="s">
        <v>121</v>
      </c>
      <c r="I7" s="44">
        <f>I6/100</f>
        <v>0.97</v>
      </c>
      <c r="J7" s="47"/>
      <c r="N7" s="33" t="s">
        <v>116</v>
      </c>
      <c r="O7" s="33">
        <f>_xlfn.NORM.DIST(O5, 0, 1, TRUE)</f>
        <v>0.61981692384016507</v>
      </c>
      <c r="Q7" s="33"/>
      <c r="R7" s="33">
        <f>NORMINV(0.07,19,2.5)</f>
        <v>15.310522429552075</v>
      </c>
      <c r="T7" s="33" t="s">
        <v>161</v>
      </c>
      <c r="U7" s="33">
        <f>(U4-U5)/U6</f>
        <v>0.70588235294117685</v>
      </c>
      <c r="V7" s="33">
        <f>(V4-V5)/V6</f>
        <v>1</v>
      </c>
    </row>
    <row r="8" spans="1:33">
      <c r="A8" s="36" t="s">
        <v>137</v>
      </c>
      <c r="B8" s="37">
        <f>_xlfn.NORM.DIST(B6, B3, B4, TRUE) - _xlfn.NORM.DIST(B5, B3, B4, TRUE)</f>
        <v>0.39172524132251257</v>
      </c>
      <c r="E8" s="2"/>
      <c r="H8" s="33"/>
      <c r="I8" s="42"/>
      <c r="J8" s="47"/>
      <c r="N8" s="33" t="s">
        <v>117</v>
      </c>
      <c r="O8" s="33">
        <f>_xlfn.NORM.DIST(O5, 0, 1, TRUE)</f>
        <v>0.61981692384016507</v>
      </c>
    </row>
    <row r="9" spans="1:33" ht="19">
      <c r="A9" s="36" t="s">
        <v>138</v>
      </c>
      <c r="B9" s="37">
        <f>_xlfn.NORM.DIST(B5,B3,B4,TRUE)</f>
        <v>2.5380876893736339E-2</v>
      </c>
      <c r="D9" t="s">
        <v>68</v>
      </c>
      <c r="E9" s="2">
        <v>1400</v>
      </c>
      <c r="H9" s="49" t="s">
        <v>133</v>
      </c>
      <c r="I9" s="50">
        <f>_xlfn.NORM.INV(($I$6/100),I$4,I$5)</f>
        <v>1483.9336457618476</v>
      </c>
      <c r="J9" s="47"/>
      <c r="N9" s="33"/>
      <c r="O9" s="33"/>
      <c r="Q9" s="21" t="s">
        <v>157</v>
      </c>
      <c r="R9" t="s">
        <v>43</v>
      </c>
    </row>
    <row r="10" spans="1:33" ht="17">
      <c r="A10" s="36" t="s">
        <v>140</v>
      </c>
      <c r="B10" s="37">
        <f>1 - _xlfn.NORM.DIST(B6, B3, B4, TRUE)</f>
        <v>0.58289388178375101</v>
      </c>
      <c r="D10" t="s">
        <v>72</v>
      </c>
      <c r="E10" s="2">
        <f>(E9-E3) / E4</f>
        <v>1.1472868217054264</v>
      </c>
      <c r="H10" s="33"/>
      <c r="I10" s="45"/>
      <c r="J10" s="48"/>
      <c r="N10" s="33">
        <f>_xlfn.NORM.INV(0.79, 0, 1)</f>
        <v>0.80642124701824058</v>
      </c>
      <c r="O10" s="33"/>
      <c r="Q10" s="21"/>
    </row>
    <row r="11" spans="1:33" ht="17">
      <c r="A11" s="36"/>
      <c r="B11" s="37"/>
      <c r="E11" s="2"/>
      <c r="H11" s="33"/>
      <c r="I11" s="45"/>
      <c r="J11" s="47"/>
      <c r="Q11" s="21"/>
    </row>
    <row r="12" spans="1:33">
      <c r="A12" s="36" t="s">
        <v>141</v>
      </c>
      <c r="B12" s="37">
        <f>B9*100</f>
        <v>2.5380876893736337</v>
      </c>
      <c r="D12" t="s">
        <v>70</v>
      </c>
      <c r="E12" s="2">
        <f>_xlfn.NORM.DIST(E6,E3,E4,TRUE)</f>
        <v>0.11933959517437347</v>
      </c>
      <c r="H12" s="33"/>
      <c r="I12" s="45"/>
      <c r="J12" s="48"/>
    </row>
    <row r="13" spans="1:33">
      <c r="D13" t="s">
        <v>71</v>
      </c>
      <c r="E13" s="2">
        <f>_xlfn.NORM.DIST(E10,E3,E4,TRUE)</f>
        <v>1.5595941023036459E-22</v>
      </c>
      <c r="H13" s="33"/>
      <c r="I13" s="42"/>
      <c r="J13" s="47"/>
    </row>
    <row r="14" spans="1:33">
      <c r="E14" s="2"/>
      <c r="H14" s="40" t="s">
        <v>119</v>
      </c>
      <c r="I14" s="41">
        <f>(1 - I7)/2</f>
        <v>1.5000000000000013E-2</v>
      </c>
    </row>
    <row r="15" spans="1:33">
      <c r="E15" s="2">
        <f>E13-E12</f>
        <v>-0.11933959517437347</v>
      </c>
      <c r="H15" s="33" t="s">
        <v>120</v>
      </c>
      <c r="I15" s="41">
        <f>I7+I14</f>
        <v>0.98499999999999999</v>
      </c>
      <c r="N15" t="s">
        <v>142</v>
      </c>
    </row>
    <row r="16" spans="1:33">
      <c r="E16" s="2"/>
      <c r="H16" s="33"/>
      <c r="I16" s="41"/>
      <c r="N16" t="s">
        <v>22</v>
      </c>
      <c r="O16">
        <v>1264</v>
      </c>
    </row>
    <row r="17" spans="4:15">
      <c r="D17" t="s">
        <v>74</v>
      </c>
      <c r="E17" s="2">
        <v>1175</v>
      </c>
      <c r="H17" s="40" t="s">
        <v>122</v>
      </c>
      <c r="I17" s="41">
        <f>NORMINV(I14, 0, 1)</f>
        <v>-2.1700903775845601</v>
      </c>
      <c r="N17" t="s">
        <v>131</v>
      </c>
      <c r="O17">
        <v>116</v>
      </c>
    </row>
    <row r="18" spans="4:15">
      <c r="D18" t="s">
        <v>73</v>
      </c>
      <c r="E18" s="2">
        <f xml:space="preserve"> 1 -_xlfn.NORM.DIST(1175, E3, E4, TRUE)</f>
        <v>0.7247126675619795</v>
      </c>
      <c r="H18" s="33" t="s">
        <v>123</v>
      </c>
      <c r="I18" s="41">
        <f>NORMINV(I15, 0, 1)</f>
        <v>2.1700903775845601</v>
      </c>
      <c r="N18" t="s">
        <v>143</v>
      </c>
      <c r="O18">
        <v>28</v>
      </c>
    </row>
    <row r="19" spans="4:15">
      <c r="E19" s="2" t="s">
        <v>43</v>
      </c>
      <c r="H19" s="33"/>
      <c r="I19" s="33"/>
      <c r="N19" t="s">
        <v>144</v>
      </c>
      <c r="O19">
        <f>O18/100</f>
        <v>0.28000000000000003</v>
      </c>
    </row>
    <row r="20" spans="4:15">
      <c r="D20" t="s">
        <v>75</v>
      </c>
      <c r="E20" s="2"/>
      <c r="H20" s="33" t="s">
        <v>153</v>
      </c>
      <c r="I20" s="33"/>
      <c r="J20" s="33"/>
    </row>
    <row r="21" spans="4:15">
      <c r="D21" t="s">
        <v>76</v>
      </c>
      <c r="E21" s="2"/>
      <c r="H21" s="33" t="s">
        <v>148</v>
      </c>
      <c r="I21" s="32">
        <f>I4 + (I17)*I5</f>
        <v>1005.9293354450219</v>
      </c>
      <c r="N21" t="s">
        <v>146</v>
      </c>
      <c r="O21">
        <v>96</v>
      </c>
    </row>
    <row r="22" spans="4:15">
      <c r="E22" s="2"/>
      <c r="H22" s="33" t="s">
        <v>149</v>
      </c>
      <c r="I22" s="32">
        <f>I4+(I18*I5)</f>
        <v>1518.0706645549781</v>
      </c>
      <c r="N22" t="s">
        <v>147</v>
      </c>
      <c r="O22">
        <f>O21/100</f>
        <v>0.96</v>
      </c>
    </row>
    <row r="23" spans="4:15">
      <c r="D23" t="s">
        <v>80</v>
      </c>
      <c r="E23" s="2"/>
      <c r="H23" s="33"/>
      <c r="I23" s="33"/>
    </row>
    <row r="24" spans="4:15">
      <c r="E24" s="2"/>
      <c r="H24" s="33"/>
      <c r="I24" s="33"/>
    </row>
    <row r="25" spans="4:15">
      <c r="E25" s="2"/>
      <c r="H25" s="33"/>
      <c r="I25" s="33"/>
    </row>
    <row r="26" spans="4:15">
      <c r="D26" t="s">
        <v>84</v>
      </c>
      <c r="E26" s="2"/>
      <c r="H26" s="35" t="s">
        <v>150</v>
      </c>
      <c r="I26" s="32">
        <f>I28-I27</f>
        <v>159.17958104627542</v>
      </c>
    </row>
    <row r="27" spans="4:15">
      <c r="D27" s="2" t="s">
        <v>81</v>
      </c>
      <c r="E27" s="29">
        <v>-2.61</v>
      </c>
      <c r="H27" s="35" t="s">
        <v>151</v>
      </c>
      <c r="I27" s="31">
        <f>_xlfn.NORM.INV((25/100),I$4,I$5)</f>
        <v>1182.4102094768623</v>
      </c>
    </row>
    <row r="28" spans="4:15">
      <c r="D28" s="2" t="s">
        <v>82</v>
      </c>
      <c r="E28" s="29">
        <v>1.61</v>
      </c>
      <c r="H28" s="35" t="s">
        <v>152</v>
      </c>
      <c r="I28" s="31">
        <f>_xlfn.NORM.INV((75/100),I$4,I$5)</f>
        <v>1341.5897905231377</v>
      </c>
    </row>
    <row r="29" spans="4:15">
      <c r="D29" s="2" t="s">
        <v>110</v>
      </c>
      <c r="E29" s="29">
        <f>_xlfn.NORM.DIST(E27, 0, 1, TRUE)</f>
        <v>4.5271111329673241E-3</v>
      </c>
    </row>
    <row r="30" spans="4:15">
      <c r="D30" s="2" t="s">
        <v>111</v>
      </c>
      <c r="E30" s="29">
        <f>1 - _xlfn.NORM.DIST(E28, 0, 1, TRUE)</f>
        <v>5.3698928148119718E-2</v>
      </c>
    </row>
    <row r="31" spans="4:15">
      <c r="D31" s="30" t="s">
        <v>83</v>
      </c>
      <c r="E31" s="29">
        <f>SUM(E29:E30)</f>
        <v>5.8226039281087043E-2</v>
      </c>
      <c r="N31" t="s">
        <v>145</v>
      </c>
      <c r="O31">
        <f>NORMINV(0.28,1264,116)</f>
        <v>1196.390385156539</v>
      </c>
    </row>
    <row r="32" spans="4:15">
      <c r="E32" s="2"/>
    </row>
    <row r="33" spans="5:5">
      <c r="E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7077-45B6-E742-951B-BF30C929E163}">
  <dimension ref="A1:B20"/>
  <sheetViews>
    <sheetView workbookViewId="0">
      <selection activeCell="B5" sqref="B5"/>
    </sheetView>
  </sheetViews>
  <sheetFormatPr baseColWidth="10" defaultRowHeight="16"/>
  <cols>
    <col min="1" max="1" width="23.83203125" customWidth="1"/>
    <col min="2" max="2" width="25.33203125" bestFit="1" customWidth="1"/>
  </cols>
  <sheetData>
    <row r="1" spans="1:2">
      <c r="A1" t="s">
        <v>8</v>
      </c>
    </row>
    <row r="2" spans="1:2">
      <c r="A2" s="1" t="s">
        <v>11</v>
      </c>
      <c r="B2" s="2">
        <v>3</v>
      </c>
    </row>
    <row r="3" spans="1:2">
      <c r="A3" s="1" t="s">
        <v>9</v>
      </c>
      <c r="B3" s="10">
        <v>9</v>
      </c>
    </row>
    <row r="4" spans="1:2">
      <c r="A4" s="1" t="s">
        <v>10</v>
      </c>
      <c r="B4" s="2">
        <v>0.6</v>
      </c>
    </row>
    <row r="5" spans="1:2">
      <c r="A5" s="1"/>
    </row>
    <row r="6" spans="1:2">
      <c r="A6" s="4" t="s">
        <v>45</v>
      </c>
    </row>
    <row r="7" spans="1:2">
      <c r="A7" s="1" t="s">
        <v>46</v>
      </c>
      <c r="B7" s="12">
        <f>_xlfn.BINOM.DIST(B$2, B$3, B$4, FALSE)</f>
        <v>7.4317824000000032E-2</v>
      </c>
    </row>
    <row r="8" spans="1:2">
      <c r="A8" s="1" t="s">
        <v>50</v>
      </c>
      <c r="B8" s="12">
        <f>_xlfn.BINOM.DIST(B$2 - 1, B$3, B$4, TRUE)</f>
        <v>2.5034752000000014E-2</v>
      </c>
    </row>
    <row r="9" spans="1:2">
      <c r="A9" s="1" t="s">
        <v>47</v>
      </c>
      <c r="B9" s="12">
        <f>_xlfn.BINOM.DIST(B$2, B$3, B$4, TRUE)</f>
        <v>9.935257600000004E-2</v>
      </c>
    </row>
    <row r="10" spans="1:2">
      <c r="A10" s="1" t="s">
        <v>48</v>
      </c>
      <c r="B10" s="12">
        <f xml:space="preserve"> 1 - B9</f>
        <v>0.90064742399999997</v>
      </c>
    </row>
    <row r="11" spans="1:2">
      <c r="A11" s="1" t="s">
        <v>49</v>
      </c>
      <c r="B11">
        <f>1 - _xlfn.BINOM.DIST(B$2 - 1, B$3, B$4, FALSE)</f>
        <v>0.97876633599999996</v>
      </c>
    </row>
    <row r="13" spans="1:2">
      <c r="A13" s="1"/>
      <c r="B13">
        <f>_xlfn.BINOM.DIST(8, B$3, B$4, FALSE)</f>
        <v>6.0466175999999983E-2</v>
      </c>
    </row>
    <row r="14" spans="1:2">
      <c r="A14" s="1"/>
      <c r="B14">
        <f>_xlfn.BINOM.DIST(6, B$3, B$4, FALSE)</f>
        <v>0.25082265600000003</v>
      </c>
    </row>
    <row r="15" spans="1:2">
      <c r="A15" s="1"/>
      <c r="B15">
        <f>_xlfn.BINOM.DIST(7, B$3, B$4, FALSE)</f>
        <v>0.16124313599999995</v>
      </c>
    </row>
    <row r="16" spans="1:2">
      <c r="B16">
        <f>SUM(B13:B15)</f>
        <v>0.47253196799999997</v>
      </c>
    </row>
    <row r="18" spans="1:1" ht="17">
      <c r="A18" s="15" t="s">
        <v>53</v>
      </c>
    </row>
    <row r="19" spans="1:1" ht="17">
      <c r="A19" s="15" t="s">
        <v>64</v>
      </c>
    </row>
    <row r="20" spans="1:1" ht="17">
      <c r="A20" s="1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64C7-EB3F-884D-A423-6A64CF5D743E}">
  <dimension ref="A1:E6"/>
  <sheetViews>
    <sheetView workbookViewId="0">
      <selection activeCell="B4" sqref="B4"/>
    </sheetView>
  </sheetViews>
  <sheetFormatPr baseColWidth="10" defaultRowHeight="16"/>
  <cols>
    <col min="4" max="4" width="17.6640625" customWidth="1"/>
  </cols>
  <sheetData>
    <row r="1" spans="1:5">
      <c r="A1" s="6" t="s">
        <v>19</v>
      </c>
      <c r="B1" s="6"/>
      <c r="C1" s="6"/>
    </row>
    <row r="2" spans="1:5">
      <c r="A2" s="22" t="s">
        <v>20</v>
      </c>
      <c r="B2" s="23">
        <v>150</v>
      </c>
      <c r="C2" s="6"/>
      <c r="D2" s="22" t="s">
        <v>22</v>
      </c>
      <c r="E2" s="19">
        <f>B2*B3</f>
        <v>63</v>
      </c>
    </row>
    <row r="3" spans="1:5">
      <c r="A3" s="22" t="s">
        <v>21</v>
      </c>
      <c r="B3" s="23">
        <v>0.42</v>
      </c>
      <c r="C3" s="6"/>
      <c r="D3" s="22" t="s">
        <v>23</v>
      </c>
      <c r="E3" s="19">
        <f>SQRT((B2*B3)*(1-B3))</f>
        <v>6.044832503882966</v>
      </c>
    </row>
    <row r="4" spans="1:5">
      <c r="A4" s="6"/>
      <c r="B4" s="6"/>
      <c r="C4" s="6"/>
    </row>
    <row r="5" spans="1:5">
      <c r="C5" s="6"/>
    </row>
    <row r="6" spans="1:5">
      <c r="C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3183-3309-E141-80C9-0F546E3ED993}">
  <dimension ref="A6:D17"/>
  <sheetViews>
    <sheetView workbookViewId="0">
      <selection activeCell="D10" sqref="D10"/>
    </sheetView>
  </sheetViews>
  <sheetFormatPr baseColWidth="10" defaultRowHeight="16"/>
  <sheetData>
    <row r="6" spans="1:4">
      <c r="C6" s="27" t="s">
        <v>86</v>
      </c>
    </row>
    <row r="7" spans="1:4">
      <c r="C7" s="26">
        <f>SUM(C10:C17)</f>
        <v>1.6335</v>
      </c>
      <c r="D7" t="s">
        <v>85</v>
      </c>
    </row>
    <row r="9" spans="1:4">
      <c r="A9" t="s">
        <v>0</v>
      </c>
      <c r="B9" t="s">
        <v>1</v>
      </c>
      <c r="C9" t="s">
        <v>58</v>
      </c>
      <c r="D9" t="s">
        <v>87</v>
      </c>
    </row>
    <row r="10" spans="1:4">
      <c r="A10" s="7">
        <v>0</v>
      </c>
      <c r="B10">
        <v>0.1663</v>
      </c>
      <c r="C10">
        <f>A10*B10</f>
        <v>0</v>
      </c>
    </row>
    <row r="11" spans="1:4">
      <c r="A11" s="7">
        <v>1</v>
      </c>
      <c r="B11">
        <v>0.34200000000000003</v>
      </c>
      <c r="C11">
        <f t="shared" ref="C11:C17" si="0">A11*B11</f>
        <v>0.34200000000000003</v>
      </c>
    </row>
    <row r="12" spans="1:4">
      <c r="A12" s="7">
        <v>2</v>
      </c>
      <c r="B12">
        <v>0.27660000000000001</v>
      </c>
      <c r="C12">
        <f t="shared" si="0"/>
        <v>0.55320000000000003</v>
      </c>
    </row>
    <row r="13" spans="1:4">
      <c r="A13">
        <v>3</v>
      </c>
      <c r="B13">
        <v>0.14960000000000001</v>
      </c>
      <c r="C13">
        <f t="shared" si="0"/>
        <v>0.44880000000000003</v>
      </c>
    </row>
    <row r="14" spans="1:4">
      <c r="A14">
        <v>4</v>
      </c>
      <c r="B14">
        <v>3.7999999999999999E-2</v>
      </c>
      <c r="C14">
        <f t="shared" si="0"/>
        <v>0.152</v>
      </c>
    </row>
    <row r="15" spans="1:4">
      <c r="A15">
        <v>5</v>
      </c>
      <c r="B15">
        <v>2.75E-2</v>
      </c>
      <c r="C15">
        <f t="shared" si="0"/>
        <v>0.13750000000000001</v>
      </c>
    </row>
    <row r="16" spans="1:4">
      <c r="C16">
        <f t="shared" si="0"/>
        <v>0</v>
      </c>
    </row>
    <row r="17" spans="3:3">
      <c r="C1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251E-A9B7-7F4B-A78E-2F9C7E161BB7}">
  <dimension ref="A1:H57"/>
  <sheetViews>
    <sheetView zoomScale="85" workbookViewId="0">
      <selection activeCell="J19" sqref="J19"/>
    </sheetView>
  </sheetViews>
  <sheetFormatPr baseColWidth="10" defaultRowHeight="16"/>
  <cols>
    <col min="1" max="1" width="17.1640625" customWidth="1"/>
    <col min="2" max="2" width="14.1640625" customWidth="1"/>
    <col min="3" max="3" width="15" customWidth="1"/>
  </cols>
  <sheetData>
    <row r="1" spans="1:8" ht="17">
      <c r="A1" s="15" t="s">
        <v>51</v>
      </c>
    </row>
    <row r="2" spans="1:8" ht="17">
      <c r="A2" s="15" t="s">
        <v>52</v>
      </c>
    </row>
    <row r="3" spans="1:8" ht="17">
      <c r="A3" s="15" t="s">
        <v>63</v>
      </c>
    </row>
    <row r="5" spans="1:8" ht="17">
      <c r="A5" s="21" t="s">
        <v>99</v>
      </c>
      <c r="G5" s="4" t="s">
        <v>100</v>
      </c>
    </row>
    <row r="6" spans="1:8" ht="17">
      <c r="A6" s="21" t="s">
        <v>62</v>
      </c>
      <c r="B6" s="29">
        <v>0.12</v>
      </c>
      <c r="G6" t="s">
        <v>101</v>
      </c>
      <c r="H6">
        <v>0.12</v>
      </c>
    </row>
    <row r="7" spans="1:8">
      <c r="B7" s="2"/>
      <c r="G7" t="s">
        <v>102</v>
      </c>
      <c r="H7">
        <v>14</v>
      </c>
    </row>
    <row r="8" spans="1:8" ht="17">
      <c r="A8" s="21" t="s">
        <v>59</v>
      </c>
      <c r="B8" s="29">
        <v>14</v>
      </c>
      <c r="G8" t="s">
        <v>91</v>
      </c>
      <c r="H8">
        <f>H6*H7</f>
        <v>1.68</v>
      </c>
    </row>
    <row r="9" spans="1:8" ht="17">
      <c r="A9" s="21" t="s">
        <v>0</v>
      </c>
      <c r="B9" s="29">
        <v>6</v>
      </c>
    </row>
    <row r="10" spans="1:8" ht="17">
      <c r="A10" s="21" t="s">
        <v>60</v>
      </c>
      <c r="B10" s="29">
        <v>1.68</v>
      </c>
      <c r="C10" t="s">
        <v>105</v>
      </c>
      <c r="D10">
        <f>B6*B8</f>
        <v>1.68</v>
      </c>
      <c r="G10" t="s">
        <v>0</v>
      </c>
      <c r="H10">
        <v>6</v>
      </c>
    </row>
    <row r="11" spans="1:8" ht="26">
      <c r="A11" s="24" t="s">
        <v>61</v>
      </c>
      <c r="B11" s="2"/>
      <c r="G11" t="s">
        <v>92</v>
      </c>
    </row>
    <row r="12" spans="1:8" ht="17">
      <c r="A12" s="21" t="s">
        <v>92</v>
      </c>
      <c r="B12" s="29">
        <f>_xlfn.POISSON.DIST(B9,B10, FALSE)</f>
        <v>5.8198054157415332E-3</v>
      </c>
      <c r="G12" t="s">
        <v>103</v>
      </c>
    </row>
    <row r="13" spans="1:8" ht="17">
      <c r="A13" s="21" t="s">
        <v>93</v>
      </c>
      <c r="B13" s="29">
        <f>_xlfn.POISSON.DIST(B9 - 1, B10, TRUE)</f>
        <v>0.99242454151988369</v>
      </c>
      <c r="G13" t="s">
        <v>104</v>
      </c>
    </row>
    <row r="14" spans="1:8" ht="17">
      <c r="A14" s="21" t="s">
        <v>94</v>
      </c>
      <c r="B14" s="29">
        <f>1 - B13</f>
        <v>7.575458480116315E-3</v>
      </c>
    </row>
    <row r="16" spans="1:8" ht="17">
      <c r="A16" s="21" t="s">
        <v>95</v>
      </c>
      <c r="B16">
        <v>4</v>
      </c>
    </row>
    <row r="17" spans="1:3" ht="17">
      <c r="A17" s="21" t="s">
        <v>96</v>
      </c>
      <c r="B17">
        <v>7</v>
      </c>
    </row>
    <row r="18" spans="1:3" ht="17">
      <c r="A18" s="21" t="s">
        <v>98</v>
      </c>
    </row>
    <row r="19" spans="1:3">
      <c r="A19" s="16">
        <f>B16</f>
        <v>4</v>
      </c>
      <c r="B19">
        <f>_xlfn.POISSON.DIST(A19, B$10, FALSE)</f>
        <v>6.1860176612899005E-2</v>
      </c>
      <c r="C19" t="str">
        <f>IF(A19&gt;B$17,"ERASE","")</f>
        <v/>
      </c>
    </row>
    <row r="20" spans="1:3">
      <c r="A20" s="16">
        <f>A19+1</f>
        <v>5</v>
      </c>
      <c r="B20">
        <f t="shared" ref="B20:B26" si="0">_xlfn.POISSON.DIST(A20, B$10, FALSE)</f>
        <v>2.0785019341934056E-2</v>
      </c>
      <c r="C20" t="str">
        <f t="shared" ref="C20:C26" si="1">IF(A20&gt;B$17,"ERASE","")</f>
        <v/>
      </c>
    </row>
    <row r="21" spans="1:3">
      <c r="A21" s="16">
        <f t="shared" ref="A21:A26" si="2">A20+1</f>
        <v>6</v>
      </c>
      <c r="B21">
        <f t="shared" si="0"/>
        <v>5.8198054157415332E-3</v>
      </c>
      <c r="C21" t="str">
        <f t="shared" si="1"/>
        <v/>
      </c>
    </row>
    <row r="22" spans="1:3">
      <c r="A22" s="16">
        <f t="shared" si="2"/>
        <v>7</v>
      </c>
      <c r="B22">
        <f t="shared" si="0"/>
        <v>1.3967532997779695E-3</v>
      </c>
      <c r="C22" t="str">
        <f t="shared" si="1"/>
        <v/>
      </c>
    </row>
    <row r="23" spans="1:3">
      <c r="A23" s="16">
        <f t="shared" si="2"/>
        <v>8</v>
      </c>
      <c r="B23">
        <f t="shared" si="0"/>
        <v>2.9331819295337359E-4</v>
      </c>
      <c r="C23" t="str">
        <f t="shared" si="1"/>
        <v>ERASE</v>
      </c>
    </row>
    <row r="24" spans="1:3">
      <c r="A24" s="16">
        <f t="shared" si="2"/>
        <v>9</v>
      </c>
      <c r="B24">
        <f t="shared" si="0"/>
        <v>5.4752729351296345E-5</v>
      </c>
      <c r="C24" t="str">
        <f t="shared" si="1"/>
        <v>ERASE</v>
      </c>
    </row>
    <row r="25" spans="1:3">
      <c r="A25" s="16">
        <f t="shared" si="2"/>
        <v>10</v>
      </c>
      <c r="B25">
        <f t="shared" si="0"/>
        <v>9.1984585310177959E-6</v>
      </c>
      <c r="C25" t="str">
        <f t="shared" si="1"/>
        <v>ERASE</v>
      </c>
    </row>
    <row r="26" spans="1:3">
      <c r="A26" s="16">
        <f t="shared" si="2"/>
        <v>11</v>
      </c>
      <c r="B26">
        <f t="shared" si="0"/>
        <v>1.4048554847372632E-6</v>
      </c>
      <c r="C26" t="str">
        <f t="shared" si="1"/>
        <v>ERASE</v>
      </c>
    </row>
    <row r="27" spans="1:3">
      <c r="A27" s="25" t="s">
        <v>97</v>
      </c>
      <c r="B27" s="20">
        <f>SUMIF(C19:C26,"",B19:B26)</f>
        <v>8.9861754670352567E-2</v>
      </c>
    </row>
    <row r="39" spans="1:5">
      <c r="A39" s="28" t="s">
        <v>88</v>
      </c>
    </row>
    <row r="40" spans="1:5">
      <c r="A40" t="s">
        <v>89</v>
      </c>
      <c r="B40">
        <v>37</v>
      </c>
    </row>
    <row r="41" spans="1:5">
      <c r="A41" t="s">
        <v>90</v>
      </c>
      <c r="B41">
        <v>106</v>
      </c>
      <c r="E41">
        <f>_xlfn.POISSON.DIST(6, 7.2, FALSE)</f>
        <v>0.14445820444290103</v>
      </c>
    </row>
    <row r="42" spans="1:5">
      <c r="A42">
        <v>0.34905660379999998</v>
      </c>
    </row>
    <row r="46" spans="1:5">
      <c r="A46" t="s">
        <v>106</v>
      </c>
    </row>
    <row r="47" spans="1:5">
      <c r="A47" t="s">
        <v>107</v>
      </c>
      <c r="B47" s="20">
        <v>0.8</v>
      </c>
    </row>
    <row r="48" spans="1:5">
      <c r="A48" t="s">
        <v>108</v>
      </c>
      <c r="B48" s="20">
        <v>9</v>
      </c>
    </row>
    <row r="49" spans="1:2">
      <c r="A49" t="s">
        <v>91</v>
      </c>
      <c r="B49">
        <f>B47*B48</f>
        <v>7.2</v>
      </c>
    </row>
    <row r="51" spans="1:2">
      <c r="A51" t="s">
        <v>0</v>
      </c>
      <c r="B51">
        <v>8</v>
      </c>
    </row>
    <row r="52" spans="1:2">
      <c r="A52" t="s">
        <v>92</v>
      </c>
      <c r="B52">
        <f>_xlfn.POISSON.DIST(B51, B49, FALSE)</f>
        <v>0.13372702354142837</v>
      </c>
    </row>
    <row r="53" spans="1:2">
      <c r="A53" t="s">
        <v>109</v>
      </c>
      <c r="B53">
        <f>_xlfn.POISSON.DIST(B51 - 1, B49, TRUE)</f>
        <v>0.56894123888215242</v>
      </c>
    </row>
    <row r="54" spans="1:2">
      <c r="A54" t="s">
        <v>94</v>
      </c>
      <c r="B54">
        <f xml:space="preserve"> 1 - B53</f>
        <v>0.43105876111784758</v>
      </c>
    </row>
    <row r="56" spans="1:2">
      <c r="A56">
        <f>_xlfn.POISSON.DIST(1, 7.2, FALSE)</f>
        <v>5.3754178203120903E-3</v>
      </c>
    </row>
    <row r="57" spans="1:2">
      <c r="A57">
        <f xml:space="preserve"> 1 - A56</f>
        <v>0.99462458217968786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Variable x</vt:lpstr>
      <vt:lpstr>Normal Distribution</vt:lpstr>
      <vt:lpstr>Binomial Probability</vt:lpstr>
      <vt:lpstr>x &amp; Probability</vt:lpstr>
      <vt:lpstr>Expected Value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2020-05-29T16:25:00Z</dcterms:created>
  <dcterms:modified xsi:type="dcterms:W3CDTF">2020-06-06T21:09:11Z</dcterms:modified>
</cp:coreProperties>
</file>