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giovanninoa/Desktop/wednesday/Statistics-Sheet/"/>
    </mc:Choice>
  </mc:AlternateContent>
  <xr:revisionPtr revIDLastSave="0" documentId="13_ncr:1_{346F50BC-948E-0C47-A067-B3FB31A18EAB}" xr6:coauthVersionLast="45" xr6:coauthVersionMax="45" xr10:uidLastSave="{00000000-0000-0000-0000-000000000000}"/>
  <bookViews>
    <workbookView xWindow="17620" yWindow="460" windowWidth="12920" windowHeight="18740" firstSheet="6" activeTab="7" xr2:uid="{34D5F05A-A698-714B-8EF6-AC36EAC16669}"/>
  </bookViews>
  <sheets>
    <sheet name="Random Variable x" sheetId="1" r:id="rId1"/>
    <sheet name="Chapter 10" sheetId="11" r:id="rId2"/>
    <sheet name="Normal Distribution - Z-score" sheetId="6" r:id="rId3"/>
    <sheet name="Chapter 9" sheetId="9" r:id="rId4"/>
    <sheet name="t-values" sheetId="10" r:id="rId5"/>
    <sheet name="Histogram" sheetId="13" r:id="rId6"/>
    <sheet name="Quartiles" sheetId="12" r:id="rId7"/>
    <sheet name="Chapter 8 (also normal)" sheetId="8" r:id="rId8"/>
    <sheet name="Binomial Probability" sheetId="2" r:id="rId9"/>
    <sheet name="x &amp; Probability" sheetId="4" r:id="rId10"/>
    <sheet name="Expected Value" sheetId="5" r:id="rId11"/>
    <sheet name="Poisson"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8" l="1"/>
  <c r="I13" i="8"/>
  <c r="I8" i="8"/>
  <c r="P15" i="11" l="1"/>
  <c r="AB22" i="11"/>
  <c r="AB21" i="11"/>
  <c r="AB19" i="11"/>
  <c r="AB18" i="11"/>
  <c r="AB10" i="11"/>
  <c r="AB8" i="11"/>
  <c r="AB12" i="11" s="1"/>
  <c r="AB14" i="11" s="1"/>
  <c r="AB15" i="11" s="1"/>
  <c r="P8" i="11"/>
  <c r="P9" i="11"/>
  <c r="P11" i="11"/>
  <c r="T8" i="6"/>
  <c r="N5" i="9"/>
  <c r="B10" i="6"/>
  <c r="B8" i="6"/>
  <c r="M6" i="8"/>
  <c r="Y21" i="12"/>
  <c r="X4" i="12"/>
  <c r="X3" i="12"/>
  <c r="X2" i="12"/>
  <c r="D9" i="12"/>
  <c r="D7" i="12"/>
  <c r="X1" i="12"/>
  <c r="Y19" i="12" s="1"/>
  <c r="P13" i="11" l="1"/>
  <c r="P17" i="11" s="1"/>
  <c r="Y13" i="12"/>
  <c r="Y14" i="12"/>
  <c r="Y15" i="12"/>
  <c r="Y18" i="12"/>
  <c r="Y11" i="12"/>
  <c r="Y12" i="12"/>
  <c r="Y16" i="12"/>
  <c r="Y17" i="12"/>
  <c r="C7" i="13"/>
  <c r="D7" i="13"/>
  <c r="E7" i="13"/>
  <c r="F7" i="13" s="1"/>
  <c r="C8" i="13"/>
  <c r="D8" i="13"/>
  <c r="E8" i="13"/>
  <c r="C9" i="13"/>
  <c r="D9" i="13"/>
  <c r="E9" i="13"/>
  <c r="C10" i="13"/>
  <c r="D10" i="13"/>
  <c r="E10" i="13"/>
  <c r="F14" i="13"/>
  <c r="F8" i="13" s="1"/>
  <c r="D3" i="12"/>
  <c r="D4" i="12"/>
  <c r="D5" i="12"/>
  <c r="D8" i="12"/>
  <c r="F9" i="13" l="1"/>
  <c r="K12" i="11"/>
  <c r="K13" i="11" s="1"/>
  <c r="D11" i="12" l="1"/>
  <c r="U14" i="11"/>
  <c r="U15" i="11" s="1"/>
  <c r="U17" i="11" s="1"/>
  <c r="U12" i="11"/>
  <c r="K20" i="11"/>
  <c r="K18" i="11"/>
  <c r="K19" i="11" s="1"/>
  <c r="C36" i="11"/>
  <c r="K15" i="11"/>
  <c r="C33" i="11"/>
  <c r="C34" i="11" s="1"/>
  <c r="C31" i="11"/>
  <c r="G16" i="11"/>
  <c r="G17" i="11" s="1"/>
  <c r="G19" i="11" s="1"/>
  <c r="G25" i="11" s="1"/>
  <c r="G26" i="11" s="1"/>
  <c r="C16" i="11"/>
  <c r="C18" i="11" s="1"/>
  <c r="C20" i="11" s="1"/>
  <c r="C21" i="11" s="1"/>
  <c r="C22" i="11" s="1"/>
  <c r="G13" i="11"/>
  <c r="G14" i="11" s="1"/>
  <c r="C13" i="11"/>
  <c r="C14" i="11" s="1"/>
  <c r="C39" i="11" l="1"/>
  <c r="C38" i="11"/>
  <c r="I22" i="10" l="1"/>
  <c r="I9" i="10"/>
  <c r="C23" i="10"/>
  <c r="C24" i="10" s="1"/>
  <c r="C26" i="10" s="1"/>
  <c r="C13" i="10"/>
  <c r="C14" i="10" s="1"/>
  <c r="F10" i="10"/>
  <c r="F11" i="10" s="1"/>
  <c r="I10" i="10"/>
  <c r="C8" i="10"/>
  <c r="C9" i="10" s="1"/>
  <c r="F12" i="10" l="1"/>
  <c r="F13" i="10"/>
  <c r="I10" i="9"/>
  <c r="I9" i="9"/>
  <c r="C19" i="9"/>
  <c r="C21" i="9" s="1"/>
  <c r="F18" i="9"/>
  <c r="C18" i="9"/>
  <c r="F11" i="9"/>
  <c r="F12" i="9" s="1"/>
  <c r="F10" i="9"/>
  <c r="F9" i="9"/>
  <c r="I8" i="9"/>
  <c r="C8" i="9"/>
  <c r="F7" i="9"/>
  <c r="C7" i="9"/>
  <c r="F6" i="9"/>
  <c r="F13" i="9" s="1"/>
  <c r="C20" i="9" l="1"/>
  <c r="AA4" i="6"/>
  <c r="AA5" i="6" s="1"/>
  <c r="F3" i="8" l="1"/>
  <c r="E23" i="8"/>
  <c r="B7" i="8" l="1"/>
  <c r="B11" i="8" s="1"/>
  <c r="B16" i="8" s="1"/>
  <c r="F12" i="8" l="1"/>
  <c r="F6" i="8"/>
  <c r="B10" i="8"/>
  <c r="B17" i="8"/>
  <c r="B6" i="8"/>
  <c r="X7" i="6"/>
  <c r="W7" i="6"/>
  <c r="T6" i="6"/>
  <c r="K28" i="6"/>
  <c r="K27" i="6"/>
  <c r="K9" i="6"/>
  <c r="Q22" i="6"/>
  <c r="Q19" i="6"/>
  <c r="Q31" i="6"/>
  <c r="B16" i="6"/>
  <c r="B15" i="6"/>
  <c r="B18" i="6" s="1"/>
  <c r="B14" i="6"/>
  <c r="AI6" i="6"/>
  <c r="AE4" i="6"/>
  <c r="K7" i="6"/>
  <c r="P10" i="6"/>
  <c r="Q3" i="6"/>
  <c r="H4" i="6"/>
  <c r="H5" i="6"/>
  <c r="B27" i="3"/>
  <c r="B26" i="3"/>
  <c r="B25" i="3"/>
  <c r="B24" i="3"/>
  <c r="B23" i="3"/>
  <c r="B22" i="3"/>
  <c r="B21" i="3"/>
  <c r="B20" i="3"/>
  <c r="C26" i="3"/>
  <c r="C25" i="3"/>
  <c r="C24" i="3"/>
  <c r="C23" i="3"/>
  <c r="C22" i="3"/>
  <c r="C21" i="3"/>
  <c r="C20" i="3"/>
  <c r="C19" i="3"/>
  <c r="A19" i="3"/>
  <c r="B19" i="3" s="1"/>
  <c r="A56" i="3"/>
  <c r="A57" i="3" s="1"/>
  <c r="B49" i="3"/>
  <c r="B53" i="3" s="1"/>
  <c r="B54" i="3" s="1"/>
  <c r="E41" i="3"/>
  <c r="D10" i="3"/>
  <c r="H8" i="3"/>
  <c r="C17" i="5"/>
  <c r="C16" i="5"/>
  <c r="C15" i="5"/>
  <c r="C14" i="5"/>
  <c r="C13" i="5"/>
  <c r="C12" i="5"/>
  <c r="C11" i="5"/>
  <c r="C10" i="5"/>
  <c r="C7" i="5" s="1"/>
  <c r="E18" i="6"/>
  <c r="E12" i="6"/>
  <c r="E10" i="6"/>
  <c r="E13" i="6" s="1"/>
  <c r="E7" i="6"/>
  <c r="Q5" i="6" l="1"/>
  <c r="Q7" i="6" s="1"/>
  <c r="B13" i="8"/>
  <c r="B14" i="8" s="1"/>
  <c r="F9" i="8"/>
  <c r="F7" i="8"/>
  <c r="F13" i="8" s="1"/>
  <c r="F14" i="8" s="1"/>
  <c r="F15" i="8" s="1"/>
  <c r="B23" i="8"/>
  <c r="B24" i="8"/>
  <c r="K26" i="6"/>
  <c r="K14" i="6"/>
  <c r="Q8" i="6"/>
  <c r="H6" i="6"/>
  <c r="A20" i="3"/>
  <c r="B52" i="3"/>
  <c r="E15" i="6"/>
  <c r="B13" i="2"/>
  <c r="B15" i="2"/>
  <c r="B14" i="2"/>
  <c r="U9" i="1"/>
  <c r="U10" i="1"/>
  <c r="U11" i="1"/>
  <c r="E3" i="4"/>
  <c r="E2" i="4"/>
  <c r="AL7" i="1"/>
  <c r="B12" i="3"/>
  <c r="I3" i="1"/>
  <c r="J10" i="1" s="1"/>
  <c r="L10" i="1" s="1"/>
  <c r="B11" i="2"/>
  <c r="B8" i="2"/>
  <c r="B9" i="2"/>
  <c r="B10" i="2" s="1"/>
  <c r="B7" i="2"/>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D14" i="1"/>
  <c r="D13" i="1"/>
  <c r="D12" i="1"/>
  <c r="D11" i="1"/>
  <c r="D10" i="1"/>
  <c r="D9" i="1"/>
  <c r="D8" i="1"/>
  <c r="D7" i="1"/>
  <c r="B26" i="8" l="1"/>
  <c r="K15" i="6"/>
  <c r="K18" i="6" s="1"/>
  <c r="K22" i="6" s="1"/>
  <c r="K17" i="6"/>
  <c r="K21" i="6" s="1"/>
  <c r="A21" i="3"/>
  <c r="B13" i="3"/>
  <c r="B14" i="3" s="1"/>
  <c r="B16" i="2"/>
  <c r="J11" i="1"/>
  <c r="K10" i="1"/>
  <c r="J7" i="1"/>
  <c r="J8" i="1"/>
  <c r="J9" i="1"/>
  <c r="D3" i="1"/>
  <c r="AM12" i="1"/>
  <c r="AM15" i="1" s="1"/>
  <c r="AL4" i="1"/>
  <c r="A22" i="3" l="1"/>
  <c r="K9" i="1"/>
  <c r="L9" i="1"/>
  <c r="K8" i="1"/>
  <c r="L8" i="1"/>
  <c r="L7" i="1"/>
  <c r="L13" i="1" s="1"/>
  <c r="I5" i="1" s="1"/>
  <c r="K7" i="1"/>
  <c r="I4" i="1" s="1"/>
  <c r="L11" i="1"/>
  <c r="K11" i="1"/>
  <c r="J13" i="1"/>
  <c r="Z31" i="1"/>
  <c r="Z30" i="1"/>
  <c r="Z29" i="1"/>
  <c r="U19" i="1"/>
  <c r="U18" i="1"/>
  <c r="U17" i="1"/>
  <c r="U16" i="1"/>
  <c r="U15" i="1"/>
  <c r="U14" i="1"/>
  <c r="U13" i="1"/>
  <c r="U12" i="1"/>
  <c r="W32" i="1"/>
  <c r="X13" i="1"/>
  <c r="V31" i="1"/>
  <c r="V29" i="1"/>
  <c r="V28" i="1"/>
  <c r="V27" i="1"/>
  <c r="V26" i="1"/>
  <c r="V25" i="1"/>
  <c r="V24" i="1"/>
  <c r="V23" i="1"/>
  <c r="X12" i="1"/>
  <c r="AA4" i="1"/>
  <c r="A23" i="3" l="1"/>
  <c r="A24" i="3" s="1"/>
  <c r="A25" i="3" s="1"/>
  <c r="A26" i="3" s="1"/>
  <c r="Z32" i="1"/>
  <c r="X4" i="1"/>
  <c r="C7" i="1"/>
  <c r="D2" i="1" s="1"/>
  <c r="D4" i="1" l="1"/>
</calcChain>
</file>

<file path=xl/sharedStrings.xml><?xml version="1.0" encoding="utf-8"?>
<sst xmlns="http://schemas.openxmlformats.org/spreadsheetml/2006/main" count="535" uniqueCount="397">
  <si>
    <t>x</t>
  </si>
  <si>
    <t>P(x)</t>
  </si>
  <si>
    <t>x * P(X)</t>
  </si>
  <si>
    <t>mean -&gt;</t>
  </si>
  <si>
    <t>x^2 * P(x)</t>
  </si>
  <si>
    <t>sum of X^2 * P(x) -&gt;</t>
  </si>
  <si>
    <t>SQRT(SUM(X^2 * P(x)) - mean ^2 -&gt;</t>
  </si>
  <si>
    <t>Mean and Standard Deviation Approximation of a random variable x</t>
  </si>
  <si>
    <t>Binomial Probability Distribution Function. p, n, x</t>
  </si>
  <si>
    <t>N -&gt;</t>
  </si>
  <si>
    <t xml:space="preserve">p -&gt; </t>
  </si>
  <si>
    <t>x -&gt;</t>
  </si>
  <si>
    <t>(x, n, p, bool)</t>
  </si>
  <si>
    <t>BINOM.DIST bool is false if we only want to find exactly x number of. We change to true if we want x or fewer or if it's continuous</t>
  </si>
  <si>
    <t xml:space="preserve">binom distribution </t>
  </si>
  <si>
    <t>cont</t>
  </si>
  <si>
    <t>if it's P(x &lt; 3) then x cell val must be 2</t>
  </si>
  <si>
    <t>BINOM -&gt;</t>
  </si>
  <si>
    <t xml:space="preserve">Between X and Y </t>
  </si>
  <si>
    <t>Mu sub X (n * p) -&gt;</t>
  </si>
  <si>
    <t>n</t>
  </si>
  <si>
    <t>p</t>
  </si>
  <si>
    <t>Mean</t>
  </si>
  <si>
    <t>Standard Deviation</t>
  </si>
  <si>
    <t>Construct a binomial probability distribution with the given parameters</t>
  </si>
  <si>
    <t>X</t>
  </si>
  <si>
    <t>Result (Px)</t>
  </si>
  <si>
    <t>n -&gt;</t>
  </si>
  <si>
    <t>p -&gt;</t>
  </si>
  <si>
    <t>Poisson Distribution</t>
  </si>
  <si>
    <t>lambda -&gt;</t>
  </si>
  <si>
    <t xml:space="preserve">t -&gt; </t>
  </si>
  <si>
    <t>mean (lambda * t) -&gt;</t>
  </si>
  <si>
    <t>ANS -&gt;</t>
  </si>
  <si>
    <t>for ans use (x, mean)</t>
  </si>
  <si>
    <t>Poisson v2</t>
  </si>
  <si>
    <t>ctrl + d</t>
  </si>
  <si>
    <t>lazst cell un col = cmd down arrow</t>
  </si>
  <si>
    <t>ty =]</t>
  </si>
  <si>
    <t>comma to remove sscientific notation</t>
  </si>
  <si>
    <t>make tabs</t>
  </si>
  <si>
    <t xml:space="preserve">equals = if </t>
  </si>
  <si>
    <t>diff between countif countifs</t>
  </si>
  <si>
    <t xml:space="preserve"> </t>
  </si>
  <si>
    <t>// move horizontally</t>
  </si>
  <si>
    <t>Binomial Distribution</t>
  </si>
  <si>
    <t>Exactly (==)</t>
  </si>
  <si>
    <t>Less Than or Equal to (&lt;=)</t>
  </si>
  <si>
    <t>Greater Than (&gt;)</t>
  </si>
  <si>
    <t>Great Than or Equal to (&gt;=)</t>
  </si>
  <si>
    <t>Less Than ( &lt; )</t>
  </si>
  <si>
    <t>The probability of two or more successes in any sufficiently small subinterval is 0.</t>
  </si>
  <si>
    <t>The number of successes in any interval is independent of the number of successes in any other interval provided the intervals are not overlapping.</t>
  </si>
  <si>
    <t>The experiment is performed a fixed number of times.</t>
  </si>
  <si>
    <t>Discrete Probability Distribution (FREQUENCY)</t>
  </si>
  <si>
    <t>Frequency(x)</t>
  </si>
  <si>
    <t>Frequency Sum</t>
  </si>
  <si>
    <t>P(x) sum</t>
  </si>
  <si>
    <t>x * P(x)</t>
  </si>
  <si>
    <t>Time Interval</t>
  </si>
  <si>
    <t xml:space="preserve">Mean </t>
  </si>
  <si>
    <t>Poisson</t>
  </si>
  <si>
    <t>Lambda</t>
  </si>
  <si>
    <t>The probability of success is the same for any two intervals of equal length.</t>
  </si>
  <si>
    <t>There are two mutually exclusive​ outcomes, success or failure.</t>
  </si>
  <si>
    <t>The trials are independent.</t>
  </si>
  <si>
    <t>Area under Normal Curve</t>
  </si>
  <si>
    <t>lower bound</t>
  </si>
  <si>
    <t>upper bound</t>
  </si>
  <si>
    <t>lower bound z-score</t>
  </si>
  <si>
    <t>P(ZsubLower &lt;= lowerbound z-score)</t>
  </si>
  <si>
    <t>P(ZsubHigher &lt;= upperbound z-score)</t>
  </si>
  <si>
    <t>upper bound z-score</t>
  </si>
  <si>
    <t xml:space="preserve">contains more than </t>
  </si>
  <si>
    <t>bound</t>
  </si>
  <si>
    <t>contains more than - use complement (1 - x)</t>
  </si>
  <si>
    <t>percentile - =norm.dist</t>
  </si>
  <si>
    <t>Normal Inverse (Percentile)</t>
  </si>
  <si>
    <t>Percentile</t>
  </si>
  <si>
    <t>Answer</t>
  </si>
  <si>
    <t>If the z-score is positive, add .5 to the table value</t>
  </si>
  <si>
    <t>Result</t>
  </si>
  <si>
    <t>Less than z1, greater than z2 AKA to the left of z1 to the right of z2</t>
  </si>
  <si>
    <t>&lt;- Also expected profit</t>
  </si>
  <si>
    <t>Sum(mean)</t>
  </si>
  <si>
    <t>x^2 - P(x)</t>
  </si>
  <si>
    <t>Hurricane</t>
  </si>
  <si>
    <t>direct hits</t>
  </si>
  <si>
    <t>years</t>
  </si>
  <si>
    <t>mean</t>
  </si>
  <si>
    <t>Exactly X</t>
  </si>
  <si>
    <t>Fewer Than X</t>
  </si>
  <si>
    <t>At least X</t>
  </si>
  <si>
    <t xml:space="preserve">FROM </t>
  </si>
  <si>
    <t>TO</t>
  </si>
  <si>
    <t>SUM</t>
  </si>
  <si>
    <t>(add each number as an individual entry and sum them up)</t>
  </si>
  <si>
    <t>Compute the probability between two time intervals</t>
  </si>
  <si>
    <t>Poisson with a given lambda and time interval</t>
  </si>
  <si>
    <t xml:space="preserve">lambda </t>
  </si>
  <si>
    <t>time interval</t>
  </si>
  <si>
    <t>Less Than X</t>
  </si>
  <si>
    <t>At Least X</t>
  </si>
  <si>
    <t>Computed Mean</t>
  </si>
  <si>
    <t>Food Problem</t>
  </si>
  <si>
    <t>fragment per gram</t>
  </si>
  <si>
    <t># gram sample</t>
  </si>
  <si>
    <t>Fewer than X</t>
  </si>
  <si>
    <t>Middle X%</t>
  </si>
  <si>
    <t>percentage</t>
  </si>
  <si>
    <t>% -&gt; Proportion</t>
  </si>
  <si>
    <t>Area in each tail</t>
  </si>
  <si>
    <t>lower-tail z-score</t>
  </si>
  <si>
    <t>upper-tail z-score</t>
  </si>
  <si>
    <t>Ex: The mean incubation time of fertilized eggs is 19 days. Suppose the incubation times are approximately normally distributed with a standard deviation of 1 day. Determine the 11th percentile for incubation times.</t>
  </si>
  <si>
    <t>X1 (area to the left of the %precentile)</t>
  </si>
  <si>
    <t>x2(area of left + percentile)</t>
  </si>
  <si>
    <t>Proportion of Percentile</t>
  </si>
  <si>
    <t>Zsub1</t>
  </si>
  <si>
    <t>Zsub2</t>
  </si>
  <si>
    <t>(1 - alpha)</t>
  </si>
  <si>
    <t>z-score</t>
  </si>
  <si>
    <t>Simple Z-score to area</t>
  </si>
  <si>
    <t>α</t>
  </si>
  <si>
    <t>Zα</t>
  </si>
  <si>
    <t>Area (1 - α)</t>
  </si>
  <si>
    <t>Normal Distribution on variable X w/ Mean and SD</t>
  </si>
  <si>
    <t>SD</t>
  </si>
  <si>
    <t>P(x &lt;= val)</t>
  </si>
  <si>
    <t>Answer (xth percentile)</t>
  </si>
  <si>
    <t>Probability of a Normal Random Variable</t>
  </si>
  <si>
    <t>lower</t>
  </si>
  <si>
    <t>upper</t>
  </si>
  <si>
    <t>P(lower &lt;= x &lt;= upper)</t>
  </si>
  <si>
    <t>p(x &lt; lower)</t>
  </si>
  <si>
    <t>(Make sure to change values for certain individual questions)</t>
  </si>
  <si>
    <t>p (x &gt; upper)</t>
  </si>
  <si>
    <t>Percentile (change lower bound)</t>
  </si>
  <si>
    <t>Middle X% w/ Mean &amp; SD</t>
  </si>
  <si>
    <t>Percentage</t>
  </si>
  <si>
    <t>Proportion</t>
  </si>
  <si>
    <t>X (Answer)</t>
  </si>
  <si>
    <t>Middle %</t>
  </si>
  <si>
    <t>middle Proportion</t>
  </si>
  <si>
    <t>X1 (lower-bound)</t>
  </si>
  <si>
    <t>X2 (upper-bound)</t>
  </si>
  <si>
    <t>IQR</t>
  </si>
  <si>
    <t>Q1</t>
  </si>
  <si>
    <t>Q3</t>
  </si>
  <si>
    <t>Time Requred, mean, SD, x</t>
  </si>
  <si>
    <t>x (minutes)</t>
  </si>
  <si>
    <t>Percent(x &gt; time)</t>
  </si>
  <si>
    <t>​for later: (b) If the automotive center does not want to give the discount to more than 55% of its​ customers, how long should it make the guaranteed time​ limit?</t>
  </si>
  <si>
    <t>Score A</t>
  </si>
  <si>
    <t>Score B</t>
  </si>
  <si>
    <t>Z-score</t>
  </si>
  <si>
    <t>Find val of Zα</t>
  </si>
  <si>
    <t>X Bar</t>
  </si>
  <si>
    <t>sample size</t>
  </si>
  <si>
    <t>mean x bar</t>
  </si>
  <si>
    <t>Central limit theorem states that a sample distribution has a normal distribution shape</t>
  </si>
  <si>
    <t>Between a range</t>
  </si>
  <si>
    <t xml:space="preserve">lower bound z-score </t>
  </si>
  <si>
    <t>P(lower-bound &lt; X &lt; upper-bound)</t>
  </si>
  <si>
    <t>sample size (n)</t>
  </si>
  <si>
    <t>z-score for I (using normal SD)</t>
  </si>
  <si>
    <t>z-score for i (using bar SD)</t>
  </si>
  <si>
    <t>bar P(X &lt; i val)</t>
  </si>
  <si>
    <t>bar P(X &gt; i val)</t>
  </si>
  <si>
    <t>normal P(x &lt; I val)</t>
  </si>
  <si>
    <t>normal P(x &gt; I val)</t>
  </si>
  <si>
    <t>Sample Proportion</t>
  </si>
  <si>
    <t>u sub p = p</t>
  </si>
  <si>
    <t>proportion</t>
  </si>
  <si>
    <t>if &gt; 10, then it's approx. normal</t>
  </si>
  <si>
    <t xml:space="preserve">proportion </t>
  </si>
  <si>
    <t>P(p &gt; num)</t>
  </si>
  <si>
    <t>P(p &lt; num)</t>
  </si>
  <si>
    <t xml:space="preserve">probability that more/less than </t>
  </si>
  <si>
    <t>between mintues</t>
  </si>
  <si>
    <t>Level of Confidence</t>
  </si>
  <si>
    <t xml:space="preserve">find the population portion </t>
  </si>
  <si>
    <t>level of confidence</t>
  </si>
  <si>
    <t>point estimate</t>
  </si>
  <si>
    <t xml:space="preserve">margin of error </t>
  </si>
  <si>
    <t xml:space="preserve">upper bound </t>
  </si>
  <si>
    <t>np(1-p) &gt;= 10?</t>
  </si>
  <si>
    <t xml:space="preserve">n </t>
  </si>
  <si>
    <t xml:space="preserve">percent </t>
  </si>
  <si>
    <t>E</t>
  </si>
  <si>
    <t>a/2</t>
  </si>
  <si>
    <t>critical value (z(a/2))</t>
  </si>
  <si>
    <t xml:space="preserve">lower bound </t>
  </si>
  <si>
    <t>Find sample size (n)</t>
  </si>
  <si>
    <t>margin of error (estimate) E</t>
  </si>
  <si>
    <t xml:space="preserve">sample size increse and decrese </t>
  </si>
  <si>
    <t>Confidence level</t>
  </si>
  <si>
    <t>given factor</t>
  </si>
  <si>
    <t>previous estimate (p cap)</t>
  </si>
  <si>
    <t>answer</t>
  </si>
  <si>
    <t>z of a/2</t>
  </si>
  <si>
    <t>n (prior estimate)</t>
  </si>
  <si>
    <t xml:space="preserve">Increasing the sample size by a factor M results in the margin of error decreasing by a factor of </t>
  </si>
  <si>
    <t>n (no prior estimate)</t>
  </si>
  <si>
    <t>StartFraction 1 Over StartRoot Upper M EndRoot EndFraction1M.</t>
  </si>
  <si>
    <t>Find the t-value</t>
  </si>
  <si>
    <t>Upper and Lower Bound</t>
  </si>
  <si>
    <t>Determine population mean and margin of error</t>
  </si>
  <si>
    <t>a</t>
  </si>
  <si>
    <t>df (degree of freedom)</t>
  </si>
  <si>
    <t>standard deviation</t>
  </si>
  <si>
    <t>t-value (left)</t>
  </si>
  <si>
    <t>confidence level (CI)</t>
  </si>
  <si>
    <t>t-value (right)</t>
  </si>
  <si>
    <t>Margin of Error</t>
  </si>
  <si>
    <t>t-valvue</t>
  </si>
  <si>
    <t>(a/2)</t>
  </si>
  <si>
    <t>t-value from %</t>
  </si>
  <si>
    <t xml:space="preserve">Use summary to determine the point estimate of the population mean </t>
  </si>
  <si>
    <t xml:space="preserve">mean </t>
  </si>
  <si>
    <t>Find n</t>
  </si>
  <si>
    <t>s</t>
  </si>
  <si>
    <t>CI</t>
  </si>
  <si>
    <t xml:space="preserve">comfidence level (%) </t>
  </si>
  <si>
    <t>(then you can use the 'Upper and Lower Bound' to compute by changing the standard deviation,…)</t>
  </si>
  <si>
    <t>(round up to one more value ex: 48 then should be 49)</t>
  </si>
  <si>
    <t>p-zero %</t>
  </si>
  <si>
    <t>keyword</t>
  </si>
  <si>
    <t>"is given"</t>
  </si>
  <si>
    <t xml:space="preserve">np(1-p) </t>
  </si>
  <si>
    <t xml:space="preserve">np(1-p) &gt;= 10? </t>
  </si>
  <si>
    <t>p-cap</t>
  </si>
  <si>
    <t>z-zero</t>
  </si>
  <si>
    <t>(do not round up)</t>
  </si>
  <si>
    <t>P-value</t>
  </si>
  <si>
    <t xml:space="preserve">p&gt;a? </t>
  </si>
  <si>
    <t>Find Lower and Upper Bound</t>
  </si>
  <si>
    <t xml:space="preserve">If np(1-p) &lt; 10 </t>
  </si>
  <si>
    <t>p-zero</t>
  </si>
  <si>
    <t xml:space="preserve">p-zero </t>
  </si>
  <si>
    <t xml:space="preserve">Change this -&gt;***new x value </t>
  </si>
  <si>
    <t>np-zero(1-p-zero) &gt;= 10</t>
  </si>
  <si>
    <t>z-value</t>
  </si>
  <si>
    <t xml:space="preserve">p-cap </t>
  </si>
  <si>
    <t>p (less than x)</t>
  </si>
  <si>
    <t>P-value( &gt;= )</t>
  </si>
  <si>
    <t>round up ex:  0.45 -&gt; 0.46</t>
  </si>
  <si>
    <t xml:space="preserve">P-value ( &lt;= ) </t>
  </si>
  <si>
    <t>means (u)</t>
  </si>
  <si>
    <t>x-bar (sample mean)</t>
  </si>
  <si>
    <t xml:space="preserve">s </t>
  </si>
  <si>
    <t>Is (n &gt;= 30)?</t>
  </si>
  <si>
    <t xml:space="preserve">P-value </t>
  </si>
  <si>
    <t xml:space="preserve">Reject null hypothesis? </t>
  </si>
  <si>
    <t>A​ p-value is the probability of observing the actual​ result, a sample​ mean, for​ example, or something more unusual just by chance if the null hypothesis is true.</t>
  </si>
  <si>
    <t>Type I Error: Rejecting null hypothesis (Hsub0) when Hsub0 is true</t>
  </si>
  <si>
    <t>Type II Error: Rejecting Hsub1 when Hsub1 is true. Or not rejecting Hsub0 when Hsub1 is true</t>
  </si>
  <si>
    <t>α = P(type I error) = P(rejecting Hsub0 when Hsub0 is true)</t>
  </si>
  <si>
    <r>
      <t xml:space="preserve">β </t>
    </r>
    <r>
      <rPr>
        <sz val="18"/>
        <color rgb="FF4D4D4F"/>
        <rFont val="STIXGeneral-Regular"/>
      </rPr>
      <t xml:space="preserve">= </t>
    </r>
    <r>
      <rPr>
        <sz val="18"/>
        <color rgb="FF4D4D4F"/>
        <rFont val="STIXGeneral-Italic"/>
      </rPr>
      <t>P</t>
    </r>
    <r>
      <rPr>
        <sz val="18"/>
        <color rgb="FF4D4D4F"/>
        <rFont val="STIXGeneral-Regular"/>
      </rPr>
      <t xml:space="preserve">(Type II error) = </t>
    </r>
    <r>
      <rPr>
        <sz val="18"/>
        <color rgb="FF4D4D4F"/>
        <rFont val="STIXGeneral-Italic"/>
      </rPr>
      <t>P</t>
    </r>
    <r>
      <rPr>
        <sz val="18"/>
        <color rgb="FF4D4D4F"/>
        <rFont val="STIXGeneral-Regular"/>
      </rPr>
      <t>(not rejecting </t>
    </r>
    <r>
      <rPr>
        <sz val="18"/>
        <color rgb="FF4D4D4F"/>
        <rFont val="STIXGeneral-Italic"/>
      </rPr>
      <t>H</t>
    </r>
    <r>
      <rPr>
        <sz val="13"/>
        <color rgb="FF4D4D4F"/>
        <rFont val="STIXGeneral-Regular"/>
      </rPr>
      <t>0</t>
    </r>
    <r>
      <rPr>
        <sz val="18"/>
        <color rgb="FF4D4D4F"/>
        <rFont val="STIXGeneral-Regular"/>
      </rPr>
      <t>when </t>
    </r>
    <r>
      <rPr>
        <sz val="18"/>
        <color rgb="FF4D4D4F"/>
        <rFont val="STIXGeneral-Italic"/>
      </rPr>
      <t>H</t>
    </r>
    <r>
      <rPr>
        <sz val="13"/>
        <color rgb="FF4D4D4F"/>
        <rFont val="STIXGeneral-Regular"/>
      </rPr>
      <t>1</t>
    </r>
    <r>
      <rPr>
        <sz val="18"/>
        <color rgb="FF4D4D4F"/>
        <rFont val="STIXGeneral-Regular"/>
      </rPr>
      <t>is true)</t>
    </r>
  </si>
  <si>
    <t>level of significance alpha</t>
  </si>
  <si>
    <t>IF P-VALUE is less than alpha, reject the null hypothesis</t>
  </si>
  <si>
    <t>percent (integer)</t>
  </si>
  <si>
    <t>IF P-Value is &gt; alpha, do not reject as there is not enough evdence</t>
  </si>
  <si>
    <t>if P &gt; A, don't reject.</t>
  </si>
  <si>
    <t xml:space="preserve">A​ P-value is the probability of observing a sample statistic as extreme or more extreme than the one observed under the assumption that the statement in the null hypothesis is true. </t>
  </si>
  <si>
    <t>p value = .19</t>
  </si>
  <si>
    <t>If the​ P-value for a particular test statistic is 0.19​, she expects results at least as extreme as the test statistic in about 19 of 100 samples if the null hypothesis is true.</t>
  </si>
  <si>
    <t xml:space="preserve">since the event is not unusual, don't reject </t>
  </si>
  <si>
    <t>Statistical significance means that the result observed in a sample is unusual when the null hypothesis is assumed to be true.</t>
  </si>
  <si>
    <t>if the interval (lower, upper) contains the proportion stated in the null hypothesis, there is insufficient evidence toward a changed result</t>
  </si>
  <si>
    <t>Q2</t>
  </si>
  <si>
    <t>count</t>
  </si>
  <si>
    <t>Dataset</t>
  </si>
  <si>
    <t>Count</t>
  </si>
  <si>
    <t>^ change the &lt; and &gt; string values</t>
  </si>
  <si>
    <t>Relative Freq</t>
  </si>
  <si>
    <t>Frequency</t>
  </si>
  <si>
    <t>Class upperbound</t>
  </si>
  <si>
    <t>Class lowerbound</t>
  </si>
  <si>
    <t>width?</t>
  </si>
  <si>
    <t>How many classes?</t>
  </si>
  <si>
    <t>Of the monthly​ returns, 25% are less than or equal to the first​ quartile, 50% are less than or equal to the second​ quartile, and​ 75% are less than or equal to the third quartile.</t>
  </si>
  <si>
    <t>IQR = Q3 - Q1</t>
  </si>
  <si>
    <t>in R:</t>
  </si>
  <si>
    <t>Lower fence = Q1 − ​1.5(IQR)</t>
  </si>
  <si>
    <t>Upper fence = Q3 + 1.5(IQR)</t>
  </si>
  <si>
    <t>for IQR - use IQR(x) func in R</t>
  </si>
  <si>
    <t>Student</t>
  </si>
  <si>
    <t>Pulse</t>
  </si>
  <si>
    <t>Student 1</t>
  </si>
  <si>
    <t>Student 2</t>
  </si>
  <si>
    <t>Student 3</t>
  </si>
  <si>
    <t>Student 4</t>
  </si>
  <si>
    <t>Student 5</t>
  </si>
  <si>
    <t>Student 6</t>
  </si>
  <si>
    <t>Student 7</t>
  </si>
  <si>
    <t>Student 8</t>
  </si>
  <si>
    <t>Student 9</t>
  </si>
  <si>
    <t>The interquartile range is preferred when the data are skewed or have outliers. An advantage of the standard deviation is that it uses all the observations in its computation.</t>
  </si>
  <si>
    <t>Height distributions for men and women have different centers and​ spreads, making it difficult to compare male and female heights directly.</t>
  </si>
  <si>
    <t>z-score mean</t>
  </si>
  <si>
    <t>sample SD</t>
  </si>
  <si>
    <t>population SD</t>
  </si>
  <si>
    <t xml:space="preserve">Notes: </t>
  </si>
  <si>
    <t>The area under normal curve is 1/2 (0.5)</t>
  </si>
  <si>
    <t>Must be bell-shaped to be normal distribution</t>
  </si>
  <si>
    <t>σ - Population Standard deviation</t>
  </si>
  <si>
    <t> μ - population mean</t>
  </si>
  <si>
    <t> μ bar - sample mean</t>
  </si>
  <si>
    <t>s - sample standard deviation</t>
  </si>
  <si>
    <t xml:space="preserve">inflection points - Q1 and Q3 </t>
  </si>
  <si>
    <t>Normal density function -  the histogram shape resembles a normal​ curve, and the area of each bar is roughly equal to the area under the normal curve for the same region</t>
  </si>
  <si>
    <t>As the mean increases, the graph of the normal curve slides right.</t>
  </si>
  <si>
    <t>As the standard deviation decreases, The graph of the normal curve compresses and becomes steeper.</t>
  </si>
  <si>
    <t>The normal curve is symmetric about its​ mean μ. The normal curve is a symmetric distribution with one​ peak, which means the​ mean, median, and mode are all equal.​ Therefore, the normal curve is symmetric about the​ mean, mu.</t>
  </si>
  <si>
    <t>Left Z</t>
  </si>
  <si>
    <t>Right Z</t>
  </si>
  <si>
    <t>Left Z-score</t>
  </si>
  <si>
    <t>Right Z-score</t>
  </si>
  <si>
    <t>Left is negative</t>
  </si>
  <si>
    <t>right is positive</t>
  </si>
  <si>
    <r>
      <t>Determine the # of items that make up the middle % (</t>
    </r>
    <r>
      <rPr>
        <b/>
        <sz val="12"/>
        <color theme="1"/>
        <rFont val="Calibri"/>
        <family val="2"/>
        <scheme val="minor"/>
      </rPr>
      <t>Make sure to change percentile</t>
    </r>
    <r>
      <rPr>
        <sz val="12"/>
        <color theme="1"/>
        <rFont val="Calibri"/>
        <family val="2"/>
        <scheme val="minor"/>
      </rPr>
      <t>)</t>
    </r>
  </si>
  <si>
    <t>Calculate Z-score for 2 different scores</t>
  </si>
  <si>
    <t>Sampling Distribution</t>
  </si>
  <si>
    <t xml:space="preserve">μ ofx bar​ </t>
  </si>
  <si>
    <t>σ of x bar</t>
  </si>
  <si>
    <t>samle size</t>
  </si>
  <si>
    <t>The distribution of the sample mean is normally distributed when the random variable X is normally​ distributed, or when the sample size is large​ (at least​ 30).</t>
  </si>
  <si>
    <t>Notice that in this case the distribution of the sample mean is normal and the sample size is small. The sampling distribution of the mean is only normal when the population is normal or the sample size is large.</t>
  </si>
  <si>
    <t>​Thus, the shape of the population must be approximately normal because the sample size is not large.</t>
  </si>
  <si>
    <t>CHECK: A simple random sample of size nequals81 is obtained from a population that is skewed right with mu equals 89 and sigma equals 9.
​(a) Describe the sampling distribution of x overbar.
​(b) What is Upper P left parenthesis x overbar greater than 90.15 right parenthesis​?
​(c) What is Upper P left parenthesis x overbar less than or equals 86.9 right parenthesis​?
​(d) What is Upper P left parenthesis 87.75 less than x overbar less than 90.65 right parenthesis​?</t>
  </si>
  <si>
    <t>Current val (x &lt;&gt; value)</t>
  </si>
  <si>
    <t>SD bar = SD / SQRT(n)</t>
  </si>
  <si>
    <t>Suppose the lengths of the pregnancies of a certain animal are approximately normally distributed with mean μ=123 days and standard deviation sigma = 11 days.</t>
  </si>
  <si>
    <t>x bar</t>
  </si>
  <si>
    <t>mean of x bar</t>
  </si>
  <si>
    <t>SD of x bar</t>
  </si>
  <si>
    <t>Find the Point Estimate</t>
  </si>
  <si>
    <t>Data</t>
  </si>
  <si>
    <t>Point estimate (mean)</t>
  </si>
  <si>
    <t>in mound shaped histogram, median = mean</t>
  </si>
  <si>
    <t>rght skewed, mean &gt; median</t>
  </si>
  <si>
    <t xml:space="preserve">Left skewed, mean &lt; median </t>
  </si>
  <si>
    <t>mean is sensitive to large numbers. Median always stays in center of distribution (more robust)</t>
  </si>
  <si>
    <t>binomial variables are discrete</t>
  </si>
  <si>
    <t>Decision Based on P-value: We will reject the null hypothesis at α level of significance if the P-value ≤ αOtherwise, we do not reject the null hypothesis.</t>
  </si>
  <si>
    <t>p-cap (Test statistic value)</t>
  </si>
  <si>
    <t xml:space="preserve">x </t>
  </si>
  <si>
    <t>n (sample size)</t>
  </si>
  <si>
    <t>Margin of Error  +/-</t>
  </si>
  <si>
    <t>Guaranteed Time limit is</t>
  </si>
  <si>
    <t>Population proportoin ( two tailed with multiple sample values)</t>
  </si>
  <si>
    <t>mean (x bar)</t>
  </si>
  <si>
    <r>
      <t>𝜇</t>
    </r>
    <r>
      <rPr>
        <sz val="9"/>
        <color theme="1"/>
        <rFont val="Arial"/>
        <family val="2"/>
      </rPr>
      <t>0</t>
    </r>
  </si>
  <si>
    <t>Test Statistic</t>
  </si>
  <si>
    <t>^^ sample deviates _ SD below the mean from what is expected under the null hypothesis</t>
  </si>
  <si>
    <t>Explain the difference between statistical significance and practical significance.</t>
  </si>
  <si>
    <t>Ans: Statistical significance means that the sample statistic is not likely to come from the population whose parameter is stated in the null hypothesis. Practical significance refers to whether the difference between the sample statistic and the parameter stated in the null hypothesis is large enough to be considered important in an application.</t>
  </si>
  <si>
    <t>t-zero (test statistic)</t>
  </si>
  <si>
    <t>Not statistically significantly higher if &gt;= 0.05</t>
  </si>
  <si>
    <t>impact of large samples on the p-value? As n​ increases, the likelihood of rejecting the null hypothesis increases.​ However, large samples tend to overemphasize practically insignificant differences.</t>
  </si>
  <si>
    <t>do not reject if x falls within the bounds</t>
  </si>
  <si>
    <t>simple random samle has to be &lt; 30 to be normally distributed</t>
  </si>
  <si>
    <t>Population Proportion (Two-Tailed Test) !=</t>
  </si>
  <si>
    <t xml:space="preserve">Population Proportion (Left/Right-Tailed Test) &lt; or &gt; </t>
  </si>
  <si>
    <t>p-value</t>
  </si>
  <si>
    <t>reject?</t>
  </si>
  <si>
    <t>alpha</t>
  </si>
  <si>
    <t>Construct confidence interval</t>
  </si>
  <si>
    <t>A golf association requires that golf balls have a diameter that is 1.68 inches. To determine if golf balls conform to the​ standard, a random sample of golf balls was selected. Their diameters are shown in the accompanying data table. Do the golf balls conform to the​ standards? Use the alphaαequals=0.050.05 level of significanc.</t>
  </si>
  <si>
    <t>level of significance (alpha)</t>
  </si>
  <si>
    <t>mean (u0) - given</t>
  </si>
  <si>
    <t xml:space="preserve">t0 </t>
  </si>
  <si>
    <t>p-val</t>
  </si>
  <si>
    <t>use this then go to chapter 9, using mean and s</t>
  </si>
  <si>
    <t>can be from ch 10</t>
  </si>
  <si>
    <t>confidence interval %</t>
  </si>
  <si>
    <t>t(a/2)</t>
  </si>
  <si>
    <t>upperbound</t>
  </si>
  <si>
    <t>Look @ video</t>
  </si>
  <si>
    <t>x (mean)</t>
  </si>
  <si>
    <t>^^ change to 1 or 2 depending on tail</t>
  </si>
  <si>
    <t>reject (P&lt;a)?</t>
  </si>
  <si>
    <t>Q1 - 25th percentile</t>
  </si>
  <si>
    <t>Q3 - 75th percentile</t>
  </si>
  <si>
    <t>Q2 = median - 50th percentile </t>
  </si>
  <si>
    <t>central limit theorem yes if n &gt; 30</t>
  </si>
  <si>
    <t>x bar SD (𝜎𝑋̅)</t>
  </si>
  <si>
    <t>Ex: the upper leg length of 20 to 29 yo males is normally distributaed with a mean and a SD. What is the prob that a randomly slected is less than some number?</t>
  </si>
  <si>
    <t>Normally distributed</t>
  </si>
  <si>
    <t>sd</t>
  </si>
  <si>
    <t>number i</t>
  </si>
  <si>
    <t>P(x &lt; number i)</t>
  </si>
  <si>
    <t>P(x bar &lt; number I with size n)</t>
  </si>
  <si>
    <r>
      <t>𝝈</t>
    </r>
    <r>
      <rPr>
        <sz val="9"/>
        <color theme="1"/>
        <rFont val="Arial"/>
        <family val="2"/>
      </rPr>
      <t>𝑿̅</t>
    </r>
  </si>
  <si>
    <t>sd of p (𝜎𝑝̂)</t>
  </si>
  <si>
    <t>mean of p (𝜇𝑝)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</si>
</sst>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0"/>
    <numFmt numFmtId="165" formatCode="_(* #,##0.000000000000000000000_);_(* \(#,##0.000000000000000000000\);_(* &quot;-&quot;??_);_(@_)"/>
    <numFmt numFmtId="166" formatCode="0.0000000000000000000000000000000000000000000000000000E+00"/>
    <numFmt numFmtId="167" formatCode="0.00000000"/>
    <numFmt numFmtId="168" formatCode="0.000000"/>
    <numFmt numFmtId="169" formatCode="0.000"/>
    <numFmt numFmtId="170" formatCode="0.0"/>
    <numFmt numFmtId="171" formatCode="0.00000"/>
    <numFmt numFmtId="172" formatCode="0.000000000000000"/>
  </numFmts>
  <fonts count="38">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b/>
      <sz val="12"/>
      <color theme="8"/>
      <name val="Calibri"/>
      <family val="2"/>
      <scheme val="minor"/>
    </font>
    <font>
      <sz val="12"/>
      <color rgb="FFBD00C7"/>
      <name val="Calibri (Body)"/>
    </font>
    <font>
      <sz val="13"/>
      <color rgb="FF000000"/>
      <name val="Arial"/>
      <family val="2"/>
    </font>
    <font>
      <b/>
      <sz val="12"/>
      <color rgb="FFBD00C7"/>
      <name val="Calibri"/>
      <family val="2"/>
      <scheme val="minor"/>
    </font>
    <font>
      <b/>
      <sz val="13"/>
      <color rgb="FF000000"/>
      <name val="Arial"/>
      <family val="2"/>
    </font>
    <font>
      <b/>
      <sz val="12"/>
      <color rgb="FF000000"/>
      <name val="Calibri"/>
      <family val="2"/>
      <scheme val="minor"/>
    </font>
    <font>
      <b/>
      <sz val="20"/>
      <color theme="1"/>
      <name val="Calibri"/>
      <family val="2"/>
      <scheme val="minor"/>
    </font>
    <font>
      <sz val="12"/>
      <color rgb="FF7030A0"/>
      <name val="Calibri"/>
      <family val="2"/>
      <scheme val="minor"/>
    </font>
    <font>
      <b/>
      <sz val="12"/>
      <color rgb="FF7030A0"/>
      <name val="Calibri"/>
      <family val="2"/>
      <scheme val="minor"/>
    </font>
    <font>
      <sz val="12"/>
      <color rgb="FFBD00C7"/>
      <name val="Calibri"/>
      <family val="2"/>
      <scheme val="minor"/>
    </font>
    <font>
      <b/>
      <sz val="14"/>
      <color theme="1"/>
      <name val="Calibri"/>
      <family val="2"/>
      <scheme val="minor"/>
    </font>
    <font>
      <sz val="12"/>
      <color rgb="FF00B050"/>
      <name val="Calibri"/>
      <family val="2"/>
      <scheme val="minor"/>
    </font>
    <font>
      <b/>
      <sz val="12"/>
      <color theme="5"/>
      <name val="Calibri"/>
      <family val="2"/>
      <scheme val="minor"/>
    </font>
    <font>
      <sz val="12"/>
      <color theme="5"/>
      <name val="Calibri"/>
      <family val="2"/>
      <scheme val="minor"/>
    </font>
    <font>
      <sz val="12"/>
      <color theme="1"/>
      <name val="Calibri"/>
      <family val="2"/>
    </font>
    <font>
      <b/>
      <sz val="12"/>
      <color rgb="FF000000"/>
      <name val="Calibri"/>
      <family val="2"/>
    </font>
    <font>
      <sz val="12"/>
      <color theme="9"/>
      <name val="Calibri"/>
      <family val="2"/>
      <scheme val="minor"/>
    </font>
    <font>
      <sz val="12"/>
      <color theme="8"/>
      <name val="Calibri"/>
      <family val="2"/>
      <scheme val="minor"/>
    </font>
    <font>
      <sz val="12"/>
      <color theme="4"/>
      <name val="Calibri"/>
      <family val="2"/>
      <scheme val="minor"/>
    </font>
    <font>
      <sz val="12"/>
      <color rgb="FFFF0000"/>
      <name val="Calibri"/>
      <family val="2"/>
      <scheme val="minor"/>
    </font>
    <font>
      <sz val="12"/>
      <color rgb="FFC00000"/>
      <name val="Calibri"/>
      <family val="2"/>
      <scheme val="minor"/>
    </font>
    <font>
      <sz val="12"/>
      <color theme="7" tint="-0.249977111117893"/>
      <name val="Calibri"/>
      <family val="2"/>
      <scheme val="minor"/>
    </font>
    <font>
      <sz val="12"/>
      <color rgb="FF0070C0"/>
      <name val="Calibri"/>
      <family val="2"/>
      <scheme val="minor"/>
    </font>
    <font>
      <b/>
      <sz val="10"/>
      <color rgb="FF000000"/>
      <name val="Arial"/>
      <family val="2"/>
    </font>
    <font>
      <sz val="18"/>
      <color rgb="FF4D4D4F"/>
      <name val="STIXGeneral-Italic"/>
    </font>
    <font>
      <sz val="16"/>
      <color rgb="FF4D4D4F"/>
      <name val="Myriad"/>
    </font>
    <font>
      <sz val="18"/>
      <color rgb="FF4D4D4F"/>
      <name val="STIXGeneral-Regular"/>
    </font>
    <font>
      <sz val="13"/>
      <color rgb="FF4D4D4F"/>
      <name val="STIXGeneral-Regular"/>
    </font>
    <font>
      <i/>
      <sz val="12"/>
      <color theme="1"/>
      <name val="Calibri"/>
      <family val="2"/>
      <scheme val="minor"/>
    </font>
    <font>
      <sz val="12"/>
      <color rgb="FF222222"/>
      <name val="Arial"/>
      <family val="2"/>
    </font>
    <font>
      <sz val="12"/>
      <color theme="1"/>
      <name val="Helvetica Neue"/>
      <family val="2"/>
    </font>
    <font>
      <sz val="21"/>
      <color theme="1"/>
      <name val="Arial"/>
      <family val="2"/>
    </font>
    <font>
      <sz val="12"/>
      <color theme="1"/>
      <name val="Arial"/>
      <family val="2"/>
    </font>
    <font>
      <sz val="9"/>
      <color theme="1"/>
      <name val="Arial"/>
      <family val="2"/>
    </font>
  </fonts>
  <fills count="15">
    <fill>
      <patternFill patternType="none"/>
    </fill>
    <fill>
      <patternFill patternType="gray125"/>
    </fill>
    <fill>
      <patternFill patternType="solid">
        <fgColor theme="7"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43" fontId="3" fillId="0" borderId="0" applyFont="0" applyFill="0" applyBorder="0" applyAlignment="0" applyProtection="0"/>
  </cellStyleXfs>
  <cellXfs count="163">
    <xf numFmtId="0" fontId="0" fillId="0" borderId="0" xfId="0"/>
    <xf numFmtId="0" fontId="0" fillId="0" borderId="0" xfId="0" applyAlignment="1">
      <alignment horizontal="right"/>
    </xf>
    <xf numFmtId="0" fontId="0" fillId="0" borderId="0" xfId="0" applyAlignment="1">
      <alignment horizontal="center" vertical="center"/>
    </xf>
    <xf numFmtId="0" fontId="0" fillId="0" borderId="0" xfId="0" applyAlignment="1"/>
    <xf numFmtId="0" fontId="1" fillId="0" borderId="0" xfId="0" applyFont="1"/>
    <xf numFmtId="164" fontId="0" fillId="0" borderId="0" xfId="0" applyNumberFormat="1"/>
    <xf numFmtId="0" fontId="2" fillId="0" borderId="0" xfId="0" applyFont="1"/>
    <xf numFmtId="3" fontId="0" fillId="0" borderId="0" xfId="0" applyNumberFormat="1"/>
    <xf numFmtId="0" fontId="4" fillId="0" borderId="0" xfId="0" applyFont="1" applyAlignment="1">
      <alignment horizontal="left"/>
    </xf>
    <xf numFmtId="0" fontId="4" fillId="0" borderId="0" xfId="0" applyFont="1" applyAlignment="1">
      <alignment horizontal="left" vertical="center"/>
    </xf>
    <xf numFmtId="0" fontId="1" fillId="0" borderId="0" xfId="0" applyFont="1" applyAlignment="1">
      <alignment horizontal="center" vertical="center"/>
    </xf>
    <xf numFmtId="0" fontId="1" fillId="0" borderId="1" xfId="0" applyFont="1" applyBorder="1" applyAlignment="1">
      <alignment horizontal="center" vertical="center"/>
    </xf>
    <xf numFmtId="165" fontId="0" fillId="0" borderId="0" xfId="1" applyNumberFormat="1" applyFont="1"/>
    <xf numFmtId="0" fontId="5" fillId="0" borderId="0" xfId="0" applyFont="1"/>
    <xf numFmtId="0" fontId="1" fillId="0" borderId="0" xfId="0" applyFont="1" applyFill="1" applyBorder="1" applyAlignment="1">
      <alignment horizontal="center" vertical="center"/>
    </xf>
    <xf numFmtId="0" fontId="6" fillId="0" borderId="0" xfId="0" applyFont="1"/>
    <xf numFmtId="0" fontId="0" fillId="0" borderId="0" xfId="0" applyAlignment="1">
      <alignment horizontal="center"/>
    </xf>
    <xf numFmtId="3" fontId="0" fillId="0" borderId="0" xfId="0" applyNumberFormat="1" applyAlignment="1">
      <alignment horizontal="center"/>
    </xf>
    <xf numFmtId="0" fontId="0" fillId="0" borderId="1" xfId="0" applyBorder="1" applyAlignment="1">
      <alignment horizontal="center"/>
    </xf>
    <xf numFmtId="0" fontId="7" fillId="0" borderId="0" xfId="0" applyFont="1" applyAlignment="1">
      <alignment horizontal="center"/>
    </xf>
    <xf numFmtId="0" fontId="7" fillId="0" borderId="0" xfId="0" applyFont="1"/>
    <xf numFmtId="0" fontId="8"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vertical="center"/>
    </xf>
    <xf numFmtId="0" fontId="1"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0" fillId="0" borderId="0" xfId="0" applyFont="1"/>
    <xf numFmtId="0" fontId="7" fillId="0" borderId="0" xfId="0" applyFont="1" applyAlignment="1">
      <alignment horizontal="center" vertical="center"/>
    </xf>
    <xf numFmtId="0" fontId="12" fillId="0" borderId="2" xfId="0" applyFont="1" applyBorder="1" applyAlignment="1">
      <alignment horizontal="center" vertical="center"/>
    </xf>
    <xf numFmtId="0" fontId="1" fillId="0" borderId="2" xfId="0" applyFont="1" applyBorder="1"/>
    <xf numFmtId="0" fontId="0" fillId="0" borderId="2" xfId="0" applyBorder="1"/>
    <xf numFmtId="166" fontId="0" fillId="0" borderId="2" xfId="0" applyNumberFormat="1" applyBorder="1"/>
    <xf numFmtId="0" fontId="0" fillId="0" borderId="2" xfId="0" applyBorder="1" applyAlignment="1">
      <alignment horizontal="center" vertical="center"/>
    </xf>
    <xf numFmtId="0" fontId="0" fillId="0" borderId="2" xfId="0" applyBorder="1" applyAlignment="1">
      <alignment horizontal="center"/>
    </xf>
    <xf numFmtId="0" fontId="7" fillId="0" borderId="2" xfId="0" applyFont="1" applyBorder="1" applyAlignment="1">
      <alignment horizontal="center" vertical="center"/>
    </xf>
    <xf numFmtId="0" fontId="10" fillId="0" borderId="2" xfId="0" applyFont="1" applyBorder="1" applyAlignment="1">
      <alignment horizontal="center" vertical="center"/>
    </xf>
    <xf numFmtId="0" fontId="0" fillId="0" borderId="2" xfId="0" applyFont="1" applyBorder="1" applyAlignment="1">
      <alignment horizontal="center" vertical="center"/>
    </xf>
    <xf numFmtId="0" fontId="13" fillId="0" borderId="2" xfId="0" applyFont="1" applyBorder="1"/>
    <xf numFmtId="0" fontId="0" fillId="0" borderId="3" xfId="0" applyBorder="1"/>
    <xf numFmtId="0" fontId="11" fillId="0" borderId="3" xfId="0" applyFont="1" applyBorder="1" applyAlignment="1">
      <alignment horizontal="center" vertical="center"/>
    </xf>
    <xf numFmtId="0" fontId="12" fillId="0" borderId="3"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xf numFmtId="0" fontId="0" fillId="0" borderId="0" xfId="0" applyBorder="1" applyAlignment="1">
      <alignment horizontal="center" vertical="center"/>
    </xf>
    <xf numFmtId="0" fontId="14" fillId="0" borderId="2" xfId="0" applyFont="1" applyBorder="1" applyAlignment="1">
      <alignment horizontal="center" vertical="center"/>
    </xf>
    <xf numFmtId="0" fontId="14" fillId="2" borderId="3" xfId="0" applyFont="1" applyFill="1" applyBorder="1" applyAlignment="1">
      <alignment horizontal="center" vertical="center"/>
    </xf>
    <xf numFmtId="0" fontId="7" fillId="0" borderId="2" xfId="0" applyFont="1" applyBorder="1" applyAlignment="1">
      <alignment horizontal="center"/>
    </xf>
    <xf numFmtId="0" fontId="2" fillId="0" borderId="2" xfId="0" applyFont="1" applyBorder="1" applyAlignment="1">
      <alignment horizontal="center" vertical="center"/>
    </xf>
    <xf numFmtId="0" fontId="1" fillId="0" borderId="2" xfId="0" applyFont="1" applyBorder="1" applyAlignment="1">
      <alignment horizontal="center"/>
    </xf>
    <xf numFmtId="0" fontId="1" fillId="2" borderId="0" xfId="0" applyFont="1" applyFill="1" applyAlignment="1">
      <alignment horizontal="center"/>
    </xf>
    <xf numFmtId="0" fontId="1" fillId="2" borderId="0" xfId="0" applyFont="1" applyFill="1"/>
    <xf numFmtId="0" fontId="15" fillId="0" borderId="0" xfId="0" applyFont="1" applyAlignment="1">
      <alignment horizontal="center"/>
    </xf>
    <xf numFmtId="0" fontId="15" fillId="0" borderId="0" xfId="0" applyFont="1"/>
    <xf numFmtId="0" fontId="16" fillId="2" borderId="0" xfId="0" applyFont="1" applyFill="1" applyAlignment="1">
      <alignment horizontal="center"/>
    </xf>
    <xf numFmtId="0" fontId="17" fillId="0" borderId="0" xfId="0" applyFont="1" applyAlignment="1">
      <alignment horizontal="center"/>
    </xf>
    <xf numFmtId="167" fontId="0" fillId="0" borderId="0" xfId="0" applyNumberFormat="1"/>
    <xf numFmtId="168" fontId="7" fillId="0" borderId="2" xfId="0" applyNumberFormat="1" applyFont="1" applyBorder="1" applyAlignment="1">
      <alignment horizontal="center"/>
    </xf>
    <xf numFmtId="0" fontId="18" fillId="0" borderId="0" xfId="0" applyFont="1"/>
    <xf numFmtId="0" fontId="18" fillId="0" borderId="2" xfId="0" applyFont="1" applyBorder="1"/>
    <xf numFmtId="0" fontId="19" fillId="3" borderId="2" xfId="0" applyFont="1" applyFill="1" applyBorder="1"/>
    <xf numFmtId="168" fontId="18" fillId="0" borderId="2" xfId="0" applyNumberFormat="1" applyFont="1" applyBorder="1"/>
    <xf numFmtId="169" fontId="19" fillId="3" borderId="2" xfId="0" applyNumberFormat="1" applyFont="1" applyFill="1" applyBorder="1"/>
    <xf numFmtId="0" fontId="19" fillId="3" borderId="4" xfId="0" applyFont="1" applyFill="1" applyBorder="1"/>
    <xf numFmtId="0" fontId="18" fillId="0" borderId="6" xfId="0" applyFont="1" applyBorder="1"/>
    <xf numFmtId="0" fontId="18" fillId="0" borderId="7" xfId="0" applyFont="1" applyBorder="1"/>
    <xf numFmtId="0" fontId="18" fillId="0" borderId="8" xfId="0" applyFont="1" applyBorder="1"/>
    <xf numFmtId="164" fontId="18" fillId="0" borderId="2" xfId="0" applyNumberFormat="1" applyFont="1" applyBorder="1"/>
    <xf numFmtId="0" fontId="18" fillId="0" borderId="9" xfId="0" applyFont="1" applyBorder="1"/>
    <xf numFmtId="0" fontId="18" fillId="0" borderId="10" xfId="0" applyFont="1" applyBorder="1"/>
    <xf numFmtId="0" fontId="18" fillId="0" borderId="1" xfId="0" applyFont="1" applyBorder="1"/>
    <xf numFmtId="0" fontId="18" fillId="0" borderId="5" xfId="0" applyFont="1" applyBorder="1"/>
    <xf numFmtId="0" fontId="0" fillId="0" borderId="2" xfId="0" applyBorder="1" applyAlignment="1">
      <alignment horizontal="right"/>
    </xf>
    <xf numFmtId="0" fontId="0" fillId="0" borderId="11" xfId="0"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20" fillId="0" borderId="2" xfId="0" applyFont="1" applyBorder="1" applyAlignment="1">
      <alignment horizontal="right"/>
    </xf>
    <xf numFmtId="0" fontId="20" fillId="0" borderId="2" xfId="0" applyFont="1" applyBorder="1"/>
    <xf numFmtId="0" fontId="21" fillId="0" borderId="2" xfId="0" applyFont="1" applyBorder="1" applyAlignment="1">
      <alignment horizontal="right"/>
    </xf>
    <xf numFmtId="0" fontId="21" fillId="0" borderId="2" xfId="0" applyFont="1" applyBorder="1"/>
    <xf numFmtId="0" fontId="1" fillId="4" borderId="2" xfId="0" applyFont="1" applyFill="1" applyBorder="1" applyAlignment="1">
      <alignment horizontal="right"/>
    </xf>
    <xf numFmtId="169" fontId="1" fillId="4" borderId="2" xfId="0" applyNumberFormat="1" applyFont="1" applyFill="1" applyBorder="1" applyAlignment="1">
      <alignment horizontal="right"/>
    </xf>
    <xf numFmtId="0" fontId="17" fillId="0" borderId="2" xfId="0" applyFont="1" applyBorder="1" applyAlignment="1">
      <alignment horizontal="right"/>
    </xf>
    <xf numFmtId="0" fontId="17" fillId="0" borderId="2" xfId="0" applyFont="1" applyBorder="1"/>
    <xf numFmtId="0" fontId="22" fillId="0" borderId="2" xfId="0" applyFont="1" applyBorder="1" applyAlignment="1">
      <alignment horizontal="right"/>
    </xf>
    <xf numFmtId="0" fontId="22" fillId="0" borderId="2" xfId="0" applyFont="1" applyBorder="1"/>
    <xf numFmtId="0" fontId="1" fillId="5" borderId="2" xfId="0" applyFont="1" applyFill="1" applyBorder="1" applyAlignment="1">
      <alignment horizontal="right"/>
    </xf>
    <xf numFmtId="0" fontId="1" fillId="5" borderId="2" xfId="0" applyFont="1" applyFill="1" applyBorder="1"/>
    <xf numFmtId="169" fontId="1" fillId="4" borderId="2" xfId="0" applyNumberFormat="1" applyFont="1" applyFill="1" applyBorder="1"/>
    <xf numFmtId="169" fontId="0" fillId="0" borderId="2" xfId="0" applyNumberFormat="1" applyBorder="1" applyAlignment="1">
      <alignment horizontal="right"/>
    </xf>
    <xf numFmtId="0" fontId="1" fillId="6" borderId="2" xfId="0" applyFont="1" applyFill="1" applyBorder="1" applyAlignment="1">
      <alignment horizontal="right"/>
    </xf>
    <xf numFmtId="164" fontId="1" fillId="6" borderId="2" xfId="0" applyNumberFormat="1" applyFont="1" applyFill="1" applyBorder="1" applyAlignment="1">
      <alignment horizontal="right"/>
    </xf>
    <xf numFmtId="0" fontId="0" fillId="0" borderId="8" xfId="0" applyBorder="1"/>
    <xf numFmtId="0" fontId="20" fillId="0" borderId="11" xfId="0" applyFont="1" applyBorder="1" applyAlignment="1">
      <alignment horizontal="right"/>
    </xf>
    <xf numFmtId="0" fontId="20" fillId="0" borderId="11" xfId="0" applyFont="1" applyBorder="1"/>
    <xf numFmtId="0" fontId="24" fillId="0" borderId="2" xfId="0" applyFont="1" applyBorder="1" applyAlignment="1">
      <alignment horizontal="right"/>
    </xf>
    <xf numFmtId="0" fontId="24" fillId="0" borderId="2" xfId="0" applyFont="1" applyBorder="1"/>
    <xf numFmtId="0" fontId="1" fillId="7" borderId="2" xfId="0" applyFont="1" applyFill="1" applyBorder="1" applyAlignment="1">
      <alignment horizontal="right"/>
    </xf>
    <xf numFmtId="170" fontId="1" fillId="7" borderId="2" xfId="0" applyNumberFormat="1" applyFont="1" applyFill="1" applyBorder="1" applyAlignment="1">
      <alignment horizontal="right"/>
    </xf>
    <xf numFmtId="2" fontId="1" fillId="7" borderId="2" xfId="0" applyNumberFormat="1" applyFont="1" applyFill="1" applyBorder="1"/>
    <xf numFmtId="0" fontId="1" fillId="4" borderId="2" xfId="0" applyFont="1" applyFill="1" applyBorder="1"/>
    <xf numFmtId="0" fontId="0" fillId="8" borderId="2" xfId="0" applyFill="1" applyBorder="1" applyAlignment="1">
      <alignment horizontal="right"/>
    </xf>
    <xf numFmtId="0" fontId="0" fillId="8" borderId="2" xfId="0" applyFill="1" applyBorder="1"/>
    <xf numFmtId="0" fontId="0" fillId="0" borderId="12" xfId="0" applyBorder="1"/>
    <xf numFmtId="0" fontId="1" fillId="9" borderId="2" xfId="0" applyFont="1" applyFill="1" applyBorder="1" applyAlignment="1">
      <alignment horizontal="right"/>
    </xf>
    <xf numFmtId="168" fontId="1" fillId="9" borderId="2" xfId="0" applyNumberFormat="1" applyFont="1" applyFill="1" applyBorder="1"/>
    <xf numFmtId="2" fontId="1" fillId="9" borderId="2" xfId="0" applyNumberFormat="1" applyFont="1" applyFill="1" applyBorder="1"/>
    <xf numFmtId="0" fontId="1" fillId="10" borderId="2" xfId="0" applyFont="1" applyFill="1" applyBorder="1" applyAlignment="1">
      <alignment horizontal="right"/>
    </xf>
    <xf numFmtId="171" fontId="1" fillId="10" borderId="2" xfId="0" applyNumberFormat="1" applyFont="1" applyFill="1" applyBorder="1"/>
    <xf numFmtId="169" fontId="1" fillId="10" borderId="2" xfId="0" applyNumberFormat="1" applyFont="1" applyFill="1" applyBorder="1"/>
    <xf numFmtId="0" fontId="0" fillId="11" borderId="2" xfId="0" applyFill="1" applyBorder="1" applyAlignment="1">
      <alignment horizontal="right"/>
    </xf>
    <xf numFmtId="0" fontId="16" fillId="11" borderId="2" xfId="0" applyFont="1" applyFill="1" applyBorder="1" applyAlignment="1">
      <alignment horizontal="right"/>
    </xf>
    <xf numFmtId="0" fontId="23" fillId="0" borderId="2" xfId="0" applyFont="1" applyBorder="1" applyAlignment="1">
      <alignment horizontal="right"/>
    </xf>
    <xf numFmtId="0" fontId="23" fillId="0" borderId="2" xfId="0" applyFont="1" applyBorder="1"/>
    <xf numFmtId="0" fontId="25" fillId="0" borderId="2" xfId="0" applyFont="1" applyBorder="1"/>
    <xf numFmtId="0" fontId="26" fillId="0" borderId="2" xfId="0" applyFont="1" applyBorder="1"/>
    <xf numFmtId="0" fontId="0" fillId="0" borderId="13" xfId="0" applyBorder="1"/>
    <xf numFmtId="0" fontId="0" fillId="0" borderId="7" xfId="0" applyBorder="1"/>
    <xf numFmtId="0" fontId="1" fillId="12" borderId="2" xfId="0" applyFont="1" applyFill="1" applyBorder="1" applyAlignment="1">
      <alignment horizontal="right"/>
    </xf>
    <xf numFmtId="0" fontId="1" fillId="12" borderId="2" xfId="0" applyFont="1" applyFill="1" applyBorder="1"/>
    <xf numFmtId="168" fontId="0" fillId="0" borderId="2" xfId="0" applyNumberFormat="1" applyBorder="1"/>
    <xf numFmtId="0" fontId="1" fillId="8" borderId="2" xfId="0" applyFont="1" applyFill="1" applyBorder="1" applyAlignment="1">
      <alignment horizontal="right"/>
    </xf>
    <xf numFmtId="0" fontId="0" fillId="0" borderId="9" xfId="0" applyBorder="1"/>
    <xf numFmtId="0" fontId="26" fillId="11" borderId="2" xfId="0" applyFont="1" applyFill="1" applyBorder="1"/>
    <xf numFmtId="169" fontId="0" fillId="0" borderId="2" xfId="0" applyNumberFormat="1" applyBorder="1"/>
    <xf numFmtId="0" fontId="0" fillId="0" borderId="10" xfId="0" applyBorder="1"/>
    <xf numFmtId="0" fontId="0" fillId="0" borderId="5" xfId="0" applyBorder="1"/>
    <xf numFmtId="2" fontId="1" fillId="4" borderId="2" xfId="0" applyNumberFormat="1" applyFont="1" applyFill="1" applyBorder="1"/>
    <xf numFmtId="0" fontId="1" fillId="13" borderId="2" xfId="0" applyFont="1" applyFill="1" applyBorder="1" applyAlignment="1">
      <alignment horizontal="right"/>
    </xf>
    <xf numFmtId="169" fontId="1" fillId="13" borderId="2" xfId="0" applyNumberFormat="1" applyFont="1" applyFill="1" applyBorder="1"/>
    <xf numFmtId="0" fontId="1" fillId="7" borderId="14" xfId="0" applyFont="1" applyFill="1" applyBorder="1" applyAlignment="1">
      <alignment horizontal="right"/>
    </xf>
    <xf numFmtId="0" fontId="1" fillId="7" borderId="0" xfId="0" applyFont="1" applyFill="1"/>
    <xf numFmtId="0" fontId="1" fillId="0" borderId="2" xfId="0" applyFont="1" applyBorder="1" applyAlignment="1">
      <alignment horizontal="right"/>
    </xf>
    <xf numFmtId="0" fontId="1" fillId="14" borderId="2" xfId="0" applyFont="1" applyFill="1" applyBorder="1"/>
    <xf numFmtId="0" fontId="1" fillId="13" borderId="2" xfId="0" applyFont="1" applyFill="1" applyBorder="1"/>
    <xf numFmtId="0" fontId="27" fillId="0" borderId="2" xfId="0" applyFont="1" applyBorder="1"/>
    <xf numFmtId="0" fontId="28" fillId="0" borderId="0" xfId="0" applyFont="1"/>
    <xf numFmtId="0" fontId="29" fillId="0" borderId="0" xfId="0" applyFont="1"/>
    <xf numFmtId="0" fontId="1" fillId="0" borderId="2" xfId="0" applyFont="1" applyBorder="1" applyAlignment="1">
      <alignment horizontal="center"/>
    </xf>
    <xf numFmtId="169" fontId="0" fillId="0" borderId="0" xfId="0" applyNumberFormat="1"/>
    <xf numFmtId="0" fontId="32" fillId="0" borderId="0" xfId="0" applyFont="1"/>
    <xf numFmtId="172" fontId="0" fillId="0" borderId="0" xfId="0" applyNumberFormat="1"/>
    <xf numFmtId="0" fontId="0" fillId="0" borderId="0" xfId="0" applyAlignment="1">
      <alignment wrapText="1"/>
    </xf>
    <xf numFmtId="0" fontId="33" fillId="0" borderId="0" xfId="0" applyFont="1"/>
    <xf numFmtId="0" fontId="7" fillId="4" borderId="2" xfId="0"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Alignment="1">
      <alignment wrapText="1"/>
    </xf>
    <xf numFmtId="0" fontId="0" fillId="0" borderId="14" xfId="0" applyFill="1" applyBorder="1" applyAlignment="1">
      <alignment horizontal="center"/>
    </xf>
    <xf numFmtId="0" fontId="34" fillId="0" borderId="0" xfId="0" applyFont="1"/>
    <xf numFmtId="0" fontId="35" fillId="0" borderId="0" xfId="0" applyFont="1"/>
    <xf numFmtId="0" fontId="0" fillId="0" borderId="14" xfId="0" applyFill="1" applyBorder="1" applyAlignment="1">
      <alignment horizontal="right"/>
    </xf>
    <xf numFmtId="0" fontId="1" fillId="13" borderId="0" xfId="0" applyFont="1" applyFill="1"/>
    <xf numFmtId="0" fontId="0" fillId="13" borderId="0" xfId="0" applyFill="1"/>
    <xf numFmtId="0" fontId="0" fillId="13" borderId="2" xfId="0" applyFill="1" applyBorder="1"/>
    <xf numFmtId="0" fontId="0" fillId="13" borderId="2" xfId="0" applyFont="1" applyFill="1" applyBorder="1"/>
    <xf numFmtId="0" fontId="36" fillId="0" borderId="2" xfId="0" applyFont="1" applyBorder="1"/>
    <xf numFmtId="0" fontId="0" fillId="0" borderId="2" xfId="0" applyFill="1" applyBorder="1"/>
    <xf numFmtId="0" fontId="1" fillId="7" borderId="0" xfId="0" applyFont="1" applyFill="1" applyAlignment="1">
      <alignment horizontal="center"/>
    </xf>
    <xf numFmtId="0" fontId="0" fillId="0" borderId="2" xfId="0" applyBorder="1" applyAlignment="1">
      <alignment horizontal="center"/>
    </xf>
    <xf numFmtId="0" fontId="18" fillId="0" borderId="2" xfId="0" applyFont="1" applyBorder="1" applyAlignment="1">
      <alignment horizontal="center"/>
    </xf>
    <xf numFmtId="0" fontId="36" fillId="0" borderId="0" xfId="0" applyFont="1"/>
  </cellXfs>
  <cellStyles count="2">
    <cellStyle name="Comma" xfId="1" builtinId="3"/>
    <cellStyle name="Normal" xfId="0" builtinId="0"/>
  </cellStyles>
  <dxfs count="0"/>
  <tableStyles count="0" defaultTableStyle="TableStyleMedium2" defaultPivotStyle="PivotStyleLight16"/>
  <colors>
    <mruColors>
      <color rgb="FFBD0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20</xdr:row>
      <xdr:rowOff>0</xdr:rowOff>
    </xdr:from>
    <xdr:to>
      <xdr:col>6</xdr:col>
      <xdr:colOff>1048457</xdr:colOff>
      <xdr:row>36</xdr:row>
      <xdr:rowOff>200925</xdr:rowOff>
    </xdr:to>
    <xdr:pic>
      <xdr:nvPicPr>
        <xdr:cNvPr id="2" name="Picture 1">
          <a:extLst>
            <a:ext uri="{FF2B5EF4-FFF2-40B4-BE49-F238E27FC236}">
              <a16:creationId xmlns:a16="http://schemas.microsoft.com/office/drawing/2014/main" id="{E8B75028-791F-4048-B8BD-89F1473C3408}"/>
            </a:ext>
          </a:extLst>
        </xdr:cNvPr>
        <xdr:cNvPicPr>
          <a:picLocks noChangeAspect="1"/>
        </xdr:cNvPicPr>
      </xdr:nvPicPr>
      <xdr:blipFill>
        <a:blip xmlns:r="http://schemas.openxmlformats.org/officeDocument/2006/relationships" r:embed="rId1"/>
        <a:stretch>
          <a:fillRect/>
        </a:stretch>
      </xdr:blipFill>
      <xdr:spPr>
        <a:xfrm>
          <a:off x="6248400" y="4064000"/>
          <a:ext cx="3317524" cy="3452125"/>
        </a:xfrm>
        <a:prstGeom prst="rect">
          <a:avLst/>
        </a:prstGeom>
      </xdr:spPr>
    </xdr:pic>
    <xdr:clientData/>
  </xdr:twoCellAnchor>
  <xdr:twoCellAnchor editAs="oneCell">
    <xdr:from>
      <xdr:col>5</xdr:col>
      <xdr:colOff>16934</xdr:colOff>
      <xdr:row>37</xdr:row>
      <xdr:rowOff>201552</xdr:rowOff>
    </xdr:from>
    <xdr:to>
      <xdr:col>9</xdr:col>
      <xdr:colOff>296334</xdr:colOff>
      <xdr:row>56</xdr:row>
      <xdr:rowOff>59266</xdr:rowOff>
    </xdr:to>
    <xdr:pic>
      <xdr:nvPicPr>
        <xdr:cNvPr id="3" name="Picture 2">
          <a:extLst>
            <a:ext uri="{FF2B5EF4-FFF2-40B4-BE49-F238E27FC236}">
              <a16:creationId xmlns:a16="http://schemas.microsoft.com/office/drawing/2014/main" id="{FE13808C-6B72-404C-9C5B-4D9014195DCF}"/>
            </a:ext>
          </a:extLst>
        </xdr:cNvPr>
        <xdr:cNvPicPr>
          <a:picLocks noChangeAspect="1"/>
        </xdr:cNvPicPr>
      </xdr:nvPicPr>
      <xdr:blipFill>
        <a:blip xmlns:r="http://schemas.openxmlformats.org/officeDocument/2006/relationships" r:embed="rId2"/>
        <a:stretch>
          <a:fillRect/>
        </a:stretch>
      </xdr:blipFill>
      <xdr:spPr>
        <a:xfrm>
          <a:off x="6265334" y="7719952"/>
          <a:ext cx="6273800" cy="3718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1482804</xdr:colOff>
      <xdr:row>51</xdr:row>
      <xdr:rowOff>47297</xdr:rowOff>
    </xdr:from>
    <xdr:to>
      <xdr:col>9</xdr:col>
      <xdr:colOff>1540637</xdr:colOff>
      <xdr:row>58</xdr:row>
      <xdr:rowOff>15329</xdr:rowOff>
    </xdr:to>
    <xdr:pic>
      <xdr:nvPicPr>
        <xdr:cNvPr id="2" name="Picture 1">
          <a:extLst>
            <a:ext uri="{FF2B5EF4-FFF2-40B4-BE49-F238E27FC236}">
              <a16:creationId xmlns:a16="http://schemas.microsoft.com/office/drawing/2014/main" id="{719618EF-0FFD-3942-B8FE-2053D58DB334}"/>
            </a:ext>
          </a:extLst>
        </xdr:cNvPr>
        <xdr:cNvPicPr>
          <a:picLocks noChangeAspect="1"/>
        </xdr:cNvPicPr>
      </xdr:nvPicPr>
      <xdr:blipFill>
        <a:blip xmlns:r="http://schemas.openxmlformats.org/officeDocument/2006/relationships" r:embed="rId1"/>
        <a:stretch>
          <a:fillRect/>
        </a:stretch>
      </xdr:blipFill>
      <xdr:spPr>
        <a:xfrm>
          <a:off x="10044356" y="10097814"/>
          <a:ext cx="3850757" cy="1763549"/>
        </a:xfrm>
        <a:prstGeom prst="rect">
          <a:avLst/>
        </a:prstGeom>
      </xdr:spPr>
    </xdr:pic>
    <xdr:clientData/>
  </xdr:twoCellAnchor>
  <xdr:twoCellAnchor editAs="oneCell">
    <xdr:from>
      <xdr:col>14</xdr:col>
      <xdr:colOff>886984</xdr:colOff>
      <xdr:row>38</xdr:row>
      <xdr:rowOff>161270</xdr:rowOff>
    </xdr:from>
    <xdr:to>
      <xdr:col>25</xdr:col>
      <xdr:colOff>523320</xdr:colOff>
      <xdr:row>46</xdr:row>
      <xdr:rowOff>136739</xdr:rowOff>
    </xdr:to>
    <xdr:pic>
      <xdr:nvPicPr>
        <xdr:cNvPr id="3" name="Picture 2">
          <a:extLst>
            <a:ext uri="{FF2B5EF4-FFF2-40B4-BE49-F238E27FC236}">
              <a16:creationId xmlns:a16="http://schemas.microsoft.com/office/drawing/2014/main" id="{3FFE3DFA-FF56-434E-8E82-AFAA916E9568}"/>
            </a:ext>
          </a:extLst>
        </xdr:cNvPr>
        <xdr:cNvPicPr>
          <a:picLocks noChangeAspect="1"/>
        </xdr:cNvPicPr>
      </xdr:nvPicPr>
      <xdr:blipFill>
        <a:blip xmlns:r="http://schemas.openxmlformats.org/officeDocument/2006/relationships" r:embed="rId2"/>
        <a:stretch>
          <a:fillRect/>
        </a:stretch>
      </xdr:blipFill>
      <xdr:spPr>
        <a:xfrm>
          <a:off x="19110476" y="7821587"/>
          <a:ext cx="10058400" cy="15881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656167</xdr:colOff>
      <xdr:row>41</xdr:row>
      <xdr:rowOff>148167</xdr:rowOff>
    </xdr:from>
    <xdr:to>
      <xdr:col>4</xdr:col>
      <xdr:colOff>694267</xdr:colOff>
      <xdr:row>66</xdr:row>
      <xdr:rowOff>88901</xdr:rowOff>
    </xdr:to>
    <xdr:pic>
      <xdr:nvPicPr>
        <xdr:cNvPr id="2" name="Picture 1">
          <a:extLst>
            <a:ext uri="{FF2B5EF4-FFF2-40B4-BE49-F238E27FC236}">
              <a16:creationId xmlns:a16="http://schemas.microsoft.com/office/drawing/2014/main" id="{7D7C5035-54FC-D34D-B45B-E2DBC3E12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167" y="9313334"/>
          <a:ext cx="10219267" cy="52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29</xdr:row>
      <xdr:rowOff>63500</xdr:rowOff>
    </xdr:from>
    <xdr:to>
      <xdr:col>3</xdr:col>
      <xdr:colOff>558800</xdr:colOff>
      <xdr:row>38</xdr:row>
      <xdr:rowOff>101600</xdr:rowOff>
    </xdr:to>
    <xdr:pic>
      <xdr:nvPicPr>
        <xdr:cNvPr id="2" name="Picture 1">
          <a:extLst>
            <a:ext uri="{FF2B5EF4-FFF2-40B4-BE49-F238E27FC236}">
              <a16:creationId xmlns:a16="http://schemas.microsoft.com/office/drawing/2014/main" id="{2DA75547-2610-FD49-A714-D42544222539}"/>
            </a:ext>
          </a:extLst>
        </xdr:cNvPr>
        <xdr:cNvPicPr>
          <a:picLocks noChangeAspect="1"/>
        </xdr:cNvPicPr>
      </xdr:nvPicPr>
      <xdr:blipFill>
        <a:blip xmlns:r="http://schemas.openxmlformats.org/officeDocument/2006/relationships" r:embed="rId1"/>
        <a:stretch>
          <a:fillRect/>
        </a:stretch>
      </xdr:blipFill>
      <xdr:spPr>
        <a:xfrm>
          <a:off x="50800" y="5994400"/>
          <a:ext cx="5080000" cy="1866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083-BD50-CB42-8AAE-F1525497B3A5}">
  <dimension ref="A1:AN226"/>
  <sheetViews>
    <sheetView topLeftCell="C11" zoomScale="75" zoomScaleNormal="106" workbookViewId="0">
      <selection activeCell="F21" sqref="F21"/>
    </sheetView>
  </sheetViews>
  <sheetFormatPr baseColWidth="10" defaultRowHeight="16"/>
  <cols>
    <col min="4" max="4" width="32.83203125" customWidth="1"/>
    <col min="5" max="5" width="16.33203125" customWidth="1"/>
    <col min="6" max="6" width="29.6640625" customWidth="1"/>
    <col min="7" max="7" width="16" customWidth="1"/>
    <col min="8" max="8" width="16.33203125" customWidth="1"/>
    <col min="9" max="9" width="16.5" customWidth="1"/>
    <col min="10" max="10" width="23.83203125" bestFit="1" customWidth="1"/>
    <col min="11" max="11" width="13.1640625" customWidth="1"/>
    <col min="12" max="12" width="11.33203125" customWidth="1"/>
    <col min="14" max="14" width="17.1640625" customWidth="1"/>
    <col min="15" max="15" width="33" customWidth="1"/>
    <col min="21" max="23" width="11" bestFit="1" customWidth="1"/>
    <col min="24" max="24" width="25.33203125" bestFit="1" customWidth="1"/>
    <col min="26" max="27" width="11" bestFit="1" customWidth="1"/>
    <col min="38" max="39" width="11" bestFit="1" customWidth="1"/>
  </cols>
  <sheetData>
    <row r="1" spans="1:40">
      <c r="A1" t="s">
        <v>7</v>
      </c>
      <c r="H1" t="s">
        <v>54</v>
      </c>
      <c r="U1" t="s">
        <v>8</v>
      </c>
      <c r="Z1" s="3" t="s">
        <v>13</v>
      </c>
      <c r="AK1" t="s">
        <v>29</v>
      </c>
    </row>
    <row r="2" spans="1:40">
      <c r="C2" s="1" t="s">
        <v>3</v>
      </c>
      <c r="D2" s="8">
        <f>SUM(C7:C169)</f>
        <v>1.6335</v>
      </c>
      <c r="U2" t="s">
        <v>9</v>
      </c>
      <c r="V2" s="4">
        <v>54</v>
      </c>
      <c r="Z2" t="s">
        <v>12</v>
      </c>
      <c r="AA2" t="s">
        <v>16</v>
      </c>
      <c r="AK2" t="s">
        <v>30</v>
      </c>
      <c r="AL2">
        <v>2</v>
      </c>
    </row>
    <row r="3" spans="1:40">
      <c r="C3" s="1" t="s">
        <v>5</v>
      </c>
      <c r="D3" s="9">
        <f>SUM(D7:D169)</f>
        <v>4.0903000000000009</v>
      </c>
      <c r="F3" t="s">
        <v>36</v>
      </c>
      <c r="H3" s="16" t="s">
        <v>56</v>
      </c>
      <c r="I3" s="19">
        <f>SUM(I7:I11)</f>
        <v>25869</v>
      </c>
      <c r="U3" t="s">
        <v>10</v>
      </c>
      <c r="V3">
        <v>9.3200000000000005E-2</v>
      </c>
      <c r="AK3" t="s">
        <v>31</v>
      </c>
      <c r="AL3">
        <v>3</v>
      </c>
      <c r="AN3" t="s">
        <v>33</v>
      </c>
    </row>
    <row r="4" spans="1:40">
      <c r="C4" s="1" t="s">
        <v>6</v>
      </c>
      <c r="D4" s="8">
        <f>SQRT(D3 - D2^2)</f>
        <v>1.1924670854996382</v>
      </c>
      <c r="F4" t="s">
        <v>37</v>
      </c>
      <c r="H4" s="16" t="s">
        <v>22</v>
      </c>
      <c r="I4" s="19">
        <f>SUM(K7:K11)</f>
        <v>3.7699949746801193</v>
      </c>
      <c r="U4" t="s">
        <v>11</v>
      </c>
      <c r="V4">
        <v>53</v>
      </c>
      <c r="W4" t="s">
        <v>14</v>
      </c>
      <c r="X4" s="12">
        <f>_xlfn.BINOM.DIST(V4, V2, V3, V5)</f>
        <v>1.1720567113389351E-53</v>
      </c>
      <c r="Z4" t="s">
        <v>17</v>
      </c>
      <c r="AA4">
        <f>_xlfn.BINOM.DIST(8, 10, 0.9, FALSE)</f>
        <v>0.19371024450000002</v>
      </c>
      <c r="AJ4" t="s">
        <v>32</v>
      </c>
      <c r="AL4">
        <f>AL2*AL3</f>
        <v>6</v>
      </c>
    </row>
    <row r="5" spans="1:40">
      <c r="F5" t="s">
        <v>38</v>
      </c>
      <c r="H5" t="s">
        <v>23</v>
      </c>
      <c r="I5" s="19">
        <f>SQRT(L13 - I4^2)</f>
        <v>1.3818272126164455</v>
      </c>
      <c r="U5" t="s">
        <v>15</v>
      </c>
      <c r="V5" t="b">
        <v>0</v>
      </c>
    </row>
    <row r="6" spans="1:40">
      <c r="A6" s="11" t="s">
        <v>0</v>
      </c>
      <c r="B6" s="11" t="s">
        <v>1</v>
      </c>
      <c r="C6" s="11" t="s">
        <v>2</v>
      </c>
      <c r="D6" s="11" t="s">
        <v>4</v>
      </c>
      <c r="F6" s="14" t="s">
        <v>39</v>
      </c>
      <c r="H6" s="18" t="s">
        <v>25</v>
      </c>
      <c r="I6" s="18" t="s">
        <v>55</v>
      </c>
      <c r="J6" s="16" t="s">
        <v>1</v>
      </c>
      <c r="K6" s="16" t="s">
        <v>58</v>
      </c>
      <c r="L6" s="16" t="s">
        <v>4</v>
      </c>
      <c r="AK6" t="s">
        <v>11</v>
      </c>
      <c r="AL6">
        <v>6</v>
      </c>
    </row>
    <row r="7" spans="1:40">
      <c r="A7" s="7">
        <v>0</v>
      </c>
      <c r="B7">
        <v>0.1663</v>
      </c>
      <c r="C7">
        <f>A7*B7</f>
        <v>0</v>
      </c>
      <c r="D7" s="2">
        <f>(A7*A7)*B7</f>
        <v>0</v>
      </c>
      <c r="F7" t="s">
        <v>40</v>
      </c>
      <c r="H7" s="16">
        <v>1</v>
      </c>
      <c r="I7" s="16">
        <v>2492</v>
      </c>
      <c r="J7" s="16">
        <f>I7/I$3</f>
        <v>9.6331516486914834E-2</v>
      </c>
      <c r="K7">
        <f>H7*J7</f>
        <v>9.6331516486914834E-2</v>
      </c>
      <c r="L7">
        <f>H7^2 * J7</f>
        <v>9.6331516486914834E-2</v>
      </c>
      <c r="AI7" t="s">
        <v>34</v>
      </c>
      <c r="AK7" t="s">
        <v>33</v>
      </c>
      <c r="AL7">
        <f>_xlfn.POISSON.DIST(AL6, AL4, FALSE)</f>
        <v>0.16062314104798003</v>
      </c>
    </row>
    <row r="8" spans="1:40">
      <c r="A8" s="7">
        <v>1</v>
      </c>
      <c r="B8">
        <v>0.34200000000000003</v>
      </c>
      <c r="C8">
        <f t="shared" ref="C8:C71" si="0">A8*B8</f>
        <v>0.34200000000000003</v>
      </c>
      <c r="D8" s="2">
        <f t="shared" ref="D8:D14" si="1">(A8*A8)*B8</f>
        <v>0.34200000000000003</v>
      </c>
      <c r="F8" t="s">
        <v>41</v>
      </c>
      <c r="H8" s="16">
        <v>2</v>
      </c>
      <c r="I8" s="16">
        <v>2941</v>
      </c>
      <c r="J8" s="16">
        <f>I8/I$3</f>
        <v>0.11368819822954115</v>
      </c>
      <c r="K8">
        <f t="shared" ref="K8:K11" si="2">H8*J8</f>
        <v>0.22737639645908231</v>
      </c>
      <c r="L8">
        <f t="shared" ref="L8:L11" si="3">H8^2 * J8</f>
        <v>0.45475279291816462</v>
      </c>
      <c r="U8" t="s">
        <v>18</v>
      </c>
      <c r="W8" t="s">
        <v>19</v>
      </c>
    </row>
    <row r="9" spans="1:40">
      <c r="A9" s="7">
        <v>2</v>
      </c>
      <c r="B9">
        <v>0.27660000000000001</v>
      </c>
      <c r="C9">
        <f t="shared" si="0"/>
        <v>0.55320000000000003</v>
      </c>
      <c r="D9" s="2">
        <f t="shared" si="1"/>
        <v>1.1064000000000001</v>
      </c>
      <c r="F9" t="s">
        <v>42</v>
      </c>
      <c r="G9" t="s">
        <v>43</v>
      </c>
      <c r="H9" s="16">
        <v>3</v>
      </c>
      <c r="I9" s="16">
        <v>4582</v>
      </c>
      <c r="J9" s="16">
        <f>I9/I$3</f>
        <v>0.17712319764969656</v>
      </c>
      <c r="K9">
        <f t="shared" si="2"/>
        <v>0.5313695929490897</v>
      </c>
      <c r="L9">
        <f t="shared" si="3"/>
        <v>1.594108778847269</v>
      </c>
      <c r="U9">
        <f>_xlfn.BINOM.DIST(0, X$9, X$10, FALSE)</f>
        <v>2.4399573321127992E-147</v>
      </c>
      <c r="W9" t="s">
        <v>20</v>
      </c>
      <c r="X9">
        <v>400</v>
      </c>
      <c r="AK9" t="s">
        <v>35</v>
      </c>
    </row>
    <row r="10" spans="1:40">
      <c r="A10">
        <v>3</v>
      </c>
      <c r="B10">
        <v>0.14960000000000001</v>
      </c>
      <c r="C10">
        <f t="shared" si="0"/>
        <v>0.44880000000000003</v>
      </c>
      <c r="D10" s="2">
        <f t="shared" si="1"/>
        <v>1.3464</v>
      </c>
      <c r="H10" s="16">
        <v>4</v>
      </c>
      <c r="I10" s="16">
        <v>3864</v>
      </c>
      <c r="J10" s="16">
        <f>I10/I$3</f>
        <v>0.14936796938420505</v>
      </c>
      <c r="K10">
        <f t="shared" si="2"/>
        <v>0.59747187753682018</v>
      </c>
      <c r="L10">
        <f t="shared" si="3"/>
        <v>2.3898875101472807</v>
      </c>
      <c r="U10">
        <f>_xlfn.BINOM.DIST(1, X$9, X$10, FALSE)</f>
        <v>1.2937448179575126E-144</v>
      </c>
      <c r="W10" t="s">
        <v>21</v>
      </c>
      <c r="X10">
        <v>0.56999999999999995</v>
      </c>
      <c r="AK10" s="6"/>
      <c r="AL10" s="6" t="s">
        <v>30</v>
      </c>
      <c r="AM10" s="6">
        <v>37</v>
      </c>
    </row>
    <row r="11" spans="1:40">
      <c r="A11">
        <v>4</v>
      </c>
      <c r="B11">
        <v>3.7999999999999999E-2</v>
      </c>
      <c r="C11">
        <f t="shared" si="0"/>
        <v>0.152</v>
      </c>
      <c r="D11" s="2">
        <f t="shared" si="1"/>
        <v>0.60799999999999998</v>
      </c>
      <c r="H11" s="16">
        <v>5</v>
      </c>
      <c r="I11" s="17">
        <v>11990</v>
      </c>
      <c r="J11" s="16">
        <f>I11/I$3</f>
        <v>0.46348911824964245</v>
      </c>
      <c r="K11">
        <f t="shared" si="2"/>
        <v>2.3174455912482124</v>
      </c>
      <c r="L11">
        <f t="shared" si="3"/>
        <v>11.587227956241062</v>
      </c>
      <c r="U11">
        <f>_xlfn.BINOM.DIST(2, X$9, X$10, FALSE)</f>
        <v>3.4213533017217944E-142</v>
      </c>
      <c r="X11">
        <v>0.56999999999999995</v>
      </c>
      <c r="AK11" s="6"/>
      <c r="AL11" s="6" t="s">
        <v>31</v>
      </c>
      <c r="AM11" s="6">
        <v>106</v>
      </c>
    </row>
    <row r="12" spans="1:40">
      <c r="A12">
        <v>5</v>
      </c>
      <c r="B12">
        <v>2.75E-2</v>
      </c>
      <c r="C12">
        <f t="shared" si="0"/>
        <v>0.13750000000000001</v>
      </c>
      <c r="D12" s="2">
        <f t="shared" si="1"/>
        <v>0.6875</v>
      </c>
      <c r="U12">
        <f>_xlfn.BINOM.DIST(3, X$9, X$10, FALSE)</f>
        <v>6.0168078296788888E-140</v>
      </c>
      <c r="W12" t="s">
        <v>22</v>
      </c>
      <c r="X12">
        <f>X9*X10</f>
        <v>227.99999999999997</v>
      </c>
      <c r="AK12" s="6" t="s">
        <v>32</v>
      </c>
      <c r="AL12" s="6"/>
      <c r="AM12" s="6">
        <f>-AM10/AM11</f>
        <v>-0.34905660377358488</v>
      </c>
    </row>
    <row r="13" spans="1:40">
      <c r="C13">
        <f t="shared" si="0"/>
        <v>0</v>
      </c>
      <c r="D13" s="2">
        <f t="shared" si="1"/>
        <v>0</v>
      </c>
      <c r="I13" s="1" t="s">
        <v>57</v>
      </c>
      <c r="J13" s="19">
        <f>SUM(J7:J11)</f>
        <v>1</v>
      </c>
      <c r="L13">
        <f>SUM(L7:L11)</f>
        <v>16.122308554640689</v>
      </c>
      <c r="U13">
        <f>_xlfn.BINOM.DIST(4, X$9, X$10, FALSE)</f>
        <v>7.9159502545234828E-138</v>
      </c>
      <c r="W13" t="s">
        <v>23</v>
      </c>
      <c r="X13">
        <f>SQRT((X9*X10)*(1-X10))</f>
        <v>9.9015150355892505</v>
      </c>
    </row>
    <row r="14" spans="1:40">
      <c r="C14">
        <f t="shared" si="0"/>
        <v>0</v>
      </c>
      <c r="D14" s="2">
        <f t="shared" si="1"/>
        <v>0</v>
      </c>
      <c r="U14">
        <f>_xlfn.BINOM.DIST(5, X$9, X$10, FALSE)</f>
        <v>8.3106432160515925E-136</v>
      </c>
      <c r="AL14" t="s">
        <v>11</v>
      </c>
      <c r="AM14">
        <v>1</v>
      </c>
    </row>
    <row r="15" spans="1:40">
      <c r="C15">
        <f t="shared" si="0"/>
        <v>0</v>
      </c>
      <c r="U15">
        <f>_xlfn.BINOM.DIST(6, X$9, X$10, FALSE)</f>
        <v>7.2524857367988658E-134</v>
      </c>
      <c r="AL15" s="6" t="s">
        <v>33</v>
      </c>
      <c r="AM15">
        <f>AM14*EXP(AM12)</f>
        <v>0.7053532034869342</v>
      </c>
    </row>
    <row r="16" spans="1:40">
      <c r="C16">
        <f t="shared" si="0"/>
        <v>0</v>
      </c>
      <c r="U16">
        <f>_xlfn.BINOM.DIST(7, X$9, X$10, FALSE)</f>
        <v>5.411173577309513E-132</v>
      </c>
    </row>
    <row r="17" spans="3:26">
      <c r="C17">
        <f t="shared" si="0"/>
        <v>0</v>
      </c>
      <c r="U17">
        <f>_xlfn.BINOM.DIST(8, X$9, X$10, FALSE)</f>
        <v>3.5237121891079178E-130</v>
      </c>
    </row>
    <row r="18" spans="3:26">
      <c r="C18">
        <f t="shared" si="0"/>
        <v>0</v>
      </c>
      <c r="U18">
        <f>_xlfn.BINOM.DIST(9, X$9, X$10, FALSE)</f>
        <v>2.0344657662384347E-128</v>
      </c>
    </row>
    <row r="19" spans="3:26">
      <c r="C19">
        <f t="shared" si="0"/>
        <v>0</v>
      </c>
      <c r="U19">
        <f>_xlfn.BINOM.DIST(10, X$9, X$10, FALSE)</f>
        <v>1.0544683379570883E-126</v>
      </c>
    </row>
    <row r="20" spans="3:26">
      <c r="C20">
        <f t="shared" si="0"/>
        <v>0</v>
      </c>
      <c r="U20" s="13" t="s">
        <v>44</v>
      </c>
    </row>
    <row r="21" spans="3:26">
      <c r="C21">
        <f t="shared" si="0"/>
        <v>0</v>
      </c>
      <c r="U21" t="s">
        <v>24</v>
      </c>
    </row>
    <row r="22" spans="3:26">
      <c r="C22">
        <f t="shared" si="0"/>
        <v>0</v>
      </c>
      <c r="U22" t="s">
        <v>25</v>
      </c>
      <c r="V22" t="s">
        <v>26</v>
      </c>
      <c r="W22" t="s">
        <v>27</v>
      </c>
      <c r="X22">
        <v>6</v>
      </c>
    </row>
    <row r="23" spans="3:26">
      <c r="C23">
        <f t="shared" si="0"/>
        <v>0</v>
      </c>
      <c r="U23">
        <v>0</v>
      </c>
      <c r="V23" s="5">
        <f t="shared" ref="V23:V29" si="4">_xlfn.BINOM.DIST(U23,X$22,X$23, FALSE)</f>
        <v>7.2900000000000037E-4</v>
      </c>
      <c r="W23" t="s">
        <v>28</v>
      </c>
      <c r="X23">
        <v>0.7</v>
      </c>
    </row>
    <row r="24" spans="3:26">
      <c r="C24">
        <f t="shared" si="0"/>
        <v>0</v>
      </c>
      <c r="U24">
        <v>1</v>
      </c>
      <c r="V24" s="5">
        <f t="shared" si="4"/>
        <v>1.0206000000000015E-2</v>
      </c>
    </row>
    <row r="25" spans="3:26">
      <c r="C25">
        <f t="shared" si="0"/>
        <v>0</v>
      </c>
      <c r="U25">
        <v>2</v>
      </c>
      <c r="V25" s="5">
        <f t="shared" si="4"/>
        <v>5.9535000000000053E-2</v>
      </c>
    </row>
    <row r="26" spans="3:26">
      <c r="C26">
        <f t="shared" si="0"/>
        <v>0</v>
      </c>
      <c r="U26">
        <v>3</v>
      </c>
      <c r="V26" s="5">
        <f t="shared" si="4"/>
        <v>0.18522</v>
      </c>
    </row>
    <row r="27" spans="3:26">
      <c r="C27">
        <f t="shared" si="0"/>
        <v>0</v>
      </c>
      <c r="U27">
        <v>4</v>
      </c>
      <c r="V27" s="5">
        <f t="shared" si="4"/>
        <v>0.32413500000000006</v>
      </c>
    </row>
    <row r="28" spans="3:26">
      <c r="C28">
        <f t="shared" si="0"/>
        <v>0</v>
      </c>
      <c r="U28">
        <v>5</v>
      </c>
      <c r="V28" s="5">
        <f t="shared" si="4"/>
        <v>0.30252599999999991</v>
      </c>
    </row>
    <row r="29" spans="3:26">
      <c r="C29">
        <f t="shared" si="0"/>
        <v>0</v>
      </c>
      <c r="U29">
        <v>6</v>
      </c>
      <c r="V29" s="5">
        <f t="shared" si="4"/>
        <v>0.11764899999999995</v>
      </c>
      <c r="Z29">
        <f>_xlfn.BINOM.DIST(23, 25, 0.61, FALSE)</f>
        <v>5.2703162233064466E-4</v>
      </c>
    </row>
    <row r="30" spans="3:26">
      <c r="C30">
        <f t="shared" si="0"/>
        <v>0</v>
      </c>
      <c r="Z30">
        <f>_xlfn.BINOM.DIST(24, 25, 0.61, FALSE)</f>
        <v>6.8694292654207783E-5</v>
      </c>
    </row>
    <row r="31" spans="3:26">
      <c r="C31">
        <f t="shared" si="0"/>
        <v>0</v>
      </c>
      <c r="U31" t="s">
        <v>22</v>
      </c>
      <c r="V31">
        <f>X22*X23</f>
        <v>4.1999999999999993</v>
      </c>
      <c r="Z31">
        <f>_xlfn.BINOM.DIST(25, 25, 0.61, FALSE)</f>
        <v>4.2977967711863337E-6</v>
      </c>
    </row>
    <row r="32" spans="3:26">
      <c r="C32">
        <f t="shared" si="0"/>
        <v>0</v>
      </c>
      <c r="U32" t="s">
        <v>23</v>
      </c>
      <c r="W32">
        <f>SQRT((X22*X23)*(1-X23))</f>
        <v>1.1224972160321824</v>
      </c>
      <c r="Z32">
        <f>SUM(Z29:Z31)</f>
        <v>6.0002371175603886E-4</v>
      </c>
    </row>
    <row r="33" spans="3:3">
      <c r="C33">
        <f t="shared" si="0"/>
        <v>0</v>
      </c>
    </row>
    <row r="34" spans="3:3">
      <c r="C34">
        <f t="shared" si="0"/>
        <v>0</v>
      </c>
    </row>
    <row r="35" spans="3:3">
      <c r="C35">
        <f t="shared" si="0"/>
        <v>0</v>
      </c>
    </row>
    <row r="36" spans="3:3">
      <c r="C36">
        <f t="shared" si="0"/>
        <v>0</v>
      </c>
    </row>
    <row r="37" spans="3:3">
      <c r="C37">
        <f t="shared" si="0"/>
        <v>0</v>
      </c>
    </row>
    <row r="38" spans="3:3">
      <c r="C38">
        <f t="shared" si="0"/>
        <v>0</v>
      </c>
    </row>
    <row r="39" spans="3:3">
      <c r="C39">
        <f t="shared" si="0"/>
        <v>0</v>
      </c>
    </row>
    <row r="40" spans="3:3">
      <c r="C40">
        <f t="shared" si="0"/>
        <v>0</v>
      </c>
    </row>
    <row r="41" spans="3:3">
      <c r="C41">
        <f t="shared" si="0"/>
        <v>0</v>
      </c>
    </row>
    <row r="42" spans="3:3">
      <c r="C42">
        <f t="shared" si="0"/>
        <v>0</v>
      </c>
    </row>
    <row r="43" spans="3:3">
      <c r="C43">
        <f t="shared" si="0"/>
        <v>0</v>
      </c>
    </row>
    <row r="44" spans="3:3">
      <c r="C44">
        <f t="shared" si="0"/>
        <v>0</v>
      </c>
    </row>
    <row r="45" spans="3:3">
      <c r="C45">
        <f t="shared" si="0"/>
        <v>0</v>
      </c>
    </row>
    <row r="46" spans="3:3">
      <c r="C46">
        <f t="shared" si="0"/>
        <v>0</v>
      </c>
    </row>
    <row r="47" spans="3:3">
      <c r="C47">
        <f t="shared" si="0"/>
        <v>0</v>
      </c>
    </row>
    <row r="48" spans="3:3">
      <c r="C48">
        <f t="shared" si="0"/>
        <v>0</v>
      </c>
    </row>
    <row r="49" spans="3:3">
      <c r="C49">
        <f t="shared" si="0"/>
        <v>0</v>
      </c>
    </row>
    <row r="50" spans="3:3">
      <c r="C50">
        <f t="shared" si="0"/>
        <v>0</v>
      </c>
    </row>
    <row r="51" spans="3:3">
      <c r="C51">
        <f t="shared" si="0"/>
        <v>0</v>
      </c>
    </row>
    <row r="52" spans="3:3">
      <c r="C52">
        <f t="shared" si="0"/>
        <v>0</v>
      </c>
    </row>
    <row r="53" spans="3:3">
      <c r="C53">
        <f t="shared" si="0"/>
        <v>0</v>
      </c>
    </row>
    <row r="54" spans="3:3">
      <c r="C54">
        <f t="shared" si="0"/>
        <v>0</v>
      </c>
    </row>
    <row r="55" spans="3:3">
      <c r="C55">
        <f t="shared" si="0"/>
        <v>0</v>
      </c>
    </row>
    <row r="56" spans="3:3">
      <c r="C56">
        <f t="shared" si="0"/>
        <v>0</v>
      </c>
    </row>
    <row r="57" spans="3:3">
      <c r="C57">
        <f t="shared" si="0"/>
        <v>0</v>
      </c>
    </row>
    <row r="58" spans="3:3">
      <c r="C58">
        <f t="shared" si="0"/>
        <v>0</v>
      </c>
    </row>
    <row r="59" spans="3:3">
      <c r="C59">
        <f t="shared" si="0"/>
        <v>0</v>
      </c>
    </row>
    <row r="60" spans="3:3">
      <c r="C60">
        <f t="shared" si="0"/>
        <v>0</v>
      </c>
    </row>
    <row r="61" spans="3:3">
      <c r="C61">
        <f t="shared" si="0"/>
        <v>0</v>
      </c>
    </row>
    <row r="62" spans="3:3">
      <c r="C62">
        <f t="shared" si="0"/>
        <v>0</v>
      </c>
    </row>
    <row r="63" spans="3:3">
      <c r="C63">
        <f t="shared" si="0"/>
        <v>0</v>
      </c>
    </row>
    <row r="64" spans="3:3">
      <c r="C64">
        <f t="shared" si="0"/>
        <v>0</v>
      </c>
    </row>
    <row r="65" spans="3:3">
      <c r="C65">
        <f t="shared" si="0"/>
        <v>0</v>
      </c>
    </row>
    <row r="66" spans="3:3">
      <c r="C66">
        <f t="shared" si="0"/>
        <v>0</v>
      </c>
    </row>
    <row r="67" spans="3:3">
      <c r="C67">
        <f t="shared" si="0"/>
        <v>0</v>
      </c>
    </row>
    <row r="68" spans="3:3">
      <c r="C68">
        <f t="shared" si="0"/>
        <v>0</v>
      </c>
    </row>
    <row r="69" spans="3:3">
      <c r="C69">
        <f t="shared" si="0"/>
        <v>0</v>
      </c>
    </row>
    <row r="70" spans="3:3">
      <c r="C70">
        <f t="shared" si="0"/>
        <v>0</v>
      </c>
    </row>
    <row r="71" spans="3:3">
      <c r="C71">
        <f t="shared" si="0"/>
        <v>0</v>
      </c>
    </row>
    <row r="72" spans="3:3">
      <c r="C72">
        <f t="shared" ref="C72:C135" si="5">A72*B72</f>
        <v>0</v>
      </c>
    </row>
    <row r="73" spans="3:3">
      <c r="C73">
        <f t="shared" si="5"/>
        <v>0</v>
      </c>
    </row>
    <row r="74" spans="3:3">
      <c r="C74">
        <f t="shared" si="5"/>
        <v>0</v>
      </c>
    </row>
    <row r="75" spans="3:3">
      <c r="C75">
        <f t="shared" si="5"/>
        <v>0</v>
      </c>
    </row>
    <row r="76" spans="3:3">
      <c r="C76">
        <f t="shared" si="5"/>
        <v>0</v>
      </c>
    </row>
    <row r="77" spans="3:3">
      <c r="C77">
        <f t="shared" si="5"/>
        <v>0</v>
      </c>
    </row>
    <row r="78" spans="3:3">
      <c r="C78">
        <f t="shared" si="5"/>
        <v>0</v>
      </c>
    </row>
    <row r="79" spans="3:3">
      <c r="C79">
        <f t="shared" si="5"/>
        <v>0</v>
      </c>
    </row>
    <row r="80" spans="3:3">
      <c r="C80">
        <f t="shared" si="5"/>
        <v>0</v>
      </c>
    </row>
    <row r="81" spans="3:3">
      <c r="C81">
        <f t="shared" si="5"/>
        <v>0</v>
      </c>
    </row>
    <row r="82" spans="3:3">
      <c r="C82">
        <f t="shared" si="5"/>
        <v>0</v>
      </c>
    </row>
    <row r="83" spans="3:3">
      <c r="C83">
        <f t="shared" si="5"/>
        <v>0</v>
      </c>
    </row>
    <row r="84" spans="3:3">
      <c r="C84">
        <f t="shared" si="5"/>
        <v>0</v>
      </c>
    </row>
    <row r="85" spans="3:3">
      <c r="C85">
        <f t="shared" si="5"/>
        <v>0</v>
      </c>
    </row>
    <row r="86" spans="3:3">
      <c r="C86">
        <f t="shared" si="5"/>
        <v>0</v>
      </c>
    </row>
    <row r="87" spans="3:3">
      <c r="C87">
        <f t="shared" si="5"/>
        <v>0</v>
      </c>
    </row>
    <row r="88" spans="3:3">
      <c r="C88">
        <f t="shared" si="5"/>
        <v>0</v>
      </c>
    </row>
    <row r="89" spans="3:3">
      <c r="C89">
        <f t="shared" si="5"/>
        <v>0</v>
      </c>
    </row>
    <row r="90" spans="3:3">
      <c r="C90">
        <f t="shared" si="5"/>
        <v>0</v>
      </c>
    </row>
    <row r="91" spans="3:3">
      <c r="C91">
        <f t="shared" si="5"/>
        <v>0</v>
      </c>
    </row>
    <row r="92" spans="3:3">
      <c r="C92">
        <f t="shared" si="5"/>
        <v>0</v>
      </c>
    </row>
    <row r="93" spans="3:3">
      <c r="C93">
        <f t="shared" si="5"/>
        <v>0</v>
      </c>
    </row>
    <row r="94" spans="3:3">
      <c r="C94">
        <f t="shared" si="5"/>
        <v>0</v>
      </c>
    </row>
    <row r="95" spans="3:3">
      <c r="C95">
        <f t="shared" si="5"/>
        <v>0</v>
      </c>
    </row>
    <row r="96" spans="3:3">
      <c r="C96">
        <f t="shared" si="5"/>
        <v>0</v>
      </c>
    </row>
    <row r="97" spans="3:3">
      <c r="C97">
        <f t="shared" si="5"/>
        <v>0</v>
      </c>
    </row>
    <row r="98" spans="3:3">
      <c r="C98">
        <f t="shared" si="5"/>
        <v>0</v>
      </c>
    </row>
    <row r="99" spans="3:3">
      <c r="C99">
        <f t="shared" si="5"/>
        <v>0</v>
      </c>
    </row>
    <row r="100" spans="3:3">
      <c r="C100">
        <f t="shared" si="5"/>
        <v>0</v>
      </c>
    </row>
    <row r="101" spans="3:3">
      <c r="C101">
        <f t="shared" si="5"/>
        <v>0</v>
      </c>
    </row>
    <row r="102" spans="3:3">
      <c r="C102">
        <f t="shared" si="5"/>
        <v>0</v>
      </c>
    </row>
    <row r="103" spans="3:3">
      <c r="C103">
        <f t="shared" si="5"/>
        <v>0</v>
      </c>
    </row>
    <row r="104" spans="3:3">
      <c r="C104">
        <f t="shared" si="5"/>
        <v>0</v>
      </c>
    </row>
    <row r="105" spans="3:3">
      <c r="C105">
        <f t="shared" si="5"/>
        <v>0</v>
      </c>
    </row>
    <row r="106" spans="3:3">
      <c r="C106">
        <f t="shared" si="5"/>
        <v>0</v>
      </c>
    </row>
    <row r="107" spans="3:3">
      <c r="C107">
        <f t="shared" si="5"/>
        <v>0</v>
      </c>
    </row>
    <row r="108" spans="3:3">
      <c r="C108">
        <f t="shared" si="5"/>
        <v>0</v>
      </c>
    </row>
    <row r="109" spans="3:3">
      <c r="C109">
        <f t="shared" si="5"/>
        <v>0</v>
      </c>
    </row>
    <row r="110" spans="3:3">
      <c r="C110">
        <f t="shared" si="5"/>
        <v>0</v>
      </c>
    </row>
    <row r="111" spans="3:3">
      <c r="C111">
        <f t="shared" si="5"/>
        <v>0</v>
      </c>
    </row>
    <row r="112" spans="3:3">
      <c r="C112">
        <f t="shared" si="5"/>
        <v>0</v>
      </c>
    </row>
    <row r="113" spans="3:3">
      <c r="C113">
        <f t="shared" si="5"/>
        <v>0</v>
      </c>
    </row>
    <row r="114" spans="3:3">
      <c r="C114">
        <f t="shared" si="5"/>
        <v>0</v>
      </c>
    </row>
    <row r="115" spans="3:3">
      <c r="C115">
        <f t="shared" si="5"/>
        <v>0</v>
      </c>
    </row>
    <row r="116" spans="3:3">
      <c r="C116">
        <f t="shared" si="5"/>
        <v>0</v>
      </c>
    </row>
    <row r="117" spans="3:3">
      <c r="C117">
        <f t="shared" si="5"/>
        <v>0</v>
      </c>
    </row>
    <row r="118" spans="3:3">
      <c r="C118">
        <f t="shared" si="5"/>
        <v>0</v>
      </c>
    </row>
    <row r="119" spans="3:3">
      <c r="C119">
        <f t="shared" si="5"/>
        <v>0</v>
      </c>
    </row>
    <row r="120" spans="3:3">
      <c r="C120">
        <f t="shared" si="5"/>
        <v>0</v>
      </c>
    </row>
    <row r="121" spans="3:3">
      <c r="C121">
        <f t="shared" si="5"/>
        <v>0</v>
      </c>
    </row>
    <row r="122" spans="3:3">
      <c r="C122">
        <f t="shared" si="5"/>
        <v>0</v>
      </c>
    </row>
    <row r="123" spans="3:3">
      <c r="C123">
        <f t="shared" si="5"/>
        <v>0</v>
      </c>
    </row>
    <row r="124" spans="3:3">
      <c r="C124">
        <f t="shared" si="5"/>
        <v>0</v>
      </c>
    </row>
    <row r="125" spans="3:3">
      <c r="C125">
        <f t="shared" si="5"/>
        <v>0</v>
      </c>
    </row>
    <row r="126" spans="3:3">
      <c r="C126">
        <f t="shared" si="5"/>
        <v>0</v>
      </c>
    </row>
    <row r="127" spans="3:3">
      <c r="C127">
        <f t="shared" si="5"/>
        <v>0</v>
      </c>
    </row>
    <row r="128" spans="3:3">
      <c r="C128">
        <f t="shared" si="5"/>
        <v>0</v>
      </c>
    </row>
    <row r="129" spans="3:3">
      <c r="C129">
        <f t="shared" si="5"/>
        <v>0</v>
      </c>
    </row>
    <row r="130" spans="3:3">
      <c r="C130">
        <f t="shared" si="5"/>
        <v>0</v>
      </c>
    </row>
    <row r="131" spans="3:3">
      <c r="C131">
        <f t="shared" si="5"/>
        <v>0</v>
      </c>
    </row>
    <row r="132" spans="3:3">
      <c r="C132">
        <f t="shared" si="5"/>
        <v>0</v>
      </c>
    </row>
    <row r="133" spans="3:3">
      <c r="C133">
        <f t="shared" si="5"/>
        <v>0</v>
      </c>
    </row>
    <row r="134" spans="3:3">
      <c r="C134">
        <f t="shared" si="5"/>
        <v>0</v>
      </c>
    </row>
    <row r="135" spans="3:3">
      <c r="C135">
        <f t="shared" si="5"/>
        <v>0</v>
      </c>
    </row>
    <row r="136" spans="3:3">
      <c r="C136">
        <f t="shared" ref="C136:C199" si="6">A136*B136</f>
        <v>0</v>
      </c>
    </row>
    <row r="137" spans="3:3">
      <c r="C137">
        <f t="shared" si="6"/>
        <v>0</v>
      </c>
    </row>
    <row r="138" spans="3:3">
      <c r="C138">
        <f t="shared" si="6"/>
        <v>0</v>
      </c>
    </row>
    <row r="139" spans="3:3">
      <c r="C139">
        <f t="shared" si="6"/>
        <v>0</v>
      </c>
    </row>
    <row r="140" spans="3:3">
      <c r="C140">
        <f t="shared" si="6"/>
        <v>0</v>
      </c>
    </row>
    <row r="141" spans="3:3">
      <c r="C141">
        <f t="shared" si="6"/>
        <v>0</v>
      </c>
    </row>
    <row r="142" spans="3:3">
      <c r="C142">
        <f t="shared" si="6"/>
        <v>0</v>
      </c>
    </row>
    <row r="143" spans="3:3">
      <c r="C143">
        <f t="shared" si="6"/>
        <v>0</v>
      </c>
    </row>
    <row r="144" spans="3:3">
      <c r="C144">
        <f t="shared" si="6"/>
        <v>0</v>
      </c>
    </row>
    <row r="145" spans="3:3">
      <c r="C145">
        <f t="shared" si="6"/>
        <v>0</v>
      </c>
    </row>
    <row r="146" spans="3:3">
      <c r="C146">
        <f t="shared" si="6"/>
        <v>0</v>
      </c>
    </row>
    <row r="147" spans="3:3">
      <c r="C147">
        <f t="shared" si="6"/>
        <v>0</v>
      </c>
    </row>
    <row r="148" spans="3:3">
      <c r="C148">
        <f t="shared" si="6"/>
        <v>0</v>
      </c>
    </row>
    <row r="149" spans="3:3">
      <c r="C149">
        <f t="shared" si="6"/>
        <v>0</v>
      </c>
    </row>
    <row r="150" spans="3:3">
      <c r="C150">
        <f t="shared" si="6"/>
        <v>0</v>
      </c>
    </row>
    <row r="151" spans="3:3">
      <c r="C151">
        <f t="shared" si="6"/>
        <v>0</v>
      </c>
    </row>
    <row r="152" spans="3:3">
      <c r="C152">
        <f t="shared" si="6"/>
        <v>0</v>
      </c>
    </row>
    <row r="153" spans="3:3">
      <c r="C153">
        <f t="shared" si="6"/>
        <v>0</v>
      </c>
    </row>
    <row r="154" spans="3:3">
      <c r="C154">
        <f t="shared" si="6"/>
        <v>0</v>
      </c>
    </row>
    <row r="155" spans="3:3">
      <c r="C155">
        <f t="shared" si="6"/>
        <v>0</v>
      </c>
    </row>
    <row r="156" spans="3:3">
      <c r="C156">
        <f t="shared" si="6"/>
        <v>0</v>
      </c>
    </row>
    <row r="157" spans="3:3">
      <c r="C157">
        <f t="shared" si="6"/>
        <v>0</v>
      </c>
    </row>
    <row r="158" spans="3:3">
      <c r="C158">
        <f t="shared" si="6"/>
        <v>0</v>
      </c>
    </row>
    <row r="159" spans="3:3">
      <c r="C159">
        <f t="shared" si="6"/>
        <v>0</v>
      </c>
    </row>
    <row r="160" spans="3:3">
      <c r="C160">
        <f t="shared" si="6"/>
        <v>0</v>
      </c>
    </row>
    <row r="161" spans="3:3">
      <c r="C161">
        <f t="shared" si="6"/>
        <v>0</v>
      </c>
    </row>
    <row r="162" spans="3:3">
      <c r="C162">
        <f t="shared" si="6"/>
        <v>0</v>
      </c>
    </row>
    <row r="163" spans="3:3">
      <c r="C163">
        <f t="shared" si="6"/>
        <v>0</v>
      </c>
    </row>
    <row r="164" spans="3:3">
      <c r="C164">
        <f t="shared" si="6"/>
        <v>0</v>
      </c>
    </row>
    <row r="165" spans="3:3">
      <c r="C165">
        <f t="shared" si="6"/>
        <v>0</v>
      </c>
    </row>
    <row r="166" spans="3:3">
      <c r="C166">
        <f t="shared" si="6"/>
        <v>0</v>
      </c>
    </row>
    <row r="167" spans="3:3">
      <c r="C167">
        <f t="shared" si="6"/>
        <v>0</v>
      </c>
    </row>
    <row r="168" spans="3:3">
      <c r="C168">
        <f t="shared" si="6"/>
        <v>0</v>
      </c>
    </row>
    <row r="169" spans="3:3">
      <c r="C169">
        <f t="shared" si="6"/>
        <v>0</v>
      </c>
    </row>
    <row r="170" spans="3:3">
      <c r="C170">
        <f t="shared" si="6"/>
        <v>0</v>
      </c>
    </row>
    <row r="171" spans="3:3">
      <c r="C171">
        <f t="shared" si="6"/>
        <v>0</v>
      </c>
    </row>
    <row r="172" spans="3:3">
      <c r="C172">
        <f t="shared" si="6"/>
        <v>0</v>
      </c>
    </row>
    <row r="173" spans="3:3">
      <c r="C173">
        <f t="shared" si="6"/>
        <v>0</v>
      </c>
    </row>
    <row r="174" spans="3:3">
      <c r="C174">
        <f t="shared" si="6"/>
        <v>0</v>
      </c>
    </row>
    <row r="175" spans="3:3">
      <c r="C175">
        <f t="shared" si="6"/>
        <v>0</v>
      </c>
    </row>
    <row r="176" spans="3:3">
      <c r="C176">
        <f t="shared" si="6"/>
        <v>0</v>
      </c>
    </row>
    <row r="177" spans="3:3">
      <c r="C177">
        <f t="shared" si="6"/>
        <v>0</v>
      </c>
    </row>
    <row r="178" spans="3:3">
      <c r="C178">
        <f t="shared" si="6"/>
        <v>0</v>
      </c>
    </row>
    <row r="179" spans="3:3">
      <c r="C179">
        <f t="shared" si="6"/>
        <v>0</v>
      </c>
    </row>
    <row r="180" spans="3:3">
      <c r="C180">
        <f t="shared" si="6"/>
        <v>0</v>
      </c>
    </row>
    <row r="181" spans="3:3">
      <c r="C181">
        <f t="shared" si="6"/>
        <v>0</v>
      </c>
    </row>
    <row r="182" spans="3:3">
      <c r="C182">
        <f t="shared" si="6"/>
        <v>0</v>
      </c>
    </row>
    <row r="183" spans="3:3">
      <c r="C183">
        <f t="shared" si="6"/>
        <v>0</v>
      </c>
    </row>
    <row r="184" spans="3:3">
      <c r="C184">
        <f t="shared" si="6"/>
        <v>0</v>
      </c>
    </row>
    <row r="185" spans="3:3">
      <c r="C185">
        <f t="shared" si="6"/>
        <v>0</v>
      </c>
    </row>
    <row r="186" spans="3:3">
      <c r="C186">
        <f t="shared" si="6"/>
        <v>0</v>
      </c>
    </row>
    <row r="187" spans="3:3">
      <c r="C187">
        <f t="shared" si="6"/>
        <v>0</v>
      </c>
    </row>
    <row r="188" spans="3:3">
      <c r="C188">
        <f t="shared" si="6"/>
        <v>0</v>
      </c>
    </row>
    <row r="189" spans="3:3">
      <c r="C189">
        <f t="shared" si="6"/>
        <v>0</v>
      </c>
    </row>
    <row r="190" spans="3:3">
      <c r="C190">
        <f t="shared" si="6"/>
        <v>0</v>
      </c>
    </row>
    <row r="191" spans="3:3">
      <c r="C191">
        <f t="shared" si="6"/>
        <v>0</v>
      </c>
    </row>
    <row r="192" spans="3:3">
      <c r="C192">
        <f t="shared" si="6"/>
        <v>0</v>
      </c>
    </row>
    <row r="193" spans="3:3">
      <c r="C193">
        <f t="shared" si="6"/>
        <v>0</v>
      </c>
    </row>
    <row r="194" spans="3:3">
      <c r="C194">
        <f t="shared" si="6"/>
        <v>0</v>
      </c>
    </row>
    <row r="195" spans="3:3">
      <c r="C195">
        <f t="shared" si="6"/>
        <v>0</v>
      </c>
    </row>
    <row r="196" spans="3:3">
      <c r="C196">
        <f t="shared" si="6"/>
        <v>0</v>
      </c>
    </row>
    <row r="197" spans="3:3">
      <c r="C197">
        <f t="shared" si="6"/>
        <v>0</v>
      </c>
    </row>
    <row r="198" spans="3:3">
      <c r="C198">
        <f t="shared" si="6"/>
        <v>0</v>
      </c>
    </row>
    <row r="199" spans="3:3">
      <c r="C199">
        <f t="shared" si="6"/>
        <v>0</v>
      </c>
    </row>
    <row r="200" spans="3:3">
      <c r="C200">
        <f t="shared" ref="C200:C226" si="7">A200*B200</f>
        <v>0</v>
      </c>
    </row>
    <row r="201" spans="3:3">
      <c r="C201">
        <f t="shared" si="7"/>
        <v>0</v>
      </c>
    </row>
    <row r="202" spans="3:3">
      <c r="C202">
        <f t="shared" si="7"/>
        <v>0</v>
      </c>
    </row>
    <row r="203" spans="3:3">
      <c r="C203">
        <f t="shared" si="7"/>
        <v>0</v>
      </c>
    </row>
    <row r="204" spans="3:3">
      <c r="C204">
        <f t="shared" si="7"/>
        <v>0</v>
      </c>
    </row>
    <row r="205" spans="3:3">
      <c r="C205">
        <f t="shared" si="7"/>
        <v>0</v>
      </c>
    </row>
    <row r="206" spans="3:3">
      <c r="C206">
        <f t="shared" si="7"/>
        <v>0</v>
      </c>
    </row>
    <row r="207" spans="3:3">
      <c r="C207">
        <f t="shared" si="7"/>
        <v>0</v>
      </c>
    </row>
    <row r="208" spans="3:3">
      <c r="C208">
        <f t="shared" si="7"/>
        <v>0</v>
      </c>
    </row>
    <row r="209" spans="3:3">
      <c r="C209">
        <f t="shared" si="7"/>
        <v>0</v>
      </c>
    </row>
    <row r="210" spans="3:3">
      <c r="C210">
        <f t="shared" si="7"/>
        <v>0</v>
      </c>
    </row>
    <row r="211" spans="3:3">
      <c r="C211">
        <f t="shared" si="7"/>
        <v>0</v>
      </c>
    </row>
    <row r="212" spans="3:3">
      <c r="C212">
        <f t="shared" si="7"/>
        <v>0</v>
      </c>
    </row>
    <row r="213" spans="3:3">
      <c r="C213">
        <f t="shared" si="7"/>
        <v>0</v>
      </c>
    </row>
    <row r="214" spans="3:3">
      <c r="C214">
        <f t="shared" si="7"/>
        <v>0</v>
      </c>
    </row>
    <row r="215" spans="3:3">
      <c r="C215">
        <f t="shared" si="7"/>
        <v>0</v>
      </c>
    </row>
    <row r="216" spans="3:3">
      <c r="C216">
        <f t="shared" si="7"/>
        <v>0</v>
      </c>
    </row>
    <row r="217" spans="3:3">
      <c r="C217">
        <f t="shared" si="7"/>
        <v>0</v>
      </c>
    </row>
    <row r="218" spans="3:3">
      <c r="C218">
        <f t="shared" si="7"/>
        <v>0</v>
      </c>
    </row>
    <row r="219" spans="3:3">
      <c r="C219">
        <f t="shared" si="7"/>
        <v>0</v>
      </c>
    </row>
    <row r="220" spans="3:3">
      <c r="C220">
        <f t="shared" si="7"/>
        <v>0</v>
      </c>
    </row>
    <row r="221" spans="3:3">
      <c r="C221">
        <f t="shared" si="7"/>
        <v>0</v>
      </c>
    </row>
    <row r="222" spans="3:3">
      <c r="C222">
        <f t="shared" si="7"/>
        <v>0</v>
      </c>
    </row>
    <row r="223" spans="3:3">
      <c r="C223">
        <f t="shared" si="7"/>
        <v>0</v>
      </c>
    </row>
    <row r="224" spans="3:3">
      <c r="C224">
        <f t="shared" si="7"/>
        <v>0</v>
      </c>
    </row>
    <row r="225" spans="3:3">
      <c r="C225">
        <f t="shared" si="7"/>
        <v>0</v>
      </c>
    </row>
    <row r="226" spans="3:3">
      <c r="C226">
        <f t="shared" si="7"/>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764C7-EB3F-884D-A423-6A64CF5D743E}">
  <dimension ref="A1:E6"/>
  <sheetViews>
    <sheetView workbookViewId="0">
      <selection activeCell="D17" sqref="D17"/>
    </sheetView>
  </sheetViews>
  <sheetFormatPr baseColWidth="10" defaultRowHeight="16"/>
  <cols>
    <col min="4" max="4" width="17.6640625" customWidth="1"/>
  </cols>
  <sheetData>
    <row r="1" spans="1:5">
      <c r="A1" s="6" t="s">
        <v>19</v>
      </c>
      <c r="B1" s="6"/>
      <c r="C1" s="6"/>
    </row>
    <row r="2" spans="1:5">
      <c r="A2" s="22" t="s">
        <v>20</v>
      </c>
      <c r="B2" s="23">
        <v>150</v>
      </c>
      <c r="C2" s="6"/>
      <c r="D2" s="22" t="s">
        <v>22</v>
      </c>
      <c r="E2" s="19">
        <f>B2*B3</f>
        <v>63</v>
      </c>
    </row>
    <row r="3" spans="1:5">
      <c r="A3" s="22" t="s">
        <v>21</v>
      </c>
      <c r="B3" s="23">
        <v>0.42</v>
      </c>
      <c r="C3" s="6"/>
      <c r="D3" s="22" t="s">
        <v>23</v>
      </c>
      <c r="E3" s="19">
        <f>SQRT((B2*B3)*(1-B3))</f>
        <v>6.044832503882966</v>
      </c>
    </row>
    <row r="4" spans="1:5">
      <c r="A4" s="6"/>
      <c r="B4" s="6"/>
      <c r="C4" s="6"/>
    </row>
    <row r="5" spans="1:5">
      <c r="C5" s="6"/>
    </row>
    <row r="6" spans="1:5">
      <c r="C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83183-3309-E141-80C9-0F546E3ED993}">
  <dimension ref="A6:D17"/>
  <sheetViews>
    <sheetView workbookViewId="0">
      <selection activeCell="D10" sqref="D10"/>
    </sheetView>
  </sheetViews>
  <sheetFormatPr baseColWidth="10" defaultRowHeight="16"/>
  <sheetData>
    <row r="6" spans="1:4">
      <c r="C6" s="27" t="s">
        <v>84</v>
      </c>
    </row>
    <row r="7" spans="1:4">
      <c r="C7" s="26">
        <f>SUM(C10:C17)</f>
        <v>1.6335</v>
      </c>
      <c r="D7" t="s">
        <v>83</v>
      </c>
    </row>
    <row r="9" spans="1:4">
      <c r="A9" t="s">
        <v>0</v>
      </c>
      <c r="B9" t="s">
        <v>1</v>
      </c>
      <c r="C9" t="s">
        <v>58</v>
      </c>
      <c r="D9" t="s">
        <v>85</v>
      </c>
    </row>
    <row r="10" spans="1:4">
      <c r="A10" s="7">
        <v>0</v>
      </c>
      <c r="B10">
        <v>0.1663</v>
      </c>
      <c r="C10">
        <f>A10*B10</f>
        <v>0</v>
      </c>
    </row>
    <row r="11" spans="1:4">
      <c r="A11" s="7">
        <v>1</v>
      </c>
      <c r="B11">
        <v>0.34200000000000003</v>
      </c>
      <c r="C11">
        <f t="shared" ref="C11:C17" si="0">A11*B11</f>
        <v>0.34200000000000003</v>
      </c>
    </row>
    <row r="12" spans="1:4">
      <c r="A12" s="7">
        <v>2</v>
      </c>
      <c r="B12">
        <v>0.27660000000000001</v>
      </c>
      <c r="C12">
        <f t="shared" si="0"/>
        <v>0.55320000000000003</v>
      </c>
    </row>
    <row r="13" spans="1:4">
      <c r="A13">
        <v>3</v>
      </c>
      <c r="B13">
        <v>0.14960000000000001</v>
      </c>
      <c r="C13">
        <f t="shared" si="0"/>
        <v>0.44880000000000003</v>
      </c>
    </row>
    <row r="14" spans="1:4">
      <c r="A14">
        <v>4</v>
      </c>
      <c r="B14">
        <v>3.7999999999999999E-2</v>
      </c>
      <c r="C14">
        <f t="shared" si="0"/>
        <v>0.152</v>
      </c>
    </row>
    <row r="15" spans="1:4">
      <c r="A15">
        <v>5</v>
      </c>
      <c r="B15">
        <v>2.75E-2</v>
      </c>
      <c r="C15">
        <f t="shared" si="0"/>
        <v>0.13750000000000001</v>
      </c>
    </row>
    <row r="16" spans="1:4">
      <c r="C16">
        <f t="shared" si="0"/>
        <v>0</v>
      </c>
    </row>
    <row r="17" spans="3:3">
      <c r="C17">
        <f t="shared" si="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251E-A9B7-7F4B-A78E-2F9C7E161BB7}">
  <dimension ref="A1:H57"/>
  <sheetViews>
    <sheetView topLeftCell="A23" zoomScale="85" workbookViewId="0">
      <selection activeCell="J19" sqref="J19"/>
    </sheetView>
  </sheetViews>
  <sheetFormatPr baseColWidth="10" defaultRowHeight="16"/>
  <cols>
    <col min="1" max="1" width="17.1640625" customWidth="1"/>
    <col min="2" max="2" width="14.1640625" customWidth="1"/>
    <col min="3" max="3" width="15" customWidth="1"/>
  </cols>
  <sheetData>
    <row r="1" spans="1:8" ht="17">
      <c r="A1" s="15" t="s">
        <v>51</v>
      </c>
    </row>
    <row r="2" spans="1:8" ht="17">
      <c r="A2" s="15" t="s">
        <v>52</v>
      </c>
    </row>
    <row r="3" spans="1:8" ht="17">
      <c r="A3" s="15" t="s">
        <v>63</v>
      </c>
    </row>
    <row r="5" spans="1:8" ht="17">
      <c r="A5" s="21" t="s">
        <v>97</v>
      </c>
      <c r="G5" s="4" t="s">
        <v>98</v>
      </c>
    </row>
    <row r="6" spans="1:8" ht="17">
      <c r="A6" s="21" t="s">
        <v>62</v>
      </c>
      <c r="B6" s="29">
        <v>0.12</v>
      </c>
      <c r="G6" t="s">
        <v>99</v>
      </c>
      <c r="H6">
        <v>0.12</v>
      </c>
    </row>
    <row r="7" spans="1:8">
      <c r="B7" s="2"/>
      <c r="G7" t="s">
        <v>100</v>
      </c>
      <c r="H7">
        <v>14</v>
      </c>
    </row>
    <row r="8" spans="1:8" ht="17">
      <c r="A8" s="21" t="s">
        <v>59</v>
      </c>
      <c r="B8" s="29">
        <v>14</v>
      </c>
      <c r="G8" t="s">
        <v>89</v>
      </c>
      <c r="H8">
        <f>H6*H7</f>
        <v>1.68</v>
      </c>
    </row>
    <row r="9" spans="1:8" ht="17">
      <c r="A9" s="21" t="s">
        <v>0</v>
      </c>
      <c r="B9" s="29">
        <v>6</v>
      </c>
    </row>
    <row r="10" spans="1:8" ht="17">
      <c r="A10" s="21" t="s">
        <v>60</v>
      </c>
      <c r="B10" s="29">
        <v>1.68</v>
      </c>
      <c r="C10" t="s">
        <v>103</v>
      </c>
      <c r="D10">
        <f>B6*B8</f>
        <v>1.68</v>
      </c>
      <c r="G10" t="s">
        <v>0</v>
      </c>
      <c r="H10">
        <v>6</v>
      </c>
    </row>
    <row r="11" spans="1:8" ht="26">
      <c r="A11" s="24" t="s">
        <v>61</v>
      </c>
      <c r="B11" s="2"/>
      <c r="G11" t="s">
        <v>90</v>
      </c>
    </row>
    <row r="12" spans="1:8" ht="17">
      <c r="A12" s="21" t="s">
        <v>90</v>
      </c>
      <c r="B12" s="29">
        <f>_xlfn.POISSON.DIST(B9,B10, FALSE)</f>
        <v>5.8198054157415332E-3</v>
      </c>
      <c r="G12" t="s">
        <v>101</v>
      </c>
    </row>
    <row r="13" spans="1:8" ht="17">
      <c r="A13" s="21" t="s">
        <v>91</v>
      </c>
      <c r="B13" s="29">
        <f>_xlfn.POISSON.DIST(B9 - 1, B10, TRUE)</f>
        <v>0.99242454151988369</v>
      </c>
      <c r="G13" t="s">
        <v>102</v>
      </c>
    </row>
    <row r="14" spans="1:8" ht="17">
      <c r="A14" s="21" t="s">
        <v>92</v>
      </c>
      <c r="B14" s="29">
        <f>1 - B13</f>
        <v>7.575458480116315E-3</v>
      </c>
    </row>
    <row r="16" spans="1:8" ht="17">
      <c r="A16" s="21" t="s">
        <v>93</v>
      </c>
      <c r="B16">
        <v>4</v>
      </c>
    </row>
    <row r="17" spans="1:3" ht="17">
      <c r="A17" s="21" t="s">
        <v>94</v>
      </c>
      <c r="B17">
        <v>7</v>
      </c>
    </row>
    <row r="18" spans="1:3" ht="17">
      <c r="A18" s="21" t="s">
        <v>96</v>
      </c>
    </row>
    <row r="19" spans="1:3">
      <c r="A19" s="16">
        <f>B16</f>
        <v>4</v>
      </c>
      <c r="B19">
        <f>_xlfn.POISSON.DIST(A19, B$10, FALSE)</f>
        <v>6.1860176612899005E-2</v>
      </c>
      <c r="C19" t="str">
        <f>IF(A19&gt;B$17,"ERASE","")</f>
        <v/>
      </c>
    </row>
    <row r="20" spans="1:3">
      <c r="A20" s="16">
        <f>A19+1</f>
        <v>5</v>
      </c>
      <c r="B20">
        <f t="shared" ref="B20:B26" si="0">_xlfn.POISSON.DIST(A20, B$10, FALSE)</f>
        <v>2.0785019341934056E-2</v>
      </c>
      <c r="C20" t="str">
        <f t="shared" ref="C20:C26" si="1">IF(A20&gt;B$17,"ERASE","")</f>
        <v/>
      </c>
    </row>
    <row r="21" spans="1:3">
      <c r="A21" s="16">
        <f t="shared" ref="A21:A26" si="2">A20+1</f>
        <v>6</v>
      </c>
      <c r="B21">
        <f t="shared" si="0"/>
        <v>5.8198054157415332E-3</v>
      </c>
      <c r="C21" t="str">
        <f t="shared" si="1"/>
        <v/>
      </c>
    </row>
    <row r="22" spans="1:3">
      <c r="A22" s="16">
        <f t="shared" si="2"/>
        <v>7</v>
      </c>
      <c r="B22">
        <f t="shared" si="0"/>
        <v>1.3967532997779695E-3</v>
      </c>
      <c r="C22" t="str">
        <f t="shared" si="1"/>
        <v/>
      </c>
    </row>
    <row r="23" spans="1:3">
      <c r="A23" s="16">
        <f t="shared" si="2"/>
        <v>8</v>
      </c>
      <c r="B23">
        <f t="shared" si="0"/>
        <v>2.9331819295337359E-4</v>
      </c>
      <c r="C23" t="str">
        <f t="shared" si="1"/>
        <v>ERASE</v>
      </c>
    </row>
    <row r="24" spans="1:3">
      <c r="A24" s="16">
        <f t="shared" si="2"/>
        <v>9</v>
      </c>
      <c r="B24">
        <f t="shared" si="0"/>
        <v>5.4752729351296345E-5</v>
      </c>
      <c r="C24" t="str">
        <f t="shared" si="1"/>
        <v>ERASE</v>
      </c>
    </row>
    <row r="25" spans="1:3">
      <c r="A25" s="16">
        <f t="shared" si="2"/>
        <v>10</v>
      </c>
      <c r="B25">
        <f t="shared" si="0"/>
        <v>9.1984585310177959E-6</v>
      </c>
      <c r="C25" t="str">
        <f t="shared" si="1"/>
        <v>ERASE</v>
      </c>
    </row>
    <row r="26" spans="1:3">
      <c r="A26" s="16">
        <f t="shared" si="2"/>
        <v>11</v>
      </c>
      <c r="B26">
        <f t="shared" si="0"/>
        <v>1.4048554847372632E-6</v>
      </c>
      <c r="C26" t="str">
        <f t="shared" si="1"/>
        <v>ERASE</v>
      </c>
    </row>
    <row r="27" spans="1:3">
      <c r="A27" s="25" t="s">
        <v>95</v>
      </c>
      <c r="B27" s="20">
        <f>SUMIF(C19:C26,"",B19:B26)</f>
        <v>8.9861754670352567E-2</v>
      </c>
    </row>
    <row r="39" spans="1:5">
      <c r="A39" s="28" t="s">
        <v>86</v>
      </c>
    </row>
    <row r="40" spans="1:5">
      <c r="A40" t="s">
        <v>87</v>
      </c>
      <c r="B40">
        <v>37</v>
      </c>
    </row>
    <row r="41" spans="1:5">
      <c r="A41" t="s">
        <v>88</v>
      </c>
      <c r="B41">
        <v>106</v>
      </c>
      <c r="E41">
        <f>_xlfn.POISSON.DIST(6, 7.2, FALSE)</f>
        <v>0.14445820444290103</v>
      </c>
    </row>
    <row r="42" spans="1:5">
      <c r="A42">
        <v>0.34905660379999998</v>
      </c>
    </row>
    <row r="46" spans="1:5">
      <c r="A46" t="s">
        <v>104</v>
      </c>
    </row>
    <row r="47" spans="1:5">
      <c r="A47" t="s">
        <v>105</v>
      </c>
      <c r="B47" s="20">
        <v>0.8</v>
      </c>
    </row>
    <row r="48" spans="1:5">
      <c r="A48" t="s">
        <v>106</v>
      </c>
      <c r="B48" s="20">
        <v>9</v>
      </c>
    </row>
    <row r="49" spans="1:2">
      <c r="A49" t="s">
        <v>89</v>
      </c>
      <c r="B49">
        <f>B47*B48</f>
        <v>7.2</v>
      </c>
    </row>
    <row r="51" spans="1:2">
      <c r="A51" t="s">
        <v>0</v>
      </c>
      <c r="B51">
        <v>8</v>
      </c>
    </row>
    <row r="52" spans="1:2">
      <c r="A52" t="s">
        <v>90</v>
      </c>
      <c r="B52">
        <f>_xlfn.POISSON.DIST(B51, B49, FALSE)</f>
        <v>0.13372702354142837</v>
      </c>
    </row>
    <row r="53" spans="1:2">
      <c r="A53" t="s">
        <v>107</v>
      </c>
      <c r="B53">
        <f>_xlfn.POISSON.DIST(B51 - 1, B49, TRUE)</f>
        <v>0.56894123888215242</v>
      </c>
    </row>
    <row r="54" spans="1:2">
      <c r="A54" t="s">
        <v>92</v>
      </c>
      <c r="B54">
        <f xml:space="preserve"> 1 - B53</f>
        <v>0.43105876111784758</v>
      </c>
    </row>
    <row r="56" spans="1:2">
      <c r="A56">
        <f>_xlfn.POISSON.DIST(1, 7.2, FALSE)</f>
        <v>5.3754178203120903E-3</v>
      </c>
    </row>
    <row r="57" spans="1:2">
      <c r="A57">
        <f xml:space="preserve"> 1 - A56</f>
        <v>0.99462458217968786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9FCC-C544-FD4E-85A9-D1AE64548C87}">
  <dimension ref="A3:AB75"/>
  <sheetViews>
    <sheetView zoomScale="67" workbookViewId="0">
      <selection activeCell="K33" sqref="K33"/>
    </sheetView>
  </sheetViews>
  <sheetFormatPr baseColWidth="10" defaultRowHeight="16"/>
  <cols>
    <col min="1" max="1" width="22.1640625" customWidth="1"/>
    <col min="2" max="2" width="24.33203125" customWidth="1"/>
    <col min="3" max="3" width="22.33203125" customWidth="1"/>
    <col min="6" max="6" width="26.6640625" customWidth="1"/>
    <col min="7" max="7" width="28" customWidth="1"/>
    <col min="10" max="10" width="27.83203125" customWidth="1"/>
    <col min="11" max="11" width="11.83203125" customWidth="1"/>
    <col min="15" max="15" width="19.33203125" customWidth="1"/>
    <col min="20" max="20" width="19.83203125" customWidth="1"/>
    <col min="26" max="26" width="25.33203125" customWidth="1"/>
    <col min="27" max="27" width="24.6640625" customWidth="1"/>
  </cols>
  <sheetData>
    <row r="3" spans="2:28">
      <c r="B3" s="159">
        <v>10.199999999999999</v>
      </c>
      <c r="C3" s="159"/>
      <c r="D3" s="159"/>
      <c r="E3" s="159"/>
      <c r="F3" s="159"/>
      <c r="G3" s="159"/>
    </row>
    <row r="5" spans="2:28">
      <c r="B5" s="160" t="s">
        <v>364</v>
      </c>
      <c r="C5" s="160"/>
      <c r="F5" s="160" t="s">
        <v>363</v>
      </c>
      <c r="G5" s="160"/>
      <c r="J5" s="140" t="s">
        <v>237</v>
      </c>
      <c r="K5" s="140"/>
      <c r="N5" t="s">
        <v>351</v>
      </c>
      <c r="Z5" t="s">
        <v>368</v>
      </c>
    </row>
    <row r="6" spans="2:28">
      <c r="B6" s="76"/>
      <c r="C6" s="94"/>
      <c r="F6" s="76"/>
      <c r="G6" s="94"/>
      <c r="J6" s="32"/>
      <c r="K6" s="32"/>
      <c r="N6" s="32" t="s">
        <v>338</v>
      </c>
      <c r="O6" s="32" t="s">
        <v>380</v>
      </c>
      <c r="P6" s="32">
        <v>88.1</v>
      </c>
      <c r="T6" s="98" t="s">
        <v>248</v>
      </c>
      <c r="U6" s="98">
        <v>1.68</v>
      </c>
      <c r="Z6" t="s">
        <v>272</v>
      </c>
      <c r="AA6" t="s">
        <v>20</v>
      </c>
      <c r="AB6">
        <v>12</v>
      </c>
    </row>
    <row r="7" spans="2:28">
      <c r="B7" s="84" t="s">
        <v>226</v>
      </c>
      <c r="C7" s="85">
        <v>0.86</v>
      </c>
      <c r="F7" s="84" t="s">
        <v>226</v>
      </c>
      <c r="G7" s="85">
        <v>0.86</v>
      </c>
      <c r="J7" s="114" t="s">
        <v>0</v>
      </c>
      <c r="K7" s="115">
        <v>13</v>
      </c>
      <c r="N7" s="32">
        <v>109</v>
      </c>
      <c r="O7" s="32" t="s">
        <v>20</v>
      </c>
      <c r="P7" s="32">
        <v>10</v>
      </c>
      <c r="T7" s="98" t="s">
        <v>249</v>
      </c>
      <c r="U7" s="98">
        <v>1.681</v>
      </c>
      <c r="Z7">
        <v>7.6999999999999999E-2</v>
      </c>
      <c r="AA7" t="s">
        <v>371</v>
      </c>
      <c r="AB7">
        <v>0.15</v>
      </c>
    </row>
    <row r="8" spans="2:28">
      <c r="B8" s="78" t="s">
        <v>187</v>
      </c>
      <c r="C8" s="79">
        <v>200</v>
      </c>
      <c r="F8" s="86" t="s">
        <v>347</v>
      </c>
      <c r="G8" s="87">
        <v>893</v>
      </c>
      <c r="J8" s="114" t="s">
        <v>20</v>
      </c>
      <c r="K8" s="115">
        <v>48</v>
      </c>
      <c r="N8" s="32">
        <v>67.3</v>
      </c>
      <c r="O8" s="32" t="s">
        <v>352</v>
      </c>
      <c r="P8" s="32">
        <f>AVERAGE(N7:N100)</f>
        <v>79</v>
      </c>
      <c r="T8" s="98" t="s">
        <v>250</v>
      </c>
      <c r="U8">
        <v>4.0000000000000001E-3</v>
      </c>
      <c r="Z8">
        <v>7.3999999999999996E-2</v>
      </c>
      <c r="AA8" t="s">
        <v>334</v>
      </c>
      <c r="AB8">
        <f>AVERAGE(Z7:Z18)</f>
        <v>0.15150000000000002</v>
      </c>
    </row>
    <row r="9" spans="2:28">
      <c r="B9" s="86" t="s">
        <v>0</v>
      </c>
      <c r="C9" s="87">
        <v>26</v>
      </c>
      <c r="F9" s="95" t="s">
        <v>348</v>
      </c>
      <c r="G9" s="96">
        <v>1000</v>
      </c>
      <c r="J9" s="114" t="s">
        <v>239</v>
      </c>
      <c r="K9" s="115">
        <v>57</v>
      </c>
      <c r="N9" s="32">
        <v>56.1</v>
      </c>
      <c r="O9" s="157" t="s">
        <v>353</v>
      </c>
      <c r="P9" s="32">
        <f>P6</f>
        <v>88.1</v>
      </c>
      <c r="T9" s="98" t="s">
        <v>20</v>
      </c>
      <c r="U9" s="98">
        <v>12</v>
      </c>
      <c r="Z9">
        <v>5.3999999999999999E-2</v>
      </c>
      <c r="AA9" t="s">
        <v>370</v>
      </c>
      <c r="AB9">
        <v>0.1</v>
      </c>
    </row>
    <row r="10" spans="2:28">
      <c r="B10" s="97" t="s">
        <v>208</v>
      </c>
      <c r="C10" s="98">
        <v>0.05</v>
      </c>
      <c r="F10" s="97" t="s">
        <v>208</v>
      </c>
      <c r="G10" s="98">
        <v>0.05</v>
      </c>
      <c r="J10" s="114" t="s">
        <v>240</v>
      </c>
      <c r="K10" s="115">
        <v>39</v>
      </c>
      <c r="N10" s="32">
        <v>73.900000000000006</v>
      </c>
      <c r="O10" s="32" t="s">
        <v>367</v>
      </c>
      <c r="P10" s="32">
        <v>0.05</v>
      </c>
      <c r="T10" s="98" t="s">
        <v>208</v>
      </c>
      <c r="U10" s="98">
        <v>0.05</v>
      </c>
      <c r="Z10">
        <v>0.27600000000000002</v>
      </c>
      <c r="AA10" t="s">
        <v>221</v>
      </c>
      <c r="AB10">
        <f>_xlfn.STDEV.S(Z7:Z18)</f>
        <v>9.2308961885856147E-2</v>
      </c>
    </row>
    <row r="11" spans="2:28">
      <c r="B11" s="74" t="s">
        <v>227</v>
      </c>
      <c r="C11" s="74" t="s">
        <v>228</v>
      </c>
      <c r="F11" s="74" t="s">
        <v>227</v>
      </c>
      <c r="G11" s="74" t="s">
        <v>228</v>
      </c>
      <c r="J11" s="118"/>
      <c r="K11" s="119"/>
      <c r="N11" s="32">
        <v>66.3</v>
      </c>
      <c r="O11" s="32" t="s">
        <v>250</v>
      </c>
      <c r="P11" s="32">
        <f>_xlfn.STDEV.S(N7:N20)</f>
        <v>15.214101645805059</v>
      </c>
      <c r="T11" s="32"/>
      <c r="U11" s="32"/>
      <c r="Z11">
        <v>0.111</v>
      </c>
    </row>
    <row r="12" spans="2:28">
      <c r="B12" s="32"/>
      <c r="C12" s="32"/>
      <c r="F12" s="32"/>
      <c r="G12" s="32"/>
      <c r="J12" s="120" t="s">
        <v>241</v>
      </c>
      <c r="K12" s="121">
        <f>K8*(K9/100)*(1-(K9/100))</f>
        <v>11.764800000000001</v>
      </c>
      <c r="N12" s="32">
        <v>82.3</v>
      </c>
      <c r="O12" s="32"/>
      <c r="P12" s="32"/>
      <c r="T12" s="31" t="s">
        <v>251</v>
      </c>
      <c r="U12" s="134" t="str">
        <f>IF(U9&gt;=30, "Yes", "No")</f>
        <v>No</v>
      </c>
      <c r="Z12">
        <v>0.17399999999999999</v>
      </c>
      <c r="AA12" s="153" t="s">
        <v>372</v>
      </c>
      <c r="AB12" s="153">
        <f>(AB8-AB7)/(AB10/SQRT(AB6))</f>
        <v>5.6290877034582951E-2</v>
      </c>
    </row>
    <row r="13" spans="2:28">
      <c r="B13" s="99" t="s">
        <v>229</v>
      </c>
      <c r="C13" s="100">
        <f>C8*C7*(1-C7)</f>
        <v>24.080000000000002</v>
      </c>
      <c r="F13" s="99" t="s">
        <v>229</v>
      </c>
      <c r="G13" s="101">
        <f>G9*G7*(1-G7)</f>
        <v>120.4</v>
      </c>
      <c r="J13" s="123" t="s">
        <v>186</v>
      </c>
      <c r="K13" s="123" t="b">
        <f>IF(K12 &gt;= 10, TRUE, FALSE)</f>
        <v>1</v>
      </c>
      <c r="N13" s="32">
        <v>93</v>
      </c>
      <c r="O13" s="155" t="s">
        <v>354</v>
      </c>
      <c r="P13" s="136">
        <f>(P8-P9)/(P11/SQRT(P7))</f>
        <v>-1.8914509300302171</v>
      </c>
      <c r="T13" s="32"/>
      <c r="U13" s="32"/>
      <c r="Z13">
        <v>0.112</v>
      </c>
    </row>
    <row r="14" spans="2:28">
      <c r="B14" s="82" t="s">
        <v>230</v>
      </c>
      <c r="C14" s="102" t="b">
        <f>IF(C13&gt;=10, TRUE, FALSE)</f>
        <v>1</v>
      </c>
      <c r="F14" s="82" t="s">
        <v>230</v>
      </c>
      <c r="G14" s="82" t="b">
        <f>IF(G13&gt;=10, TRUE, FALSE)</f>
        <v>1</v>
      </c>
      <c r="J14" s="124"/>
      <c r="K14" s="94"/>
      <c r="N14" s="32">
        <v>85.5</v>
      </c>
      <c r="O14" s="32" t="s">
        <v>355</v>
      </c>
      <c r="P14" s="32" t="s">
        <v>43</v>
      </c>
      <c r="T14" s="135" t="s">
        <v>358</v>
      </c>
      <c r="U14" s="135">
        <f>(U7-U6)/ (U8/SQRT(U9))</f>
        <v>0.86602540378453552</v>
      </c>
      <c r="Z14">
        <v>0.214</v>
      </c>
      <c r="AA14" s="154" t="s">
        <v>373</v>
      </c>
      <c r="AB14" s="131">
        <f>TDIST(ABS(AB12),AB6-1,2)</f>
        <v>0.95611954878067607</v>
      </c>
    </row>
    <row r="15" spans="2:28">
      <c r="B15" s="74"/>
      <c r="C15" s="32"/>
      <c r="F15" s="74"/>
      <c r="G15" s="32"/>
      <c r="J15" s="74" t="s">
        <v>231</v>
      </c>
      <c r="K15" s="32">
        <f>K7/K8</f>
        <v>0.27083333333333331</v>
      </c>
      <c r="N15" s="32">
        <v>71.8</v>
      </c>
      <c r="O15" s="136" t="s">
        <v>365</v>
      </c>
      <c r="P15" s="136">
        <f>TDIST(ABS(P13),P7-1, 2)</f>
        <v>9.1124762650744345E-2</v>
      </c>
      <c r="T15" s="136" t="s">
        <v>252</v>
      </c>
      <c r="U15" s="131">
        <f>TDIST(ABS(U14),U9-1,1)</f>
        <v>0.20248476225385775</v>
      </c>
      <c r="V15" t="s">
        <v>359</v>
      </c>
      <c r="Z15">
        <v>0.32400000000000001</v>
      </c>
      <c r="AA15" t="s">
        <v>366</v>
      </c>
      <c r="AB15" t="b">
        <f>AB14&gt;=AB9</f>
        <v>1</v>
      </c>
    </row>
    <row r="16" spans="2:28">
      <c r="B16" s="103" t="s">
        <v>231</v>
      </c>
      <c r="C16" s="104">
        <f>C9/C8</f>
        <v>0.13</v>
      </c>
      <c r="F16" s="74" t="s">
        <v>346</v>
      </c>
      <c r="G16" s="32">
        <f>G8/G9</f>
        <v>0.89300000000000002</v>
      </c>
      <c r="J16" s="74" t="s">
        <v>242</v>
      </c>
      <c r="K16" s="32"/>
      <c r="N16" s="32">
        <v>84.8</v>
      </c>
      <c r="O16" s="32"/>
      <c r="P16" s="32" t="s">
        <v>381</v>
      </c>
      <c r="Z16">
        <v>9.9000000000000005E-2</v>
      </c>
    </row>
    <row r="17" spans="2:28">
      <c r="B17" s="40"/>
      <c r="C17" s="105"/>
      <c r="F17" s="106" t="s">
        <v>232</v>
      </c>
      <c r="G17" s="107">
        <f>(G16-G7)/SQRT((G7*(1-G7))/G9)</f>
        <v>3.0074657933780204</v>
      </c>
      <c r="J17" s="74"/>
      <c r="K17" s="126"/>
      <c r="N17" s="32"/>
      <c r="O17" s="158" t="s">
        <v>382</v>
      </c>
      <c r="P17" s="32" t="b">
        <f>P15 &lt;= P10</f>
        <v>0</v>
      </c>
      <c r="T17" s="137" t="s">
        <v>253</v>
      </c>
      <c r="U17" s="134" t="str">
        <f>IF(U15&gt;U10, "Do not reject", "Reject")</f>
        <v>Do not reject</v>
      </c>
      <c r="AA17" t="s">
        <v>376</v>
      </c>
      <c r="AB17">
        <v>98</v>
      </c>
    </row>
    <row r="18" spans="2:28">
      <c r="B18" s="106" t="s">
        <v>232</v>
      </c>
      <c r="C18" s="108">
        <f>(C16-C7)/SQRT((C7*(1-C7))/C8)</f>
        <v>-29.752578826781615</v>
      </c>
      <c r="D18" t="s">
        <v>233</v>
      </c>
      <c r="F18" s="74"/>
      <c r="G18" s="32"/>
      <c r="J18" s="74" t="s">
        <v>244</v>
      </c>
      <c r="K18" s="126">
        <f>_xlfn.BINOM.DIST(K10-1,K8,K9/100,TRUE)</f>
        <v>0.99964533162387259</v>
      </c>
      <c r="N18" s="32"/>
      <c r="O18" s="32"/>
      <c r="P18" s="32"/>
      <c r="AA18" t="s">
        <v>190</v>
      </c>
      <c r="AB18">
        <f>AB9/2</f>
        <v>0.05</v>
      </c>
    </row>
    <row r="19" spans="2:28">
      <c r="B19" s="74"/>
      <c r="C19" s="32"/>
      <c r="F19" s="109" t="s">
        <v>234</v>
      </c>
      <c r="G19" s="110">
        <f>TDIST(ABS(G17),G9-1,2)</f>
        <v>2.7003156702174892E-3</v>
      </c>
      <c r="J19" s="130" t="s">
        <v>245</v>
      </c>
      <c r="K19" s="131">
        <f>1-K18</f>
        <v>3.5466837612740942E-4</v>
      </c>
      <c r="N19" s="32"/>
      <c r="O19" s="32"/>
      <c r="P19" s="32"/>
      <c r="T19" t="s">
        <v>360</v>
      </c>
      <c r="U19" t="s">
        <v>43</v>
      </c>
      <c r="AA19" t="s">
        <v>377</v>
      </c>
      <c r="AB19">
        <f>ABS(_xlfn.T.INV(AB18,AB6-1))</f>
        <v>1.7958848187040437</v>
      </c>
    </row>
    <row r="20" spans="2:28">
      <c r="B20" s="109" t="s">
        <v>234</v>
      </c>
      <c r="C20" s="111">
        <f>TDIST(ABS(C18),C8-1,1)</f>
        <v>1.7232439145239769E-75</v>
      </c>
      <c r="F20" s="152" t="s">
        <v>349</v>
      </c>
      <c r="J20" s="132" t="s">
        <v>247</v>
      </c>
      <c r="K20" s="133">
        <f>_xlfn.BINOM.DIST(K10,K8,K9/100,TRUE)</f>
        <v>0.99989936814098268</v>
      </c>
      <c r="N20" s="32"/>
      <c r="O20" s="32"/>
      <c r="P20" s="32"/>
    </row>
    <row r="21" spans="2:28">
      <c r="B21" s="112" t="s">
        <v>235</v>
      </c>
      <c r="C21" s="113" t="str">
        <f>IF(C20&gt;C10, "P &gt; a", "P &lt; a")</f>
        <v>P &lt; a</v>
      </c>
      <c r="N21" s="32"/>
      <c r="O21" s="32"/>
      <c r="P21" s="32"/>
      <c r="AA21" t="s">
        <v>67</v>
      </c>
      <c r="AB21">
        <f>AB$8 - AB$19*AB$10/SQRT(AB$6)</f>
        <v>0.10364451488469201</v>
      </c>
    </row>
    <row r="22" spans="2:28">
      <c r="B22" s="32"/>
      <c r="C22" s="115" t="str">
        <f>IF(C21="P &gt; a", "DON'T REJECT", "REJECT")</f>
        <v>REJECT</v>
      </c>
      <c r="D22" t="s">
        <v>263</v>
      </c>
      <c r="AA22" t="s">
        <v>378</v>
      </c>
      <c r="AB22">
        <f>AB$8 + AB$19*AB$10/SQRT(AB$6)</f>
        <v>0.19935548511530804</v>
      </c>
    </row>
    <row r="24" spans="2:28" ht="17">
      <c r="B24" s="160" t="s">
        <v>236</v>
      </c>
      <c r="C24" s="160"/>
      <c r="O24" s="15" t="s">
        <v>369</v>
      </c>
      <c r="P24" t="s">
        <v>43</v>
      </c>
      <c r="AA24" t="s">
        <v>379</v>
      </c>
    </row>
    <row r="25" spans="2:28" ht="17">
      <c r="B25" s="32"/>
      <c r="C25" s="32"/>
      <c r="F25" s="112" t="s">
        <v>235</v>
      </c>
      <c r="G25" s="113" t="str">
        <f>IF(G19&gt;G10, "P &gt; a", "P &lt; a")</f>
        <v>P &lt; a</v>
      </c>
      <c r="O25" s="15"/>
    </row>
    <row r="26" spans="2:28" ht="17">
      <c r="B26" s="85" t="s">
        <v>0</v>
      </c>
      <c r="C26" s="85">
        <v>494</v>
      </c>
      <c r="G26" s="115" t="str">
        <f>IF(G25="P &gt; a", "DON'T REJECT NULL HYPOTHESIS", "REJECT NULL HYPOTHESIS")</f>
        <v>REJECT NULL HYPOTHESIS</v>
      </c>
      <c r="O26" s="15"/>
    </row>
    <row r="27" spans="2:28" ht="17">
      <c r="B27" s="116" t="s">
        <v>20</v>
      </c>
      <c r="C27" s="116">
        <v>1195</v>
      </c>
      <c r="O27" s="15"/>
    </row>
    <row r="28" spans="2:28" ht="17">
      <c r="B28" s="79" t="s">
        <v>238</v>
      </c>
      <c r="C28" s="79">
        <v>0.4</v>
      </c>
      <c r="O28" s="15"/>
    </row>
    <row r="29" spans="2:28">
      <c r="B29" s="117" t="s">
        <v>261</v>
      </c>
      <c r="C29" s="117">
        <v>99</v>
      </c>
    </row>
    <row r="30" spans="2:28">
      <c r="B30" s="40"/>
      <c r="C30" s="105"/>
    </row>
    <row r="31" spans="2:28">
      <c r="B31" s="32" t="s">
        <v>186</v>
      </c>
      <c r="C31" s="32">
        <f>C27*(C28/100)*(1-(C28/100))</f>
        <v>4.7608800000000002</v>
      </c>
    </row>
    <row r="32" spans="2:28">
      <c r="B32" s="32"/>
      <c r="C32" s="122"/>
    </row>
    <row r="33" spans="2:27">
      <c r="B33" s="32" t="s">
        <v>190</v>
      </c>
      <c r="C33" s="32">
        <f>((100-C29) /2)/100</f>
        <v>5.0000000000000001E-3</v>
      </c>
    </row>
    <row r="34" spans="2:27">
      <c r="B34" s="32" t="s">
        <v>191</v>
      </c>
      <c r="C34" s="32">
        <f>_xlfn.NORM.INV((1-C33),0,1)</f>
        <v>2.5758293035488999</v>
      </c>
      <c r="AA34" t="s">
        <v>374</v>
      </c>
    </row>
    <row r="35" spans="2:27">
      <c r="B35" s="118"/>
      <c r="C35" s="119"/>
    </row>
    <row r="36" spans="2:27">
      <c r="B36" s="125" t="s">
        <v>243</v>
      </c>
      <c r="C36" s="125">
        <f>C26/C27</f>
        <v>0.41338912133891215</v>
      </c>
    </row>
    <row r="37" spans="2:27">
      <c r="B37" s="127"/>
      <c r="C37" s="128"/>
    </row>
    <row r="38" spans="2:27">
      <c r="B38" s="102" t="s">
        <v>192</v>
      </c>
      <c r="C38" s="129">
        <f>C36-(C34*SQRT((C36*(1-C36))/C27))</f>
        <v>0.37669574247190074</v>
      </c>
    </row>
    <row r="39" spans="2:27">
      <c r="B39" s="102" t="s">
        <v>68</v>
      </c>
      <c r="C39" s="129">
        <f>C36+(C34*SQRT((C36*(1-C36))/C27))</f>
        <v>0.45008250020592355</v>
      </c>
      <c r="D39" t="s">
        <v>246</v>
      </c>
    </row>
    <row r="43" spans="2:27">
      <c r="B43" t="s">
        <v>362</v>
      </c>
    </row>
    <row r="45" spans="2:27">
      <c r="B45" t="s">
        <v>269</v>
      </c>
    </row>
    <row r="47" spans="2:27">
      <c r="B47" t="s">
        <v>260</v>
      </c>
    </row>
    <row r="48" spans="2:27">
      <c r="B48" t="s">
        <v>262</v>
      </c>
    </row>
    <row r="49" spans="1:2">
      <c r="B49" s="4" t="s">
        <v>255</v>
      </c>
    </row>
    <row r="50" spans="1:2">
      <c r="B50" s="4" t="s">
        <v>256</v>
      </c>
    </row>
    <row r="52" spans="1:2" ht="29">
      <c r="A52" t="s">
        <v>259</v>
      </c>
      <c r="B52" s="138" t="s">
        <v>257</v>
      </c>
    </row>
    <row r="53" spans="1:2" ht="29">
      <c r="B53" s="138" t="s">
        <v>258</v>
      </c>
    </row>
    <row r="55" spans="1:2" ht="21">
      <c r="B55" s="139"/>
    </row>
    <row r="61" spans="1:2" ht="17">
      <c r="B61" s="15" t="s">
        <v>254</v>
      </c>
    </row>
    <row r="62" spans="1:2">
      <c r="B62" t="s">
        <v>264</v>
      </c>
    </row>
    <row r="65" spans="2:2">
      <c r="B65" t="s">
        <v>265</v>
      </c>
    </row>
    <row r="66" spans="2:2">
      <c r="B66" t="s">
        <v>266</v>
      </c>
    </row>
    <row r="67" spans="2:2">
      <c r="B67" t="s">
        <v>267</v>
      </c>
    </row>
    <row r="69" spans="2:2" ht="17">
      <c r="B69" s="15" t="s">
        <v>268</v>
      </c>
    </row>
    <row r="72" spans="2:2" ht="26">
      <c r="B72" s="151" t="s">
        <v>345</v>
      </c>
    </row>
    <row r="74" spans="2:2" ht="17">
      <c r="B74" s="15" t="s">
        <v>356</v>
      </c>
    </row>
    <row r="75" spans="2:2">
      <c r="B75" t="s">
        <v>357</v>
      </c>
    </row>
  </sheetData>
  <mergeCells count="4">
    <mergeCell ref="B3:G3"/>
    <mergeCell ref="B5:C5"/>
    <mergeCell ref="F5:G5"/>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6CE9-B77B-704D-8A1F-7836B7353FCF}">
  <dimension ref="A1:AI69"/>
  <sheetViews>
    <sheetView zoomScale="94" zoomScaleNormal="88" workbookViewId="0">
      <selection activeCell="K6" sqref="K6"/>
    </sheetView>
  </sheetViews>
  <sheetFormatPr baseColWidth="10" defaultRowHeight="16"/>
  <cols>
    <col min="1" max="1" width="41.33203125" customWidth="1"/>
    <col min="2" max="2" width="40" style="2" customWidth="1"/>
    <col min="4" max="4" width="41.33203125" customWidth="1"/>
    <col min="5" max="5" width="22.5" customWidth="1"/>
    <col min="6" max="6" width="3.6640625" customWidth="1"/>
    <col min="7" max="7" width="15.6640625" customWidth="1"/>
    <col min="8" max="8" width="40.83203125" customWidth="1"/>
    <col min="10" max="10" width="35.5" customWidth="1"/>
    <col min="11" max="11" width="21" customWidth="1"/>
    <col min="14" max="14" width="18" customWidth="1"/>
    <col min="16" max="16" width="24.6640625" customWidth="1"/>
    <col min="17" max="17" width="14.6640625" customWidth="1"/>
    <col min="19" max="19" width="29" customWidth="1"/>
    <col min="24" max="24" width="13.33203125" customWidth="1"/>
    <col min="26" max="26" width="12.33203125" customWidth="1"/>
  </cols>
  <sheetData>
    <row r="1" spans="1:35" ht="26">
      <c r="A1" s="32" t="s">
        <v>135</v>
      </c>
      <c r="B1" s="34"/>
      <c r="D1" s="32" t="s">
        <v>66</v>
      </c>
      <c r="E1" s="34"/>
      <c r="G1" s="32" t="s">
        <v>82</v>
      </c>
      <c r="H1" s="34"/>
      <c r="J1" s="32"/>
      <c r="K1" s="37" t="s">
        <v>77</v>
      </c>
      <c r="L1" s="44"/>
      <c r="P1" s="31" t="s">
        <v>108</v>
      </c>
      <c r="Q1" s="32"/>
      <c r="S1" s="32" t="s">
        <v>149</v>
      </c>
      <c r="T1" s="32"/>
      <c r="V1" s="32" t="s">
        <v>322</v>
      </c>
      <c r="W1" s="32"/>
      <c r="X1" s="32"/>
      <c r="Z1" s="32" t="s">
        <v>156</v>
      </c>
      <c r="AA1" s="32" t="s">
        <v>120</v>
      </c>
      <c r="AD1" s="32" t="s">
        <v>122</v>
      </c>
      <c r="AE1" s="32"/>
      <c r="AH1" s="32" t="s">
        <v>126</v>
      </c>
      <c r="AI1" s="32"/>
    </row>
    <row r="2" spans="1:35">
      <c r="A2" s="35" t="s">
        <v>130</v>
      </c>
      <c r="B2" s="34"/>
      <c r="D2" s="32"/>
      <c r="E2" s="34"/>
      <c r="G2" s="34" t="s">
        <v>315</v>
      </c>
      <c r="H2" s="146">
        <v>-2</v>
      </c>
      <c r="J2" s="32" t="s">
        <v>114</v>
      </c>
      <c r="K2" s="40" t="s">
        <v>43</v>
      </c>
      <c r="L2" s="45"/>
      <c r="P2" s="32" t="s">
        <v>109</v>
      </c>
      <c r="Q2" s="32">
        <v>96</v>
      </c>
      <c r="S2" s="32" t="s">
        <v>22</v>
      </c>
      <c r="T2" s="32">
        <v>15</v>
      </c>
      <c r="V2" s="32"/>
      <c r="W2" s="32"/>
      <c r="X2" s="32"/>
      <c r="Z2" s="35" t="s">
        <v>123</v>
      </c>
      <c r="AA2" s="49">
        <v>0.25</v>
      </c>
      <c r="AD2" s="32" t="s">
        <v>121</v>
      </c>
      <c r="AE2" s="32">
        <v>0.44</v>
      </c>
      <c r="AH2" s="32" t="s">
        <v>25</v>
      </c>
      <c r="AI2" s="32">
        <v>119</v>
      </c>
    </row>
    <row r="3" spans="1:35">
      <c r="A3" s="35" t="s">
        <v>22</v>
      </c>
      <c r="B3" s="36">
        <v>123</v>
      </c>
      <c r="D3" s="32" t="s">
        <v>22</v>
      </c>
      <c r="E3" s="34">
        <v>1252</v>
      </c>
      <c r="G3" s="34" t="s">
        <v>316</v>
      </c>
      <c r="H3" s="146">
        <v>2</v>
      </c>
      <c r="J3" s="32"/>
      <c r="K3" s="40"/>
      <c r="L3" s="45"/>
      <c r="P3" s="32" t="s">
        <v>110</v>
      </c>
      <c r="Q3" s="32">
        <f>Q2/100</f>
        <v>0.96</v>
      </c>
      <c r="S3" s="32" t="s">
        <v>127</v>
      </c>
      <c r="T3" s="32">
        <v>3</v>
      </c>
      <c r="V3" s="32"/>
      <c r="W3" s="32" t="s">
        <v>153</v>
      </c>
      <c r="X3" s="32" t="s">
        <v>154</v>
      </c>
      <c r="Z3" s="35"/>
      <c r="AA3" s="49"/>
      <c r="AD3" s="32"/>
      <c r="AE3" s="32"/>
      <c r="AH3" s="32" t="s">
        <v>22</v>
      </c>
      <c r="AI3" s="32">
        <v>123</v>
      </c>
    </row>
    <row r="4" spans="1:35">
      <c r="A4" s="35" t="s">
        <v>23</v>
      </c>
      <c r="B4" s="36">
        <v>11</v>
      </c>
      <c r="D4" s="32" t="s">
        <v>23</v>
      </c>
      <c r="E4" s="34">
        <v>129</v>
      </c>
      <c r="G4" s="34" t="s">
        <v>317</v>
      </c>
      <c r="H4" s="146">
        <f>_xlfn.NORM.DIST(H2, 0, 1, TRUE)</f>
        <v>2.2750131948179191E-2</v>
      </c>
      <c r="J4" s="38" t="s">
        <v>60</v>
      </c>
      <c r="K4" s="41">
        <v>1262</v>
      </c>
      <c r="L4" s="45"/>
      <c r="P4" s="32"/>
      <c r="Q4" s="32"/>
      <c r="S4" s="32" t="s">
        <v>150</v>
      </c>
      <c r="T4" s="32">
        <v>20</v>
      </c>
      <c r="V4" s="32" t="s">
        <v>0</v>
      </c>
      <c r="W4" s="32">
        <v>25</v>
      </c>
      <c r="X4" s="32">
        <v>1229</v>
      </c>
      <c r="Z4" s="35" t="s">
        <v>125</v>
      </c>
      <c r="AA4" s="49">
        <f xml:space="preserve"> 1 - AA2</f>
        <v>0.75</v>
      </c>
      <c r="AD4" s="32" t="s">
        <v>79</v>
      </c>
      <c r="AE4" s="32">
        <f>_xlfn.NORM.S.DIST(AE2, TRUE)</f>
        <v>0.67003144633940637</v>
      </c>
      <c r="AH4" s="32" t="s">
        <v>127</v>
      </c>
      <c r="AI4" s="32">
        <v>11</v>
      </c>
    </row>
    <row r="5" spans="1:35">
      <c r="A5" s="35" t="s">
        <v>131</v>
      </c>
      <c r="B5" s="36">
        <v>119</v>
      </c>
      <c r="D5" s="32"/>
      <c r="E5" s="34"/>
      <c r="G5" s="34" t="s">
        <v>318</v>
      </c>
      <c r="H5" s="146">
        <f>1 - _xlfn.NORM.DIST(H3, 0, 1, TRUE)</f>
        <v>2.2750131948179209E-2</v>
      </c>
      <c r="J5" s="38" t="s">
        <v>23</v>
      </c>
      <c r="K5" s="42">
        <v>200</v>
      </c>
      <c r="L5" s="45"/>
      <c r="P5" s="32" t="s">
        <v>111</v>
      </c>
      <c r="Q5" s="32">
        <f xml:space="preserve"> (1 - Q3) / 2</f>
        <v>2.0000000000000018E-2</v>
      </c>
      <c r="S5" s="32"/>
      <c r="T5" s="32"/>
      <c r="V5" s="32" t="s">
        <v>89</v>
      </c>
      <c r="W5" s="32">
        <v>21.4</v>
      </c>
      <c r="X5" s="32">
        <v>1026</v>
      </c>
      <c r="Z5" s="35" t="s">
        <v>124</v>
      </c>
      <c r="AA5" s="59">
        <f>_xlfn.NORM.INV(AA4,0, 1)</f>
        <v>0.67448975019608193</v>
      </c>
      <c r="AH5" s="32"/>
      <c r="AI5" s="32"/>
    </row>
    <row r="6" spans="1:35">
      <c r="A6" s="35" t="s">
        <v>132</v>
      </c>
      <c r="B6" s="36">
        <v>119</v>
      </c>
      <c r="D6" s="32" t="s">
        <v>67</v>
      </c>
      <c r="E6" s="34">
        <v>1100</v>
      </c>
      <c r="G6" s="50" t="s">
        <v>81</v>
      </c>
      <c r="H6" s="146">
        <f>SUM(H4:H5)</f>
        <v>4.5500263896358403E-2</v>
      </c>
      <c r="J6" s="38" t="s">
        <v>78</v>
      </c>
      <c r="K6" s="42">
        <v>59</v>
      </c>
      <c r="L6" s="45"/>
      <c r="P6" s="33"/>
      <c r="Q6" s="32"/>
      <c r="S6" s="156" t="s">
        <v>151</v>
      </c>
      <c r="T6" s="136">
        <f>(1 - _xlfn.NORM.DIST(T4,T2,T3, TRUE)) * 100</f>
        <v>4.7790352272814696</v>
      </c>
      <c r="V6" s="32" t="s">
        <v>127</v>
      </c>
      <c r="W6" s="32">
        <v>5.0999999999999996</v>
      </c>
      <c r="X6" s="32">
        <v>203</v>
      </c>
      <c r="AH6" s="32" t="s">
        <v>128</v>
      </c>
      <c r="AI6" s="32">
        <f>_xlfn.NORM.DIST(AI2,AI3,AI4, TRUE)</f>
        <v>0.35806478442778267</v>
      </c>
    </row>
    <row r="7" spans="1:35">
      <c r="A7" s="35"/>
      <c r="B7" s="36"/>
      <c r="D7" s="32" t="s">
        <v>69</v>
      </c>
      <c r="E7" s="34">
        <f xml:space="preserve"> (E6 - E3) / E4</f>
        <v>-1.1782945736434109</v>
      </c>
      <c r="J7" s="38" t="s">
        <v>117</v>
      </c>
      <c r="K7" s="42">
        <f>K6/100</f>
        <v>0.59</v>
      </c>
      <c r="L7" s="45"/>
      <c r="P7" s="32" t="s">
        <v>112</v>
      </c>
      <c r="Q7" s="32">
        <f>- _xlfn.NORM.DIST(Q5, 0, 1, TRUE)</f>
        <v>-0.50797831371690205</v>
      </c>
      <c r="S7" s="32"/>
      <c r="T7" s="32"/>
      <c r="V7" s="32" t="s">
        <v>155</v>
      </c>
      <c r="W7" s="32">
        <f>(W4-W5)/W6</f>
        <v>0.70588235294117685</v>
      </c>
      <c r="X7" s="32">
        <f>(X4-X5)/X6</f>
        <v>1</v>
      </c>
    </row>
    <row r="8" spans="1:35" ht="21" customHeight="1">
      <c r="A8" s="149" t="s">
        <v>335</v>
      </c>
      <c r="B8" s="2">
        <f>B3</f>
        <v>123</v>
      </c>
      <c r="D8" s="32"/>
      <c r="E8" s="34"/>
      <c r="G8" s="147" t="s">
        <v>319</v>
      </c>
      <c r="J8" s="32"/>
      <c r="K8" s="40"/>
      <c r="L8" s="45"/>
      <c r="P8" s="32" t="s">
        <v>113</v>
      </c>
      <c r="Q8" s="32">
        <f>_xlfn.NORM.DIST(Q5, 0, 1, TRUE)</f>
        <v>0.50797831371690205</v>
      </c>
      <c r="S8" s="155" t="s">
        <v>350</v>
      </c>
      <c r="T8" s="136">
        <f>_xlfn.NORM.INV(0.97, 15, 3)</f>
        <v>20.642380824453753</v>
      </c>
      <c r="AH8" s="148" t="s">
        <v>333</v>
      </c>
    </row>
    <row r="9" spans="1:35" ht="19">
      <c r="A9" s="149" t="s">
        <v>20</v>
      </c>
      <c r="B9" s="2">
        <v>17</v>
      </c>
      <c r="D9" s="32" t="s">
        <v>68</v>
      </c>
      <c r="E9" s="34">
        <v>1400</v>
      </c>
      <c r="G9" s="147" t="s">
        <v>320</v>
      </c>
      <c r="J9" s="47" t="s">
        <v>129</v>
      </c>
      <c r="K9" s="48">
        <f>_xlfn.NORM.INV(($K$6/100),K$4,K$5)</f>
        <v>1307.50899532823</v>
      </c>
      <c r="L9" s="45"/>
      <c r="P9" s="32"/>
      <c r="Q9" s="32"/>
      <c r="S9" s="21" t="s">
        <v>152</v>
      </c>
      <c r="T9" t="s">
        <v>43</v>
      </c>
      <c r="AH9" s="15"/>
    </row>
    <row r="10" spans="1:35" ht="17">
      <c r="A10" s="149" t="s">
        <v>336</v>
      </c>
      <c r="B10" s="2">
        <f>B4/SQRT(B9)</f>
        <v>2.6678918753996625</v>
      </c>
      <c r="D10" s="32" t="s">
        <v>72</v>
      </c>
      <c r="E10" s="34">
        <f>(E9-E3) / E4</f>
        <v>1.1472868217054264</v>
      </c>
      <c r="J10" s="32"/>
      <c r="K10" s="43"/>
      <c r="L10" s="46"/>
      <c r="P10" s="35">
        <f>_xlfn.NORM.INV(0.79, 0, 1)</f>
        <v>0.80642124701824058</v>
      </c>
      <c r="Q10" s="32"/>
      <c r="S10" s="21"/>
      <c r="AH10" s="15"/>
    </row>
    <row r="11" spans="1:35" ht="17">
      <c r="D11" s="32"/>
      <c r="E11" s="34"/>
      <c r="J11" s="32"/>
      <c r="K11" s="43"/>
      <c r="L11" s="45"/>
      <c r="AH11" s="15"/>
    </row>
    <row r="12" spans="1:35" ht="17">
      <c r="D12" s="32" t="s">
        <v>70</v>
      </c>
      <c r="E12" s="34">
        <f>_xlfn.NORM.DIST(E6,E3,E4,TRUE)</f>
        <v>0.11933959517437347</v>
      </c>
      <c r="J12" s="32"/>
      <c r="K12" s="43"/>
      <c r="L12" s="46"/>
      <c r="AH12" s="15"/>
    </row>
    <row r="13" spans="1:35">
      <c r="D13" s="32" t="s">
        <v>71</v>
      </c>
      <c r="E13" s="34">
        <f>_xlfn.NORM.DIST(E10,E3,E4,TRUE)</f>
        <v>1.5595941023036459E-22</v>
      </c>
      <c r="J13" s="32"/>
      <c r="K13" s="40"/>
      <c r="L13" s="45"/>
    </row>
    <row r="14" spans="1:35">
      <c r="A14" s="35" t="s">
        <v>133</v>
      </c>
      <c r="B14" s="36">
        <f>_xlfn.NORM.DIST(B6, B3, B4, TRUE) - _xlfn.NORM.DIST(B5, B3, B4, TRUE)</f>
        <v>0</v>
      </c>
      <c r="D14" s="32"/>
      <c r="E14" s="34"/>
      <c r="J14" s="39" t="s">
        <v>115</v>
      </c>
      <c r="K14" s="49">
        <f>(1 - K7)/2</f>
        <v>0.20500000000000002</v>
      </c>
    </row>
    <row r="15" spans="1:35">
      <c r="A15" s="35" t="s">
        <v>134</v>
      </c>
      <c r="B15" s="36">
        <f>_xlfn.NORM.DIST(B5,B3,B4,TRUE)</f>
        <v>0.35806478442778267</v>
      </c>
      <c r="D15" s="32"/>
      <c r="E15" s="34">
        <f>E13-E12</f>
        <v>-0.11933959517437347</v>
      </c>
      <c r="J15" s="32" t="s">
        <v>116</v>
      </c>
      <c r="K15" s="49">
        <f>K7+K14</f>
        <v>0.79499999999999993</v>
      </c>
      <c r="P15" t="s">
        <v>138</v>
      </c>
    </row>
    <row r="16" spans="1:35">
      <c r="A16" s="35" t="s">
        <v>136</v>
      </c>
      <c r="B16" s="36">
        <f>1 - _xlfn.NORM.DIST(B6, B3, B4, TRUE)</f>
        <v>0.64193521557221733</v>
      </c>
      <c r="D16" s="32"/>
      <c r="E16" s="34"/>
      <c r="J16" s="32"/>
      <c r="K16" s="49"/>
      <c r="P16" t="s">
        <v>22</v>
      </c>
      <c r="Q16">
        <v>1264</v>
      </c>
    </row>
    <row r="17" spans="1:17">
      <c r="A17" s="35"/>
      <c r="B17" s="36"/>
      <c r="D17" s="32" t="s">
        <v>74</v>
      </c>
      <c r="E17" s="34">
        <v>1175</v>
      </c>
      <c r="J17" s="39" t="s">
        <v>118</v>
      </c>
      <c r="K17" s="49">
        <f>NORMINV(K14, 0, 1)</f>
        <v>-0.823893630338557</v>
      </c>
      <c r="P17" t="s">
        <v>127</v>
      </c>
      <c r="Q17">
        <v>116</v>
      </c>
    </row>
    <row r="18" spans="1:17">
      <c r="A18" s="35" t="s">
        <v>137</v>
      </c>
      <c r="B18" s="36">
        <f>B15*100</f>
        <v>35.806478442778264</v>
      </c>
      <c r="D18" s="32" t="s">
        <v>73</v>
      </c>
      <c r="E18" s="34">
        <f xml:space="preserve"> 1 -_xlfn.NORM.DIST(1175, E3, E4, TRUE)</f>
        <v>0.7247126675619795</v>
      </c>
      <c r="J18" s="32" t="s">
        <v>119</v>
      </c>
      <c r="K18" s="49">
        <f>NORMINV(K15, 0, 1)</f>
        <v>0.82389363033855734</v>
      </c>
      <c r="P18" t="s">
        <v>139</v>
      </c>
      <c r="Q18">
        <v>28</v>
      </c>
    </row>
    <row r="19" spans="1:17">
      <c r="D19" s="32"/>
      <c r="E19" s="34" t="s">
        <v>43</v>
      </c>
      <c r="J19" s="32"/>
      <c r="K19" s="35"/>
      <c r="P19" t="s">
        <v>140</v>
      </c>
      <c r="Q19">
        <f>Q18/100</f>
        <v>0.28000000000000003</v>
      </c>
    </row>
    <row r="20" spans="1:17">
      <c r="D20" s="32" t="s">
        <v>75</v>
      </c>
      <c r="E20" s="34"/>
      <c r="J20" s="32" t="s">
        <v>321</v>
      </c>
      <c r="K20" s="35"/>
      <c r="L20" s="32"/>
    </row>
    <row r="21" spans="1:17" ht="23" customHeight="1">
      <c r="D21" s="32" t="s">
        <v>76</v>
      </c>
      <c r="E21" s="34"/>
      <c r="J21" s="32" t="s">
        <v>144</v>
      </c>
      <c r="K21" s="51">
        <f>K4 + (K17)*K5</f>
        <v>1097.2212739322886</v>
      </c>
      <c r="P21" t="s">
        <v>142</v>
      </c>
      <c r="Q21">
        <v>96</v>
      </c>
    </row>
    <row r="22" spans="1:17" ht="31" customHeight="1">
      <c r="D22" s="32"/>
      <c r="E22" s="34"/>
      <c r="J22" s="32" t="s">
        <v>145</v>
      </c>
      <c r="K22" s="51">
        <f>K4+(K18*K5)</f>
        <v>1426.7787260677114</v>
      </c>
      <c r="P22" t="s">
        <v>143</v>
      </c>
      <c r="Q22">
        <f>Q21/100</f>
        <v>0.96</v>
      </c>
    </row>
    <row r="23" spans="1:17">
      <c r="D23" s="32" t="s">
        <v>80</v>
      </c>
      <c r="E23" s="34"/>
      <c r="J23" s="32"/>
      <c r="K23" s="35"/>
    </row>
    <row r="24" spans="1:17">
      <c r="E24" s="2"/>
      <c r="J24" s="32"/>
      <c r="K24" s="35"/>
    </row>
    <row r="25" spans="1:17">
      <c r="E25" s="2"/>
      <c r="J25" s="32"/>
      <c r="K25" s="35"/>
    </row>
    <row r="26" spans="1:17">
      <c r="A26" s="28" t="s">
        <v>303</v>
      </c>
      <c r="J26" s="34" t="s">
        <v>146</v>
      </c>
      <c r="K26" s="51">
        <f>K28-K27</f>
        <v>269.79590007843262</v>
      </c>
    </row>
    <row r="27" spans="1:17">
      <c r="A27" s="28" t="s">
        <v>304</v>
      </c>
      <c r="J27" s="34" t="s">
        <v>147</v>
      </c>
      <c r="K27" s="30">
        <f>_xlfn.NORM.INV((25/100),K$4,K$5)</f>
        <v>1127.1020499607837</v>
      </c>
    </row>
    <row r="28" spans="1:17">
      <c r="A28" s="4" t="s">
        <v>305</v>
      </c>
      <c r="J28" s="34" t="s">
        <v>148</v>
      </c>
      <c r="K28" s="30">
        <f>_xlfn.NORM.INV((75/100),K$4,K$5)</f>
        <v>1396.8979500392163</v>
      </c>
    </row>
    <row r="29" spans="1:17">
      <c r="A29" s="28" t="s">
        <v>310</v>
      </c>
    </row>
    <row r="30" spans="1:17" ht="17">
      <c r="A30" s="15" t="s">
        <v>311</v>
      </c>
    </row>
    <row r="31" spans="1:17">
      <c r="A31" s="28" t="s">
        <v>312</v>
      </c>
      <c r="P31" t="s">
        <v>141</v>
      </c>
      <c r="Q31">
        <f>NORMINV(0.28,1264,116)</f>
        <v>1196.390385156539</v>
      </c>
    </row>
    <row r="32" spans="1:17">
      <c r="A32" s="28" t="s">
        <v>313</v>
      </c>
      <c r="E32" s="2"/>
    </row>
    <row r="33" spans="1:7" ht="17">
      <c r="A33" s="15" t="s">
        <v>314</v>
      </c>
      <c r="D33" s="10"/>
      <c r="E33" s="2"/>
    </row>
    <row r="34" spans="1:7" ht="17">
      <c r="A34" s="15"/>
    </row>
    <row r="36" spans="1:7">
      <c r="A36" s="145" t="s">
        <v>307</v>
      </c>
    </row>
    <row r="37" spans="1:7">
      <c r="A37" s="145" t="s">
        <v>308</v>
      </c>
    </row>
    <row r="38" spans="1:7">
      <c r="A38" s="145" t="s">
        <v>306</v>
      </c>
    </row>
    <row r="39" spans="1:7">
      <c r="A39" s="145" t="s">
        <v>309</v>
      </c>
    </row>
    <row r="45" spans="1:7">
      <c r="G45" s="150" t="s">
        <v>383</v>
      </c>
    </row>
    <row r="46" spans="1:7">
      <c r="G46" s="150" t="s">
        <v>384</v>
      </c>
    </row>
    <row r="47" spans="1:7">
      <c r="A47" s="150"/>
      <c r="G47" s="150" t="s">
        <v>385</v>
      </c>
    </row>
    <row r="68" spans="1:4">
      <c r="A68" t="s">
        <v>340</v>
      </c>
      <c r="D68" t="s">
        <v>341</v>
      </c>
    </row>
    <row r="69" spans="1:4">
      <c r="A69" t="s">
        <v>343</v>
      </c>
      <c r="D69" t="s">
        <v>342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4CB3-A584-0B47-8E5D-C4DB8D5DE250}">
  <dimension ref="B2:N24"/>
  <sheetViews>
    <sheetView topLeftCell="B1" zoomScale="75" workbookViewId="0">
      <selection activeCell="E3" sqref="E3"/>
    </sheetView>
  </sheetViews>
  <sheetFormatPr baseColWidth="10" defaultRowHeight="16"/>
  <cols>
    <col min="2" max="2" width="28.83203125" customWidth="1"/>
    <col min="5" max="5" width="22" customWidth="1"/>
    <col min="8" max="8" width="18.83203125" customWidth="1"/>
    <col min="13" max="13" width="22" customWidth="1"/>
  </cols>
  <sheetData>
    <row r="2" spans="2:14">
      <c r="B2" s="60"/>
      <c r="C2" s="60"/>
      <c r="D2" s="60"/>
      <c r="E2" s="60" t="s">
        <v>375</v>
      </c>
      <c r="F2" s="60"/>
      <c r="G2" s="60"/>
      <c r="H2" s="60"/>
      <c r="I2" s="60"/>
      <c r="J2" s="60"/>
      <c r="K2" s="60"/>
    </row>
    <row r="3" spans="2:14">
      <c r="B3" s="161" t="s">
        <v>180</v>
      </c>
      <c r="C3" s="161"/>
      <c r="D3" s="60"/>
      <c r="E3" s="61"/>
      <c r="F3" s="61"/>
      <c r="G3" s="60"/>
      <c r="H3" s="161" t="s">
        <v>181</v>
      </c>
      <c r="I3" s="161"/>
      <c r="J3" s="60"/>
      <c r="K3" s="60"/>
      <c r="M3" t="s">
        <v>337</v>
      </c>
    </row>
    <row r="4" spans="2:14">
      <c r="B4" s="61" t="s">
        <v>182</v>
      </c>
      <c r="C4" s="61">
        <v>95</v>
      </c>
      <c r="D4" s="60"/>
      <c r="E4" s="61" t="s">
        <v>0</v>
      </c>
      <c r="F4" s="61">
        <v>424</v>
      </c>
      <c r="G4" s="60"/>
      <c r="H4" s="61"/>
      <c r="I4" s="61"/>
      <c r="J4" s="60"/>
      <c r="K4" s="60"/>
    </row>
    <row r="5" spans="2:14">
      <c r="B5" s="61" t="s">
        <v>183</v>
      </c>
      <c r="C5" s="61">
        <v>47</v>
      </c>
      <c r="D5" s="60"/>
      <c r="E5" s="61" t="s">
        <v>20</v>
      </c>
      <c r="F5" s="61">
        <v>2285</v>
      </c>
      <c r="G5" s="60"/>
      <c r="H5" s="61" t="s">
        <v>67</v>
      </c>
      <c r="I5" s="61">
        <v>0.113</v>
      </c>
      <c r="J5" s="60"/>
      <c r="K5" s="60"/>
      <c r="M5" t="s">
        <v>339</v>
      </c>
      <c r="N5">
        <f>AVERAGE(M15:M24)</f>
        <v>166.6</v>
      </c>
    </row>
    <row r="6" spans="2:14">
      <c r="B6" s="61" t="s">
        <v>184</v>
      </c>
      <c r="C6" s="61">
        <v>3</v>
      </c>
      <c r="D6" s="60"/>
      <c r="E6" s="61" t="s">
        <v>21</v>
      </c>
      <c r="F6" s="61">
        <f>F4/F5</f>
        <v>0.18555798687089717</v>
      </c>
      <c r="G6" s="60"/>
      <c r="H6" s="61" t="s">
        <v>185</v>
      </c>
      <c r="I6" s="61">
        <v>0.65700000000000003</v>
      </c>
      <c r="J6" s="60"/>
      <c r="K6" s="60"/>
    </row>
    <row r="7" spans="2:14">
      <c r="B7" s="62" t="s">
        <v>67</v>
      </c>
      <c r="C7" s="62">
        <f>(C5-C6) / 100</f>
        <v>0.44</v>
      </c>
      <c r="D7" s="60"/>
      <c r="E7" s="61" t="s">
        <v>186</v>
      </c>
      <c r="F7" s="61">
        <f>F5*F6*(1-F6)</f>
        <v>345.32341356673965</v>
      </c>
      <c r="G7" s="60"/>
      <c r="H7" s="61" t="s">
        <v>187</v>
      </c>
      <c r="I7" s="61">
        <v>1200</v>
      </c>
      <c r="J7" s="60"/>
      <c r="K7" s="60"/>
    </row>
    <row r="8" spans="2:14">
      <c r="B8" s="62" t="s">
        <v>68</v>
      </c>
      <c r="C8" s="62">
        <f>(C5+C6)/100</f>
        <v>0.5</v>
      </c>
      <c r="D8" s="60"/>
      <c r="E8" s="61" t="s">
        <v>188</v>
      </c>
      <c r="F8" s="61">
        <v>90</v>
      </c>
      <c r="G8" s="60"/>
      <c r="H8" s="62" t="s">
        <v>21</v>
      </c>
      <c r="I8" s="62">
        <f>(I6+I5)/2</f>
        <v>0.38500000000000001</v>
      </c>
      <c r="J8" s="60"/>
      <c r="K8" s="60"/>
    </row>
    <row r="9" spans="2:14">
      <c r="B9" s="60"/>
      <c r="C9" s="60"/>
      <c r="D9" s="60"/>
      <c r="E9" s="61" t="s">
        <v>127</v>
      </c>
      <c r="F9" s="63">
        <f>SQRT((F6*(1-F6))/F5)</f>
        <v>8.1325512394771204E-3</v>
      </c>
      <c r="G9" s="60"/>
      <c r="H9" s="62" t="s">
        <v>189</v>
      </c>
      <c r="I9" s="62">
        <f>(I6-I5)/2</f>
        <v>0.27200000000000002</v>
      </c>
      <c r="J9" s="60"/>
      <c r="K9" s="60"/>
    </row>
    <row r="10" spans="2:14">
      <c r="B10" s="60"/>
      <c r="C10" s="60"/>
      <c r="D10" s="60"/>
      <c r="E10" s="61" t="s">
        <v>190</v>
      </c>
      <c r="F10" s="61">
        <f>((100-F8) /2)/100</f>
        <v>0.05</v>
      </c>
      <c r="G10" s="60"/>
      <c r="H10" s="62" t="s">
        <v>0</v>
      </c>
      <c r="I10" s="62">
        <f>I7*I8</f>
        <v>462</v>
      </c>
      <c r="J10" s="60"/>
      <c r="K10" s="60"/>
    </row>
    <row r="11" spans="2:14">
      <c r="B11" s="60"/>
      <c r="C11" s="60"/>
      <c r="D11" s="60"/>
      <c r="E11" s="61" t="s">
        <v>191</v>
      </c>
      <c r="F11" s="61">
        <f>_xlfn.NORM.INV((1-F10),0,1)</f>
        <v>1.6448536269514715</v>
      </c>
      <c r="G11" s="60"/>
      <c r="H11" s="60"/>
      <c r="I11" s="60"/>
      <c r="J11" s="60"/>
      <c r="K11" s="60"/>
    </row>
    <row r="12" spans="2:14">
      <c r="B12" s="60"/>
      <c r="C12" s="60"/>
      <c r="D12" s="60"/>
      <c r="E12" s="62" t="s">
        <v>192</v>
      </c>
      <c r="F12" s="64">
        <f>F6-F$11*F9</f>
        <v>0.17218113046827455</v>
      </c>
      <c r="G12" s="60"/>
      <c r="H12" s="60"/>
      <c r="I12" s="60"/>
      <c r="J12" s="60"/>
      <c r="K12" s="60"/>
    </row>
    <row r="13" spans="2:14">
      <c r="B13" s="60"/>
      <c r="C13" s="60"/>
      <c r="D13" s="60"/>
      <c r="E13" s="65" t="s">
        <v>68</v>
      </c>
      <c r="F13" s="64">
        <f>F6+F$11*F9</f>
        <v>0.19893484327351979</v>
      </c>
      <c r="G13" s="60"/>
      <c r="H13" s="60"/>
      <c r="I13" s="60"/>
      <c r="J13" s="60"/>
      <c r="K13" s="60"/>
    </row>
    <row r="14" spans="2:14">
      <c r="B14" s="161" t="s">
        <v>193</v>
      </c>
      <c r="C14" s="161"/>
      <c r="D14" s="60"/>
      <c r="E14" s="60"/>
      <c r="F14" s="60"/>
      <c r="G14" s="60"/>
      <c r="H14" s="60"/>
      <c r="I14" s="60"/>
      <c r="J14" s="60"/>
      <c r="K14" s="60"/>
      <c r="M14" t="s">
        <v>338</v>
      </c>
    </row>
    <row r="15" spans="2:14">
      <c r="B15" s="61" t="s">
        <v>194</v>
      </c>
      <c r="C15" s="61">
        <v>0.98</v>
      </c>
      <c r="D15" s="60"/>
      <c r="E15" s="161" t="s">
        <v>195</v>
      </c>
      <c r="F15" s="161"/>
      <c r="G15" s="66"/>
      <c r="H15" s="66"/>
      <c r="I15" s="66"/>
      <c r="J15" s="67"/>
      <c r="K15" s="60"/>
      <c r="M15">
        <v>158</v>
      </c>
    </row>
    <row r="16" spans="2:14">
      <c r="B16" s="61" t="s">
        <v>196</v>
      </c>
      <c r="C16" s="61">
        <v>94</v>
      </c>
      <c r="D16" s="60"/>
      <c r="E16" s="61" t="s">
        <v>197</v>
      </c>
      <c r="F16" s="61">
        <v>1</v>
      </c>
      <c r="G16" s="60"/>
      <c r="H16" s="60"/>
      <c r="I16" s="60"/>
      <c r="J16" s="68"/>
      <c r="K16" s="60"/>
      <c r="M16">
        <v>165</v>
      </c>
    </row>
    <row r="17" spans="2:13">
      <c r="B17" s="61" t="s">
        <v>198</v>
      </c>
      <c r="C17" s="61">
        <v>0.15</v>
      </c>
      <c r="D17" s="60"/>
      <c r="E17" s="61"/>
      <c r="F17" s="61">
        <v>3</v>
      </c>
      <c r="G17" s="60"/>
      <c r="H17" s="60"/>
      <c r="I17" s="60"/>
      <c r="J17" s="68"/>
      <c r="K17" s="60"/>
      <c r="M17">
        <v>143</v>
      </c>
    </row>
    <row r="18" spans="2:13">
      <c r="B18" s="61" t="s">
        <v>190</v>
      </c>
      <c r="C18" s="61">
        <f>((100-C16)/100)/2</f>
        <v>0.03</v>
      </c>
      <c r="D18" s="60"/>
      <c r="E18" s="61" t="s">
        <v>199</v>
      </c>
      <c r="F18" s="61">
        <f>F17^2</f>
        <v>9</v>
      </c>
      <c r="G18" s="60"/>
      <c r="H18" s="60"/>
      <c r="I18" s="60"/>
      <c r="J18" s="68"/>
      <c r="K18" s="60"/>
      <c r="M18">
        <v>148</v>
      </c>
    </row>
    <row r="19" spans="2:13">
      <c r="B19" s="61" t="s">
        <v>200</v>
      </c>
      <c r="C19" s="69">
        <f>_xlfn.NORM.INV(1-C18,0,1)</f>
        <v>1.8807936081512504</v>
      </c>
      <c r="D19" s="60"/>
      <c r="E19" s="70"/>
      <c r="F19" s="60"/>
      <c r="G19" s="60"/>
      <c r="H19" s="60"/>
      <c r="I19" s="60"/>
      <c r="J19" s="68"/>
      <c r="K19" s="60"/>
      <c r="M19">
        <v>171</v>
      </c>
    </row>
    <row r="20" spans="2:13">
      <c r="B20" s="62" t="s">
        <v>201</v>
      </c>
      <c r="C20" s="64">
        <f xml:space="preserve"> C17*(1-C17)*((C19/C15)^2)</f>
        <v>0.46961321954287938</v>
      </c>
      <c r="D20" s="60"/>
      <c r="E20" s="70" t="s">
        <v>202</v>
      </c>
      <c r="F20" s="60"/>
      <c r="G20" s="60"/>
      <c r="H20" s="60"/>
      <c r="I20" s="60"/>
      <c r="J20" s="68"/>
      <c r="K20" s="60"/>
      <c r="M20">
        <v>192</v>
      </c>
    </row>
    <row r="21" spans="2:13">
      <c r="B21" s="62" t="s">
        <v>203</v>
      </c>
      <c r="C21" s="64">
        <f>0.25*((C19/C15)^2)</f>
        <v>0.92081023439780274</v>
      </c>
      <c r="D21" s="60"/>
      <c r="E21" s="71" t="s">
        <v>204</v>
      </c>
      <c r="F21" s="72"/>
      <c r="G21" s="72"/>
      <c r="H21" s="72"/>
      <c r="I21" s="72"/>
      <c r="J21" s="73"/>
      <c r="K21" s="60"/>
      <c r="M21">
        <v>190</v>
      </c>
    </row>
    <row r="22" spans="2:13">
      <c r="B22" s="60"/>
      <c r="C22" s="60"/>
      <c r="D22" s="60"/>
      <c r="E22" s="60"/>
      <c r="F22" s="60"/>
      <c r="G22" s="60"/>
      <c r="H22" s="60"/>
      <c r="I22" s="60"/>
      <c r="J22" s="60"/>
      <c r="K22" s="60"/>
      <c r="M22">
        <v>175</v>
      </c>
    </row>
    <row r="23" spans="2:13">
      <c r="M23">
        <v>170</v>
      </c>
    </row>
    <row r="24" spans="2:13">
      <c r="M24">
        <v>154</v>
      </c>
    </row>
  </sheetData>
  <mergeCells count="4">
    <mergeCell ref="B3:C3"/>
    <mergeCell ref="H3:I3"/>
    <mergeCell ref="B14:C14"/>
    <mergeCell ref="E15:F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4B88-A85A-EB42-B4EC-BEBEC08109DD}">
  <dimension ref="B4:J26"/>
  <sheetViews>
    <sheetView topLeftCell="B1" zoomScale="75" workbookViewId="0">
      <selection activeCell="F8" sqref="F8"/>
    </sheetView>
  </sheetViews>
  <sheetFormatPr baseColWidth="10" defaultRowHeight="16"/>
  <cols>
    <col min="2" max="2" width="27.5" customWidth="1"/>
    <col min="5" max="5" width="20.6640625" customWidth="1"/>
    <col min="7" max="7" width="18.6640625" customWidth="1"/>
    <col min="8" max="8" width="18" customWidth="1"/>
    <col min="9" max="9" width="14.33203125" customWidth="1"/>
    <col min="10" max="10" width="19.1640625" customWidth="1"/>
  </cols>
  <sheetData>
    <row r="4" spans="2:10">
      <c r="B4" s="160" t="s">
        <v>205</v>
      </c>
      <c r="C4" s="160"/>
      <c r="E4" s="160" t="s">
        <v>206</v>
      </c>
      <c r="F4" s="160"/>
      <c r="H4" s="160" t="s">
        <v>207</v>
      </c>
      <c r="I4" s="160"/>
      <c r="J4" s="160"/>
    </row>
    <row r="5" spans="2:10">
      <c r="B5" s="76"/>
      <c r="C5" s="77"/>
      <c r="E5" s="32"/>
      <c r="F5" s="32"/>
      <c r="H5" s="32"/>
      <c r="I5" s="32"/>
      <c r="J5" s="32"/>
    </row>
    <row r="6" spans="2:10">
      <c r="B6" s="74" t="s">
        <v>208</v>
      </c>
      <c r="C6" s="74">
        <v>0.93799999999999994</v>
      </c>
      <c r="E6" s="78" t="s">
        <v>89</v>
      </c>
      <c r="F6" s="79">
        <v>32.5</v>
      </c>
      <c r="H6" s="74" t="s">
        <v>67</v>
      </c>
      <c r="I6" s="32">
        <v>20</v>
      </c>
      <c r="J6" s="32"/>
    </row>
    <row r="7" spans="2:10">
      <c r="B7" s="75" t="s">
        <v>209</v>
      </c>
      <c r="C7" s="75">
        <v>25</v>
      </c>
      <c r="E7" s="80" t="s">
        <v>210</v>
      </c>
      <c r="F7" s="81">
        <v>11.6</v>
      </c>
      <c r="H7" s="74" t="s">
        <v>68</v>
      </c>
      <c r="I7" s="32">
        <v>30</v>
      </c>
      <c r="J7" s="32"/>
    </row>
    <row r="8" spans="2:10">
      <c r="B8" s="82" t="s">
        <v>211</v>
      </c>
      <c r="C8" s="83">
        <f>_xlfn.T.INV(C6,C7)</f>
        <v>1.5917851223801218</v>
      </c>
      <c r="E8" s="84" t="s">
        <v>212</v>
      </c>
      <c r="F8" s="85">
        <v>95</v>
      </c>
      <c r="H8" s="74"/>
      <c r="I8" s="32"/>
      <c r="J8" s="32"/>
    </row>
    <row r="9" spans="2:10">
      <c r="B9" s="82" t="s">
        <v>213</v>
      </c>
      <c r="C9" s="83">
        <f>ABS(C8)</f>
        <v>1.5917851223801218</v>
      </c>
      <c r="E9" s="86" t="s">
        <v>20</v>
      </c>
      <c r="F9" s="87">
        <v>40</v>
      </c>
      <c r="H9" s="88" t="s">
        <v>89</v>
      </c>
      <c r="I9" s="89">
        <f>(I6+I7)/2</f>
        <v>25</v>
      </c>
      <c r="J9" s="32"/>
    </row>
    <row r="10" spans="2:10">
      <c r="B10" s="74"/>
      <c r="C10" s="74"/>
      <c r="E10" s="74" t="s">
        <v>190</v>
      </c>
      <c r="F10" s="32">
        <f>((100-F8)/100 )/2</f>
        <v>2.5000000000000001E-2</v>
      </c>
      <c r="H10" s="88" t="s">
        <v>214</v>
      </c>
      <c r="I10" s="89">
        <f>I7-I9</f>
        <v>5</v>
      </c>
      <c r="J10" s="32"/>
    </row>
    <row r="11" spans="2:10">
      <c r="B11" s="74" t="s">
        <v>109</v>
      </c>
      <c r="C11" s="74">
        <v>80</v>
      </c>
      <c r="E11" s="74" t="s">
        <v>215</v>
      </c>
      <c r="F11" s="32">
        <f>ABS(_xlfn.T.INV(F10,F9-1))</f>
        <v>2.0226909200367595</v>
      </c>
    </row>
    <row r="12" spans="2:10">
      <c r="B12" s="74" t="s">
        <v>209</v>
      </c>
      <c r="C12" s="74">
        <v>14</v>
      </c>
      <c r="E12" s="82" t="s">
        <v>192</v>
      </c>
      <c r="F12" s="90">
        <f>F6-(F11*(F7/SQRT(F9)))</f>
        <v>28.79014002028255</v>
      </c>
    </row>
    <row r="13" spans="2:10">
      <c r="B13" s="74" t="s">
        <v>216</v>
      </c>
      <c r="C13" s="74">
        <f>((100-C11)/100)/2</f>
        <v>0.1</v>
      </c>
      <c r="E13" s="82" t="s">
        <v>68</v>
      </c>
      <c r="F13" s="90">
        <f>F6+ (F11*(F7/SQRT(F9)))</f>
        <v>36.20985997971745</v>
      </c>
    </row>
    <row r="14" spans="2:10">
      <c r="B14" s="82" t="s">
        <v>217</v>
      </c>
      <c r="C14" s="83">
        <f>ABS(_xlfn.T.INV(C13,C12))</f>
        <v>1.3450303744546506</v>
      </c>
      <c r="H14" t="s">
        <v>218</v>
      </c>
    </row>
    <row r="15" spans="2:10">
      <c r="E15" t="s">
        <v>361</v>
      </c>
    </row>
    <row r="16" spans="2:10">
      <c r="H16" s="32" t="s">
        <v>219</v>
      </c>
      <c r="I16" s="32">
        <v>23.86</v>
      </c>
    </row>
    <row r="17" spans="2:9">
      <c r="B17" s="160" t="s">
        <v>220</v>
      </c>
      <c r="C17" s="160"/>
      <c r="H17" s="32" t="s">
        <v>221</v>
      </c>
      <c r="I17" s="32">
        <v>2.9000000000000001E-2</v>
      </c>
    </row>
    <row r="18" spans="2:9">
      <c r="B18" s="32"/>
      <c r="C18" s="32"/>
      <c r="H18" s="32" t="s">
        <v>222</v>
      </c>
      <c r="I18" s="32">
        <v>95</v>
      </c>
    </row>
    <row r="19" spans="2:9">
      <c r="B19" s="74" t="s">
        <v>189</v>
      </c>
      <c r="C19" s="74">
        <v>0.89300000000000002</v>
      </c>
      <c r="H19" s="32" t="s">
        <v>67</v>
      </c>
      <c r="I19" s="32">
        <v>23.803999999999998</v>
      </c>
    </row>
    <row r="20" spans="2:9">
      <c r="B20" s="74" t="s">
        <v>223</v>
      </c>
      <c r="C20" s="74">
        <v>95</v>
      </c>
      <c r="H20" s="32" t="s">
        <v>68</v>
      </c>
      <c r="I20" s="32">
        <v>23.916</v>
      </c>
    </row>
    <row r="21" spans="2:9">
      <c r="B21" s="74" t="s">
        <v>221</v>
      </c>
      <c r="C21" s="74">
        <v>1.96</v>
      </c>
      <c r="H21" s="32"/>
      <c r="I21" s="32"/>
    </row>
    <row r="22" spans="2:9">
      <c r="B22" s="74"/>
      <c r="C22" s="74"/>
      <c r="H22" s="89" t="s">
        <v>189</v>
      </c>
      <c r="I22" s="89">
        <f>I20-I16</f>
        <v>5.6000000000000938E-2</v>
      </c>
    </row>
    <row r="23" spans="2:9">
      <c r="B23" s="74" t="s">
        <v>190</v>
      </c>
      <c r="C23" s="74">
        <f>((100-C20)/100 )/2</f>
        <v>2.5000000000000001E-2</v>
      </c>
      <c r="H23" t="s">
        <v>224</v>
      </c>
    </row>
    <row r="24" spans="2:9">
      <c r="B24" s="74" t="s">
        <v>200</v>
      </c>
      <c r="C24" s="91">
        <f>_xlfn.NORM.INV(1-C23,0,1)</f>
        <v>1.9599639845400536</v>
      </c>
    </row>
    <row r="25" spans="2:9">
      <c r="B25" s="74"/>
      <c r="C25" s="74"/>
    </row>
    <row r="26" spans="2:9">
      <c r="B26" s="92" t="s">
        <v>20</v>
      </c>
      <c r="C26" s="93">
        <f>((C24*C21)/C19)^2</f>
        <v>18.505695292838212</v>
      </c>
      <c r="D26" t="s">
        <v>225</v>
      </c>
    </row>
  </sheetData>
  <mergeCells count="4">
    <mergeCell ref="B4:C4"/>
    <mergeCell ref="E4:F4"/>
    <mergeCell ref="H4:J4"/>
    <mergeCell ref="B17: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8097-6201-8D4A-AA45-F89B2A2E7762}">
  <dimension ref="A2:F27"/>
  <sheetViews>
    <sheetView zoomScale="94" workbookViewId="0">
      <selection activeCell="D12" sqref="D12"/>
    </sheetView>
  </sheetViews>
  <sheetFormatPr baseColWidth="10" defaultRowHeight="16"/>
  <cols>
    <col min="3" max="3" width="19.6640625" customWidth="1"/>
    <col min="4" max="4" width="20.1640625" customWidth="1"/>
  </cols>
  <sheetData>
    <row r="2" spans="1:6">
      <c r="A2" t="s">
        <v>272</v>
      </c>
    </row>
    <row r="3" spans="1:6">
      <c r="A3" s="7">
        <v>30120</v>
      </c>
      <c r="C3" t="s">
        <v>280</v>
      </c>
      <c r="D3">
        <v>4</v>
      </c>
    </row>
    <row r="4" spans="1:6">
      <c r="A4" s="7">
        <v>30415</v>
      </c>
      <c r="C4" t="s">
        <v>279</v>
      </c>
      <c r="D4">
        <v>6000</v>
      </c>
    </row>
    <row r="5" spans="1:6">
      <c r="A5" s="7">
        <v>30729</v>
      </c>
      <c r="C5" t="s">
        <v>131</v>
      </c>
      <c r="D5">
        <v>30000</v>
      </c>
    </row>
    <row r="6" spans="1:6">
      <c r="A6" s="7">
        <v>32114</v>
      </c>
      <c r="C6" s="4" t="s">
        <v>278</v>
      </c>
      <c r="D6" t="s">
        <v>277</v>
      </c>
      <c r="E6" t="s">
        <v>276</v>
      </c>
      <c r="F6" t="s">
        <v>275</v>
      </c>
    </row>
    <row r="7" spans="1:6">
      <c r="A7" s="7">
        <v>33093</v>
      </c>
      <c r="C7">
        <f>D$5 + D$4*0</f>
        <v>30000</v>
      </c>
      <c r="D7">
        <f>D$5 + ((D$4 * 1) -1)</f>
        <v>35999</v>
      </c>
      <c r="E7">
        <f>COUNTIFS(A$3:A$200,"&gt;30000", A$3:A$200,"&lt;35999")</f>
        <v>14</v>
      </c>
      <c r="F7">
        <f>E7/F14</f>
        <v>0.56000000000000005</v>
      </c>
    </row>
    <row r="8" spans="1:6">
      <c r="A8" s="7">
        <v>33713</v>
      </c>
      <c r="C8">
        <f>D$5 + D$4*1</f>
        <v>36000</v>
      </c>
      <c r="D8">
        <f>D$5 + ((D$4 * 2) -1)</f>
        <v>41999</v>
      </c>
      <c r="E8">
        <f>COUNTIFS(A$3:A$200,"&gt;36000", A$3:A$200,"&lt;41999")</f>
        <v>10</v>
      </c>
      <c r="F8">
        <f>10/F14</f>
        <v>0.4</v>
      </c>
    </row>
    <row r="9" spans="1:6">
      <c r="A9" s="7">
        <v>33915</v>
      </c>
      <c r="C9">
        <f>D$5 + D$4*2</f>
        <v>42000</v>
      </c>
      <c r="D9">
        <f>D$5 + ((D$4 * 3) -1)</f>
        <v>47999</v>
      </c>
      <c r="E9">
        <f>COUNTIFS(A$3:A$200,"&gt;30000", A$3:A$200,"&lt;35999")</f>
        <v>14</v>
      </c>
      <c r="F9">
        <f>1/F14</f>
        <v>0.04</v>
      </c>
    </row>
    <row r="10" spans="1:6">
      <c r="A10" s="7">
        <v>34184</v>
      </c>
      <c r="C10">
        <f>D$5 + D$4*3</f>
        <v>48000</v>
      </c>
      <c r="D10">
        <f>D$5 + ((D$4 * 4) -1)</f>
        <v>53999</v>
      </c>
      <c r="E10">
        <f>COUNTIFS(A$3:A$200,"&gt;30000", A$3:A$200,"&lt;35999")</f>
        <v>14</v>
      </c>
    </row>
    <row r="11" spans="1:6">
      <c r="A11" s="7">
        <v>34676</v>
      </c>
      <c r="D11" s="142" t="s">
        <v>274</v>
      </c>
    </row>
    <row r="12" spans="1:6">
      <c r="A12" s="7">
        <v>34837</v>
      </c>
    </row>
    <row r="13" spans="1:6">
      <c r="A13" s="7">
        <v>35214</v>
      </c>
    </row>
    <row r="14" spans="1:6">
      <c r="A14" s="7">
        <v>35576</v>
      </c>
      <c r="E14" s="4" t="s">
        <v>273</v>
      </c>
      <c r="F14">
        <f>COUNT(A3:A27)</f>
        <v>25</v>
      </c>
    </row>
    <row r="15" spans="1:6">
      <c r="A15" s="7">
        <v>35755</v>
      </c>
    </row>
    <row r="16" spans="1:6">
      <c r="A16" s="7">
        <v>35976</v>
      </c>
    </row>
    <row r="17" spans="1:1">
      <c r="A17" s="7">
        <v>36817</v>
      </c>
    </row>
    <row r="18" spans="1:1">
      <c r="A18" s="7">
        <v>37298</v>
      </c>
    </row>
    <row r="19" spans="1:1">
      <c r="A19" s="7">
        <v>37764</v>
      </c>
    </row>
    <row r="20" spans="1:1">
      <c r="A20" s="7">
        <v>38441</v>
      </c>
    </row>
    <row r="21" spans="1:1">
      <c r="A21" s="7">
        <v>38692</v>
      </c>
    </row>
    <row r="22" spans="1:1">
      <c r="A22" s="7">
        <v>38878</v>
      </c>
    </row>
    <row r="23" spans="1:1">
      <c r="A23" s="7">
        <v>39879</v>
      </c>
    </row>
    <row r="24" spans="1:1">
      <c r="A24" s="7">
        <v>40141</v>
      </c>
    </row>
    <row r="25" spans="1:1">
      <c r="A25" s="7">
        <v>41175</v>
      </c>
    </row>
    <row r="26" spans="1:1">
      <c r="A26" s="7">
        <v>41420</v>
      </c>
    </row>
    <row r="27" spans="1:1">
      <c r="A27" s="7">
        <v>52591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A757-16BD-0749-9653-C8284C431BBD}">
  <dimension ref="A1:Y22"/>
  <sheetViews>
    <sheetView zoomScale="62" workbookViewId="0">
      <selection activeCell="Y22" sqref="Y22"/>
    </sheetView>
  </sheetViews>
  <sheetFormatPr baseColWidth="10" defaultRowHeight="16"/>
  <cols>
    <col min="4" max="4" width="19.83203125" bestFit="1" customWidth="1"/>
    <col min="7" max="7" width="43.33203125" customWidth="1"/>
    <col min="23" max="23" width="18.6640625" customWidth="1"/>
    <col min="24" max="25" width="12.5" bestFit="1" customWidth="1"/>
  </cols>
  <sheetData>
    <row r="1" spans="1:25">
      <c r="W1" t="s">
        <v>89</v>
      </c>
      <c r="X1">
        <f>AVERAGE(X11:X19)</f>
        <v>72.444444444444443</v>
      </c>
    </row>
    <row r="2" spans="1:25">
      <c r="A2" t="s">
        <v>272</v>
      </c>
      <c r="W2" t="s">
        <v>302</v>
      </c>
      <c r="X2">
        <f>_xlfn.STDEV.P(X11:X19)</f>
        <v>7.7332056183579176</v>
      </c>
    </row>
    <row r="3" spans="1:25" ht="17">
      <c r="A3">
        <v>340</v>
      </c>
      <c r="C3" t="s">
        <v>271</v>
      </c>
      <c r="D3">
        <f>COUNT(A3:A202)</f>
        <v>20</v>
      </c>
      <c r="G3" s="15" t="s">
        <v>281</v>
      </c>
      <c r="W3" t="s">
        <v>301</v>
      </c>
      <c r="X3">
        <f>_xlfn.STDEV.S(X11:X19)</f>
        <v>8.2023031995761642</v>
      </c>
    </row>
    <row r="4" spans="1:25" ht="17">
      <c r="A4">
        <v>390</v>
      </c>
      <c r="C4" t="s">
        <v>89</v>
      </c>
      <c r="D4">
        <f>AVERAGE(A3:A200)</f>
        <v>432.9</v>
      </c>
      <c r="G4" s="15" t="s">
        <v>298</v>
      </c>
      <c r="W4" t="s">
        <v>300</v>
      </c>
      <c r="X4">
        <f>AVERAGE(Y11:Y19)</f>
        <v>1.8503717077085943E-16</v>
      </c>
    </row>
    <row r="5" spans="1:25">
      <c r="A5">
        <v>408</v>
      </c>
      <c r="C5" t="s">
        <v>127</v>
      </c>
      <c r="D5" s="141">
        <f>STDEV(A3:A220)</f>
        <v>76.226739333869418</v>
      </c>
      <c r="G5" t="s">
        <v>299</v>
      </c>
    </row>
    <row r="6" spans="1:25">
      <c r="A6">
        <v>482</v>
      </c>
    </row>
    <row r="7" spans="1:25">
      <c r="A7">
        <v>338</v>
      </c>
      <c r="C7" t="s">
        <v>147</v>
      </c>
      <c r="D7" s="5">
        <f>QUARTILE(A3:A22,1)</f>
        <v>365.5</v>
      </c>
    </row>
    <row r="8" spans="1:25">
      <c r="A8">
        <v>441</v>
      </c>
      <c r="C8" t="s">
        <v>270</v>
      </c>
      <c r="D8">
        <f>QUARTILE(A$3:A$22, 2)</f>
        <v>423</v>
      </c>
    </row>
    <row r="9" spans="1:25">
      <c r="A9">
        <v>415</v>
      </c>
      <c r="C9" t="s">
        <v>148</v>
      </c>
      <c r="D9" s="141">
        <f>QUARTILE(A3:A22,3)</f>
        <v>500.5</v>
      </c>
    </row>
    <row r="10" spans="1:25">
      <c r="A10">
        <v>373</v>
      </c>
      <c r="W10" t="s">
        <v>287</v>
      </c>
      <c r="X10" t="s">
        <v>288</v>
      </c>
      <c r="Y10" t="s">
        <v>121</v>
      </c>
    </row>
    <row r="11" spans="1:25">
      <c r="A11">
        <v>522</v>
      </c>
      <c r="C11" t="s">
        <v>146</v>
      </c>
      <c r="D11" s="143">
        <f>D9-D7</f>
        <v>135</v>
      </c>
      <c r="W11" t="s">
        <v>289</v>
      </c>
      <c r="X11">
        <v>77</v>
      </c>
      <c r="Y11">
        <f t="shared" ref="Y11:Y19" si="0">(X11-X$1)/X$2</f>
        <v>0.58909018851653028</v>
      </c>
    </row>
    <row r="12" spans="1:25">
      <c r="A12">
        <v>343</v>
      </c>
      <c r="W12" t="s">
        <v>290</v>
      </c>
      <c r="X12">
        <v>60</v>
      </c>
      <c r="Y12">
        <f t="shared" si="0"/>
        <v>-1.6092219783866186</v>
      </c>
    </row>
    <row r="13" spans="1:25">
      <c r="A13">
        <v>527</v>
      </c>
      <c r="W13" t="s">
        <v>291</v>
      </c>
      <c r="X13">
        <v>60</v>
      </c>
      <c r="Y13">
        <f t="shared" si="0"/>
        <v>-1.6092219783866186</v>
      </c>
    </row>
    <row r="14" spans="1:25">
      <c r="A14">
        <v>337</v>
      </c>
      <c r="W14" t="s">
        <v>292</v>
      </c>
      <c r="X14">
        <v>81</v>
      </c>
      <c r="Y14">
        <f t="shared" si="0"/>
        <v>1.1063401101408006</v>
      </c>
    </row>
    <row r="15" spans="1:25">
      <c r="A15">
        <v>547</v>
      </c>
      <c r="W15" t="s">
        <v>293</v>
      </c>
      <c r="X15">
        <v>73</v>
      </c>
      <c r="Y15">
        <f t="shared" si="0"/>
        <v>7.1840266892259974E-2</v>
      </c>
    </row>
    <row r="16" spans="1:25">
      <c r="A16">
        <v>406</v>
      </c>
      <c r="G16" t="s">
        <v>283</v>
      </c>
      <c r="W16" t="s">
        <v>294</v>
      </c>
      <c r="X16">
        <v>80</v>
      </c>
      <c r="Y16">
        <f t="shared" si="0"/>
        <v>0.97702762973473312</v>
      </c>
    </row>
    <row r="17" spans="1:25">
      <c r="A17">
        <v>447</v>
      </c>
      <c r="G17" t="s">
        <v>282</v>
      </c>
      <c r="W17" t="s">
        <v>295</v>
      </c>
      <c r="X17">
        <v>80</v>
      </c>
      <c r="Y17">
        <f t="shared" si="0"/>
        <v>0.97702762973473312</v>
      </c>
    </row>
    <row r="18" spans="1:25" ht="17">
      <c r="A18">
        <v>431</v>
      </c>
      <c r="G18" s="15" t="s">
        <v>284</v>
      </c>
      <c r="W18" t="s">
        <v>296</v>
      </c>
      <c r="X18">
        <v>68</v>
      </c>
      <c r="Y18">
        <f t="shared" si="0"/>
        <v>-0.57472213513807791</v>
      </c>
    </row>
    <row r="19" spans="1:25" ht="17">
      <c r="A19">
        <v>517</v>
      </c>
      <c r="G19" s="15" t="s">
        <v>285</v>
      </c>
      <c r="W19" t="s">
        <v>297</v>
      </c>
      <c r="X19">
        <v>73</v>
      </c>
      <c r="Y19">
        <f t="shared" si="0"/>
        <v>7.1840266892259974E-2</v>
      </c>
    </row>
    <row r="20" spans="1:25" ht="17">
      <c r="A20">
        <v>560</v>
      </c>
      <c r="G20" s="15"/>
    </row>
    <row r="21" spans="1:25" ht="17">
      <c r="A21">
        <v>339</v>
      </c>
      <c r="G21" s="15" t="s">
        <v>286</v>
      </c>
      <c r="Y21">
        <f>SUM(Y11:Y19)</f>
        <v>1.6653345369377348E-15</v>
      </c>
    </row>
    <row r="22" spans="1:25">
      <c r="A22">
        <v>495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A351-70B0-5244-BA65-285CF6942DC3}">
  <dimension ref="A1:M28"/>
  <sheetViews>
    <sheetView tabSelected="1" zoomScale="75" zoomScaleNormal="159" workbookViewId="0">
      <selection activeCell="D35" sqref="D35"/>
    </sheetView>
  </sheetViews>
  <sheetFormatPr baseColWidth="10" defaultRowHeight="16"/>
  <cols>
    <col min="1" max="1" width="32.6640625" customWidth="1"/>
    <col min="5" max="5" width="27.6640625" customWidth="1"/>
    <col min="8" max="8" width="26.5" customWidth="1"/>
    <col min="12" max="12" width="18" customWidth="1"/>
  </cols>
  <sheetData>
    <row r="1" spans="1:13">
      <c r="A1" s="25" t="s">
        <v>157</v>
      </c>
      <c r="B1" t="s">
        <v>160</v>
      </c>
      <c r="C1" t="s">
        <v>43</v>
      </c>
      <c r="E1" s="16" t="s">
        <v>171</v>
      </c>
      <c r="F1" t="s">
        <v>172</v>
      </c>
      <c r="H1" t="s">
        <v>388</v>
      </c>
      <c r="I1" t="s">
        <v>43</v>
      </c>
      <c r="L1" t="s">
        <v>323</v>
      </c>
    </row>
    <row r="2" spans="1:13" ht="17">
      <c r="A2" s="16" t="s">
        <v>89</v>
      </c>
      <c r="B2" s="16">
        <v>43.7</v>
      </c>
      <c r="E2" t="s">
        <v>109</v>
      </c>
      <c r="F2">
        <v>51</v>
      </c>
      <c r="H2" t="s">
        <v>389</v>
      </c>
      <c r="L2" s="15" t="s">
        <v>324</v>
      </c>
      <c r="M2">
        <v>240000</v>
      </c>
    </row>
    <row r="3" spans="1:13" ht="17">
      <c r="A3" s="16" t="s">
        <v>127</v>
      </c>
      <c r="B3" s="54">
        <v>4.2</v>
      </c>
      <c r="E3" t="s">
        <v>173</v>
      </c>
      <c r="F3">
        <f>F2/100</f>
        <v>0.51</v>
      </c>
      <c r="H3" t="s">
        <v>89</v>
      </c>
      <c r="I3">
        <v>43.7</v>
      </c>
      <c r="L3" s="15" t="s">
        <v>325</v>
      </c>
      <c r="M3">
        <v>10</v>
      </c>
    </row>
    <row r="4" spans="1:13" ht="17">
      <c r="A4" s="16" t="s">
        <v>164</v>
      </c>
      <c r="B4" s="16">
        <v>80</v>
      </c>
      <c r="E4" t="s">
        <v>158</v>
      </c>
      <c r="F4">
        <v>300</v>
      </c>
      <c r="H4" t="s">
        <v>390</v>
      </c>
      <c r="I4">
        <v>4.2</v>
      </c>
      <c r="L4" s="15" t="s">
        <v>326</v>
      </c>
      <c r="M4">
        <v>9</v>
      </c>
    </row>
    <row r="5" spans="1:13">
      <c r="A5" s="25" t="s">
        <v>386</v>
      </c>
      <c r="B5" s="16"/>
    </row>
    <row r="6" spans="1:13">
      <c r="A6" s="16" t="s">
        <v>159</v>
      </c>
      <c r="B6" s="52">
        <f>B2</f>
        <v>43.7</v>
      </c>
      <c r="E6" t="s">
        <v>396</v>
      </c>
      <c r="F6" s="53">
        <f>F3</f>
        <v>0.51</v>
      </c>
      <c r="H6" t="s">
        <v>391</v>
      </c>
      <c r="I6">
        <v>40</v>
      </c>
      <c r="L6" t="s">
        <v>23</v>
      </c>
      <c r="M6">
        <f>M3 *SQRT(M4)</f>
        <v>30</v>
      </c>
    </row>
    <row r="7" spans="1:13">
      <c r="A7" s="16" t="s">
        <v>387</v>
      </c>
      <c r="B7" s="56">
        <f>B3/SQRT(B4)</f>
        <v>0.46957427527495582</v>
      </c>
      <c r="E7" t="s">
        <v>395</v>
      </c>
      <c r="F7" s="53">
        <f>SQRT(F6*(1 - F6)/F4)</f>
        <v>2.8861739379323625E-2</v>
      </c>
    </row>
    <row r="8" spans="1:13">
      <c r="B8" s="16"/>
      <c r="H8" t="s">
        <v>392</v>
      </c>
      <c r="I8">
        <f>_xlfn.NORM.DIST(I6,I3,I4, TRUE)</f>
        <v>0.18917179719797161</v>
      </c>
    </row>
    <row r="9" spans="1:13">
      <c r="A9" s="25" t="s">
        <v>331</v>
      </c>
      <c r="B9" s="16">
        <v>155</v>
      </c>
      <c r="E9" t="s">
        <v>174</v>
      </c>
      <c r="F9" s="53">
        <f>(F4*F6)*(1 - F6)</f>
        <v>74.97</v>
      </c>
    </row>
    <row r="10" spans="1:13">
      <c r="A10" s="16" t="s">
        <v>165</v>
      </c>
      <c r="B10" s="55">
        <f>(B9-B2)/B3</f>
        <v>26.499999999999996</v>
      </c>
      <c r="H10" t="s">
        <v>391</v>
      </c>
      <c r="I10">
        <v>12</v>
      </c>
    </row>
    <row r="11" spans="1:13">
      <c r="A11" s="16" t="s">
        <v>166</v>
      </c>
      <c r="B11" s="57">
        <f>(B9-B2)/B7</f>
        <v>237.02320561497771</v>
      </c>
      <c r="E11" t="s">
        <v>178</v>
      </c>
      <c r="F11">
        <v>45</v>
      </c>
    </row>
    <row r="12" spans="1:13">
      <c r="E12" t="s">
        <v>175</v>
      </c>
      <c r="F12">
        <f>F11/100</f>
        <v>0.45</v>
      </c>
    </row>
    <row r="13" spans="1:13">
      <c r="A13" s="16" t="s">
        <v>169</v>
      </c>
      <c r="B13">
        <f>_xlfn.NORM.S.DIST(B10, TRUE)</f>
        <v>1</v>
      </c>
      <c r="E13" t="s">
        <v>121</v>
      </c>
      <c r="F13">
        <f>(F12-F6)/F7</f>
        <v>-2.0788767860257109</v>
      </c>
      <c r="H13" s="162" t="s">
        <v>394</v>
      </c>
      <c r="I13">
        <f>I4/SQRT(I10)</f>
        <v>1.2124355652982142</v>
      </c>
    </row>
    <row r="14" spans="1:13" ht="17">
      <c r="A14" s="16" t="s">
        <v>170</v>
      </c>
      <c r="B14" s="58">
        <f xml:space="preserve"> 1 - B13</f>
        <v>0</v>
      </c>
      <c r="E14" t="s">
        <v>177</v>
      </c>
      <c r="F14" s="53">
        <f>_xlfn.NORM.S.DIST(F13, TRUE)</f>
        <v>1.8814338445845531E-2</v>
      </c>
      <c r="H14" t="s">
        <v>393</v>
      </c>
      <c r="I14">
        <f>_xlfn.NORM.DIST(I6,I3,I13,TRUE)</f>
        <v>1.1377145360498184E-3</v>
      </c>
      <c r="L14" s="15" t="s">
        <v>327</v>
      </c>
    </row>
    <row r="15" spans="1:13" ht="17">
      <c r="E15" t="s">
        <v>176</v>
      </c>
      <c r="F15" s="53">
        <f xml:space="preserve"> 1 - F14</f>
        <v>0.98118566155415443</v>
      </c>
      <c r="L15" s="15" t="s">
        <v>328</v>
      </c>
    </row>
    <row r="16" spans="1:13" ht="17">
      <c r="A16" s="16" t="s">
        <v>167</v>
      </c>
      <c r="B16" s="52">
        <f>_xlfn.NORM.S.DIST(B11, TRUE)</f>
        <v>1</v>
      </c>
      <c r="L16" s="15" t="s">
        <v>329</v>
      </c>
    </row>
    <row r="17" spans="1:6">
      <c r="A17" s="16" t="s">
        <v>168</v>
      </c>
      <c r="B17" s="52">
        <f xml:space="preserve"> 1 -B16</f>
        <v>0</v>
      </c>
    </row>
    <row r="20" spans="1:6">
      <c r="A20" s="25" t="s">
        <v>161</v>
      </c>
      <c r="B20" s="16"/>
    </row>
    <row r="21" spans="1:6">
      <c r="A21" s="16" t="s">
        <v>67</v>
      </c>
      <c r="B21" s="16">
        <v>155</v>
      </c>
      <c r="E21">
        <v>0.174543</v>
      </c>
    </row>
    <row r="22" spans="1:6">
      <c r="A22" s="16" t="s">
        <v>68</v>
      </c>
      <c r="B22" s="16">
        <v>160</v>
      </c>
      <c r="E22">
        <v>0.81106243</v>
      </c>
    </row>
    <row r="23" spans="1:6">
      <c r="A23" s="16" t="s">
        <v>162</v>
      </c>
      <c r="B23">
        <f>(B21-B$6)/B$7</f>
        <v>237.02320561497771</v>
      </c>
      <c r="E23">
        <f>E22-E21</f>
        <v>0.63651943</v>
      </c>
      <c r="F23" t="s">
        <v>179</v>
      </c>
    </row>
    <row r="24" spans="1:6">
      <c r="A24" s="16" t="s">
        <v>72</v>
      </c>
      <c r="B24">
        <f>(B22-B$6)/B$7</f>
        <v>247.67114836497672</v>
      </c>
    </row>
    <row r="26" spans="1:6">
      <c r="A26" s="16" t="s">
        <v>163</v>
      </c>
      <c r="B26" s="53">
        <f>_xlfn.NORM.S.DIST(B24, TRUE) - _xlfn.NORM.S.DIST(B23, TRUE)</f>
        <v>0</v>
      </c>
    </row>
    <row r="27" spans="1:6">
      <c r="A27" s="4" t="s">
        <v>332</v>
      </c>
    </row>
    <row r="28" spans="1:6" ht="40" customHeight="1">
      <c r="A28" s="144" t="s">
        <v>330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7077-45B6-E742-951B-BF30C929E163}">
  <dimension ref="A1:B22"/>
  <sheetViews>
    <sheetView workbookViewId="0">
      <selection activeCell="A23" sqref="A23"/>
    </sheetView>
  </sheetViews>
  <sheetFormatPr baseColWidth="10" defaultRowHeight="16"/>
  <cols>
    <col min="1" max="1" width="23.83203125" customWidth="1"/>
    <col min="2" max="2" width="25.33203125" bestFit="1" customWidth="1"/>
  </cols>
  <sheetData>
    <row r="1" spans="1:2">
      <c r="A1" t="s">
        <v>8</v>
      </c>
    </row>
    <row r="2" spans="1:2">
      <c r="A2" s="1" t="s">
        <v>11</v>
      </c>
      <c r="B2" s="2">
        <v>3</v>
      </c>
    </row>
    <row r="3" spans="1:2">
      <c r="A3" s="1" t="s">
        <v>9</v>
      </c>
      <c r="B3" s="10">
        <v>9</v>
      </c>
    </row>
    <row r="4" spans="1:2">
      <c r="A4" s="1" t="s">
        <v>10</v>
      </c>
      <c r="B4" s="2">
        <v>0.6</v>
      </c>
    </row>
    <row r="5" spans="1:2">
      <c r="A5" s="1"/>
    </row>
    <row r="6" spans="1:2">
      <c r="A6" s="4" t="s">
        <v>45</v>
      </c>
    </row>
    <row r="7" spans="1:2">
      <c r="A7" s="1" t="s">
        <v>46</v>
      </c>
      <c r="B7" s="12">
        <f>_xlfn.BINOM.DIST(B$2, B$3, B$4, FALSE)</f>
        <v>7.4317824000000032E-2</v>
      </c>
    </row>
    <row r="8" spans="1:2">
      <c r="A8" s="1" t="s">
        <v>50</v>
      </c>
      <c r="B8" s="12">
        <f>_xlfn.BINOM.DIST(B$2 - 1, B$3, B$4, TRUE)</f>
        <v>2.5034752000000014E-2</v>
      </c>
    </row>
    <row r="9" spans="1:2">
      <c r="A9" s="1" t="s">
        <v>47</v>
      </c>
      <c r="B9" s="12">
        <f>_xlfn.BINOM.DIST(B$2, B$3, B$4, TRUE)</f>
        <v>9.935257600000004E-2</v>
      </c>
    </row>
    <row r="10" spans="1:2">
      <c r="A10" s="1" t="s">
        <v>48</v>
      </c>
      <c r="B10" s="12">
        <f xml:space="preserve"> 1 - B9</f>
        <v>0.90064742399999997</v>
      </c>
    </row>
    <row r="11" spans="1:2">
      <c r="A11" s="1" t="s">
        <v>49</v>
      </c>
      <c r="B11">
        <f>1 - _xlfn.BINOM.DIST(B$2 - 1, B$3, B$4, FALSE)</f>
        <v>0.97876633599999996</v>
      </c>
    </row>
    <row r="13" spans="1:2">
      <c r="A13" s="1"/>
      <c r="B13">
        <f>_xlfn.BINOM.DIST(8, B$3, B$4, FALSE)</f>
        <v>6.0466175999999983E-2</v>
      </c>
    </row>
    <row r="14" spans="1:2">
      <c r="A14" s="1"/>
      <c r="B14">
        <f>_xlfn.BINOM.DIST(6, B$3, B$4, FALSE)</f>
        <v>0.25082265600000003</v>
      </c>
    </row>
    <row r="15" spans="1:2">
      <c r="A15" s="1"/>
      <c r="B15">
        <f>_xlfn.BINOM.DIST(7, B$3, B$4, FALSE)</f>
        <v>0.16124313599999995</v>
      </c>
    </row>
    <row r="16" spans="1:2">
      <c r="B16">
        <f>SUM(B13:B15)</f>
        <v>0.47253196799999997</v>
      </c>
    </row>
    <row r="18" spans="1:1" ht="17">
      <c r="A18" s="15" t="s">
        <v>53</v>
      </c>
    </row>
    <row r="19" spans="1:1" ht="17">
      <c r="A19" s="15" t="s">
        <v>64</v>
      </c>
    </row>
    <row r="20" spans="1:1" ht="17">
      <c r="A20" s="15" t="s">
        <v>65</v>
      </c>
    </row>
    <row r="22" spans="1:1" ht="17">
      <c r="A22" s="15" t="s">
        <v>344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Random Variable x</vt:lpstr>
      <vt:lpstr>Chapter 10</vt:lpstr>
      <vt:lpstr>Normal Distribution - Z-score</vt:lpstr>
      <vt:lpstr>Chapter 9</vt:lpstr>
      <vt:lpstr>t-values</vt:lpstr>
      <vt:lpstr>Histogram</vt:lpstr>
      <vt:lpstr>Quartiles</vt:lpstr>
      <vt:lpstr>Chapter 8 (also normal)</vt:lpstr>
      <vt:lpstr>Binomial Probability</vt:lpstr>
      <vt:lpstr>x &amp; Probability</vt:lpstr>
      <vt:lpstr>Expected Value</vt:lpstr>
      <vt:lpstr>Poisson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2020-05-29T16:25:00Z</dcterms:created>
  <dcterms:modified xsi:type="dcterms:W3CDTF">2020-06-19T20:06:55Z</dcterms:modified>
</cp:coreProperties>
</file>