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FOLDER 2015- 2016\RATES 2015 - 2016\INTERNAL\"/>
    </mc:Choice>
  </mc:AlternateContent>
  <bookViews>
    <workbookView xWindow="0" yWindow="0" windowWidth="20490" windowHeight="7350" firstSheet="12" activeTab="13"/>
  </bookViews>
  <sheets>
    <sheet name="MANISA 2 " sheetId="17" r:id="rId1"/>
    <sheet name="VERANDA GRAND BAY 3" sheetId="3" r:id="rId2"/>
    <sheet name="MONT CHOISY 3" sheetId="33" r:id="rId3"/>
    <sheet name="VERANDA PAUL &amp; VIRGINE 3" sheetId="6" r:id="rId4"/>
    <sheet name="CASUARINA 3" sheetId="15" r:id="rId5"/>
    <sheet name="VILLAS CAROLINE 3" sheetId="16" r:id="rId6"/>
    <sheet name="LE PALMISTE 3" sheetId="8" r:id="rId7"/>
    <sheet name="ANELIA 4" sheetId="20" r:id="rId8"/>
    <sheet name="MERIDIEN 4" sheetId="5" r:id="rId9"/>
    <sheet name="RADISSON BLU POSTE LA FAYETTE 4" sheetId="9" r:id="rId10"/>
    <sheet name="MARITIM CRYSTAL BEACH 4" sheetId="31" r:id="rId11"/>
    <sheet name="INTERCONTINENTAL 5" sheetId="19" r:id="rId12"/>
    <sheet name="VERANDA LE TELFAIR 5" sheetId="7" r:id="rId13"/>
    <sheet name="OUTRIGGER 5" sheetId="34" r:id="rId14"/>
    <sheet name="RADISSON BLU AZURI RESORT 5" sheetId="10" r:id="rId15"/>
    <sheet name="WESTIN 5" sheetId="11" r:id="rId16"/>
    <sheet name="ST REGIS 5" sheetId="12" r:id="rId17"/>
    <sheet name="SOFITEL 5" sheetId="13" r:id="rId18"/>
    <sheet name="LONG BEACH 5" sheetId="32" r:id="rId19"/>
    <sheet name="ONE&amp;ONLY SAINT GERAN 5" sheetId="23" r:id="rId20"/>
    <sheet name="SO SOFITEL 5" sheetId="24" r:id="rId21"/>
    <sheet name="MARITIM 5" sheetId="30" r:id="rId22"/>
  </sheets>
  <definedNames>
    <definedName name="_xlnm.Print_Area" localSheetId="7">'ANELIA 4'!$A$1:$O$27</definedName>
    <definedName name="_xlnm.Print_Area" localSheetId="4">'CASUARINA 3'!$A$1:$O$34</definedName>
    <definedName name="_xlnm.Print_Area" localSheetId="11">'INTERCONTINENTAL 5'!$A$1:$O$29</definedName>
    <definedName name="_xlnm.Print_Area" localSheetId="6">'LE PALMISTE 3'!$A$1:$O$36</definedName>
    <definedName name="_xlnm.Print_Area" localSheetId="0">'MANISA 2 '!$A$1:$L$21</definedName>
    <definedName name="_xlnm.Print_Area" localSheetId="8">'MERIDIEN 4'!$A$1:$O$85</definedName>
    <definedName name="_xlnm.Print_Area" localSheetId="19">'ONE&amp;ONLY SAINT GERAN 5'!$A$1:$O$41</definedName>
    <definedName name="_xlnm.Print_Area" localSheetId="14">'RADISSON BLU AZURI RESORT 5'!$A$1:$Q$47</definedName>
    <definedName name="_xlnm.Print_Area" localSheetId="9">'RADISSON BLU POSTE LA FAYETTE 4'!$A$1:$K$42</definedName>
    <definedName name="_xlnm.Print_Area" localSheetId="17">'SOFITEL 5'!$A$1:$M$58</definedName>
    <definedName name="_xlnm.Print_Area" localSheetId="16">'ST REGIS 5'!$A$1:$Q$49</definedName>
    <definedName name="_xlnm.Print_Area" localSheetId="1">'VERANDA GRAND BAY 3'!$A$1:$Q$41</definedName>
    <definedName name="_xlnm.Print_Area" localSheetId="12">'VERANDA LE TELFAIR 5'!$A$1:$O$35</definedName>
    <definedName name="_xlnm.Print_Area" localSheetId="3">'VERANDA PAUL &amp; VIRGINE 3'!$A$1:$M$40</definedName>
    <definedName name="_xlnm.Print_Area" localSheetId="5">'VILLAS CAROLINE 3'!$A$1:$O$23</definedName>
    <definedName name="_xlnm.Print_Area" localSheetId="15">'WESTIN 5'!$A$1:$M$57</definedName>
  </definedNames>
  <calcPr calcId="162913"/>
</workbook>
</file>

<file path=xl/calcChain.xml><?xml version="1.0" encoding="utf-8"?>
<calcChain xmlns="http://schemas.openxmlformats.org/spreadsheetml/2006/main">
  <c r="M11" i="34" l="1"/>
  <c r="M10" i="34"/>
  <c r="M9" i="34"/>
  <c r="M8" i="34"/>
  <c r="M7" i="34"/>
  <c r="M6" i="34"/>
  <c r="G11" i="34"/>
  <c r="G10" i="34"/>
  <c r="G9" i="34"/>
  <c r="G8" i="34"/>
  <c r="G7" i="34"/>
  <c r="G6" i="34"/>
  <c r="Q11" i="34"/>
  <c r="Q10" i="34"/>
  <c r="Q9" i="34"/>
  <c r="Q8" i="34"/>
  <c r="Q7" i="34"/>
  <c r="Q6" i="34"/>
  <c r="N11" i="34"/>
  <c r="N10" i="34"/>
  <c r="N9" i="34"/>
  <c r="N8" i="34"/>
  <c r="N7" i="34"/>
  <c r="N6" i="34"/>
  <c r="K11" i="34"/>
  <c r="J11" i="34"/>
  <c r="K10" i="34"/>
  <c r="J10" i="34"/>
  <c r="K9" i="34"/>
  <c r="J9" i="34"/>
  <c r="K8" i="34"/>
  <c r="J8" i="34"/>
  <c r="K7" i="34"/>
  <c r="J7" i="34"/>
  <c r="K6" i="34"/>
  <c r="J6" i="34"/>
  <c r="H11" i="34"/>
  <c r="H10" i="34"/>
  <c r="H9" i="34"/>
  <c r="H8" i="34"/>
  <c r="H7" i="34"/>
  <c r="H6" i="34"/>
  <c r="E11" i="34"/>
  <c r="D11" i="34"/>
  <c r="E10" i="34"/>
  <c r="D10" i="34"/>
  <c r="E9" i="34"/>
  <c r="D9" i="34"/>
  <c r="E8" i="34"/>
  <c r="D8" i="34"/>
  <c r="E7" i="34"/>
  <c r="D7" i="34"/>
  <c r="E6" i="34"/>
  <c r="D6" i="34"/>
  <c r="T11" i="34"/>
  <c r="L11" i="34" s="1"/>
  <c r="T10" i="34"/>
  <c r="L10" i="34" s="1"/>
  <c r="T9" i="34"/>
  <c r="L9" i="34" s="1"/>
  <c r="T8" i="34"/>
  <c r="L8" i="34" s="1"/>
  <c r="T7" i="34"/>
  <c r="L7" i="34" s="1"/>
  <c r="T6" i="34"/>
  <c r="L6" i="34" s="1"/>
  <c r="F6" i="34" l="1"/>
  <c r="F8" i="34"/>
  <c r="F10" i="34"/>
  <c r="F7" i="34"/>
  <c r="F9" i="34"/>
  <c r="F11" i="34"/>
  <c r="L15" i="33"/>
  <c r="L14" i="33"/>
  <c r="L13" i="33"/>
  <c r="L12" i="33"/>
  <c r="L11" i="33"/>
  <c r="L10" i="33"/>
  <c r="L9" i="33"/>
  <c r="L8" i="33"/>
  <c r="L7" i="33"/>
  <c r="L6" i="33"/>
  <c r="G15" i="33"/>
  <c r="G14" i="33"/>
  <c r="G13" i="33"/>
  <c r="G12" i="33"/>
  <c r="G11" i="33"/>
  <c r="G10" i="33"/>
  <c r="G9" i="33"/>
  <c r="G8" i="33"/>
  <c r="G7" i="33"/>
  <c r="G6" i="33"/>
  <c r="O15" i="33"/>
  <c r="N15" i="33"/>
  <c r="O14" i="33"/>
  <c r="N14" i="33"/>
  <c r="O13" i="33"/>
  <c r="N13" i="33"/>
  <c r="O12" i="33"/>
  <c r="N12" i="33"/>
  <c r="O11" i="33"/>
  <c r="N11" i="33"/>
  <c r="O10" i="33"/>
  <c r="N10" i="33"/>
  <c r="O9" i="33"/>
  <c r="N9" i="33"/>
  <c r="O8" i="33"/>
  <c r="N8" i="33"/>
  <c r="O7" i="33"/>
  <c r="N7" i="33"/>
  <c r="O6" i="33"/>
  <c r="N6" i="33"/>
  <c r="J15" i="33"/>
  <c r="I15" i="33"/>
  <c r="I14" i="33"/>
  <c r="J13" i="33"/>
  <c r="I13" i="33"/>
  <c r="I12" i="33"/>
  <c r="J11" i="33"/>
  <c r="I11" i="33"/>
  <c r="I10" i="33"/>
  <c r="J9" i="33"/>
  <c r="I9" i="33"/>
  <c r="I8" i="33"/>
  <c r="J7" i="33"/>
  <c r="I7" i="33"/>
  <c r="I6" i="33"/>
  <c r="E15" i="33"/>
  <c r="D15" i="33"/>
  <c r="D14" i="33"/>
  <c r="E13" i="33"/>
  <c r="D13" i="33"/>
  <c r="D12" i="33"/>
  <c r="E11" i="33"/>
  <c r="D11" i="33"/>
  <c r="D10" i="33"/>
  <c r="E9" i="33"/>
  <c r="D9" i="33"/>
  <c r="D8" i="33"/>
  <c r="E7" i="33"/>
  <c r="D7" i="33"/>
  <c r="D6" i="33"/>
  <c r="R15" i="33"/>
  <c r="K15" i="33" s="1"/>
  <c r="R14" i="33"/>
  <c r="K14" i="33" s="1"/>
  <c r="R13" i="33"/>
  <c r="K13" i="33" s="1"/>
  <c r="R12" i="33"/>
  <c r="K12" i="33" s="1"/>
  <c r="R11" i="33"/>
  <c r="K11" i="33" s="1"/>
  <c r="R10" i="33"/>
  <c r="K10" i="33" s="1"/>
  <c r="R9" i="33"/>
  <c r="K9" i="33" s="1"/>
  <c r="R8" i="33"/>
  <c r="K8" i="33" s="1"/>
  <c r="R7" i="33"/>
  <c r="K7" i="33" s="1"/>
  <c r="R6" i="33"/>
  <c r="K6" i="33" s="1"/>
  <c r="Q15" i="33"/>
  <c r="Q14" i="33"/>
  <c r="J14" i="33" s="1"/>
  <c r="Q13" i="33"/>
  <c r="Q12" i="33"/>
  <c r="J12" i="33" s="1"/>
  <c r="Q11" i="33"/>
  <c r="Q10" i="33"/>
  <c r="J10" i="33" s="1"/>
  <c r="Q9" i="33"/>
  <c r="Q8" i="33"/>
  <c r="J8" i="33" s="1"/>
  <c r="Q7" i="33"/>
  <c r="Q6" i="33"/>
  <c r="J6" i="33" s="1"/>
  <c r="F6" i="33" l="1"/>
  <c r="F8" i="33"/>
  <c r="F10" i="33"/>
  <c r="F12" i="33"/>
  <c r="F14" i="33"/>
  <c r="E6" i="33"/>
  <c r="F7" i="33"/>
  <c r="E8" i="33"/>
  <c r="F9" i="33"/>
  <c r="E10" i="33"/>
  <c r="F11" i="33"/>
  <c r="E12" i="33"/>
  <c r="F13" i="33"/>
  <c r="E14" i="33"/>
  <c r="F15" i="33"/>
  <c r="M28" i="32"/>
  <c r="M27" i="32"/>
  <c r="M26" i="32"/>
  <c r="M25" i="32"/>
  <c r="G28" i="32"/>
  <c r="G27" i="32"/>
  <c r="G26" i="32"/>
  <c r="G25" i="32"/>
  <c r="Q28" i="32"/>
  <c r="P28" i="32"/>
  <c r="Q27" i="32"/>
  <c r="P27" i="32"/>
  <c r="Q26" i="32"/>
  <c r="P26" i="32"/>
  <c r="Q25" i="32"/>
  <c r="P25" i="32"/>
  <c r="N28" i="32"/>
  <c r="N27" i="32"/>
  <c r="N26" i="32"/>
  <c r="N25" i="32"/>
  <c r="L28" i="32"/>
  <c r="K28" i="32"/>
  <c r="J28" i="32"/>
  <c r="L27" i="32"/>
  <c r="K27" i="32"/>
  <c r="J27" i="32"/>
  <c r="L26" i="32"/>
  <c r="K26" i="32"/>
  <c r="J26" i="32"/>
  <c r="L25" i="32"/>
  <c r="K25" i="32"/>
  <c r="J25" i="32"/>
  <c r="H28" i="32"/>
  <c r="H27" i="32"/>
  <c r="H26" i="32"/>
  <c r="H25" i="32"/>
  <c r="F28" i="32"/>
  <c r="E28" i="32"/>
  <c r="D28" i="32"/>
  <c r="F27" i="32"/>
  <c r="E27" i="32"/>
  <c r="D27" i="32"/>
  <c r="F26" i="32"/>
  <c r="E26" i="32"/>
  <c r="D26" i="32"/>
  <c r="F25" i="32"/>
  <c r="E25" i="32"/>
  <c r="D25" i="32"/>
  <c r="M21" i="32"/>
  <c r="M20" i="32"/>
  <c r="M19" i="32"/>
  <c r="M18" i="32"/>
  <c r="G21" i="32"/>
  <c r="G20" i="32"/>
  <c r="G19" i="32"/>
  <c r="G18" i="32"/>
  <c r="M8" i="32"/>
  <c r="M7" i="32"/>
  <c r="M6" i="32"/>
  <c r="M5" i="32"/>
  <c r="G8" i="32"/>
  <c r="G7" i="32"/>
  <c r="G6" i="32"/>
  <c r="G5" i="32"/>
  <c r="Q21" i="32"/>
  <c r="P21" i="32"/>
  <c r="Q20" i="32"/>
  <c r="P20" i="32"/>
  <c r="Q19" i="32"/>
  <c r="P19" i="32"/>
  <c r="Q18" i="32"/>
  <c r="P18" i="32"/>
  <c r="N21" i="32"/>
  <c r="N20" i="32"/>
  <c r="N19" i="32"/>
  <c r="N18" i="32"/>
  <c r="L21" i="32"/>
  <c r="K21" i="32"/>
  <c r="J21" i="32"/>
  <c r="L20" i="32"/>
  <c r="K20" i="32"/>
  <c r="J20" i="32"/>
  <c r="L19" i="32"/>
  <c r="K19" i="32"/>
  <c r="J19" i="32"/>
  <c r="L18" i="32"/>
  <c r="K18" i="32"/>
  <c r="J18" i="32"/>
  <c r="H21" i="32"/>
  <c r="H20" i="32"/>
  <c r="H19" i="32"/>
  <c r="H18" i="32"/>
  <c r="F21" i="32"/>
  <c r="E21" i="32"/>
  <c r="D21" i="32"/>
  <c r="F20" i="32"/>
  <c r="E20" i="32"/>
  <c r="D20" i="32"/>
  <c r="F19" i="32"/>
  <c r="E19" i="32"/>
  <c r="D19" i="32"/>
  <c r="F18" i="32"/>
  <c r="E18" i="32"/>
  <c r="D18" i="32"/>
  <c r="Q8" i="32"/>
  <c r="P8" i="32"/>
  <c r="Q7" i="32"/>
  <c r="P7" i="32"/>
  <c r="Q6" i="32"/>
  <c r="P6" i="32"/>
  <c r="Q5" i="32"/>
  <c r="P5" i="32"/>
  <c r="N8" i="32"/>
  <c r="N7" i="32"/>
  <c r="N6" i="32"/>
  <c r="N5" i="32"/>
  <c r="L8" i="32"/>
  <c r="K8" i="32"/>
  <c r="J8" i="32"/>
  <c r="L7" i="32"/>
  <c r="K7" i="32"/>
  <c r="J7" i="32"/>
  <c r="L6" i="32"/>
  <c r="K6" i="32"/>
  <c r="J6" i="32"/>
  <c r="L5" i="32"/>
  <c r="K5" i="32"/>
  <c r="J5" i="32"/>
  <c r="H8" i="32"/>
  <c r="H7" i="32"/>
  <c r="H6" i="32"/>
  <c r="H5" i="32"/>
  <c r="F8" i="32"/>
  <c r="E8" i="32"/>
  <c r="D8" i="32"/>
  <c r="F7" i="32"/>
  <c r="E7" i="32"/>
  <c r="D7" i="32"/>
  <c r="F6" i="32"/>
  <c r="E6" i="32"/>
  <c r="D6" i="32"/>
  <c r="F5" i="32"/>
  <c r="E5" i="32"/>
  <c r="D5" i="32"/>
  <c r="I7" i="16" l="1"/>
  <c r="J7" i="16"/>
  <c r="K7" i="16"/>
  <c r="L7" i="16"/>
  <c r="D7" i="16"/>
  <c r="E7" i="16"/>
  <c r="F7" i="16"/>
  <c r="G7" i="16"/>
  <c r="P21" i="30"/>
  <c r="P20" i="30"/>
  <c r="Q21" i="30"/>
  <c r="Q20" i="30"/>
  <c r="Q19" i="30"/>
  <c r="N21" i="30"/>
  <c r="N20" i="30"/>
  <c r="L20" i="30"/>
  <c r="K21" i="30"/>
  <c r="K20" i="30"/>
  <c r="J21" i="30"/>
  <c r="J20" i="30"/>
  <c r="H20" i="30"/>
  <c r="H18" i="30"/>
  <c r="E20" i="30"/>
  <c r="E18" i="30"/>
  <c r="P19" i="30"/>
  <c r="Q18" i="30"/>
  <c r="P18" i="30"/>
  <c r="N19" i="30"/>
  <c r="N18" i="30"/>
  <c r="L21" i="30"/>
  <c r="K19" i="30"/>
  <c r="J19" i="30"/>
  <c r="K18" i="30"/>
  <c r="J18" i="30"/>
  <c r="H21" i="30"/>
  <c r="H19" i="30"/>
  <c r="F21" i="30"/>
  <c r="F20" i="30"/>
  <c r="E21" i="30"/>
  <c r="D21" i="30"/>
  <c r="D20" i="30"/>
  <c r="E19" i="30"/>
  <c r="D19" i="30"/>
  <c r="D18" i="30"/>
  <c r="M21" i="30"/>
  <c r="G21" i="30"/>
  <c r="M20" i="30"/>
  <c r="G20" i="30"/>
  <c r="M19" i="30"/>
  <c r="G19" i="30"/>
  <c r="M18" i="30"/>
  <c r="G18" i="30"/>
  <c r="Q9" i="30"/>
  <c r="Q8" i="30"/>
  <c r="Q7" i="30"/>
  <c r="Q6" i="30"/>
  <c r="J26" i="24"/>
  <c r="J25" i="24"/>
  <c r="J24" i="24"/>
  <c r="J23" i="24"/>
  <c r="J22" i="24"/>
  <c r="J21" i="24"/>
  <c r="F26" i="24"/>
  <c r="F25" i="24"/>
  <c r="F24" i="24"/>
  <c r="F23" i="24"/>
  <c r="F22" i="24"/>
  <c r="F21" i="24"/>
  <c r="J11" i="24"/>
  <c r="J10" i="24"/>
  <c r="J9" i="24"/>
  <c r="J8" i="24"/>
  <c r="J7" i="24"/>
  <c r="J6" i="24"/>
  <c r="F11" i="24"/>
  <c r="F10" i="24"/>
  <c r="F9" i="24"/>
  <c r="F8" i="24"/>
  <c r="F7" i="24"/>
  <c r="F6" i="24"/>
  <c r="M26" i="24"/>
  <c r="M25" i="24"/>
  <c r="M24" i="24"/>
  <c r="M23" i="24"/>
  <c r="M22" i="24"/>
  <c r="M21" i="24"/>
  <c r="H26" i="24"/>
  <c r="H25" i="24"/>
  <c r="H24" i="24"/>
  <c r="H23" i="24"/>
  <c r="H22" i="24"/>
  <c r="H21" i="24"/>
  <c r="D26" i="24"/>
  <c r="D25" i="24"/>
  <c r="D24" i="24"/>
  <c r="D23" i="24"/>
  <c r="D22" i="24"/>
  <c r="D21" i="24"/>
  <c r="M11" i="24"/>
  <c r="M10" i="24"/>
  <c r="M9" i="24"/>
  <c r="M8" i="24"/>
  <c r="M7" i="24"/>
  <c r="M6" i="24"/>
  <c r="H11" i="24"/>
  <c r="H10" i="24"/>
  <c r="H9" i="24"/>
  <c r="H8" i="24"/>
  <c r="H7" i="24"/>
  <c r="H6" i="24"/>
  <c r="D11" i="24"/>
  <c r="D10" i="24"/>
  <c r="D9" i="24"/>
  <c r="D8" i="24"/>
  <c r="D7" i="24"/>
  <c r="D6" i="24"/>
  <c r="O26" i="24"/>
  <c r="I26" i="24" s="1"/>
  <c r="O25" i="24"/>
  <c r="I25" i="24" s="1"/>
  <c r="O24" i="24"/>
  <c r="I24" i="24" s="1"/>
  <c r="O23" i="24"/>
  <c r="I23" i="24" s="1"/>
  <c r="O22" i="24"/>
  <c r="I22" i="24" s="1"/>
  <c r="O21" i="24"/>
  <c r="I21" i="24" s="1"/>
  <c r="O11" i="24"/>
  <c r="I11" i="24" s="1"/>
  <c r="O10" i="24"/>
  <c r="I10" i="24" s="1"/>
  <c r="O9" i="24"/>
  <c r="I9" i="24" s="1"/>
  <c r="O8" i="24"/>
  <c r="I8" i="24" s="1"/>
  <c r="O7" i="24"/>
  <c r="I7" i="24" s="1"/>
  <c r="O6" i="24"/>
  <c r="I6" i="24" s="1"/>
  <c r="L13" i="23"/>
  <c r="L12" i="23"/>
  <c r="L11" i="23"/>
  <c r="L10" i="23"/>
  <c r="L9" i="23"/>
  <c r="L8" i="23"/>
  <c r="L7" i="23"/>
  <c r="L6" i="23"/>
  <c r="G13" i="23"/>
  <c r="G12" i="23"/>
  <c r="G11" i="23"/>
  <c r="G10" i="23"/>
  <c r="G9" i="23"/>
  <c r="G8" i="23"/>
  <c r="G7" i="23"/>
  <c r="G6" i="23"/>
  <c r="J13" i="23"/>
  <c r="J12" i="23"/>
  <c r="J11" i="23"/>
  <c r="J10" i="23"/>
  <c r="J9" i="23"/>
  <c r="J8" i="23"/>
  <c r="J7" i="23"/>
  <c r="J6" i="23"/>
  <c r="E13" i="23"/>
  <c r="E12" i="23"/>
  <c r="E11" i="23"/>
  <c r="E10" i="23"/>
  <c r="E9" i="23"/>
  <c r="E8" i="23"/>
  <c r="E7" i="23"/>
  <c r="E6" i="23"/>
  <c r="E6" i="24" l="1"/>
  <c r="E7" i="24"/>
  <c r="E8" i="24"/>
  <c r="E9" i="24"/>
  <c r="E10" i="24"/>
  <c r="E11" i="24"/>
  <c r="E21" i="24"/>
  <c r="E22" i="24"/>
  <c r="E23" i="24"/>
  <c r="E24" i="24"/>
  <c r="E25" i="24"/>
  <c r="E26" i="24"/>
  <c r="R11" i="23" l="1"/>
  <c r="P11" i="23"/>
  <c r="O11" i="23" s="1"/>
  <c r="R7" i="23"/>
  <c r="P7" i="23"/>
  <c r="O7" i="23" s="1"/>
  <c r="R8" i="23"/>
  <c r="R9" i="23"/>
  <c r="R10" i="23"/>
  <c r="R12" i="23"/>
  <c r="R13" i="23"/>
  <c r="R6" i="23"/>
  <c r="P13" i="23"/>
  <c r="O13" i="23" s="1"/>
  <c r="P12" i="23"/>
  <c r="O12" i="23" s="1"/>
  <c r="P8" i="23"/>
  <c r="O8" i="23" s="1"/>
  <c r="P10" i="23"/>
  <c r="O10" i="23" s="1"/>
  <c r="P9" i="23"/>
  <c r="O9" i="23" s="1"/>
  <c r="P6" i="23"/>
  <c r="O6" i="23" s="1"/>
  <c r="J26" i="13"/>
  <c r="J25" i="13"/>
  <c r="J24" i="13"/>
  <c r="J23" i="13"/>
  <c r="J22" i="13"/>
  <c r="J21" i="13"/>
  <c r="F26" i="13"/>
  <c r="F25" i="13"/>
  <c r="F24" i="13"/>
  <c r="F23" i="13"/>
  <c r="F22" i="13"/>
  <c r="F21" i="13"/>
  <c r="J11" i="13"/>
  <c r="J10" i="13"/>
  <c r="J9" i="13"/>
  <c r="J8" i="13"/>
  <c r="J7" i="13"/>
  <c r="J6" i="13"/>
  <c r="F11" i="13"/>
  <c r="F10" i="13"/>
  <c r="F9" i="13"/>
  <c r="F8" i="13"/>
  <c r="F7" i="13"/>
  <c r="F6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H26" i="13"/>
  <c r="H25" i="13"/>
  <c r="H24" i="13"/>
  <c r="H23" i="13"/>
  <c r="H22" i="13"/>
  <c r="H21" i="13"/>
  <c r="D26" i="13"/>
  <c r="D25" i="13"/>
  <c r="D24" i="13"/>
  <c r="D23" i="13"/>
  <c r="D22" i="13"/>
  <c r="D21" i="13"/>
  <c r="M11" i="13"/>
  <c r="L11" i="13"/>
  <c r="M10" i="13"/>
  <c r="L10" i="13"/>
  <c r="M9" i="13"/>
  <c r="L9" i="13"/>
  <c r="M8" i="13"/>
  <c r="L8" i="13"/>
  <c r="M7" i="13"/>
  <c r="L7" i="13"/>
  <c r="M6" i="13"/>
  <c r="L6" i="13"/>
  <c r="H11" i="13"/>
  <c r="H10" i="13"/>
  <c r="H9" i="13"/>
  <c r="H8" i="13"/>
  <c r="H7" i="13"/>
  <c r="H6" i="13"/>
  <c r="D11" i="13"/>
  <c r="D10" i="13"/>
  <c r="D9" i="13"/>
  <c r="D8" i="13"/>
  <c r="D7" i="13"/>
  <c r="D6" i="13"/>
  <c r="I9" i="23" l="1"/>
  <c r="D9" i="23"/>
  <c r="I8" i="23"/>
  <c r="D8" i="23"/>
  <c r="I13" i="23"/>
  <c r="D13" i="23"/>
  <c r="K13" i="23"/>
  <c r="F13" i="23"/>
  <c r="K10" i="23"/>
  <c r="F10" i="23"/>
  <c r="K8" i="23"/>
  <c r="F8" i="23"/>
  <c r="K7" i="23"/>
  <c r="F7" i="23"/>
  <c r="K11" i="23"/>
  <c r="F11" i="23"/>
  <c r="I6" i="23"/>
  <c r="D6" i="23"/>
  <c r="I10" i="23"/>
  <c r="D10" i="23"/>
  <c r="I12" i="23"/>
  <c r="D12" i="23"/>
  <c r="K6" i="23"/>
  <c r="F6" i="23"/>
  <c r="K12" i="23"/>
  <c r="F12" i="23"/>
  <c r="K9" i="23"/>
  <c r="F9" i="23"/>
  <c r="I7" i="23"/>
  <c r="D7" i="23"/>
  <c r="I11" i="23"/>
  <c r="D11" i="23"/>
  <c r="O26" i="13"/>
  <c r="O25" i="13"/>
  <c r="O24" i="13"/>
  <c r="O23" i="13"/>
  <c r="O22" i="13"/>
  <c r="O21" i="13"/>
  <c r="O11" i="13"/>
  <c r="O8" i="13"/>
  <c r="O10" i="13"/>
  <c r="O7" i="13"/>
  <c r="O9" i="13"/>
  <c r="O6" i="13"/>
  <c r="I6" i="13" l="1"/>
  <c r="E6" i="13"/>
  <c r="I7" i="13"/>
  <c r="E7" i="13"/>
  <c r="I21" i="13"/>
  <c r="E21" i="13"/>
  <c r="I23" i="13"/>
  <c r="E23" i="13"/>
  <c r="I25" i="13"/>
  <c r="E25" i="13"/>
  <c r="I9" i="13"/>
  <c r="E9" i="13"/>
  <c r="I10" i="13"/>
  <c r="E10" i="13"/>
  <c r="I11" i="13"/>
  <c r="E11" i="13"/>
  <c r="I22" i="13"/>
  <c r="E22" i="13"/>
  <c r="I24" i="13"/>
  <c r="E24" i="13"/>
  <c r="I26" i="13"/>
  <c r="E26" i="13"/>
  <c r="I8" i="13"/>
  <c r="E8" i="13"/>
  <c r="J36" i="11"/>
  <c r="J35" i="11"/>
  <c r="F36" i="11"/>
  <c r="F35" i="11"/>
  <c r="I36" i="11"/>
  <c r="H36" i="11"/>
  <c r="I35" i="11"/>
  <c r="H35" i="11"/>
  <c r="E36" i="11"/>
  <c r="D36" i="11"/>
  <c r="E35" i="11"/>
  <c r="D35" i="11"/>
  <c r="Q25" i="10"/>
  <c r="Q24" i="10"/>
  <c r="P24" i="10"/>
  <c r="N25" i="10"/>
  <c r="N24" i="10"/>
  <c r="L24" i="10"/>
  <c r="K25" i="10"/>
  <c r="K24" i="10"/>
  <c r="J25" i="10"/>
  <c r="H25" i="10"/>
  <c r="H24" i="10"/>
  <c r="E25" i="10"/>
  <c r="E24" i="10"/>
  <c r="D25" i="10"/>
  <c r="P25" i="10"/>
  <c r="J24" i="10"/>
  <c r="D24" i="10"/>
  <c r="T25" i="10"/>
  <c r="L25" i="10" s="1"/>
  <c r="M25" i="10"/>
  <c r="G25" i="10"/>
  <c r="T24" i="10"/>
  <c r="F24" i="10" s="1"/>
  <c r="M24" i="10"/>
  <c r="G24" i="10"/>
  <c r="Q20" i="10"/>
  <c r="Q19" i="10"/>
  <c r="P20" i="10"/>
  <c r="P19" i="10"/>
  <c r="N20" i="10"/>
  <c r="N19" i="10"/>
  <c r="K19" i="10"/>
  <c r="J20" i="10"/>
  <c r="J19" i="10"/>
  <c r="H20" i="10"/>
  <c r="H19" i="10"/>
  <c r="E20" i="10"/>
  <c r="E19" i="10"/>
  <c r="D19" i="10"/>
  <c r="K20" i="10"/>
  <c r="D20" i="10"/>
  <c r="T20" i="10"/>
  <c r="F20" i="10" s="1"/>
  <c r="M20" i="10"/>
  <c r="G20" i="10"/>
  <c r="T19" i="10"/>
  <c r="L19" i="10" s="1"/>
  <c r="M19" i="10"/>
  <c r="G19" i="10"/>
  <c r="F25" i="10" l="1"/>
  <c r="L20" i="10"/>
  <c r="F19" i="10"/>
  <c r="P9" i="10" l="1"/>
  <c r="Q8" i="10"/>
  <c r="Q6" i="10"/>
  <c r="M9" i="10"/>
  <c r="M8" i="10"/>
  <c r="M7" i="10"/>
  <c r="M6" i="10"/>
  <c r="G9" i="10"/>
  <c r="G8" i="10"/>
  <c r="G7" i="10"/>
  <c r="G6" i="10"/>
  <c r="Q9" i="10"/>
  <c r="P8" i="10"/>
  <c r="Q7" i="10"/>
  <c r="P7" i="10"/>
  <c r="P6" i="10"/>
  <c r="N9" i="10"/>
  <c r="N8" i="10"/>
  <c r="N7" i="10"/>
  <c r="N6" i="10"/>
  <c r="K9" i="10"/>
  <c r="J9" i="10"/>
  <c r="K8" i="10"/>
  <c r="J8" i="10"/>
  <c r="K7" i="10"/>
  <c r="J7" i="10"/>
  <c r="K6" i="10"/>
  <c r="J6" i="10"/>
  <c r="H9" i="10"/>
  <c r="H8" i="10"/>
  <c r="H7" i="10"/>
  <c r="H6" i="10"/>
  <c r="E9" i="10"/>
  <c r="D9" i="10"/>
  <c r="E8" i="10"/>
  <c r="D8" i="10"/>
  <c r="E7" i="10"/>
  <c r="D7" i="10"/>
  <c r="E6" i="10"/>
  <c r="D6" i="10"/>
  <c r="T7" i="10" l="1"/>
  <c r="T8" i="10"/>
  <c r="T9" i="10"/>
  <c r="T6" i="10"/>
  <c r="L7" i="10" l="1"/>
  <c r="F7" i="10"/>
  <c r="F9" i="10"/>
  <c r="L9" i="10"/>
  <c r="L6" i="10"/>
  <c r="F6" i="10"/>
  <c r="L8" i="10"/>
  <c r="F8" i="10"/>
  <c r="L13" i="7"/>
  <c r="L12" i="7"/>
  <c r="L11" i="7"/>
  <c r="L10" i="7"/>
  <c r="L9" i="7"/>
  <c r="L8" i="7"/>
  <c r="L7" i="7"/>
  <c r="L6" i="7"/>
  <c r="G13" i="7"/>
  <c r="G12" i="7"/>
  <c r="G11" i="7"/>
  <c r="G10" i="7"/>
  <c r="G9" i="7"/>
  <c r="G8" i="7"/>
  <c r="G7" i="7"/>
  <c r="G6" i="7"/>
  <c r="O13" i="7"/>
  <c r="O12" i="7"/>
  <c r="O11" i="7"/>
  <c r="O10" i="7"/>
  <c r="O9" i="7"/>
  <c r="O8" i="7"/>
  <c r="O7" i="7"/>
  <c r="O6" i="7"/>
  <c r="K13" i="7"/>
  <c r="J13" i="7"/>
  <c r="I13" i="7"/>
  <c r="K12" i="7"/>
  <c r="J12" i="7"/>
  <c r="I12" i="7"/>
  <c r="K11" i="7"/>
  <c r="J11" i="7"/>
  <c r="I11" i="7"/>
  <c r="K10" i="7"/>
  <c r="J10" i="7"/>
  <c r="I10" i="7"/>
  <c r="K9" i="7"/>
  <c r="J9" i="7"/>
  <c r="I9" i="7"/>
  <c r="K8" i="7"/>
  <c r="J8" i="7"/>
  <c r="I8" i="7"/>
  <c r="K7" i="7"/>
  <c r="J7" i="7"/>
  <c r="I7" i="7"/>
  <c r="K6" i="7"/>
  <c r="J6" i="7"/>
  <c r="I6" i="7"/>
  <c r="F13" i="7"/>
  <c r="E13" i="7"/>
  <c r="D13" i="7"/>
  <c r="F12" i="7"/>
  <c r="E12" i="7"/>
  <c r="D12" i="7"/>
  <c r="F11" i="7"/>
  <c r="E11" i="7"/>
  <c r="D11" i="7"/>
  <c r="F10" i="7"/>
  <c r="E10" i="7"/>
  <c r="D10" i="7"/>
  <c r="F9" i="7"/>
  <c r="E9" i="7"/>
  <c r="D9" i="7"/>
  <c r="F8" i="7"/>
  <c r="E8" i="7"/>
  <c r="D8" i="7"/>
  <c r="F7" i="7"/>
  <c r="E7" i="7"/>
  <c r="D7" i="7"/>
  <c r="F6" i="7"/>
  <c r="E6" i="7"/>
  <c r="D6" i="7"/>
  <c r="K7" i="19" l="1"/>
  <c r="J7" i="19"/>
  <c r="I7" i="19"/>
  <c r="K9" i="19"/>
  <c r="J9" i="19"/>
  <c r="I9" i="19"/>
  <c r="F9" i="19"/>
  <c r="E9" i="19"/>
  <c r="D9" i="19"/>
  <c r="F7" i="19"/>
  <c r="E7" i="19"/>
  <c r="D7" i="19"/>
  <c r="M9" i="31"/>
  <c r="M7" i="31"/>
  <c r="G9" i="31"/>
  <c r="G7" i="31"/>
  <c r="N9" i="31"/>
  <c r="L9" i="31"/>
  <c r="K9" i="31"/>
  <c r="J9" i="31"/>
  <c r="H9" i="31"/>
  <c r="F9" i="31"/>
  <c r="E9" i="31"/>
  <c r="D9" i="31"/>
  <c r="N7" i="31"/>
  <c r="L7" i="31"/>
  <c r="K7" i="31"/>
  <c r="J7" i="31"/>
  <c r="H7" i="31"/>
  <c r="F7" i="31"/>
  <c r="E7" i="31"/>
  <c r="D7" i="31"/>
  <c r="K25" i="9"/>
  <c r="K24" i="9"/>
  <c r="J24" i="9"/>
  <c r="H25" i="9"/>
  <c r="H24" i="9"/>
  <c r="E25" i="9"/>
  <c r="E24" i="9"/>
  <c r="J25" i="9"/>
  <c r="G25" i="9"/>
  <c r="G24" i="9"/>
  <c r="D25" i="9"/>
  <c r="D24" i="9"/>
  <c r="K20" i="9"/>
  <c r="K19" i="9"/>
  <c r="J20" i="9"/>
  <c r="J19" i="9"/>
  <c r="H19" i="9"/>
  <c r="E20" i="9"/>
  <c r="E19" i="9"/>
  <c r="D20" i="9"/>
  <c r="D19" i="9"/>
  <c r="H20" i="9"/>
  <c r="G20" i="9"/>
  <c r="G19" i="9"/>
  <c r="K9" i="9"/>
  <c r="J9" i="9"/>
  <c r="K7" i="9"/>
  <c r="J7" i="9"/>
  <c r="K8" i="9"/>
  <c r="K6" i="9"/>
  <c r="J8" i="9"/>
  <c r="J6" i="9"/>
  <c r="H9" i="9" l="1"/>
  <c r="G9" i="9"/>
  <c r="H8" i="9"/>
  <c r="G8" i="9"/>
  <c r="H7" i="9"/>
  <c r="G7" i="9"/>
  <c r="H6" i="9"/>
  <c r="G6" i="9"/>
  <c r="E9" i="9"/>
  <c r="D9" i="9"/>
  <c r="E8" i="9"/>
  <c r="D8" i="9"/>
  <c r="E7" i="9"/>
  <c r="D7" i="9"/>
  <c r="E6" i="9"/>
  <c r="D6" i="9"/>
  <c r="L47" i="5" l="1"/>
  <c r="L46" i="5"/>
  <c r="G47" i="5"/>
  <c r="G46" i="5"/>
  <c r="K47" i="5"/>
  <c r="J47" i="5"/>
  <c r="I47" i="5"/>
  <c r="K46" i="5"/>
  <c r="J46" i="5"/>
  <c r="I46" i="5"/>
  <c r="F47" i="5"/>
  <c r="E47" i="5"/>
  <c r="D47" i="5"/>
  <c r="F46" i="5"/>
  <c r="E46" i="5"/>
  <c r="D46" i="5"/>
  <c r="R42" i="5"/>
  <c r="L42" i="5"/>
  <c r="K42" i="5"/>
  <c r="J42" i="5"/>
  <c r="I42" i="5"/>
  <c r="G42" i="5"/>
  <c r="F42" i="5"/>
  <c r="E42" i="5"/>
  <c r="D42" i="5"/>
  <c r="R41" i="5"/>
  <c r="L41" i="5"/>
  <c r="K41" i="5"/>
  <c r="J41" i="5"/>
  <c r="I41" i="5"/>
  <c r="G41" i="5"/>
  <c r="F41" i="5"/>
  <c r="E41" i="5"/>
  <c r="D41" i="5"/>
  <c r="L36" i="5"/>
  <c r="L35" i="5"/>
  <c r="G36" i="5"/>
  <c r="G35" i="5"/>
  <c r="K36" i="5"/>
  <c r="J36" i="5"/>
  <c r="I36" i="5"/>
  <c r="K35" i="5"/>
  <c r="J35" i="5"/>
  <c r="I35" i="5"/>
  <c r="F36" i="5"/>
  <c r="E36" i="5"/>
  <c r="D36" i="5"/>
  <c r="F35" i="5"/>
  <c r="E35" i="5"/>
  <c r="D35" i="5"/>
  <c r="L31" i="5"/>
  <c r="L30" i="5"/>
  <c r="G31" i="5"/>
  <c r="G30" i="5"/>
  <c r="K31" i="5"/>
  <c r="J31" i="5"/>
  <c r="I31" i="5"/>
  <c r="K30" i="5"/>
  <c r="J30" i="5"/>
  <c r="I30" i="5"/>
  <c r="F31" i="5"/>
  <c r="E31" i="5"/>
  <c r="D31" i="5"/>
  <c r="F30" i="5"/>
  <c r="E30" i="5"/>
  <c r="D30" i="5"/>
  <c r="L26" i="5"/>
  <c r="K26" i="5"/>
  <c r="J26" i="5"/>
  <c r="I26" i="5"/>
  <c r="G26" i="5"/>
  <c r="F26" i="5"/>
  <c r="E26" i="5"/>
  <c r="D26" i="5"/>
  <c r="L25" i="5"/>
  <c r="K25" i="5"/>
  <c r="J25" i="5"/>
  <c r="I25" i="5"/>
  <c r="G25" i="5"/>
  <c r="F25" i="5"/>
  <c r="E25" i="5"/>
  <c r="D25" i="5"/>
  <c r="J20" i="5"/>
  <c r="L21" i="5"/>
  <c r="L20" i="5"/>
  <c r="K21" i="5"/>
  <c r="J21" i="5"/>
  <c r="I21" i="5"/>
  <c r="K20" i="5"/>
  <c r="I20" i="5"/>
  <c r="G21" i="5"/>
  <c r="G20" i="5"/>
  <c r="F21" i="5"/>
  <c r="E21" i="5"/>
  <c r="D21" i="5"/>
  <c r="F20" i="5"/>
  <c r="E20" i="5"/>
  <c r="D20" i="5"/>
  <c r="L9" i="5"/>
  <c r="L8" i="5"/>
  <c r="L7" i="5"/>
  <c r="L6" i="5"/>
  <c r="G9" i="5"/>
  <c r="G8" i="5"/>
  <c r="G7" i="5"/>
  <c r="G6" i="5"/>
  <c r="K9" i="5"/>
  <c r="J9" i="5"/>
  <c r="I9" i="5"/>
  <c r="K8" i="5"/>
  <c r="J8" i="5"/>
  <c r="I8" i="5"/>
  <c r="K7" i="5"/>
  <c r="J7" i="5"/>
  <c r="I7" i="5"/>
  <c r="K6" i="5"/>
  <c r="J6" i="5"/>
  <c r="I6" i="5"/>
  <c r="F9" i="5"/>
  <c r="E9" i="5"/>
  <c r="D9" i="5"/>
  <c r="F8" i="5"/>
  <c r="E8" i="5"/>
  <c r="D8" i="5"/>
  <c r="F7" i="5"/>
  <c r="E7" i="5"/>
  <c r="D7" i="5"/>
  <c r="F6" i="5"/>
  <c r="E6" i="5"/>
  <c r="D6" i="5"/>
  <c r="L7" i="20"/>
  <c r="L6" i="20"/>
  <c r="G7" i="20"/>
  <c r="G6" i="20"/>
  <c r="O9" i="20"/>
  <c r="N9" i="20"/>
  <c r="O8" i="20"/>
  <c r="N8" i="20"/>
  <c r="O7" i="20"/>
  <c r="N7" i="20"/>
  <c r="O6" i="20"/>
  <c r="N6" i="20"/>
  <c r="J9" i="20"/>
  <c r="I9" i="20"/>
  <c r="J8" i="20"/>
  <c r="I8" i="20"/>
  <c r="J7" i="20"/>
  <c r="I7" i="20"/>
  <c r="J6" i="20"/>
  <c r="I6" i="20"/>
  <c r="E9" i="20"/>
  <c r="D9" i="20"/>
  <c r="E8" i="20"/>
  <c r="D8" i="20"/>
  <c r="E7" i="20"/>
  <c r="D7" i="20"/>
  <c r="E6" i="20"/>
  <c r="D6" i="20"/>
  <c r="R7" i="20"/>
  <c r="K7" i="20" s="1"/>
  <c r="R6" i="20"/>
  <c r="K6" i="20" s="1"/>
  <c r="O9" i="8"/>
  <c r="N9" i="8"/>
  <c r="O8" i="8"/>
  <c r="N8" i="8"/>
  <c r="O7" i="8"/>
  <c r="N7" i="8"/>
  <c r="O6" i="8"/>
  <c r="N6" i="8"/>
  <c r="L9" i="8"/>
  <c r="L8" i="8"/>
  <c r="L7" i="8"/>
  <c r="L6" i="8"/>
  <c r="G9" i="8"/>
  <c r="G8" i="8"/>
  <c r="G7" i="8"/>
  <c r="G6" i="8"/>
  <c r="J9" i="8"/>
  <c r="I9" i="8"/>
  <c r="I8" i="8"/>
  <c r="J7" i="8"/>
  <c r="I7" i="8"/>
  <c r="I6" i="8"/>
  <c r="E9" i="8"/>
  <c r="D9" i="8"/>
  <c r="D8" i="8"/>
  <c r="E7" i="8"/>
  <c r="D7" i="8"/>
  <c r="D6" i="8"/>
  <c r="S9" i="8"/>
  <c r="K9" i="8" s="1"/>
  <c r="S8" i="8"/>
  <c r="K8" i="8" s="1"/>
  <c r="S7" i="8"/>
  <c r="K7" i="8" s="1"/>
  <c r="S6" i="8"/>
  <c r="K6" i="8" s="1"/>
  <c r="R9" i="8"/>
  <c r="R8" i="8"/>
  <c r="J8" i="8" s="1"/>
  <c r="R7" i="8"/>
  <c r="R6" i="8"/>
  <c r="J6" i="8" s="1"/>
  <c r="L9" i="15"/>
  <c r="L8" i="15"/>
  <c r="L7" i="15"/>
  <c r="L6" i="15"/>
  <c r="G9" i="15"/>
  <c r="G8" i="15"/>
  <c r="G7" i="15"/>
  <c r="G6" i="15"/>
  <c r="J9" i="15"/>
  <c r="I9" i="15"/>
  <c r="J8" i="15"/>
  <c r="I8" i="15"/>
  <c r="J7" i="15"/>
  <c r="I7" i="15"/>
  <c r="J6" i="15"/>
  <c r="I6" i="15"/>
  <c r="E9" i="15"/>
  <c r="D9" i="15"/>
  <c r="E8" i="15"/>
  <c r="D8" i="15"/>
  <c r="E7" i="15"/>
  <c r="D7" i="15"/>
  <c r="E6" i="15"/>
  <c r="D6" i="15"/>
  <c r="R7" i="15"/>
  <c r="K7" i="15" s="1"/>
  <c r="R9" i="15"/>
  <c r="K9" i="15" s="1"/>
  <c r="R8" i="15"/>
  <c r="K8" i="15" s="1"/>
  <c r="R6" i="15"/>
  <c r="K6" i="15" s="1"/>
  <c r="M15" i="6"/>
  <c r="M14" i="6"/>
  <c r="M13" i="6"/>
  <c r="M12" i="6"/>
  <c r="M11" i="6"/>
  <c r="J15" i="6"/>
  <c r="J14" i="6"/>
  <c r="J13" i="6"/>
  <c r="J12" i="6"/>
  <c r="J11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F15" i="6"/>
  <c r="F14" i="6"/>
  <c r="F13" i="6"/>
  <c r="F12" i="6"/>
  <c r="F11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Q15" i="3"/>
  <c r="Q14" i="3"/>
  <c r="Q13" i="3"/>
  <c r="Q12" i="3"/>
  <c r="Q11" i="3"/>
  <c r="Q10" i="3"/>
  <c r="Q9" i="3"/>
  <c r="Q8" i="3"/>
  <c r="Q7" i="3"/>
  <c r="Q6" i="3"/>
  <c r="M15" i="3"/>
  <c r="M14" i="3"/>
  <c r="M13" i="3"/>
  <c r="M12" i="3"/>
  <c r="M11" i="3"/>
  <c r="M10" i="3"/>
  <c r="M9" i="3"/>
  <c r="M8" i="3"/>
  <c r="M7" i="3"/>
  <c r="M6" i="3"/>
  <c r="G15" i="3"/>
  <c r="G14" i="3"/>
  <c r="G13" i="3"/>
  <c r="G12" i="3"/>
  <c r="G11" i="3"/>
  <c r="G10" i="3"/>
  <c r="G9" i="3"/>
  <c r="G8" i="3"/>
  <c r="G7" i="3"/>
  <c r="G6" i="3"/>
  <c r="N15" i="3"/>
  <c r="N14" i="3"/>
  <c r="N13" i="3"/>
  <c r="N12" i="3"/>
  <c r="N11" i="3"/>
  <c r="N10" i="3"/>
  <c r="N9" i="3"/>
  <c r="N8" i="3"/>
  <c r="N7" i="3"/>
  <c r="N6" i="3"/>
  <c r="L15" i="3"/>
  <c r="L14" i="3"/>
  <c r="L13" i="3"/>
  <c r="L12" i="3"/>
  <c r="L11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H15" i="3"/>
  <c r="H14" i="3"/>
  <c r="H13" i="3"/>
  <c r="H12" i="3"/>
  <c r="H11" i="3"/>
  <c r="H10" i="3"/>
  <c r="H9" i="3"/>
  <c r="H8" i="3"/>
  <c r="H7" i="3"/>
  <c r="H6" i="3"/>
  <c r="F15" i="3"/>
  <c r="F14" i="3"/>
  <c r="F13" i="3"/>
  <c r="F12" i="3"/>
  <c r="F11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F6" i="8" l="1"/>
  <c r="F8" i="8"/>
  <c r="E6" i="8"/>
  <c r="F7" i="8"/>
  <c r="E8" i="8"/>
  <c r="F9" i="8"/>
  <c r="F6" i="20"/>
  <c r="F7" i="20"/>
  <c r="F7" i="15"/>
  <c r="F9" i="15"/>
  <c r="F6" i="15"/>
  <c r="F8" i="15"/>
  <c r="M8" i="31"/>
  <c r="M6" i="31"/>
  <c r="G8" i="31"/>
  <c r="G6" i="31"/>
  <c r="Q8" i="31"/>
  <c r="P8" i="31"/>
  <c r="Q6" i="31"/>
  <c r="P6" i="31"/>
  <c r="N8" i="31"/>
  <c r="N6" i="31"/>
  <c r="L8" i="31"/>
  <c r="K8" i="31"/>
  <c r="J8" i="31"/>
  <c r="L6" i="31"/>
  <c r="K6" i="31"/>
  <c r="J6" i="31"/>
  <c r="H8" i="31"/>
  <c r="H6" i="31"/>
  <c r="F8" i="31"/>
  <c r="E8" i="31"/>
  <c r="D8" i="31"/>
  <c r="F6" i="31"/>
  <c r="E6" i="31"/>
  <c r="D6" i="31"/>
  <c r="D6" i="30"/>
  <c r="E6" i="30"/>
  <c r="G6" i="30"/>
  <c r="H6" i="30"/>
  <c r="J6" i="30"/>
  <c r="K6" i="30"/>
  <c r="M6" i="30"/>
  <c r="N6" i="30"/>
  <c r="P6" i="30"/>
  <c r="D7" i="30"/>
  <c r="E7" i="30"/>
  <c r="G7" i="30"/>
  <c r="H7" i="30"/>
  <c r="J7" i="30"/>
  <c r="K7" i="30"/>
  <c r="M7" i="30"/>
  <c r="N7" i="30"/>
  <c r="P7" i="30"/>
  <c r="D8" i="30"/>
  <c r="E8" i="30"/>
  <c r="F8" i="30"/>
  <c r="G8" i="30"/>
  <c r="H8" i="30"/>
  <c r="J8" i="30"/>
  <c r="K8" i="30"/>
  <c r="L8" i="30"/>
  <c r="M8" i="30"/>
  <c r="N8" i="30"/>
  <c r="P8" i="30"/>
  <c r="D9" i="30"/>
  <c r="E9" i="30"/>
  <c r="F9" i="30"/>
  <c r="G9" i="30"/>
  <c r="H9" i="30"/>
  <c r="J9" i="30"/>
  <c r="K9" i="30"/>
  <c r="L9" i="30"/>
  <c r="M9" i="30"/>
  <c r="N9" i="30"/>
  <c r="P9" i="30"/>
  <c r="O6" i="17" l="1"/>
  <c r="K6" i="17" s="1"/>
  <c r="F6" i="17" l="1"/>
  <c r="L6" i="17"/>
  <c r="G6" i="17"/>
  <c r="I6" i="17"/>
  <c r="D6" i="17"/>
  <c r="N6" i="17"/>
  <c r="J6" i="17" l="1"/>
  <c r="E6" i="17"/>
  <c r="O8" i="19" l="1"/>
  <c r="O6" i="19"/>
  <c r="J8" i="19"/>
  <c r="I8" i="19"/>
  <c r="J6" i="19"/>
  <c r="I6" i="19"/>
  <c r="E8" i="19"/>
  <c r="D8" i="19"/>
  <c r="E6" i="19"/>
  <c r="D6" i="19"/>
  <c r="R6" i="19"/>
  <c r="K6" i="19" s="1"/>
  <c r="R8" i="19"/>
  <c r="K8" i="19" s="1"/>
  <c r="K6" i="16"/>
  <c r="J6" i="16"/>
  <c r="I6" i="16"/>
  <c r="F6" i="16"/>
  <c r="E6" i="16"/>
  <c r="D6" i="16"/>
  <c r="L6" i="16"/>
  <c r="G6" i="16"/>
  <c r="F6" i="19" l="1"/>
  <c r="F8" i="19"/>
  <c r="L30" i="12" l="1"/>
  <c r="L29" i="12"/>
  <c r="J30" i="12"/>
  <c r="J29" i="12"/>
  <c r="L28" i="12"/>
  <c r="L27" i="12"/>
  <c r="J28" i="12"/>
  <c r="D30" i="12"/>
  <c r="D29" i="12"/>
  <c r="F30" i="12"/>
  <c r="F29" i="12"/>
  <c r="F28" i="12"/>
  <c r="F27" i="12"/>
  <c r="D28" i="12"/>
  <c r="L23" i="12"/>
  <c r="L22" i="12"/>
  <c r="L20" i="12"/>
  <c r="L21" i="12"/>
  <c r="J21" i="12"/>
  <c r="J23" i="12"/>
  <c r="J22" i="12"/>
  <c r="F23" i="12"/>
  <c r="F22" i="12"/>
  <c r="D23" i="12"/>
  <c r="D22" i="12"/>
  <c r="F21" i="12"/>
  <c r="F20" i="12"/>
  <c r="D21" i="12"/>
  <c r="K30" i="12"/>
  <c r="K29" i="12"/>
  <c r="K28" i="12"/>
  <c r="K27" i="12"/>
  <c r="J27" i="12"/>
  <c r="E30" i="12"/>
  <c r="E29" i="12"/>
  <c r="E28" i="12"/>
  <c r="E27" i="12"/>
  <c r="D27" i="12"/>
  <c r="N30" i="12"/>
  <c r="M30" i="12"/>
  <c r="H30" i="12"/>
  <c r="G30" i="12"/>
  <c r="N29" i="12"/>
  <c r="M29" i="12"/>
  <c r="H29" i="12"/>
  <c r="G29" i="12"/>
  <c r="N28" i="12"/>
  <c r="M28" i="12"/>
  <c r="H28" i="12"/>
  <c r="G28" i="12"/>
  <c r="N27" i="12"/>
  <c r="M27" i="12"/>
  <c r="H27" i="12"/>
  <c r="G27" i="12"/>
  <c r="K23" i="12"/>
  <c r="K22" i="12"/>
  <c r="K21" i="12"/>
  <c r="K20" i="12"/>
  <c r="J20" i="12"/>
  <c r="E23" i="12"/>
  <c r="E22" i="12"/>
  <c r="E21" i="12"/>
  <c r="E20" i="12"/>
  <c r="D20" i="12"/>
  <c r="N23" i="12"/>
  <c r="M23" i="12"/>
  <c r="H23" i="12"/>
  <c r="G23" i="12"/>
  <c r="N22" i="12"/>
  <c r="M22" i="12"/>
  <c r="H22" i="12"/>
  <c r="G22" i="12"/>
  <c r="N21" i="12"/>
  <c r="M21" i="12"/>
  <c r="H21" i="12"/>
  <c r="G21" i="12"/>
  <c r="N20" i="12"/>
  <c r="M20" i="12"/>
  <c r="H20" i="12"/>
  <c r="G20" i="12"/>
  <c r="J7" i="12"/>
  <c r="K7" i="12"/>
  <c r="L7" i="12"/>
  <c r="M7" i="12"/>
  <c r="N7" i="12"/>
  <c r="J8" i="12"/>
  <c r="K8" i="12"/>
  <c r="L8" i="12"/>
  <c r="M8" i="12"/>
  <c r="N8" i="12"/>
  <c r="J9" i="12"/>
  <c r="K9" i="12"/>
  <c r="L9" i="12"/>
  <c r="M9" i="12"/>
  <c r="N9" i="12"/>
  <c r="K6" i="12"/>
  <c r="L6" i="12"/>
  <c r="M6" i="12"/>
  <c r="N6" i="12"/>
  <c r="J6" i="12"/>
  <c r="D7" i="12"/>
  <c r="E7" i="12"/>
  <c r="F7" i="12"/>
  <c r="G7" i="12"/>
  <c r="H7" i="12"/>
  <c r="D8" i="12"/>
  <c r="E8" i="12"/>
  <c r="F8" i="12"/>
  <c r="G8" i="12"/>
  <c r="H8" i="12"/>
  <c r="D9" i="12"/>
  <c r="E9" i="12"/>
  <c r="F9" i="12"/>
  <c r="G9" i="12"/>
  <c r="H9" i="12"/>
  <c r="E6" i="12"/>
  <c r="F6" i="12"/>
  <c r="G6" i="12"/>
  <c r="H6" i="12"/>
  <c r="D6" i="12"/>
  <c r="Q9" i="12"/>
  <c r="P9" i="12"/>
  <c r="Q8" i="12"/>
  <c r="P8" i="12"/>
  <c r="Q7" i="12"/>
  <c r="P7" i="12"/>
  <c r="Q6" i="12"/>
  <c r="P6" i="12"/>
  <c r="D20" i="11"/>
  <c r="E20" i="11"/>
  <c r="F20" i="11"/>
  <c r="H20" i="11"/>
  <c r="I20" i="11"/>
  <c r="J20" i="11"/>
  <c r="D21" i="11"/>
  <c r="E21" i="11"/>
  <c r="F21" i="11"/>
  <c r="H21" i="11"/>
  <c r="I21" i="11"/>
  <c r="J21" i="11"/>
  <c r="D22" i="11"/>
  <c r="E22" i="11"/>
  <c r="F22" i="11"/>
  <c r="H22" i="11"/>
  <c r="I22" i="11"/>
  <c r="J22" i="11"/>
  <c r="D23" i="11"/>
  <c r="E23" i="11"/>
  <c r="F23" i="11"/>
  <c r="H23" i="11"/>
  <c r="I23" i="11"/>
  <c r="J23" i="11"/>
  <c r="I30" i="11"/>
  <c r="I29" i="11"/>
  <c r="H29" i="11"/>
  <c r="I28" i="11"/>
  <c r="E30" i="11"/>
  <c r="E29" i="11"/>
  <c r="D29" i="11"/>
  <c r="E28" i="11"/>
  <c r="H30" i="11"/>
  <c r="H28" i="11"/>
  <c r="I27" i="11"/>
  <c r="H27" i="11"/>
  <c r="D30" i="11"/>
  <c r="D28" i="11"/>
  <c r="E27" i="11"/>
  <c r="D27" i="11"/>
  <c r="J30" i="11"/>
  <c r="F30" i="11"/>
  <c r="J29" i="11"/>
  <c r="F29" i="11"/>
  <c r="J28" i="11"/>
  <c r="F28" i="11"/>
  <c r="J27" i="11"/>
  <c r="F27" i="11"/>
  <c r="M9" i="11"/>
  <c r="M8" i="11"/>
  <c r="M7" i="11"/>
  <c r="M6" i="11"/>
  <c r="L9" i="11"/>
  <c r="L8" i="11"/>
  <c r="L7" i="11"/>
  <c r="L6" i="11"/>
  <c r="J9" i="11"/>
  <c r="J8" i="11"/>
  <c r="J7" i="11"/>
  <c r="J6" i="11"/>
  <c r="I9" i="11"/>
  <c r="H9" i="11"/>
  <c r="I8" i="11"/>
  <c r="H8" i="11"/>
  <c r="I7" i="11"/>
  <c r="H7" i="11"/>
  <c r="I6" i="11"/>
  <c r="H6" i="11"/>
  <c r="F9" i="11"/>
  <c r="F8" i="11"/>
  <c r="F7" i="11"/>
  <c r="F6" i="11"/>
  <c r="E9" i="11"/>
  <c r="D9" i="11"/>
  <c r="E8" i="11"/>
  <c r="D8" i="11"/>
  <c r="E7" i="11"/>
  <c r="D7" i="11"/>
  <c r="E6" i="11"/>
  <c r="D6" i="11"/>
</calcChain>
</file>

<file path=xl/sharedStrings.xml><?xml version="1.0" encoding="utf-8"?>
<sst xmlns="http://schemas.openxmlformats.org/spreadsheetml/2006/main" count="1850" uniqueCount="504">
  <si>
    <t>4N/5D PACKAGE</t>
  </si>
  <si>
    <t>6N/7D PACKAGE</t>
  </si>
  <si>
    <t>HONEYMOON</t>
  </si>
  <si>
    <t>1/2 Dbl</t>
  </si>
  <si>
    <t>Single</t>
  </si>
  <si>
    <t>Triple</t>
  </si>
  <si>
    <t>CHILD (02 - 11YRS)</t>
  </si>
  <si>
    <t>1/2 DBL - 4N</t>
  </si>
  <si>
    <t>1/2 DBL - 6N</t>
  </si>
  <si>
    <t>TRAVEL DATES</t>
  </si>
  <si>
    <t>ROOM</t>
  </si>
  <si>
    <t>Honeymoon freebies</t>
  </si>
  <si>
    <t>Rates are per person &amp; Nett and Non commissionable</t>
  </si>
  <si>
    <t>Rates quoted are on half board basis and inclusive of all taxes</t>
  </si>
  <si>
    <t>The hotel reserves the right to revise the rates in view of any eventual enforcement of new and/or increase of local taxes without prior notice</t>
  </si>
  <si>
    <t>Cancellation policy</t>
  </si>
  <si>
    <t>Room Capacity</t>
  </si>
  <si>
    <t>Rates</t>
  </si>
  <si>
    <t>Deluxe Room</t>
  </si>
  <si>
    <t>01NOV15-30NOV15</t>
  </si>
  <si>
    <t>01DEC15-20DEC15</t>
  </si>
  <si>
    <t xml:space="preserve"> PACKAGE RATES INCLUDES GROUND HANDLING CHARGES (USD)</t>
  </si>
  <si>
    <t>LOW SEASON</t>
  </si>
  <si>
    <t>HIGH SEASON</t>
  </si>
  <si>
    <t>CONTRACTED RATES OFFER</t>
  </si>
  <si>
    <t>1 T Shirt, 1 Pareo, 1 bottle of house wine, 1 Romantic Candle Light Beach Dinner &amp; a Sundowner cocktail daily at the Papaya Bar.</t>
  </si>
  <si>
    <t>For Honeymoon - Wedding certificate must not exceed 6 months from the date of issue at time of travel for guests travelling on Honeymoon.</t>
  </si>
  <si>
    <t>The Offer is applicable as from the 05th to 50th Wedding Anniversary for each 5 years where guests must spend their Wedding Anniversary date within their stay</t>
  </si>
  <si>
    <t xml:space="preserve">Wedding Anniversary </t>
  </si>
  <si>
    <t>Conditions:</t>
  </si>
  <si>
    <t>Minimum stay 4 nights. Offer must be specified on booking request. Copy of the wedding certificate shall be requested on check in.</t>
  </si>
  <si>
    <t>Deluxe Garden Ocean View</t>
  </si>
  <si>
    <t>Low Season</t>
  </si>
  <si>
    <t>High Season</t>
  </si>
  <si>
    <t>50% of whole stay within 7 days</t>
  </si>
  <si>
    <t>No Show – 100% of Hotel booked stay will be charged</t>
  </si>
  <si>
    <t>50% of whole stay within 14 days</t>
  </si>
  <si>
    <t>No Show &amp; early departure– 100% of Hotel booked stay will be charged</t>
  </si>
  <si>
    <t>Peak Season</t>
  </si>
  <si>
    <t>50% of whole stay within 60 days</t>
  </si>
  <si>
    <t>All nights of full operator contracted rate within 30 days of guest's arrival</t>
  </si>
  <si>
    <t>Deluxe Garden/ Premium Ocean View Room</t>
  </si>
  <si>
    <t>Deluxe Family Room, Nirvana Mountain and Garden, Nirvana Premium and Garden Ocean View, Family Suite, Deluxe/ Honeymoon Suite,  Family Depluxe Suite, Royal Suite available upon request.</t>
  </si>
  <si>
    <r>
      <t xml:space="preserve">3 adults </t>
    </r>
    <r>
      <rPr>
        <b/>
        <sz val="11"/>
        <rFont val="Calibri"/>
        <family val="2"/>
        <scheme val="minor"/>
      </rPr>
      <t xml:space="preserve">OR  </t>
    </r>
    <r>
      <rPr>
        <sz val="11"/>
        <rFont val="Calibri"/>
        <family val="2"/>
        <scheme val="minor"/>
      </rPr>
      <t>2 adults + 2 children + 1 infant</t>
    </r>
  </si>
  <si>
    <r>
      <t xml:space="preserve">3 adults </t>
    </r>
    <r>
      <rPr>
        <b/>
        <sz val="11"/>
        <rFont val="Calibri"/>
        <family val="2"/>
        <scheme val="minor"/>
      </rPr>
      <t xml:space="preserve">OR </t>
    </r>
    <r>
      <rPr>
        <sz val="11"/>
        <rFont val="Calibri"/>
        <family val="2"/>
        <scheme val="minor"/>
      </rPr>
      <t>2 adults + 2 children + 1 infant</t>
    </r>
  </si>
  <si>
    <t>COMFORT ROOM</t>
  </si>
  <si>
    <t>SUPERIOR ROOM</t>
  </si>
  <si>
    <t>N/A</t>
  </si>
  <si>
    <t>Not combinable with any offer.</t>
  </si>
  <si>
    <t>Minimum length of stay = 5 nights.</t>
  </si>
  <si>
    <t>A wedding certificate not older than 12 months must be shown at check-in.</t>
  </si>
  <si>
    <t>Applicable to same sex couples, provided that they present a legal document equivalent to a civil wedding in their country of origin (not older than 12 months).</t>
  </si>
  <si>
    <t>Free gifts in the room upon arrival: Seasonal fruits, T-shirt, flower display and Turn down in room once during stay.</t>
  </si>
  <si>
    <t>Special honeymoon dinner (excluding drinks) at Belle Vue restaurant with decorated table.</t>
  </si>
  <si>
    <t>Rates quoted are on bed and breakfast basis and inclusive of all taxes</t>
  </si>
  <si>
    <t>Peak</t>
  </si>
  <si>
    <t>Between D-30 and D-0</t>
  </si>
  <si>
    <t>Year round, Except Peak</t>
  </si>
  <si>
    <t>Less than 14 days</t>
  </si>
  <si>
    <t>Less than 7 days</t>
  </si>
  <si>
    <t>2 nights</t>
  </si>
  <si>
    <t>3 nights</t>
  </si>
  <si>
    <t>No show and less than 2 days</t>
  </si>
  <si>
    <t>Comfort Family, Privilege,Privilege Suite rates are available upon request</t>
  </si>
  <si>
    <t>Comfort Room</t>
  </si>
  <si>
    <t>Superior Room</t>
  </si>
  <si>
    <t>2 adults + 1 infant OR 1 adult + (1 kid or 1 teenager).</t>
  </si>
  <si>
    <t>2 adults + 2 children OR 1 teenager (or 3 adults if 3rd adult
less than 1m70)</t>
  </si>
  <si>
    <t>30 minutes Mini facial for Mrs on the following day of arrival.</t>
  </si>
  <si>
    <t>Applicable in SUPERIOR &amp; PRIVILEGE room categories only and on meal plan booked.</t>
  </si>
  <si>
    <t>Free gifts in the room: Tropical fruit platter, Canapes &amp; 2 glasses of red wine served in room at aperitif time on the first evening.</t>
  </si>
  <si>
    <t>One candlelight dinner (excluding drinks &amp; seafood) at Saint Geran.</t>
  </si>
  <si>
    <t>Rates quoted are on Half Board basis and inclusive of all taxes</t>
  </si>
  <si>
    <t>Privilege room rates are available upon request</t>
  </si>
  <si>
    <t xml:space="preserve">2 adults </t>
  </si>
  <si>
    <t xml:space="preserve">3 adults </t>
  </si>
  <si>
    <t>100% charged</t>
  </si>
  <si>
    <t>26DEC15-07JAN16</t>
  </si>
  <si>
    <t>100% charge</t>
  </si>
  <si>
    <t>Less than 2 days and No Show</t>
  </si>
  <si>
    <t>3 nights will be charged</t>
  </si>
  <si>
    <t>2 nights will be charged</t>
  </si>
  <si>
    <t>01NOV15-25DEC15 &amp; 08JAN16-31OCT16</t>
  </si>
  <si>
    <t>A wedding certificate not older than 8 months will be required at check-in</t>
  </si>
  <si>
    <t>Candle light dinner excluding drinks</t>
  </si>
  <si>
    <t>Sparkling wine</t>
  </si>
  <si>
    <t>Gift in room upon arrival</t>
  </si>
  <si>
    <t>Minimum stay 4 nights</t>
  </si>
  <si>
    <t>Family room rates available upon request</t>
  </si>
  <si>
    <t>STANDARD ROOM</t>
  </si>
  <si>
    <t>CHILD (04- 12YRS)</t>
  </si>
  <si>
    <t>Standard Room</t>
  </si>
  <si>
    <t>2 adults + 1 Child or 3 adults</t>
  </si>
  <si>
    <t>DELUXE ROOM</t>
  </si>
  <si>
    <t xml:space="preserve">DELUXE OCEAN VIEW </t>
  </si>
  <si>
    <t>Deluxe Ocean View Room</t>
  </si>
  <si>
    <t>Free gifts in the room upon arrival: Telfair wedding gift, Seasonal fruits, assortment of Mauritian cakes and a bottle of chilled french champagne</t>
  </si>
  <si>
    <t>A special turndown that includes flower petals on your bed</t>
  </si>
  <si>
    <t>Wake up to a decadent breakfast in bed one morning of our choice</t>
  </si>
  <si>
    <t>Deluxe Beach Front, Junior Suite, Junior Suite Sea View, Senior Suite, Senior Suite Sea view,ocean Suite rates are available upon request</t>
  </si>
  <si>
    <t>2 adults and ( 2 children &lt; 12 years old or 1 teenager) or 3
adults.</t>
  </si>
  <si>
    <t>Premium rates available upon request</t>
  </si>
  <si>
    <t>Honeymoon freebies (Low &amp; High Season only)</t>
  </si>
  <si>
    <t>1 fruit platter, 1 bottle of sparkling wine and flowers upon arrival</t>
  </si>
  <si>
    <t>One romantic dinner during stay</t>
  </si>
  <si>
    <t>one 30 minutes Duo massage</t>
  </si>
  <si>
    <t>Marriage certificate within a period not exceeding 9 months from their arrival to be shown upon check-in</t>
  </si>
  <si>
    <t>Peak Season (22 Dec’15 to 03 Jan’15)</t>
  </si>
  <si>
    <t>Cancellations or amendments made less than 1 month before arrival date or departure before intended date :Full Length of stay or reduced nights</t>
  </si>
  <si>
    <t>Cancellations made up to 1 month before arrival date : No Charge</t>
  </si>
  <si>
    <t>Rest of the Year</t>
  </si>
  <si>
    <t>Cancellation made 21 days or more before arrival date :No Charge</t>
  </si>
  <si>
    <t>Cancellation made between 21 and 10 days before arrival date or departure before intended date: 50% of Stay or cancelled nights charged</t>
  </si>
  <si>
    <t>Cancellation or amendments made 10 days or less before arrival date or departure before intended date :Full Length of stay or reduced nights</t>
  </si>
  <si>
    <t>CHILD (03- 11YRS)</t>
  </si>
  <si>
    <t>TEENAGER (12- 17YRS)</t>
  </si>
  <si>
    <t>Premium Room</t>
  </si>
  <si>
    <t>21DEC15-08JAN16</t>
  </si>
  <si>
    <t>09JAN16-31MAR16</t>
  </si>
  <si>
    <t>Ocean Grand Deluxe</t>
  </si>
  <si>
    <t>CHILD (03 - 11YRS)</t>
  </si>
  <si>
    <t>CONTRACTED SPECIAL OFFERS</t>
  </si>
  <si>
    <t>DISCOUNT OFFER</t>
  </si>
  <si>
    <t>BOOK 15 DAYS PRIOR TO ARRIVAL (40%)-minimum 4 nights stay</t>
  </si>
  <si>
    <t>BOOK 14 DAYS UP TO ARRIVAL (30%)-minimum 4 nights stay</t>
  </si>
  <si>
    <t>Deluxe Family Room, Club Room, Beachfront Deluxe Room, Junior Suite, Banyan Suite, Ocean Suite available upon request.</t>
  </si>
  <si>
    <t>Honeymoon freebies (minimum of 4 nights)</t>
  </si>
  <si>
    <t>2 adults OR 2 adults + 1 child</t>
  </si>
  <si>
    <t>2 adults OR 2 adults + 1 child + 1 Infant</t>
  </si>
  <si>
    <t>1 T Shirt, 1 Pareo, 1 bottle of house wine, 1 Romantic Candle Light Beach Dinner, 30 minutes massage at the Westin Heavenly SPA (limited to once per stay and to be booked &amp; availed of in the first 2 days of stay between 09h00 to 15h00</t>
  </si>
  <si>
    <t>For Honeymoon - Wedding certificate must not exceed 9 months from the date of issue at time of travel for guests travelling on Honeymoon.</t>
  </si>
  <si>
    <t>Not combinable with any other offer</t>
  </si>
  <si>
    <t>01DEC15-19DEC15</t>
  </si>
  <si>
    <t>20DEC15-04JAN16</t>
  </si>
  <si>
    <t>05JAN16-31MAR16</t>
  </si>
  <si>
    <t>Junior Suite</t>
  </si>
  <si>
    <t>Ocean Junior Suite</t>
  </si>
  <si>
    <t>TEEN (12 - 17YRS)</t>
  </si>
  <si>
    <t xml:space="preserve"> PACKAGE RATES ACCOMODATION ONLY (USD)*</t>
  </si>
  <si>
    <t>Beachfront Junior Suite, Beachfront St Regis Suite, Ocean View Manor House Suite, Beachfront St Regis Grand Suite, Ocean View Manor House Grand Suite available upon request.</t>
  </si>
  <si>
    <t>1 bottle of Champagne with a fruits basket, 1 Romantic Dinner (excl beverages), 30 minutes couple's massage once during the stay booked &amp; availed in the first 2 days oof stay between  between 09h00 to 15h00</t>
  </si>
  <si>
    <t>Wedding anniversary</t>
  </si>
  <si>
    <t>from 5th to 50th wedding anniversary for each  5 yrs where guest must spend their wedding anniversary date withing their stay</t>
  </si>
  <si>
    <t>3 adults or 2 adults + 1 teen or 2 adults and 2 children</t>
  </si>
  <si>
    <t>GROUND HANDLING ON PRIVATE BASIS</t>
  </si>
  <si>
    <t>LUXURY ROOM</t>
  </si>
  <si>
    <t>Family (Prestige ) Suite, Opera Suite, Imperial Suite available upon request.</t>
  </si>
  <si>
    <t>One Imperial breakfast served in room with a complimentary glass of sparkling wine per person</t>
  </si>
  <si>
    <t>1 bottle of Sparkling wine, Sofitel souvenir, Exotic fruit and chocolate</t>
  </si>
  <si>
    <t>One Romantic Candlelight dinnerHoneymoon amenities in room during stay</t>
  </si>
  <si>
    <t>Valid on contracted Meal Plan (Half Board)Offer is only combinable with Early Booking offer.</t>
  </si>
  <si>
    <t xml:space="preserve">Honeymoon offer: Valid within 12 months after the wedding date. </t>
  </si>
  <si>
    <t>Wedding certificate or livret de famille or PACS certificate will be required.</t>
  </si>
  <si>
    <t xml:space="preserve">Wedding annivesary offer: From 1st year, then every year. Offer is valid within the 3 months before or after the anniversary date. </t>
  </si>
  <si>
    <t>Offer must be clearly mentioned on Guests' vouchers.</t>
  </si>
  <si>
    <t>Luxury Room</t>
  </si>
  <si>
    <t>3 (2 adults + 1 child)</t>
  </si>
  <si>
    <t>Season</t>
  </si>
  <si>
    <t>Cancellation charges</t>
  </si>
  <si>
    <t>Low</t>
  </si>
  <si>
    <t>D-7</t>
  </si>
  <si>
    <t>50% fee on whole stay</t>
  </si>
  <si>
    <t>No show</t>
  </si>
  <si>
    <t>100% fee on whole stay</t>
  </si>
  <si>
    <t>Early departure</t>
  </si>
  <si>
    <t>100% fee on unused nights</t>
  </si>
  <si>
    <t>Medium</t>
  </si>
  <si>
    <t>D-14</t>
  </si>
  <si>
    <t>High</t>
  </si>
  <si>
    <t>D-30</t>
  </si>
  <si>
    <t>(09MAY16-30SEP16)</t>
  </si>
  <si>
    <t>(03JAN16-08MAY16)</t>
  </si>
  <si>
    <t>(01NOV15-19DEC15)</t>
  </si>
  <si>
    <t>(20DEC15-02JAN16)</t>
  </si>
  <si>
    <t>TEEN (12-17.9YRS)</t>
  </si>
  <si>
    <t>FOC</t>
  </si>
  <si>
    <t>From Bed &amp;
Breakfast to All
Inclusive "All-Add-
In" (Optional)</t>
  </si>
  <si>
    <t>From Bed &amp;
Breakfast to
Half Board
(Optional)</t>
  </si>
  <si>
    <t>Cost per Day</t>
  </si>
  <si>
    <t>Per adult</t>
  </si>
  <si>
    <t xml:space="preserve">Per teen (from 12 and under 18 years) </t>
  </si>
  <si>
    <t xml:space="preserve">Per child (from 2 and under 12 years) </t>
  </si>
  <si>
    <t xml:space="preserve">Per infant (under 2 years) </t>
  </si>
  <si>
    <t xml:space="preserve"> "All-Add-
In" Supplement</t>
  </si>
  <si>
    <t xml:space="preserve">Per child (from 4 and under 12 years) </t>
  </si>
  <si>
    <t>Full Board
(Optional)</t>
  </si>
  <si>
    <t xml:space="preserve"> All
Inclusive "All-Add-
In" (Optional)</t>
  </si>
  <si>
    <t xml:space="preserve">Per infant (under 4 years) </t>
  </si>
  <si>
    <t xml:space="preserve">Per child (from 4 and under 11 years) </t>
  </si>
  <si>
    <t xml:space="preserve">Per child (from 3 and under 11 years) </t>
  </si>
  <si>
    <t xml:space="preserve">Per infant (under 3 years) </t>
  </si>
  <si>
    <t>Supplement</t>
  </si>
  <si>
    <t>UPON REQUEST DEPENDING ON NUMBER OF PAX PER FILE</t>
  </si>
  <si>
    <t>PRIVILEGE ROOM</t>
  </si>
  <si>
    <t>Superior room rates are available upon request</t>
  </si>
  <si>
    <t>1 fruit basket in room upon arrival</t>
  </si>
  <si>
    <t>2 T shirts</t>
  </si>
  <si>
    <t>One bottle of sparkling wine in room upon arrival</t>
  </si>
  <si>
    <t>1/2 hour steam bath at the SPA for the couple</t>
  </si>
  <si>
    <t>Conditions</t>
  </si>
  <si>
    <t>Not applicable during peak season</t>
  </si>
  <si>
    <t>Applicable for stays in Superior, Privilege and Deluxe Roms only</t>
  </si>
  <si>
    <t>Not combinabe with any other special offers</t>
  </si>
  <si>
    <t>Minimum 5 nights stay</t>
  </si>
  <si>
    <t>A marriage certificate not older than 6 months will be asked upon check-in</t>
  </si>
  <si>
    <t>Privilege Room</t>
  </si>
  <si>
    <t>2 adults or 2 adults + 1 child (&lt;12yrs old) or 3 adults</t>
  </si>
  <si>
    <t xml:space="preserve">30-21 days prior to arrival </t>
  </si>
  <si>
    <t>20-08 days prior to arrival</t>
  </si>
  <si>
    <t xml:space="preserve">07-03 days prior to arrival </t>
  </si>
  <si>
    <t xml:space="preserve">Less than 3 days prior to arrival </t>
  </si>
  <si>
    <t xml:space="preserve">No-Show </t>
  </si>
  <si>
    <t>2 adults + 1 child</t>
  </si>
  <si>
    <t>Honeymoon freebees</t>
  </si>
  <si>
    <t>Free lunch upon arrival</t>
  </si>
  <si>
    <t>Fruit basket</t>
  </si>
  <si>
    <t>1 bottle of sparkling wine</t>
  </si>
  <si>
    <t>Upgrade to Superior Room subject to availability</t>
  </si>
  <si>
    <t>Tea and Coffee in room</t>
  </si>
  <si>
    <t>2 bottles of water per day (0.5L)</t>
  </si>
  <si>
    <t>Flowers</t>
  </si>
  <si>
    <t>Pareo</t>
  </si>
  <si>
    <t>3 adults or 2 adults and 1 child</t>
  </si>
  <si>
    <t>2 adults</t>
  </si>
  <si>
    <t>1 week prior to arrival</t>
  </si>
  <si>
    <t>2 days prior to arrival</t>
  </si>
  <si>
    <t>01DEC15-21DEC15</t>
  </si>
  <si>
    <t>22DEC15-04JAN16</t>
  </si>
  <si>
    <t>DELUXE OCEAN FACING</t>
  </si>
  <si>
    <t>CHILD (02 - 16YRS)</t>
  </si>
  <si>
    <t>Romantic Three Course Dinner on the beach</t>
  </si>
  <si>
    <t>Spa massage treatment (1x30 minute massage per person per stay)</t>
  </si>
  <si>
    <t>1 xbottle of sparkling wine</t>
  </si>
  <si>
    <t xml:space="preserve">Fruits in the room </t>
  </si>
  <si>
    <t xml:space="preserve">Wedding certificate </t>
  </si>
  <si>
    <t>No cancellation fee up to 5 days prior to arrival. Less than 5 days; there will be 1 night charge</t>
  </si>
  <si>
    <t>No cancellation fee up to 14 days prior to arrival. Less than 14 days; there will be 2 nights charge</t>
  </si>
  <si>
    <t>No penalty will be incurred if cancellation is received by the hotel up to 30 days prior to arrival date.</t>
  </si>
  <si>
    <t>Full length stay will be charged for cancellation received within 30 days prior to arrival.</t>
  </si>
  <si>
    <t>01NOV15-30NOV15                  05JAN16-31MAR16</t>
  </si>
  <si>
    <t>NO SHOW</t>
  </si>
  <si>
    <t>Full cancellation stay will be charged</t>
  </si>
  <si>
    <t>2 adults + 1child 16 or under OR 1 adult + 2 children 16 or under</t>
  </si>
  <si>
    <t>Deluxe Jacuzzi Ocean Room</t>
  </si>
  <si>
    <t>Maximum 2 adults</t>
  </si>
  <si>
    <t>CHILD (05- 11YRS)</t>
  </si>
  <si>
    <t>CHILD (05 - 11YRS)</t>
  </si>
  <si>
    <t>Fruit platter in room, sparkling wine, floral decoration in room and one candle light dinner on the beach during stay</t>
  </si>
  <si>
    <t>Compulsory minimum stay of 4 nights</t>
  </si>
  <si>
    <t>Wedding certificate not older than 6 months (to be presented upon check-in at the hotel)</t>
  </si>
  <si>
    <t>2 adults or 2 adults + 1 teen/ child</t>
  </si>
  <si>
    <t>2 pax</t>
  </si>
  <si>
    <t>Between D-21 and D-15</t>
  </si>
  <si>
    <t>25% of booking cost</t>
  </si>
  <si>
    <t>Between D-14 and D-8</t>
  </si>
  <si>
    <t>50% of booking cost</t>
  </si>
  <si>
    <t>Between D-7 and D-1</t>
  </si>
  <si>
    <t>75% of booking cost</t>
  </si>
  <si>
    <t>100% of booking cost</t>
  </si>
  <si>
    <t>Cancellation policy- All year round</t>
  </si>
  <si>
    <t>Applicable to all room types</t>
  </si>
  <si>
    <t>Deluxe room, Bungalow rates available upon request</t>
  </si>
  <si>
    <t>01OCT15-31OCT15</t>
  </si>
  <si>
    <t>06JAN16-31MAR16</t>
  </si>
  <si>
    <t>JUNIOR SUITE</t>
  </si>
  <si>
    <t>JUNIOR SUITE BEACH FRONT</t>
  </si>
  <si>
    <t>01AUG15-02OCT</t>
  </si>
  <si>
    <t>03OCT-18DEC15</t>
  </si>
  <si>
    <t>19DEC15-05JAN16</t>
  </si>
  <si>
    <t>Rates quoted are on Bed &amp; Breakfast basis and inclusive of all taxes</t>
  </si>
  <si>
    <t>Ocean Suite, Family 2-Room Ocean Suite, The Villa available upon request.</t>
  </si>
  <si>
    <t>CHILD (03 - 12YRS)</t>
  </si>
  <si>
    <t>A personalized welcome card from the General Manager</t>
  </si>
  <si>
    <t>A Le Saint Géran cap and beach bag as a welcome gift</t>
  </si>
  <si>
    <t>A bottle of champagne on arrival in the Suite</t>
  </si>
  <si>
    <t>Fruit basket provided daily in the Suite</t>
  </si>
  <si>
    <t>Heart shape chocolates</t>
  </si>
  <si>
    <t>A special honeymoon bath ceremony</t>
  </si>
  <si>
    <t>A complimentary romantic 3-course dinner menu prepared by our chef for the honeymoon couple to enjoy in the Indian Pavilion restaurant (excluding beverages)</t>
  </si>
  <si>
    <t>All year-round except from 17 to 31 October 2015 inclusive and Festive period (19 December 2015 to 05 January 2016 inclusive)</t>
  </si>
  <si>
    <t>Honeymoon freebies (minimum of 5 nights)</t>
  </si>
  <si>
    <t>For the months of May, June &amp; September 2015, in addition to the above honeymoon discount on the room rates and honeymoon amenities, upgrade to Junior Suite Beach Front (when booking a Junior Suite) or to Ocean Suite (when booking a Junior Suite Beach Front) will apply, subject to availability at the time of booking.</t>
  </si>
  <si>
    <t>For the Honeymoon Offer, this is applicable provided dates of travel fall within 9 months of the wedding date (wedding certificate must be shown at check-in in order for the offer to apply).</t>
  </si>
  <si>
    <t>For the Wedding Anniversary Offer, this is applicable to bookings for the 1st and 5th wedding anniversaries and subsequent wedding anniversaries at each 5 years interval, i.e. 10, 15, 20 years… (wedding certificate must be shown at check-in in order for the offer to apply). Dates of travel must fall within 3 months before or after the wedding anniversary date in order to qualify for this offer.</t>
  </si>
  <si>
    <t>Half Board Offer</t>
  </si>
  <si>
    <t> Complimentary Half Board valid for all occupants in the Suite or Villa.
 Valid for Junior Suite, Junior Suite Beach Front, Ocean Suite, Family 2-Room Ocean Suite and the Villa.
 Combinable with the Discount/Free Night, Honeymoon and Children offers.
 Half Board is available in La Terrasse restaurant only, excluding beverages.
 Should guests booked on the Half Board offer wish to dine at the specialty restaurants, Prime or the Indian Pavilion, a EUR 20 credit will be applied per adult per dinner and EUR 10 per child per dinner. There will be no refund given if this credit is not used.</t>
  </si>
  <si>
    <t>All year-round except Festive period (19 December 2015 to 05 January 2016 inclusive) , 06JAN16-31MAR16 and excluding the Hotel Anniversary on 20 October 2015</t>
  </si>
  <si>
    <t>2 adults and 2 children up to 12 years old* OR 2 adults and 1 child up to 12 years old + 1 baby cot  OR 3 adults</t>
  </si>
  <si>
    <t>Junior Suite Beach Front</t>
  </si>
  <si>
    <t>13 - 7 days before arrival: 50% of booked room nights will be charged.
6 - 0 days before arrival and/or No Show: 100% of booked room nights will be charged.</t>
  </si>
  <si>
    <t>Festive dates 19 December 2015 to 05 January 2016.                                                                                                                                                                      After 01 October 2015: 50% of booked room nights will be charged.
Within 35 days of guests’ arrival: 100% of booked room nights will be charged.</t>
  </si>
  <si>
    <t>30 - 14 days before arrival: 50% of booked room nights will be charged.
13 - 0 days before arrival and/or No Show: 100% of booked room nights will be charged.</t>
  </si>
  <si>
    <t>SUPERIOR GARDEN ROOM</t>
  </si>
  <si>
    <t>DELUXE GARDEN ROOM</t>
  </si>
  <si>
    <t>DELUXE OCEAN ROOM</t>
  </si>
  <si>
    <t>Superior Room rates available upon request</t>
  </si>
  <si>
    <t>MANISA 2*</t>
  </si>
  <si>
    <t>VERANDA GRAND BAY 3*</t>
  </si>
  <si>
    <t>VERANDA PAUL &amp; VIRGINE 3*</t>
  </si>
  <si>
    <t>CASUARINA 3*</t>
  </si>
  <si>
    <t>VILLAS CAROLINE 3*</t>
  </si>
  <si>
    <t>LE PALMISTE 3*</t>
  </si>
  <si>
    <t>ANELIA 4*</t>
  </si>
  <si>
    <t>MERIDIEN 4*</t>
  </si>
  <si>
    <t>RADISSON BLU POSTE LA FAYETTE 4*</t>
  </si>
  <si>
    <t>INTERCONTINENTAL 5*</t>
  </si>
  <si>
    <t>VERANDA LE TELFAIR 5*</t>
  </si>
  <si>
    <t>RADISSON BLU AZURI RESORT 5*</t>
  </si>
  <si>
    <t>WESTIN 5*</t>
  </si>
  <si>
    <t>ST REGIS 5*</t>
  </si>
  <si>
    <t>SOFITEL 5*</t>
  </si>
  <si>
    <t>ONE&amp;ONLY SAINT GERAN 5*</t>
  </si>
  <si>
    <t>SO SOFITEL 5*</t>
  </si>
  <si>
    <t>LUSHURY ROOM</t>
  </si>
  <si>
    <t>TEEN (12-17YRS)</t>
  </si>
  <si>
    <t>Prestige room, Suite, Presidential Suite, Maritim Villa available upon request.</t>
  </si>
  <si>
    <t>1ST CHILD (02 - 11YRS)</t>
  </si>
  <si>
    <t>MARITIM RESORT &amp; SPA 5*</t>
  </si>
  <si>
    <t>Free Gifts in the room upon arrival: 01 bottle sparkling wine upon arrival + 01 Gift from management</t>
  </si>
  <si>
    <t>01 Romantic Candlelight dinner during the stay, special set menu diner at Chateau Mon Desir Fine dinning &amp; Gourmet- Restaurant or equivalent (excluding drinks)</t>
  </si>
  <si>
    <t>Free upgrade to next higher room category (subject to availability at the time of check-in)</t>
  </si>
  <si>
    <t>Applicable for same sex couple</t>
  </si>
  <si>
    <t>Valid for stays in all room categories except the Maritim Villas</t>
  </si>
  <si>
    <t>A wedding certificate not older than 06 months must be shown at check-in</t>
  </si>
  <si>
    <t>GH</t>
  </si>
  <si>
    <t>2 adults OR 1 adult &amp; 1 child / teen</t>
  </si>
  <si>
    <t>2 adults &amp; 1 chd (below 12yrs) OR 2 adults &amp; 1 teen OR 3 adults</t>
  </si>
  <si>
    <t>01NOV15-30NOV15   05JAN16-31MAR16  01DEC15-19DEC15</t>
  </si>
  <si>
    <t>Between D-45 and D-0</t>
  </si>
  <si>
    <t>No Show and less than 2 days</t>
  </si>
  <si>
    <t>EARLY BOOKING BONUS - BOOK 30 DAYS PRIOR TO ARRIVAL</t>
  </si>
  <si>
    <t>MARITIM CRYSTAL BEACH HOTEL MAURITIUS 4*</t>
  </si>
  <si>
    <t>Free gifts in the room upon arrival: 01 bottle of sparkling wine on arrival + 01
Gift from Management</t>
  </si>
  <si>
    <t>01 Romantic Candlelight dinner during the stay (special set menu dinner
excluding drinks).</t>
  </si>
  <si>
    <t xml:space="preserve">
A wedding certificate not older than 06 months must be shown at check-in.</t>
  </si>
  <si>
    <t>Applicable for same sex couples.</t>
  </si>
  <si>
    <t>Valid for stays in all room categories excluding Deluxe Family</t>
  </si>
  <si>
    <t>2 adults &amp; 2 chd (below 12yrs) OR 2 adults &amp; 2 teens OR 3 adults</t>
  </si>
  <si>
    <t>Deluxe Family available upon request.</t>
  </si>
  <si>
    <t>OCEAN GRAND DELUXE</t>
  </si>
  <si>
    <t>BOOK BY THE 15TH DECEMBER 2015</t>
  </si>
  <si>
    <t>01 APR 2016 - 31 OCT 2016 (LAST DEPARTURE)</t>
  </si>
  <si>
    <t>01APR16-30APR16</t>
  </si>
  <si>
    <t>01MAY16-31MAY16</t>
  </si>
  <si>
    <t>01JUN16-10JUL16</t>
  </si>
  <si>
    <t>11JUL16-30SEP16</t>
  </si>
  <si>
    <t>01OCT16-31OCT16</t>
  </si>
  <si>
    <t>HONEYMOON SPECIALS</t>
  </si>
  <si>
    <t>hn s</t>
  </si>
  <si>
    <t>low n slow</t>
  </si>
  <si>
    <t>01MAY16-30SEP16</t>
  </si>
  <si>
    <t>01APR16-31APR16 01OCT16-31OCT16</t>
  </si>
  <si>
    <t>01APR16-06APR16  01OCT16-31OCT16</t>
  </si>
  <si>
    <t>07APR16-30SEP16</t>
  </si>
  <si>
    <t>01APR16-03APR16 01OCT16-31OCT16</t>
  </si>
  <si>
    <t>04APR16-30SEP16</t>
  </si>
  <si>
    <t>01APR16-30APR16 01OCT16-31OCT16</t>
  </si>
  <si>
    <t>01JUL16-30SEP16</t>
  </si>
  <si>
    <t xml:space="preserve">01APR16-30APR16 </t>
  </si>
  <si>
    <t>DISCOUNT OFFER - BOOK 15 DAYS PRIOR TO ARRIVAL</t>
  </si>
  <si>
    <t>SUPER EARLY BIRD OFFER - BOOK BEFORE 30TH NOVEMBER</t>
  </si>
  <si>
    <t>DISCOUNT OFFER - BOOK LESS THAN 15 DAYS PRIOR TO ARRIVAL</t>
  </si>
  <si>
    <t xml:space="preserve">SUPER EARLY BIRD OFFER - BOOK BEFORE 30TH APR </t>
  </si>
  <si>
    <t xml:space="preserve">SUPER EARLY BIRD OFFER - BOOK BEFORE 28TH FEB </t>
  </si>
  <si>
    <t>01APR16-10APR16 01OCT16-31OCT16</t>
  </si>
  <si>
    <t>11APR16-30SEP16</t>
  </si>
  <si>
    <t>HIGH SEASON EBO (BOOK 45 DAYS PRIOR TO ARRIVAL)</t>
  </si>
  <si>
    <t>LOW SEASON EBO (BOOK 30 DAYS PRIOR TO ARRIVAL)</t>
  </si>
  <si>
    <t>01APR16-01APR16 01OCT16-31OCT16</t>
  </si>
  <si>
    <t>02APR16-30SEP16</t>
  </si>
  <si>
    <t>01APR16-05APR16 01OCT16-31OCT16</t>
  </si>
  <si>
    <t>06APR16-30SEP16</t>
  </si>
  <si>
    <t>DELUXE JACUZZI 0CEAN ROOM</t>
  </si>
  <si>
    <t>01MAY16-31MAY16 11JUL16-30SEP16</t>
  </si>
  <si>
    <t>HIGH SEASON FREE EBO  (BOOK 45 DAYS PRIOR TO ARRIVAL)</t>
  </si>
  <si>
    <t xml:space="preserve"> 01APR16-30APR16 01OCT16-31OCT16</t>
  </si>
  <si>
    <t>01APR16-08MAY16</t>
  </si>
  <si>
    <t>09MAY16-30SEP16</t>
  </si>
  <si>
    <t>EARLY BOOKING OFFER- BOOKING MADE 60 DAYS BEFORE ARRIVAL</t>
  </si>
  <si>
    <t>10APR16-07MAY16 01OCT16-15OCT16</t>
  </si>
  <si>
    <t>08MAY16-30SEP16</t>
  </si>
  <si>
    <t>17OCT16-23OCT16</t>
  </si>
  <si>
    <t>01APR16-09APR16 16OCT16-16OCT16 24OCT16-31OCT16</t>
  </si>
  <si>
    <t>BEACH SUITE</t>
  </si>
  <si>
    <t>EARLY BOOKING OFFER- BOOKING MADE 45 DAYS BEFORE ARRIVAL</t>
  </si>
  <si>
    <t>Beach Suite Family and Beach Villas available upon request.</t>
  </si>
  <si>
    <t xml:space="preserve">One Romantic dinner on the beach, bottle of champagne with sabrage rutal, </t>
  </si>
  <si>
    <t>SO gift designed by KENZO TAKADA</t>
  </si>
  <si>
    <t>Vip welcome</t>
  </si>
  <si>
    <t>Couple duo massage (1 hour)</t>
  </si>
  <si>
    <t>Valid on meal plan booked.</t>
  </si>
  <si>
    <t xml:space="preserve">Minimum stay of 5 nights (both offers: Honeymoon and Wedding anniversary)Honeymoon offer: </t>
  </si>
  <si>
    <t>Maximum 12 months after wedding date - Wedding certificate or livret de famille or PACS certificate will be required.</t>
  </si>
  <si>
    <t>Wedding annivesary: Maximum 3 months before or after the wedding date anniversary -</t>
  </si>
  <si>
    <t xml:space="preserve"> Wedding certificate or livret de famille or PACS certificate will be required.</t>
  </si>
  <si>
    <t>3 (2 Adults + 1 Child)</t>
  </si>
  <si>
    <t>Lushury room</t>
  </si>
  <si>
    <t>Beach Suite</t>
  </si>
  <si>
    <t>vc</t>
  </si>
  <si>
    <t>01APR16-31APR16</t>
  </si>
  <si>
    <t>01MAY16-20SEP16</t>
  </si>
  <si>
    <t>01APR16-31OCT16</t>
  </si>
  <si>
    <t>01 APR 2016 - 20 SEP 2016 (LAST DEPARTURE)</t>
  </si>
  <si>
    <t xml:space="preserve"> PACKAGE RATES EXCLUDES GROUND HANDLING CHARGES (USD)</t>
  </si>
  <si>
    <t>CHD (02 - 11YS)</t>
  </si>
  <si>
    <t>TEEN (12 - 17YS)</t>
  </si>
  <si>
    <t>CHD (00 - 11.99YS)</t>
  </si>
  <si>
    <t>Standard Garden View</t>
  </si>
  <si>
    <t>Standard Ocean View</t>
  </si>
  <si>
    <t>Royal Suite available upon request.</t>
  </si>
  <si>
    <t>01 bottle of sparkling wine + 01 Gift from Management</t>
  </si>
  <si>
    <t>01 Romantic Candlelight dinner during the stay i.e. special set menu dinner (excluding drinks unless booking on All Inclusive).</t>
  </si>
  <si>
    <t>Free upgrade to next higher room category (subject to availability at time of check in)</t>
  </si>
  <si>
    <t>A wedding certificate not older than 12 months must be shown during booking process and at check-in.</t>
  </si>
  <si>
    <t>2 Adults &amp; 2 chd (below 12yrs) OR 2 adults &amp; 1 teen OR 3 adults</t>
  </si>
  <si>
    <t>High &amp; Shoulder</t>
  </si>
  <si>
    <t>14 days or less</t>
  </si>
  <si>
    <t>7 days or less or No Show</t>
  </si>
  <si>
    <t>7 days or less</t>
  </si>
  <si>
    <t>24 hours or less or No Show</t>
  </si>
  <si>
    <t>Christmas Gala
Dinner Supplement
(Compulsory)
24 Dec 2015</t>
  </si>
  <si>
    <t>New Year Eve Gala
Dinner Supplement
(Compulsory)
31 Dec 2015</t>
  </si>
  <si>
    <t xml:space="preserve">Per child (from 2 and under 18 years) </t>
  </si>
  <si>
    <t>05JAN16-27APR15 01OCT16-31OCT16</t>
  </si>
  <si>
    <t>28APR16-30SEP16</t>
  </si>
  <si>
    <t>EARLY BOOKING BONUS OFFER- BOOK AT 21 DAYS PRIOR TO ARRIVAL</t>
  </si>
  <si>
    <t>EARLY BOOKING BONUS OFFER- BOOK AT 60 DAYS PRIOR TO ARRIVAL</t>
  </si>
  <si>
    <t>4th Jan 2016 - 30th Apr 2016</t>
  </si>
  <si>
    <t>High Season Super Early Bird Offer</t>
  </si>
  <si>
    <t>High season discount offer</t>
  </si>
  <si>
    <t>1st May 2016 - 30th June 2016</t>
  </si>
  <si>
    <t>Low Season Super Early Bird Offer</t>
  </si>
  <si>
    <t>Low season discount offer</t>
  </si>
  <si>
    <t>No show &amp; Early Dep: 100%</t>
  </si>
  <si>
    <t>D – 10: 50%   No show &amp; Early Dep: 100%</t>
  </si>
  <si>
    <t>1st July 2016 - 30th Sep 2016</t>
  </si>
  <si>
    <t>1st Oct 2016 - 31st Oct 2016</t>
  </si>
  <si>
    <t>01st Dec 2015-20th Dec 2016</t>
  </si>
  <si>
    <t>D-14: 50%</t>
  </si>
  <si>
    <t>No Show &amp; Early Departure: 100%</t>
  </si>
  <si>
    <t>D-7: 50%</t>
  </si>
  <si>
    <t>20th Dec 2015-04th Jan2016</t>
  </si>
  <si>
    <t>D-60:50%</t>
  </si>
  <si>
    <t>D-30, No show &amp; Early departure: 100%</t>
  </si>
  <si>
    <t>Low Season Discount Offer</t>
  </si>
  <si>
    <t>EBO 15 Days</t>
  </si>
  <si>
    <t>Book Less than 15 Days prior</t>
  </si>
  <si>
    <t xml:space="preserve">Peak Season </t>
  </si>
  <si>
    <t xml:space="preserve">Book by 31st December for Feb-April 2016 </t>
  </si>
  <si>
    <t xml:space="preserve">EBO 15 DAYS </t>
  </si>
  <si>
    <t>D-14: 50% No show &amp; Early Dep: 100%</t>
  </si>
  <si>
    <t xml:space="preserve">Book by 28th Feb </t>
  </si>
  <si>
    <t>50% cancellation charges apply if cancellations are effected 60 days or less prior to arrival. No show &amp; Early Dep: 100%</t>
  </si>
  <si>
    <t xml:space="preserve">Book by 30th April </t>
  </si>
  <si>
    <t>EBO 15 DAYS</t>
  </si>
  <si>
    <t>D – 10: 50%, No show &amp; Early Dep: 100%</t>
  </si>
  <si>
    <t>D – 14: 50%, No show &amp; Early Dep: 100%</t>
  </si>
  <si>
    <t xml:space="preserve">50% cancellation charges apply if cancellations are effected 45 days or less prior to arrival.                                                                     </t>
  </si>
  <si>
    <t>MONT CHOISY CORAL AZUR BEACH RESORT 3*</t>
  </si>
  <si>
    <t>STANDARD SEA VIEW ROOM</t>
  </si>
  <si>
    <t>Special Fruit platter, bunch of floweres, 1 bottle mineral water, Sparkling wine, Paroe, Tshirt as gift upon arrival</t>
  </si>
  <si>
    <t>A wedding certificate not older than 9 months will be required at check-in</t>
  </si>
  <si>
    <t>2 adults + 2 Children &lt;12 yrs or 3 adults</t>
  </si>
  <si>
    <t>Standard Sea View Room</t>
  </si>
  <si>
    <t>Year round except peak</t>
  </si>
  <si>
    <t>Cancelled 15 days prior to arrival- No cancellation</t>
  </si>
  <si>
    <t>Cancelled within 14 days of arrival- 100 % cancellation fee</t>
  </si>
  <si>
    <t>23Dec15 to 10Jan16</t>
  </si>
  <si>
    <t>Cancelled anytime afer cancellation- 100% cancellation fee</t>
  </si>
  <si>
    <t>Year Round</t>
  </si>
  <si>
    <t>No show: 100%</t>
  </si>
  <si>
    <t>01 APR 16 - 31 OCT 2016 (LAST DEPARTURE)</t>
  </si>
  <si>
    <t>01MAY16-30JUN16</t>
  </si>
  <si>
    <t>01JUL16-31AUG16</t>
  </si>
  <si>
    <t>01SEP16-30SEP16</t>
  </si>
  <si>
    <t>OUTRIGGER MAURITIUS BEACH RESORT 5*</t>
  </si>
  <si>
    <t>DELUXE SEA VIEW ROOM</t>
  </si>
  <si>
    <t>DELUXE BEACH FRONT ROOM</t>
  </si>
  <si>
    <t>01APR16-07APR16</t>
  </si>
  <si>
    <t>08APR16-30SEP16</t>
  </si>
  <si>
    <t>Deluxe Family Seaview, Beachfront Junior Suite and Beachfront Senior Suite rates available upon request</t>
  </si>
  <si>
    <t xml:space="preserve">Honeymoon freebies </t>
  </si>
  <si>
    <t>A bottle of sparkling wine in room</t>
  </si>
  <si>
    <t>Special fruit amenities upon arrival</t>
  </si>
  <si>
    <t>A special honeymoon turndown once during the stay</t>
  </si>
  <si>
    <t>Special honeymoon dinner on the beach</t>
  </si>
  <si>
    <t>A 30 mins couple massage at the Navasana SPA</t>
  </si>
  <si>
    <t xml:space="preserve">Valid all year round except peak </t>
  </si>
  <si>
    <t>Minimum stay 5 nights</t>
  </si>
  <si>
    <t>Wedding/ Civil partnership certificate must be presented and must not exceed 24 months of date of issue</t>
  </si>
  <si>
    <t>Vouchers must specify "Honeymoon offer"</t>
  </si>
  <si>
    <t>For free massage; please must note that this service is granted once during the stay and only between 10h00 to 15h00 at Navasana SPA</t>
  </si>
  <si>
    <t>Deluxe Sea View Room</t>
  </si>
  <si>
    <t xml:space="preserve">2 adults + 1 child/ teen (4-17yrs) +1 baby (0-3yrs) or 3 adults </t>
  </si>
  <si>
    <t>Deluxe Beachfront</t>
  </si>
  <si>
    <t>15 – 08 days prior to arrival</t>
  </si>
  <si>
    <t>50% fee on the whole stay</t>
  </si>
  <si>
    <t>7-0 Days prior Arrival</t>
  </si>
  <si>
    <t>100% fee on the whole stay</t>
  </si>
  <si>
    <t>No Show &amp; Shortened stays</t>
  </si>
  <si>
    <t>From Half Board to Full Board</t>
  </si>
  <si>
    <t xml:space="preserve">Per teen (from 12 and under 17 years) </t>
  </si>
  <si>
    <t xml:space="preserve">Per child (under 4- 11 years) </t>
  </si>
  <si>
    <t>From Half Board to All Inclusive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</si>
</sst>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USD]\ #,##0"/>
  </numFmts>
  <fonts count="14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name val="Times New Roman"/>
      <family val="1"/>
      <charset val="204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0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15"/>
      </top>
      <bottom style="double">
        <color indexed="15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0" fillId="0" borderId="0" applyNumberFormat="0" applyFill="0" applyBorder="0" applyProtection="0">
      <alignment vertical="top" wrapText="1"/>
    </xf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10" fillId="0" borderId="0" applyFont="0" applyFill="0" applyBorder="0" applyAlignment="0" applyProtection="0"/>
    <xf numFmtId="0" fontId="12" fillId="0" borderId="64" applyNumberFormat="0" applyFill="0" applyAlignment="0" applyProtection="0"/>
  </cellStyleXfs>
  <cellXfs count="610">
    <xf numFmtId="0" fontId="0" fillId="0" borderId="0" xfId="0"/>
    <xf numFmtId="0" fontId="2" fillId="4" borderId="7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38" xfId="0" applyBorder="1"/>
    <xf numFmtId="0" fontId="0" fillId="0" borderId="0" xfId="0" applyBorder="1"/>
    <xf numFmtId="0" fontId="3" fillId="4" borderId="40" xfId="0" applyFont="1" applyFill="1" applyBorder="1" applyAlignment="1">
      <alignment vertical="center" wrapText="1"/>
    </xf>
    <xf numFmtId="0" fontId="3" fillId="4" borderId="41" xfId="0" applyFont="1" applyFill="1" applyBorder="1" applyAlignment="1">
      <alignment vertical="center" wrapText="1"/>
    </xf>
    <xf numFmtId="0" fontId="3" fillId="4" borderId="42" xfId="0" applyFont="1" applyFill="1" applyBorder="1" applyAlignment="1">
      <alignment horizontal="center" vertical="center" wrapText="1"/>
    </xf>
    <xf numFmtId="0" fontId="3" fillId="4" borderId="3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3" fillId="0" borderId="6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 wrapText="1"/>
    </xf>
    <xf numFmtId="0" fontId="3" fillId="4" borderId="45" xfId="0" applyFont="1" applyFill="1" applyBorder="1" applyAlignment="1">
      <alignment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3" borderId="47" xfId="0" applyFont="1" applyFill="1" applyBorder="1" applyAlignment="1">
      <alignment horizontal="center" vertical="center" wrapText="1"/>
    </xf>
    <xf numFmtId="0" fontId="2" fillId="3" borderId="48" xfId="0" applyFont="1" applyFill="1" applyBorder="1" applyAlignment="1">
      <alignment horizontal="center" vertical="center" wrapText="1"/>
    </xf>
    <xf numFmtId="0" fontId="2" fillId="3" borderId="49" xfId="0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3" fillId="4" borderId="45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1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 wrapText="1"/>
    </xf>
    <xf numFmtId="0" fontId="4" fillId="0" borderId="0" xfId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0" borderId="38" xfId="1" applyBorder="1" applyAlignment="1"/>
    <xf numFmtId="0" fontId="5" fillId="0" borderId="0" xfId="1" applyFont="1" applyFill="1" applyBorder="1" applyAlignment="1">
      <alignment horizontal="center"/>
    </xf>
    <xf numFmtId="0" fontId="0" fillId="5" borderId="3" xfId="0" applyFill="1" applyBorder="1" applyAlignment="1">
      <alignment horizontal="left"/>
    </xf>
    <xf numFmtId="0" fontId="0" fillId="0" borderId="19" xfId="0" applyBorder="1"/>
    <xf numFmtId="0" fontId="6" fillId="0" borderId="38" xfId="0" applyFont="1" applyBorder="1"/>
    <xf numFmtId="0" fontId="6" fillId="0" borderId="0" xfId="0" applyFont="1" applyBorder="1"/>
    <xf numFmtId="0" fontId="6" fillId="0" borderId="19" xfId="0" applyFont="1" applyBorder="1"/>
    <xf numFmtId="0" fontId="6" fillId="0" borderId="38" xfId="0" applyFont="1" applyBorder="1" applyAlignment="1">
      <alignment horizontal="left" vertical="top"/>
    </xf>
    <xf numFmtId="0" fontId="6" fillId="0" borderId="38" xfId="0" applyFont="1" applyBorder="1" applyAlignment="1">
      <alignment vertical="top" wrapText="1"/>
    </xf>
    <xf numFmtId="0" fontId="6" fillId="0" borderId="0" xfId="0" applyFont="1" applyBorder="1" applyAlignment="1">
      <alignment vertical="top"/>
    </xf>
    <xf numFmtId="0" fontId="6" fillId="0" borderId="0" xfId="1" applyFont="1" applyBorder="1"/>
    <xf numFmtId="0" fontId="6" fillId="0" borderId="4" xfId="0" applyFont="1" applyBorder="1"/>
    <xf numFmtId="0" fontId="6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2" xfId="0" applyFont="1" applyBorder="1"/>
    <xf numFmtId="0" fontId="0" fillId="0" borderId="0" xfId="0" applyAlignment="1">
      <alignment horizontal="center"/>
    </xf>
    <xf numFmtId="0" fontId="3" fillId="0" borderId="2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0" fillId="0" borderId="0" xfId="0" applyFill="1" applyBorder="1"/>
    <xf numFmtId="0" fontId="3" fillId="4" borderId="44" xfId="0" applyFont="1" applyFill="1" applyBorder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vertical="top" wrapText="1"/>
    </xf>
    <xf numFmtId="0" fontId="6" fillId="0" borderId="8" xfId="0" applyFont="1" applyBorder="1" applyAlignment="1">
      <alignment horizontal="left" vertical="top"/>
    </xf>
    <xf numFmtId="0" fontId="6" fillId="0" borderId="9" xfId="0" applyFont="1" applyBorder="1" applyAlignment="1">
      <alignment vertical="top"/>
    </xf>
    <xf numFmtId="0" fontId="6" fillId="0" borderId="9" xfId="0" applyFont="1" applyBorder="1"/>
    <xf numFmtId="9" fontId="6" fillId="0" borderId="9" xfId="0" applyNumberFormat="1" applyFont="1" applyBorder="1" applyAlignment="1">
      <alignment horizontal="left"/>
    </xf>
    <xf numFmtId="0" fontId="6" fillId="0" borderId="10" xfId="0" applyFont="1" applyBorder="1"/>
    <xf numFmtId="9" fontId="6" fillId="0" borderId="5" xfId="0" applyNumberFormat="1" applyFont="1" applyBorder="1" applyAlignment="1">
      <alignment horizontal="left"/>
    </xf>
    <xf numFmtId="0" fontId="0" fillId="0" borderId="52" xfId="0" applyBorder="1"/>
    <xf numFmtId="0" fontId="0" fillId="0" borderId="5" xfId="0" applyBorder="1"/>
    <xf numFmtId="9" fontId="0" fillId="0" borderId="5" xfId="0" applyNumberFormat="1" applyBorder="1"/>
    <xf numFmtId="0" fontId="0" fillId="0" borderId="0" xfId="0" applyFill="1" applyBorder="1" applyAlignment="1"/>
    <xf numFmtId="0" fontId="0" fillId="5" borderId="3" xfId="0" applyFill="1" applyBorder="1" applyAlignment="1"/>
    <xf numFmtId="0" fontId="0" fillId="5" borderId="2" xfId="0" applyFill="1" applyBorder="1" applyAlignment="1"/>
    <xf numFmtId="0" fontId="0" fillId="5" borderId="1" xfId="0" applyFill="1" applyBorder="1" applyAlignment="1"/>
    <xf numFmtId="0" fontId="3" fillId="0" borderId="53" xfId="0" applyFont="1" applyFill="1" applyBorder="1" applyAlignment="1">
      <alignment horizontal="center" vertical="center" wrapText="1"/>
    </xf>
    <xf numFmtId="0" fontId="3" fillId="0" borderId="5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5" borderId="5" xfId="0" applyFill="1" applyBorder="1" applyAlignment="1"/>
    <xf numFmtId="0" fontId="0" fillId="5" borderId="52" xfId="0" applyFill="1" applyBorder="1" applyAlignment="1"/>
    <xf numFmtId="0" fontId="0" fillId="5" borderId="4" xfId="0" applyFill="1" applyBorder="1" applyAlignment="1"/>
    <xf numFmtId="0" fontId="6" fillId="0" borderId="8" xfId="0" applyFont="1" applyBorder="1" applyAlignment="1">
      <alignment vertical="top" wrapText="1"/>
    </xf>
    <xf numFmtId="0" fontId="6" fillId="0" borderId="9" xfId="1" applyFont="1" applyBorder="1"/>
    <xf numFmtId="0" fontId="6" fillId="0" borderId="4" xfId="0" applyFont="1" applyBorder="1" applyAlignment="1">
      <alignment vertical="top" wrapText="1"/>
    </xf>
    <xf numFmtId="0" fontId="6" fillId="0" borderId="5" xfId="1" applyFont="1" applyBorder="1"/>
    <xf numFmtId="0" fontId="7" fillId="0" borderId="38" xfId="0" applyFont="1" applyFill="1" applyBorder="1" applyAlignment="1">
      <alignment horizontal="left" vertical="top"/>
    </xf>
    <xf numFmtId="0" fontId="6" fillId="0" borderId="38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0" fillId="0" borderId="38" xfId="0" applyFill="1" applyBorder="1"/>
    <xf numFmtId="0" fontId="3" fillId="0" borderId="8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7" fillId="0" borderId="8" xfId="0" applyFont="1" applyFill="1" applyBorder="1" applyAlignment="1">
      <alignment horizontal="left" vertical="top"/>
    </xf>
    <xf numFmtId="0" fontId="5" fillId="0" borderId="38" xfId="0" applyFont="1" applyBorder="1"/>
    <xf numFmtId="0" fontId="6" fillId="5" borderId="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left"/>
    </xf>
    <xf numFmtId="0" fontId="0" fillId="5" borderId="52" xfId="0" applyFill="1" applyBorder="1" applyAlignment="1">
      <alignment horizontal="left"/>
    </xf>
    <xf numFmtId="0" fontId="6" fillId="5" borderId="2" xfId="0" applyFont="1" applyFill="1" applyBorder="1" applyAlignment="1"/>
    <xf numFmtId="0" fontId="6" fillId="5" borderId="3" xfId="0" applyFont="1" applyFill="1" applyBorder="1" applyAlignment="1"/>
    <xf numFmtId="0" fontId="6" fillId="5" borderId="1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8" fillId="0" borderId="0" xfId="0" applyFont="1" applyBorder="1"/>
    <xf numFmtId="0" fontId="8" fillId="0" borderId="19" xfId="0" applyFont="1" applyBorder="1"/>
    <xf numFmtId="0" fontId="8" fillId="0" borderId="9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3" fillId="0" borderId="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left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wrapText="1"/>
    </xf>
    <xf numFmtId="0" fontId="8" fillId="0" borderId="19" xfId="0" applyFont="1" applyBorder="1" applyAlignment="1">
      <alignment horizontal="left" wrapText="1"/>
    </xf>
    <xf numFmtId="0" fontId="6" fillId="0" borderId="0" xfId="0" applyFont="1"/>
    <xf numFmtId="0" fontId="7" fillId="0" borderId="38" xfId="0" applyFont="1" applyBorder="1" applyAlignment="1">
      <alignment horizontal="left" vertical="top"/>
    </xf>
    <xf numFmtId="0" fontId="5" fillId="0" borderId="0" xfId="0" applyFont="1" applyBorder="1"/>
    <xf numFmtId="0" fontId="0" fillId="0" borderId="4" xfId="0" applyBorder="1"/>
    <xf numFmtId="0" fontId="2" fillId="3" borderId="55" xfId="0" applyFont="1" applyFill="1" applyBorder="1" applyAlignment="1">
      <alignment horizontal="center" vertical="center" wrapText="1"/>
    </xf>
    <xf numFmtId="0" fontId="0" fillId="0" borderId="56" xfId="0" applyBorder="1"/>
    <xf numFmtId="0" fontId="0" fillId="0" borderId="51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40" xfId="0" applyBorder="1"/>
    <xf numFmtId="0" fontId="0" fillId="0" borderId="41" xfId="0" applyBorder="1"/>
    <xf numFmtId="0" fontId="6" fillId="5" borderId="1" xfId="0" applyFont="1" applyFill="1" applyBorder="1" applyAlignment="1"/>
    <xf numFmtId="0" fontId="6" fillId="0" borderId="0" xfId="0" applyFont="1" applyFill="1" applyBorder="1" applyAlignment="1"/>
    <xf numFmtId="9" fontId="6" fillId="0" borderId="0" xfId="0" applyNumberFormat="1" applyFont="1" applyBorder="1" applyAlignment="1">
      <alignment horizontal="left"/>
    </xf>
    <xf numFmtId="0" fontId="0" fillId="0" borderId="5" xfId="0" applyFill="1" applyBorder="1"/>
    <xf numFmtId="0" fontId="0" fillId="0" borderId="0" xfId="0" applyFill="1"/>
    <xf numFmtId="0" fontId="6" fillId="5" borderId="9" xfId="0" applyFont="1" applyFill="1" applyBorder="1" applyAlignment="1"/>
    <xf numFmtId="0" fontId="6" fillId="5" borderId="10" xfId="0" applyFont="1" applyFill="1" applyBorder="1" applyAlignment="1"/>
    <xf numFmtId="0" fontId="6" fillId="5" borderId="8" xfId="0" applyFont="1" applyFill="1" applyBorder="1" applyAlignment="1"/>
    <xf numFmtId="0" fontId="0" fillId="0" borderId="2" xfId="0" applyBorder="1"/>
    <xf numFmtId="0" fontId="0" fillId="0" borderId="3" xfId="0" applyBorder="1"/>
    <xf numFmtId="0" fontId="5" fillId="0" borderId="1" xfId="0" applyFont="1" applyBorder="1"/>
    <xf numFmtId="0" fontId="3" fillId="0" borderId="11" xfId="0" applyFont="1" applyFill="1" applyBorder="1" applyAlignment="1">
      <alignment horizontal="center" vertical="center" wrapText="1"/>
    </xf>
    <xf numFmtId="0" fontId="3" fillId="0" borderId="61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top"/>
    </xf>
    <xf numFmtId="0" fontId="3" fillId="0" borderId="60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/>
    <xf numFmtId="0" fontId="6" fillId="5" borderId="1" xfId="0" applyFont="1" applyFill="1" applyBorder="1" applyAlignment="1">
      <alignment horizontal="left"/>
    </xf>
    <xf numFmtId="0" fontId="8" fillId="0" borderId="0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8" fillId="0" borderId="9" xfId="0" applyFont="1" applyBorder="1"/>
    <xf numFmtId="9" fontId="8" fillId="0" borderId="9" xfId="0" applyNumberFormat="1" applyFont="1" applyBorder="1" applyAlignment="1">
      <alignment horizontal="left"/>
    </xf>
    <xf numFmtId="0" fontId="8" fillId="0" borderId="10" xfId="0" applyFont="1" applyBorder="1"/>
    <xf numFmtId="0" fontId="8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19" xfId="0" applyFont="1" applyFill="1" applyBorder="1" applyAlignment="1">
      <alignment horizontal="left"/>
    </xf>
    <xf numFmtId="0" fontId="8" fillId="0" borderId="0" xfId="0" applyFont="1" applyFill="1" applyBorder="1"/>
    <xf numFmtId="0" fontId="8" fillId="0" borderId="19" xfId="0" applyFont="1" applyFill="1" applyBorder="1"/>
    <xf numFmtId="0" fontId="6" fillId="0" borderId="38" xfId="0" applyFont="1" applyFill="1" applyBorder="1" applyAlignment="1">
      <alignment horizontal="left"/>
    </xf>
    <xf numFmtId="0" fontId="6" fillId="0" borderId="38" xfId="0" applyFont="1" applyFill="1" applyBorder="1"/>
    <xf numFmtId="0" fontId="7" fillId="0" borderId="38" xfId="0" applyFont="1" applyFill="1" applyBorder="1" applyAlignment="1">
      <alignment horizontal="left"/>
    </xf>
    <xf numFmtId="9" fontId="6" fillId="0" borderId="9" xfId="0" applyNumberFormat="1" applyFont="1" applyBorder="1"/>
    <xf numFmtId="9" fontId="6" fillId="0" borderId="0" xfId="0" applyNumberFormat="1" applyFont="1" applyBorder="1"/>
    <xf numFmtId="0" fontId="8" fillId="4" borderId="45" xfId="0" applyFont="1" applyFill="1" applyBorder="1" applyAlignment="1">
      <alignment horizontal="center" vertical="center" wrapText="1"/>
    </xf>
    <xf numFmtId="0" fontId="8" fillId="4" borderId="40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6" fillId="4" borderId="45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35" xfId="0" applyFont="1" applyFill="1" applyBorder="1" applyAlignment="1">
      <alignment horizontal="center" vertical="center" wrapText="1"/>
    </xf>
    <xf numFmtId="0" fontId="6" fillId="0" borderId="32" xfId="0" applyFont="1" applyFill="1" applyBorder="1" applyAlignment="1">
      <alignment horizontal="center" vertical="center" wrapText="1"/>
    </xf>
    <xf numFmtId="0" fontId="6" fillId="4" borderId="4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left"/>
    </xf>
    <xf numFmtId="0" fontId="6" fillId="0" borderId="19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52" xfId="0" applyFont="1" applyFill="1" applyBorder="1" applyAlignment="1">
      <alignment horizontal="left"/>
    </xf>
    <xf numFmtId="0" fontId="0" fillId="0" borderId="8" xfId="0" applyFont="1" applyBorder="1"/>
    <xf numFmtId="0" fontId="0" fillId="0" borderId="38" xfId="0" applyFont="1" applyBorder="1"/>
    <xf numFmtId="0" fontId="0" fillId="0" borderId="4" xfId="0" applyFont="1" applyBorder="1"/>
    <xf numFmtId="0" fontId="6" fillId="4" borderId="39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8" fillId="0" borderId="52" xfId="0" applyFont="1" applyBorder="1"/>
    <xf numFmtId="9" fontId="6" fillId="0" borderId="9" xfId="0" applyNumberFormat="1" applyFont="1" applyBorder="1" applyAlignment="1">
      <alignment vertical="top"/>
    </xf>
    <xf numFmtId="0" fontId="6" fillId="0" borderId="38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vertical="top" wrapText="1"/>
    </xf>
    <xf numFmtId="0" fontId="6" fillId="0" borderId="19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/>
    </xf>
    <xf numFmtId="0" fontId="6" fillId="0" borderId="8" xfId="0" applyFont="1" applyFill="1" applyBorder="1" applyAlignment="1">
      <alignment horizontal="left" vertical="top"/>
    </xf>
    <xf numFmtId="0" fontId="4" fillId="0" borderId="0" xfId="2"/>
    <xf numFmtId="0" fontId="0" fillId="0" borderId="0" xfId="0" applyAlignment="1"/>
    <xf numFmtId="0" fontId="2" fillId="3" borderId="63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vertical="center" wrapText="1"/>
    </xf>
    <xf numFmtId="0" fontId="4" fillId="0" borderId="0" xfId="4"/>
    <xf numFmtId="0" fontId="3" fillId="4" borderId="29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vertical="center" wrapText="1"/>
    </xf>
    <xf numFmtId="0" fontId="3" fillId="0" borderId="68" xfId="0" applyFont="1" applyFill="1" applyBorder="1" applyAlignment="1">
      <alignment horizontal="center" vertical="center" wrapText="1"/>
    </xf>
    <xf numFmtId="0" fontId="3" fillId="0" borderId="67" xfId="0" applyFont="1" applyFill="1" applyBorder="1" applyAlignment="1">
      <alignment horizontal="center" vertical="center" wrapText="1"/>
    </xf>
    <xf numFmtId="0" fontId="3" fillId="0" borderId="69" xfId="0" applyFont="1" applyFill="1" applyBorder="1" applyAlignment="1">
      <alignment horizontal="center" vertical="center" wrapText="1"/>
    </xf>
    <xf numFmtId="0" fontId="6" fillId="5" borderId="52" xfId="0" applyFont="1" applyFill="1" applyBorder="1" applyAlignment="1"/>
    <xf numFmtId="0" fontId="6" fillId="5" borderId="8" xfId="0" applyFont="1" applyFill="1" applyBorder="1" applyAlignment="1">
      <alignment horizontal="left"/>
    </xf>
    <xf numFmtId="0" fontId="3" fillId="0" borderId="71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/>
    <xf numFmtId="0" fontId="6" fillId="0" borderId="4" xfId="0" applyFont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21" xfId="0" applyFont="1" applyBorder="1" applyAlignment="1">
      <alignment vertical="center"/>
    </xf>
    <xf numFmtId="0" fontId="3" fillId="0" borderId="34" xfId="2" applyFont="1" applyFill="1" applyBorder="1" applyAlignment="1">
      <alignment horizontal="center" vertical="center" wrapText="1"/>
    </xf>
    <xf numFmtId="0" fontId="3" fillId="0" borderId="35" xfId="2" applyFont="1" applyFill="1" applyBorder="1" applyAlignment="1">
      <alignment horizontal="center" vertical="center" wrapText="1"/>
    </xf>
    <xf numFmtId="0" fontId="3" fillId="0" borderId="32" xfId="2" applyFont="1" applyFill="1" applyBorder="1" applyAlignment="1">
      <alignment horizontal="center" vertical="center" wrapText="1"/>
    </xf>
    <xf numFmtId="0" fontId="3" fillId="0" borderId="72" xfId="0" applyFont="1" applyFill="1" applyBorder="1" applyAlignment="1">
      <alignment horizontal="center" vertical="center" wrapText="1"/>
    </xf>
    <xf numFmtId="0" fontId="3" fillId="0" borderId="7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3" fillId="4" borderId="70" xfId="0" applyFont="1" applyFill="1" applyBorder="1" applyAlignment="1">
      <alignment horizontal="center" vertical="center" wrapText="1"/>
    </xf>
    <xf numFmtId="0" fontId="3" fillId="4" borderId="70" xfId="0" applyFont="1" applyFill="1" applyBorder="1" applyAlignment="1">
      <alignment vertical="center" wrapText="1"/>
    </xf>
    <xf numFmtId="0" fontId="3" fillId="0" borderId="7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right"/>
    </xf>
    <xf numFmtId="0" fontId="6" fillId="0" borderId="60" xfId="0" applyFont="1" applyFill="1" applyBorder="1" applyAlignment="1">
      <alignment horizontal="center" vertical="center" wrapText="1"/>
    </xf>
    <xf numFmtId="0" fontId="6" fillId="0" borderId="71" xfId="0" applyFont="1" applyFill="1" applyBorder="1" applyAlignment="1">
      <alignment horizontal="center" vertical="center" wrapText="1"/>
    </xf>
    <xf numFmtId="0" fontId="6" fillId="0" borderId="66" xfId="0" applyFont="1" applyFill="1" applyBorder="1" applyAlignment="1">
      <alignment horizontal="center" vertical="center" wrapText="1"/>
    </xf>
    <xf numFmtId="0" fontId="4" fillId="0" borderId="0" xfId="1" applyBorder="1" applyAlignment="1">
      <alignment horizontal="center" vertical="center"/>
    </xf>
    <xf numFmtId="0" fontId="6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0" fillId="0" borderId="0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Font="1" applyBorder="1" applyAlignment="1">
      <alignment vertical="center"/>
    </xf>
    <xf numFmtId="0" fontId="2" fillId="3" borderId="47" xfId="0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9" fontId="0" fillId="0" borderId="0" xfId="0" applyNumberFormat="1" applyBorder="1" applyAlignment="1">
      <alignment horizontal="left"/>
    </xf>
    <xf numFmtId="9" fontId="0" fillId="0" borderId="5" xfId="0" applyNumberFormat="1" applyFont="1" applyBorder="1" applyAlignment="1">
      <alignment horizontal="left" vertical="center"/>
    </xf>
    <xf numFmtId="0" fontId="6" fillId="5" borderId="19" xfId="0" applyFont="1" applyFill="1" applyBorder="1" applyAlignment="1"/>
    <xf numFmtId="0" fontId="3" fillId="0" borderId="77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38" xfId="0" applyBorder="1" applyAlignment="1"/>
    <xf numFmtId="0" fontId="6" fillId="0" borderId="38" xfId="0" applyFont="1" applyBorder="1" applyAlignment="1"/>
    <xf numFmtId="9" fontId="0" fillId="0" borderId="5" xfId="0" applyNumberFormat="1" applyBorder="1" applyAlignment="1">
      <alignment horizontal="left"/>
    </xf>
    <xf numFmtId="0" fontId="3" fillId="4" borderId="37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 wrapText="1"/>
    </xf>
    <xf numFmtId="0" fontId="2" fillId="3" borderId="47" xfId="0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76" xfId="0" applyFont="1" applyFill="1" applyBorder="1" applyAlignment="1">
      <alignment horizontal="center" vertical="center" wrapText="1"/>
    </xf>
    <xf numFmtId="0" fontId="3" fillId="0" borderId="70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70" xfId="0" applyFont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2" fillId="4" borderId="43" xfId="0" applyFont="1" applyFill="1" applyBorder="1" applyAlignment="1">
      <alignment horizontal="center" vertical="center" wrapText="1"/>
    </xf>
    <xf numFmtId="0" fontId="3" fillId="0" borderId="7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1" fontId="3" fillId="0" borderId="60" xfId="0" applyNumberFormat="1" applyFont="1" applyFill="1" applyBorder="1" applyAlignment="1">
      <alignment horizontal="center" vertical="center" wrapText="1"/>
    </xf>
    <xf numFmtId="1" fontId="3" fillId="0" borderId="51" xfId="0" applyNumberFormat="1" applyFont="1" applyFill="1" applyBorder="1" applyAlignment="1">
      <alignment horizontal="center" vertical="center" wrapText="1"/>
    </xf>
    <xf numFmtId="1" fontId="3" fillId="0" borderId="6" xfId="0" applyNumberFormat="1" applyFont="1" applyFill="1" applyBorder="1" applyAlignment="1">
      <alignment horizontal="center" vertical="center" wrapText="1"/>
    </xf>
    <xf numFmtId="1" fontId="3" fillId="0" borderId="33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/>
    </xf>
    <xf numFmtId="0" fontId="3" fillId="0" borderId="3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3" borderId="47" xfId="0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left" vertical="center"/>
    </xf>
    <xf numFmtId="0" fontId="3" fillId="0" borderId="34" xfId="0" applyFont="1" applyFill="1" applyBorder="1" applyAlignment="1">
      <alignment horizontal="left" wrapText="1"/>
    </xf>
    <xf numFmtId="0" fontId="0" fillId="0" borderId="0" xfId="0" applyBorder="1" applyAlignment="1"/>
    <xf numFmtId="0" fontId="3" fillId="4" borderId="5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horizontal="center" vertical="center"/>
    </xf>
    <xf numFmtId="15" fontId="3" fillId="6" borderId="29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3" fillId="4" borderId="71" xfId="0" applyFont="1" applyFill="1" applyBorder="1" applyAlignment="1">
      <alignment horizontal="center" vertical="center" wrapText="1"/>
    </xf>
    <xf numFmtId="0" fontId="3" fillId="4" borderId="71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2" fillId="3" borderId="47" xfId="0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62" xfId="0" applyFont="1" applyFill="1" applyBorder="1" applyAlignment="1">
      <alignment horizontal="center" vertical="center" wrapText="1"/>
    </xf>
    <xf numFmtId="0" fontId="3" fillId="0" borderId="78" xfId="0" applyFont="1" applyFill="1" applyBorder="1" applyAlignment="1">
      <alignment horizontal="center" vertical="center" wrapText="1"/>
    </xf>
    <xf numFmtId="0" fontId="3" fillId="0" borderId="79" xfId="0" applyFont="1" applyFill="1" applyBorder="1" applyAlignment="1">
      <alignment horizontal="center" vertical="center" wrapText="1"/>
    </xf>
    <xf numFmtId="0" fontId="3" fillId="0" borderId="80" xfId="0" applyFont="1" applyFill="1" applyBorder="1" applyAlignment="1">
      <alignment horizontal="center" vertical="center" wrapText="1"/>
    </xf>
    <xf numFmtId="0" fontId="3" fillId="0" borderId="81" xfId="0" applyFont="1" applyFill="1" applyBorder="1" applyAlignment="1">
      <alignment horizontal="center" vertical="center" wrapText="1"/>
    </xf>
    <xf numFmtId="0" fontId="3" fillId="0" borderId="82" xfId="0" applyFont="1" applyFill="1" applyBorder="1" applyAlignment="1">
      <alignment horizontal="center" vertical="center" wrapText="1"/>
    </xf>
    <xf numFmtId="0" fontId="3" fillId="0" borderId="83" xfId="0" applyFont="1" applyFill="1" applyBorder="1" applyAlignment="1">
      <alignment horizontal="center" vertical="center" wrapText="1"/>
    </xf>
    <xf numFmtId="0" fontId="3" fillId="0" borderId="84" xfId="0" applyFont="1" applyFill="1" applyBorder="1" applyAlignment="1">
      <alignment horizontal="center" vertical="center" wrapText="1"/>
    </xf>
    <xf numFmtId="0" fontId="3" fillId="0" borderId="85" xfId="0" applyFont="1" applyFill="1" applyBorder="1" applyAlignment="1">
      <alignment horizontal="center" vertical="center" wrapText="1"/>
    </xf>
    <xf numFmtId="0" fontId="3" fillId="0" borderId="86" xfId="0" applyFont="1" applyFill="1" applyBorder="1" applyAlignment="1">
      <alignment horizontal="center" vertical="center" wrapText="1"/>
    </xf>
    <xf numFmtId="0" fontId="3" fillId="0" borderId="87" xfId="0" applyFont="1" applyFill="1" applyBorder="1" applyAlignment="1">
      <alignment horizontal="center" vertical="center" wrapText="1"/>
    </xf>
    <xf numFmtId="0" fontId="3" fillId="0" borderId="88" xfId="0" applyFont="1" applyFill="1" applyBorder="1" applyAlignment="1">
      <alignment horizontal="center" vertical="center" wrapText="1"/>
    </xf>
    <xf numFmtId="0" fontId="3" fillId="0" borderId="89" xfId="0" applyFont="1" applyFill="1" applyBorder="1" applyAlignment="1">
      <alignment horizontal="center" vertical="center" wrapText="1"/>
    </xf>
    <xf numFmtId="0" fontId="3" fillId="6" borderId="65" xfId="0" applyFont="1" applyFill="1" applyBorder="1" applyAlignment="1">
      <alignment horizontal="center" vertical="center" wrapText="1"/>
    </xf>
    <xf numFmtId="0" fontId="3" fillId="0" borderId="89" xfId="0" applyFont="1" applyFill="1" applyBorder="1" applyAlignment="1">
      <alignment horizontal="center" vertical="center"/>
    </xf>
    <xf numFmtId="0" fontId="3" fillId="0" borderId="90" xfId="0" applyFont="1" applyFill="1" applyBorder="1" applyAlignment="1">
      <alignment horizontal="center" vertical="center" wrapText="1"/>
    </xf>
    <xf numFmtId="0" fontId="3" fillId="0" borderId="91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92" xfId="0" applyFont="1" applyFill="1" applyBorder="1" applyAlignment="1">
      <alignment horizontal="center" vertical="center" wrapText="1"/>
    </xf>
    <xf numFmtId="0" fontId="3" fillId="0" borderId="93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vertical="center" wrapText="1"/>
    </xf>
    <xf numFmtId="0" fontId="0" fillId="0" borderId="0" xfId="0" applyNumberFormat="1"/>
    <xf numFmtId="0" fontId="6" fillId="5" borderId="1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6" fillId="0" borderId="52" xfId="0" applyFont="1" applyFill="1" applyBorder="1" applyAlignment="1">
      <alignment horizontal="center" vertical="center" wrapText="1"/>
    </xf>
    <xf numFmtId="0" fontId="6" fillId="0" borderId="37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 wrapText="1"/>
    </xf>
    <xf numFmtId="0" fontId="6" fillId="0" borderId="4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0" fillId="0" borderId="70" xfId="0" applyBorder="1"/>
    <xf numFmtId="0" fontId="0" fillId="0" borderId="39" xfId="0" applyBorder="1"/>
    <xf numFmtId="0" fontId="0" fillId="0" borderId="93" xfId="0" applyBorder="1"/>
    <xf numFmtId="0" fontId="8" fillId="0" borderId="5" xfId="0" applyFont="1" applyBorder="1" applyAlignment="1">
      <alignment vertical="top"/>
    </xf>
    <xf numFmtId="9" fontId="6" fillId="0" borderId="5" xfId="0" applyNumberFormat="1" applyFont="1" applyBorder="1"/>
    <xf numFmtId="9" fontId="8" fillId="0" borderId="5" xfId="0" applyNumberFormat="1" applyFont="1" applyBorder="1" applyAlignment="1">
      <alignment horizontal="left"/>
    </xf>
    <xf numFmtId="9" fontId="6" fillId="0" borderId="5" xfId="0" applyNumberFormat="1" applyFont="1" applyBorder="1" applyAlignment="1">
      <alignment vertical="top"/>
    </xf>
    <xf numFmtId="0" fontId="8" fillId="0" borderId="5" xfId="0" applyFont="1" applyBorder="1" applyAlignment="1">
      <alignment horizontal="left"/>
    </xf>
    <xf numFmtId="0" fontId="3" fillId="0" borderId="92" xfId="0" applyFont="1" applyFill="1" applyBorder="1" applyAlignment="1">
      <alignment horizontal="center" vertical="center"/>
    </xf>
    <xf numFmtId="0" fontId="3" fillId="4" borderId="89" xfId="0" applyFont="1" applyFill="1" applyBorder="1" applyAlignment="1">
      <alignment horizontal="center" vertical="center" wrapText="1"/>
    </xf>
    <xf numFmtId="0" fontId="3" fillId="4" borderId="89" xfId="0" applyFont="1" applyFill="1" applyBorder="1" applyAlignment="1">
      <alignment vertical="center" wrapText="1"/>
    </xf>
    <xf numFmtId="0" fontId="6" fillId="0" borderId="0" xfId="0" applyFont="1" applyFill="1" applyBorder="1"/>
    <xf numFmtId="0" fontId="6" fillId="0" borderId="19" xfId="0" applyFont="1" applyFill="1" applyBorder="1"/>
    <xf numFmtId="0" fontId="6" fillId="0" borderId="8" xfId="0" applyFont="1" applyFill="1" applyBorder="1" applyAlignment="1">
      <alignment horizontal="center" vertical="center" wrapText="1"/>
    </xf>
    <xf numFmtId="0" fontId="6" fillId="0" borderId="89" xfId="0" applyFont="1" applyBorder="1"/>
    <xf numFmtId="0" fontId="6" fillId="0" borderId="92" xfId="0" applyFont="1" applyBorder="1"/>
    <xf numFmtId="0" fontId="6" fillId="0" borderId="84" xfId="0" applyFont="1" applyBorder="1"/>
    <xf numFmtId="0" fontId="6" fillId="0" borderId="59" xfId="0" applyFont="1" applyBorder="1"/>
    <xf numFmtId="0" fontId="6" fillId="0" borderId="98" xfId="0" applyFont="1" applyBorder="1"/>
    <xf numFmtId="0" fontId="6" fillId="0" borderId="93" xfId="0" applyFont="1" applyBorder="1"/>
    <xf numFmtId="0" fontId="6" fillId="0" borderId="91" xfId="0" applyFont="1" applyBorder="1"/>
    <xf numFmtId="0" fontId="8" fillId="0" borderId="0" xfId="0" applyFont="1"/>
    <xf numFmtId="0" fontId="3" fillId="4" borderId="99" xfId="0" applyFont="1" applyFill="1" applyBorder="1" applyAlignment="1">
      <alignment horizontal="center" vertical="center" wrapText="1"/>
    </xf>
    <xf numFmtId="0" fontId="2" fillId="3" borderId="47" xfId="0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100" xfId="0" applyFont="1" applyFill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 applyBorder="1" applyAlignment="1">
      <alignment horizontal="left" vertical="top" wrapText="1"/>
    </xf>
    <xf numFmtId="0" fontId="6" fillId="5" borderId="4" xfId="0" applyFont="1" applyFill="1" applyBorder="1" applyAlignment="1"/>
    <xf numFmtId="0" fontId="6" fillId="0" borderId="0" xfId="0" applyFont="1" applyBorder="1" applyAlignment="1">
      <alignment horizontal="left" wrapText="1"/>
    </xf>
    <xf numFmtId="0" fontId="6" fillId="0" borderId="8" xfId="0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19" xfId="0" applyFont="1" applyBorder="1" applyAlignment="1"/>
    <xf numFmtId="0" fontId="0" fillId="0" borderId="9" xfId="0" applyBorder="1"/>
    <xf numFmtId="0" fontId="0" fillId="0" borderId="5" xfId="0" applyBorder="1"/>
    <xf numFmtId="0" fontId="0" fillId="0" borderId="0" xfId="0" applyBorder="1"/>
    <xf numFmtId="0" fontId="0" fillId="0" borderId="22" xfId="0" applyBorder="1"/>
    <xf numFmtId="0" fontId="2" fillId="3" borderId="47" xfId="0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2" fillId="3" borderId="47" xfId="0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0" borderId="21" xfId="0" applyBorder="1"/>
    <xf numFmtId="0" fontId="0" fillId="0" borderId="24" xfId="0" applyBorder="1"/>
    <xf numFmtId="0" fontId="0" fillId="0" borderId="6" xfId="0" applyBorder="1"/>
    <xf numFmtId="0" fontId="3" fillId="0" borderId="0" xfId="0" applyFont="1" applyFill="1" applyBorder="1" applyAlignment="1">
      <alignment horizontal="right" vertical="center" wrapText="1"/>
    </xf>
    <xf numFmtId="0" fontId="3" fillId="0" borderId="85" xfId="0" applyFont="1" applyFill="1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96" xfId="0" applyBorder="1"/>
    <xf numFmtId="0" fontId="0" fillId="0" borderId="85" xfId="0" applyBorder="1"/>
    <xf numFmtId="0" fontId="0" fillId="0" borderId="34" xfId="0" applyBorder="1"/>
    <xf numFmtId="0" fontId="0" fillId="0" borderId="81" xfId="0" applyBorder="1"/>
    <xf numFmtId="0" fontId="0" fillId="0" borderId="82" xfId="0" applyBorder="1"/>
    <xf numFmtId="0" fontId="0" fillId="0" borderId="33" xfId="0" applyBorder="1"/>
    <xf numFmtId="0" fontId="3" fillId="4" borderId="100" xfId="0" applyFont="1" applyFill="1" applyBorder="1" applyAlignment="1">
      <alignment vertical="center" wrapText="1"/>
    </xf>
    <xf numFmtId="0" fontId="0" fillId="5" borderId="38" xfId="0" applyFill="1" applyBorder="1" applyAlignment="1"/>
    <xf numFmtId="0" fontId="0" fillId="5" borderId="0" xfId="0" applyFill="1" applyBorder="1" applyAlignment="1"/>
    <xf numFmtId="0" fontId="0" fillId="5" borderId="19" xfId="0" applyFill="1" applyBorder="1" applyAlignment="1"/>
    <xf numFmtId="0" fontId="6" fillId="0" borderId="9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0" fillId="0" borderId="89" xfId="0" applyBorder="1"/>
    <xf numFmtId="0" fontId="0" fillId="0" borderId="100" xfId="0" applyBorder="1"/>
    <xf numFmtId="0" fontId="0" fillId="0" borderId="84" xfId="0" applyBorder="1"/>
    <xf numFmtId="0" fontId="0" fillId="0" borderId="98" xfId="0" applyBorder="1"/>
    <xf numFmtId="0" fontId="0" fillId="0" borderId="91" xfId="0" applyBorder="1"/>
    <xf numFmtId="0" fontId="3" fillId="0" borderId="62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vertical="center" wrapText="1"/>
    </xf>
    <xf numFmtId="0" fontId="3" fillId="4" borderId="101" xfId="0" applyFont="1" applyFill="1" applyBorder="1" applyAlignment="1">
      <alignment horizontal="center" vertical="center" wrapText="1"/>
    </xf>
    <xf numFmtId="0" fontId="0" fillId="0" borderId="38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4" xfId="0" applyBorder="1" applyAlignment="1"/>
    <xf numFmtId="0" fontId="0" fillId="0" borderId="5" xfId="0" applyBorder="1" applyAlignment="1"/>
    <xf numFmtId="0" fontId="0" fillId="0" borderId="52" xfId="0" applyBorder="1" applyAlignment="1"/>
    <xf numFmtId="0" fontId="0" fillId="0" borderId="101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33" xfId="0" applyBorder="1" applyAlignment="1">
      <alignment horizontal="center"/>
    </xf>
    <xf numFmtId="0" fontId="6" fillId="0" borderId="4" xfId="0" applyFont="1" applyBorder="1" applyAlignment="1">
      <alignment horizontal="left" wrapText="1"/>
    </xf>
    <xf numFmtId="0" fontId="6" fillId="0" borderId="5" xfId="0" applyFont="1" applyBorder="1" applyAlignment="1">
      <alignment horizontal="left" wrapText="1"/>
    </xf>
    <xf numFmtId="0" fontId="6" fillId="0" borderId="52" xfId="0" applyFont="1" applyBorder="1" applyAlignment="1">
      <alignment horizontal="left" wrapText="1"/>
    </xf>
    <xf numFmtId="0" fontId="6" fillId="5" borderId="1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/>
    </xf>
    <xf numFmtId="0" fontId="6" fillId="5" borderId="5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93" xfId="0" applyBorder="1" applyAlignment="1">
      <alignment horizontal="center"/>
    </xf>
    <xf numFmtId="0" fontId="0" fillId="0" borderId="91" xfId="0" applyBorder="1" applyAlignment="1">
      <alignment horizontal="center"/>
    </xf>
    <xf numFmtId="164" fontId="0" fillId="0" borderId="70" xfId="0" applyNumberFormat="1" applyBorder="1" applyAlignment="1">
      <alignment horizontal="center"/>
    </xf>
    <xf numFmtId="164" fontId="0" fillId="0" borderId="84" xfId="0" applyNumberFormat="1" applyBorder="1" applyAlignment="1">
      <alignment horizontal="center"/>
    </xf>
    <xf numFmtId="0" fontId="0" fillId="0" borderId="45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164" fontId="0" fillId="0" borderId="94" xfId="0" applyNumberFormat="1" applyBorder="1" applyAlignment="1">
      <alignment horizontal="center"/>
    </xf>
    <xf numFmtId="164" fontId="0" fillId="0" borderId="95" xfId="0" applyNumberFormat="1" applyBorder="1" applyAlignment="1">
      <alignment horizontal="center"/>
    </xf>
    <xf numFmtId="164" fontId="0" fillId="0" borderId="96" xfId="0" applyNumberFormat="1" applyBorder="1" applyAlignment="1">
      <alignment horizontal="center"/>
    </xf>
    <xf numFmtId="0" fontId="0" fillId="0" borderId="60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2" fillId="3" borderId="18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52" xfId="0" applyFont="1" applyBorder="1" applyAlignment="1">
      <alignment horizontal="left" vertical="top" wrapText="1"/>
    </xf>
    <xf numFmtId="0" fontId="3" fillId="0" borderId="38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left"/>
    </xf>
    <xf numFmtId="0" fontId="6" fillId="5" borderId="9" xfId="0" applyFont="1" applyFill="1" applyBorder="1" applyAlignment="1">
      <alignment horizontal="left"/>
    </xf>
    <xf numFmtId="0" fontId="6" fillId="5" borderId="10" xfId="0" applyFont="1" applyFill="1" applyBorder="1" applyAlignment="1">
      <alignment horizontal="left"/>
    </xf>
    <xf numFmtId="0" fontId="2" fillId="3" borderId="75" xfId="0" applyFont="1" applyFill="1" applyBorder="1" applyAlignment="1">
      <alignment horizontal="center" vertical="center" wrapText="1"/>
    </xf>
    <xf numFmtId="0" fontId="0" fillId="0" borderId="90" xfId="0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164" fontId="0" fillId="0" borderId="83" xfId="0" applyNumberFormat="1" applyBorder="1" applyAlignment="1">
      <alignment horizontal="center"/>
    </xf>
    <xf numFmtId="0" fontId="0" fillId="0" borderId="61" xfId="0" applyBorder="1" applyAlignment="1">
      <alignment horizontal="left" vertical="center"/>
    </xf>
    <xf numFmtId="0" fontId="0" fillId="0" borderId="23" xfId="0" applyBorder="1"/>
    <xf numFmtId="164" fontId="0" fillId="0" borderId="90" xfId="0" applyNumberFormat="1" applyBorder="1" applyAlignment="1">
      <alignment horizontal="center"/>
    </xf>
    <xf numFmtId="164" fontId="0" fillId="0" borderId="93" xfId="0" applyNumberFormat="1" applyBorder="1" applyAlignment="1">
      <alignment horizontal="center"/>
    </xf>
    <xf numFmtId="164" fontId="0" fillId="0" borderId="97" xfId="0" applyNumberFormat="1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19" xfId="0" applyBorder="1" applyAlignment="1">
      <alignment horizontal="left" wrapText="1"/>
    </xf>
    <xf numFmtId="0" fontId="8" fillId="5" borderId="2" xfId="0" applyFont="1" applyFill="1" applyBorder="1" applyAlignment="1">
      <alignment horizontal="left"/>
    </xf>
    <xf numFmtId="0" fontId="8" fillId="5" borderId="3" xfId="0" applyFont="1" applyFill="1" applyBorder="1" applyAlignment="1">
      <alignment horizontal="left"/>
    </xf>
    <xf numFmtId="0" fontId="0" fillId="0" borderId="35" xfId="0" applyBorder="1" applyAlignment="1">
      <alignment horizontal="center"/>
    </xf>
    <xf numFmtId="0" fontId="0" fillId="0" borderId="9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0" fontId="0" fillId="0" borderId="83" xfId="0" applyBorder="1"/>
    <xf numFmtId="164" fontId="0" fillId="0" borderId="38" xfId="0" applyNumberForma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2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9" xfId="0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wrapText="1"/>
    </xf>
    <xf numFmtId="0" fontId="6" fillId="0" borderId="19" xfId="0" applyFont="1" applyBorder="1" applyAlignment="1">
      <alignment horizontal="left" wrapText="1"/>
    </xf>
    <xf numFmtId="0" fontId="4" fillId="0" borderId="0" xfId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top"/>
    </xf>
    <xf numFmtId="0" fontId="6" fillId="0" borderId="0" xfId="0" applyFont="1" applyBorder="1" applyAlignment="1">
      <alignment horizontal="left" vertical="top" wrapText="1"/>
    </xf>
    <xf numFmtId="0" fontId="1" fillId="2" borderId="1" xfId="4" applyFont="1" applyFill="1" applyBorder="1" applyAlignment="1">
      <alignment horizontal="center" vertical="top"/>
    </xf>
    <xf numFmtId="0" fontId="1" fillId="2" borderId="2" xfId="4" applyFont="1" applyFill="1" applyBorder="1" applyAlignment="1">
      <alignment horizontal="center" vertical="top"/>
    </xf>
    <xf numFmtId="0" fontId="1" fillId="2" borderId="3" xfId="4" applyFont="1" applyFill="1" applyBorder="1" applyAlignment="1">
      <alignment horizontal="center" vertical="top"/>
    </xf>
    <xf numFmtId="0" fontId="1" fillId="2" borderId="38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/>
    </xf>
    <xf numFmtId="0" fontId="0" fillId="0" borderId="3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52" xfId="0" applyBorder="1" applyAlignment="1">
      <alignment horizontal="left" wrapText="1"/>
    </xf>
    <xf numFmtId="0" fontId="1" fillId="2" borderId="9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6" fillId="0" borderId="38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19" xfId="0" applyFont="1" applyFill="1" applyBorder="1" applyAlignment="1">
      <alignment horizontal="left" vertical="top" wrapText="1"/>
    </xf>
    <xf numFmtId="0" fontId="2" fillId="3" borderId="47" xfId="0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8" xfId="0" applyBorder="1" applyAlignment="1">
      <alignment horizontal="left"/>
    </xf>
    <xf numFmtId="0" fontId="1" fillId="2" borderId="52" xfId="0" applyFont="1" applyFill="1" applyBorder="1" applyAlignment="1">
      <alignment horizontal="center" vertical="top"/>
    </xf>
    <xf numFmtId="164" fontId="0" fillId="0" borderId="34" xfId="0" applyNumberFormat="1" applyBorder="1" applyAlignment="1">
      <alignment horizontal="center"/>
    </xf>
    <xf numFmtId="164" fontId="0" fillId="0" borderId="82" xfId="0" applyNumberFormat="1" applyBorder="1" applyAlignment="1">
      <alignment horizontal="center"/>
    </xf>
    <xf numFmtId="0" fontId="0" fillId="0" borderId="82" xfId="0" applyBorder="1"/>
    <xf numFmtId="0" fontId="0" fillId="0" borderId="96" xfId="0" applyBorder="1"/>
    <xf numFmtId="0" fontId="1" fillId="2" borderId="4" xfId="0" applyFont="1" applyFill="1" applyBorder="1" applyAlignment="1">
      <alignment horizontal="center" vertical="top"/>
    </xf>
    <xf numFmtId="0" fontId="6" fillId="0" borderId="8" xfId="0" applyFont="1" applyBorder="1" applyAlignment="1">
      <alignment horizontal="left" wrapText="1"/>
    </xf>
    <xf numFmtId="0" fontId="6" fillId="0" borderId="9" xfId="0" applyFont="1" applyBorder="1" applyAlignment="1">
      <alignment horizontal="left" wrapText="1"/>
    </xf>
    <xf numFmtId="0" fontId="6" fillId="0" borderId="10" xfId="0" applyFont="1" applyBorder="1" applyAlignment="1">
      <alignment horizontal="left" wrapText="1"/>
    </xf>
    <xf numFmtId="0" fontId="0" fillId="0" borderId="32" xfId="0" applyBorder="1" applyAlignment="1">
      <alignment horizontal="center"/>
    </xf>
    <xf numFmtId="0" fontId="0" fillId="0" borderId="31" xfId="0" applyBorder="1"/>
    <xf numFmtId="164" fontId="0" fillId="0" borderId="28" xfId="0" applyNumberFormat="1" applyBorder="1" applyAlignment="1">
      <alignment horizontal="center"/>
    </xf>
    <xf numFmtId="0" fontId="0" fillId="0" borderId="35" xfId="0" applyBorder="1"/>
    <xf numFmtId="0" fontId="2" fillId="3" borderId="33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52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center" vertical="top"/>
    </xf>
    <xf numFmtId="0" fontId="13" fillId="2" borderId="2" xfId="0" applyFont="1" applyFill="1" applyBorder="1" applyAlignment="1">
      <alignment horizontal="center" vertical="top"/>
    </xf>
    <xf numFmtId="0" fontId="13" fillId="2" borderId="3" xfId="0" applyFont="1" applyFill="1" applyBorder="1" applyAlignment="1">
      <alignment horizontal="center" vertical="top"/>
    </xf>
    <xf numFmtId="0" fontId="13" fillId="2" borderId="5" xfId="0" applyFont="1" applyFill="1" applyBorder="1" applyAlignment="1">
      <alignment horizontal="center" vertical="top"/>
    </xf>
    <xf numFmtId="0" fontId="6" fillId="0" borderId="60" xfId="0" applyFont="1" applyBorder="1" applyAlignment="1">
      <alignment horizontal="left" vertical="center"/>
    </xf>
    <xf numFmtId="0" fontId="6" fillId="0" borderId="45" xfId="0" applyFont="1" applyBorder="1" applyAlignment="1">
      <alignment horizontal="left" vertical="center"/>
    </xf>
    <xf numFmtId="0" fontId="6" fillId="0" borderId="61" xfId="0" applyFont="1" applyBorder="1" applyAlignment="1">
      <alignment horizontal="left" vertical="center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/>
    <xf numFmtId="0" fontId="6" fillId="0" borderId="81" xfId="0" applyFont="1" applyBorder="1" applyAlignment="1">
      <alignment horizontal="center"/>
    </xf>
    <xf numFmtId="0" fontId="6" fillId="0" borderId="81" xfId="0" applyFont="1" applyBorder="1"/>
    <xf numFmtId="164" fontId="6" fillId="0" borderId="95" xfId="0" applyNumberFormat="1" applyFont="1" applyBorder="1" applyAlignment="1">
      <alignment horizontal="center"/>
    </xf>
    <xf numFmtId="0" fontId="6" fillId="0" borderId="95" xfId="0" applyFont="1" applyBorder="1"/>
    <xf numFmtId="0" fontId="0" fillId="0" borderId="22" xfId="0" applyBorder="1" applyAlignment="1">
      <alignment horizontal="left" vertical="center" wrapText="1"/>
    </xf>
    <xf numFmtId="0" fontId="0" fillId="0" borderId="22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2" xfId="0" applyFont="1" applyBorder="1" applyAlignment="1">
      <alignment horizontal="left" vertical="center" wrapText="1"/>
    </xf>
    <xf numFmtId="0" fontId="0" fillId="0" borderId="55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3" fillId="0" borderId="62" xfId="0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</cellXfs>
  <cellStyles count="21">
    <cellStyle name="Normal" xfId="0" builtinId="0"/>
    <cellStyle name="Normal 10" xfId="7"/>
    <cellStyle name="Normal 11" xfId="8"/>
    <cellStyle name="Normal 12" xfId="9"/>
    <cellStyle name="Normal 13" xfId="4"/>
    <cellStyle name="Normal 14" xfId="2"/>
    <cellStyle name="Normal 2" xfId="6"/>
    <cellStyle name="Normal 3" xfId="10"/>
    <cellStyle name="Normal 4" xfId="11"/>
    <cellStyle name="Normal 4 2" xfId="12"/>
    <cellStyle name="Normal 4 3" xfId="13"/>
    <cellStyle name="Normal 5" xfId="3"/>
    <cellStyle name="Normal 6" xfId="14"/>
    <cellStyle name="Normal 7" xfId="1"/>
    <cellStyle name="Normal 7 2" xfId="15"/>
    <cellStyle name="Normal 7 3" xfId="5"/>
    <cellStyle name="Normal 7 4" xfId="16"/>
    <cellStyle name="Normal 8" xfId="17"/>
    <cellStyle name="Normal 9" xfId="18"/>
    <cellStyle name="Percent 2" xfId="19"/>
    <cellStyle name="Total 2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3"/>
  <sheetViews>
    <sheetView workbookViewId="0">
      <selection activeCell="N13" sqref="N13"/>
    </sheetView>
  </sheetViews>
  <sheetFormatPr defaultRowHeight="15" x14ac:dyDescent="0.25"/>
  <cols>
    <col min="1" max="1" width="24" customWidth="1"/>
    <col min="2" max="2" width="20" customWidth="1"/>
    <col min="3" max="3" width="1.7109375" customWidth="1"/>
    <col min="4" max="5" width="10.5703125" bestFit="1" customWidth="1"/>
    <col min="6" max="6" width="10.5703125" customWidth="1"/>
    <col min="7" max="7" width="10.5703125" bestFit="1" customWidth="1"/>
    <col min="8" max="8" width="1.7109375" customWidth="1"/>
  </cols>
  <sheetData>
    <row r="1" spans="1:17" ht="15.75" thickBot="1" x14ac:dyDescent="0.3">
      <c r="A1" s="460" t="s">
        <v>296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2"/>
    </row>
    <row r="2" spans="1:17" ht="15.75" customHeight="1" thickBot="1" x14ac:dyDescent="0.3">
      <c r="A2" s="460" t="s">
        <v>21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2"/>
    </row>
    <row r="3" spans="1:17" ht="15.75" thickBot="1" x14ac:dyDescent="0.3">
      <c r="A3" s="460" t="s">
        <v>341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2"/>
    </row>
    <row r="4" spans="1:17" ht="15.75" customHeight="1" thickBot="1" x14ac:dyDescent="0.3">
      <c r="A4" s="463" t="s">
        <v>10</v>
      </c>
      <c r="B4" s="465" t="s">
        <v>9</v>
      </c>
      <c r="C4" s="9"/>
      <c r="D4" s="467" t="s">
        <v>0</v>
      </c>
      <c r="E4" s="468"/>
      <c r="F4" s="468"/>
      <c r="G4" s="469"/>
      <c r="H4" s="2"/>
      <c r="I4" s="470" t="s">
        <v>1</v>
      </c>
      <c r="J4" s="471"/>
      <c r="K4" s="471"/>
      <c r="L4" s="472"/>
    </row>
    <row r="5" spans="1:17" ht="45.75" thickBot="1" x14ac:dyDescent="0.3">
      <c r="A5" s="464"/>
      <c r="B5" s="466"/>
      <c r="C5" s="43"/>
      <c r="D5" s="44" t="s">
        <v>3</v>
      </c>
      <c r="E5" s="45" t="s">
        <v>4</v>
      </c>
      <c r="F5" s="46" t="s">
        <v>5</v>
      </c>
      <c r="G5" s="47" t="s">
        <v>6</v>
      </c>
      <c r="H5" s="7"/>
      <c r="I5" s="44" t="s">
        <v>3</v>
      </c>
      <c r="J5" s="45" t="s">
        <v>4</v>
      </c>
      <c r="K5" s="46" t="s">
        <v>5</v>
      </c>
      <c r="L5" s="47" t="s">
        <v>6</v>
      </c>
      <c r="M5">
        <v>4</v>
      </c>
      <c r="N5">
        <v>6</v>
      </c>
      <c r="O5">
        <v>2</v>
      </c>
      <c r="P5">
        <v>35</v>
      </c>
      <c r="Q5">
        <v>30</v>
      </c>
    </row>
    <row r="6" spans="1:17" ht="15.75" thickBot="1" x14ac:dyDescent="0.3">
      <c r="A6" s="319" t="s">
        <v>89</v>
      </c>
      <c r="B6" s="322" t="s">
        <v>401</v>
      </c>
      <c r="C6" s="48"/>
      <c r="D6" s="233">
        <f t="shared" ref="D6" si="0">(M6*$M$5)+35</f>
        <v>175</v>
      </c>
      <c r="E6" s="234">
        <f t="shared" ref="E6" si="1">(N6*$M$5)+35</f>
        <v>255</v>
      </c>
      <c r="F6" s="234">
        <f t="shared" ref="F6" si="2">(O6*$M$5)+35</f>
        <v>167</v>
      </c>
      <c r="G6" s="235">
        <f>(P6*$M$5)+30</f>
        <v>110</v>
      </c>
      <c r="H6" s="48"/>
      <c r="I6" s="233">
        <f t="shared" ref="I6" si="3">(M6*$N$5)+35</f>
        <v>245</v>
      </c>
      <c r="J6" s="234">
        <f t="shared" ref="J6" si="4">(N6*$N$5)+35</f>
        <v>365</v>
      </c>
      <c r="K6" s="234">
        <f t="shared" ref="K6" si="5">(O6*$N$5)+35</f>
        <v>233</v>
      </c>
      <c r="L6" s="235">
        <f>(P6*$N$5)+30</f>
        <v>150</v>
      </c>
      <c r="M6">
        <v>35</v>
      </c>
      <c r="N6">
        <f>35+20</f>
        <v>55</v>
      </c>
      <c r="O6" s="214">
        <f>CEILING((M6*$O$5+$Q$8)/3,1)</f>
        <v>33</v>
      </c>
      <c r="P6">
        <v>20</v>
      </c>
    </row>
    <row r="7" spans="1:17" ht="15.75" thickBot="1" x14ac:dyDescent="0.3">
      <c r="A7" s="34" t="s">
        <v>17</v>
      </c>
      <c r="B7" s="35"/>
      <c r="C7" s="35"/>
      <c r="D7" s="117"/>
      <c r="E7" s="117"/>
      <c r="F7" s="117"/>
      <c r="G7" s="117"/>
      <c r="H7" s="35"/>
      <c r="I7" s="117"/>
      <c r="J7" s="117"/>
      <c r="K7" s="117"/>
      <c r="L7" s="118"/>
    </row>
    <row r="8" spans="1:17" x14ac:dyDescent="0.25">
      <c r="A8" s="59" t="s">
        <v>12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1"/>
      <c r="Q8">
        <v>29</v>
      </c>
    </row>
    <row r="9" spans="1:17" x14ac:dyDescent="0.25">
      <c r="A9" s="59" t="s">
        <v>13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1"/>
      <c r="Q9">
        <v>40</v>
      </c>
    </row>
    <row r="10" spans="1:17" ht="29.25" customHeight="1" thickBot="1" x14ac:dyDescent="0.3">
      <c r="A10" s="451" t="s">
        <v>14</v>
      </c>
      <c r="B10" s="452"/>
      <c r="C10" s="452"/>
      <c r="D10" s="452"/>
      <c r="E10" s="452"/>
      <c r="F10" s="452"/>
      <c r="G10" s="452"/>
      <c r="H10" s="452"/>
      <c r="I10" s="452"/>
      <c r="J10" s="452"/>
      <c r="K10" s="452"/>
      <c r="L10" s="453"/>
    </row>
    <row r="11" spans="1:17" ht="15.75" thickBot="1" x14ac:dyDescent="0.3">
      <c r="A11" s="454" t="s">
        <v>16</v>
      </c>
      <c r="B11" s="455"/>
      <c r="C11" s="455"/>
      <c r="D11" s="455"/>
      <c r="E11" s="455"/>
      <c r="F11" s="455"/>
      <c r="G11" s="455"/>
      <c r="H11" s="455"/>
      <c r="I11" s="455"/>
      <c r="J11" s="455"/>
      <c r="K11" s="455"/>
      <c r="L11" s="456"/>
    </row>
    <row r="12" spans="1:17" ht="15.75" thickBot="1" x14ac:dyDescent="0.3">
      <c r="A12" s="63" t="s">
        <v>91</v>
      </c>
      <c r="B12" s="64" t="s">
        <v>212</v>
      </c>
      <c r="C12" s="65"/>
      <c r="D12" s="65"/>
      <c r="E12" s="60"/>
      <c r="F12" s="60"/>
      <c r="G12" s="60"/>
      <c r="H12" s="60"/>
      <c r="I12" s="60"/>
      <c r="J12" s="60"/>
      <c r="K12" s="60"/>
      <c r="L12" s="61"/>
    </row>
    <row r="13" spans="1:17" ht="15.75" thickBot="1" x14ac:dyDescent="0.3">
      <c r="A13" s="454" t="s">
        <v>213</v>
      </c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6"/>
    </row>
    <row r="14" spans="1:17" x14ac:dyDescent="0.25">
      <c r="A14" s="201" t="s">
        <v>214</v>
      </c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7"/>
    </row>
    <row r="15" spans="1:17" x14ac:dyDescent="0.25">
      <c r="A15" s="202" t="s">
        <v>215</v>
      </c>
      <c r="B15" s="195"/>
      <c r="C15" s="195"/>
      <c r="D15" s="195"/>
      <c r="E15" s="195"/>
      <c r="F15" s="195"/>
      <c r="G15" s="195"/>
      <c r="H15" s="195"/>
      <c r="I15" s="195"/>
      <c r="J15" s="195"/>
      <c r="K15" s="195"/>
      <c r="L15" s="198"/>
    </row>
    <row r="16" spans="1:17" ht="15.75" thickBot="1" x14ac:dyDescent="0.3">
      <c r="A16" s="203" t="s">
        <v>216</v>
      </c>
      <c r="B16" s="199"/>
      <c r="C16" s="199"/>
      <c r="D16" s="199"/>
      <c r="E16" s="199"/>
      <c r="F16" s="199"/>
      <c r="G16" s="199"/>
      <c r="H16" s="199"/>
      <c r="I16" s="199"/>
      <c r="J16" s="199"/>
      <c r="K16" s="199"/>
      <c r="L16" s="200"/>
    </row>
    <row r="17" spans="1:12" ht="15.75" thickBot="1" x14ac:dyDescent="0.3">
      <c r="A17" s="457" t="s">
        <v>15</v>
      </c>
      <c r="B17" s="458"/>
      <c r="C17" s="458"/>
      <c r="D17" s="458"/>
      <c r="E17" s="458"/>
      <c r="F17" s="458"/>
      <c r="G17" s="458"/>
      <c r="H17" s="458"/>
      <c r="I17" s="458"/>
      <c r="J17" s="458"/>
      <c r="K17" s="458"/>
      <c r="L17" s="459"/>
    </row>
    <row r="18" spans="1:12" x14ac:dyDescent="0.25">
      <c r="A18" s="81" t="s">
        <v>55</v>
      </c>
      <c r="B18" s="82" t="s">
        <v>56</v>
      </c>
      <c r="C18" s="83"/>
      <c r="D18" s="83"/>
      <c r="E18" s="84">
        <v>1</v>
      </c>
      <c r="F18" s="84"/>
      <c r="G18" s="84"/>
      <c r="H18" s="60"/>
      <c r="I18" s="60"/>
      <c r="J18" s="60"/>
      <c r="K18" s="60"/>
      <c r="L18" s="61"/>
    </row>
    <row r="19" spans="1:12" x14ac:dyDescent="0.25">
      <c r="A19" s="62" t="s">
        <v>57</v>
      </c>
      <c r="B19" s="64" t="s">
        <v>58</v>
      </c>
      <c r="C19" s="60"/>
      <c r="D19" s="60"/>
      <c r="E19" s="79" t="s">
        <v>60</v>
      </c>
      <c r="F19" s="79"/>
      <c r="G19" s="79"/>
      <c r="H19" s="60"/>
      <c r="I19" s="60"/>
      <c r="J19" s="60"/>
      <c r="K19" s="60"/>
      <c r="L19" s="61"/>
    </row>
    <row r="20" spans="1:12" x14ac:dyDescent="0.25">
      <c r="A20" s="62"/>
      <c r="B20" s="64" t="s">
        <v>59</v>
      </c>
      <c r="C20" s="60"/>
      <c r="D20" s="60"/>
      <c r="E20" s="79" t="s">
        <v>61</v>
      </c>
      <c r="F20" s="79"/>
      <c r="G20" s="79"/>
      <c r="H20" s="60"/>
      <c r="I20" s="60"/>
      <c r="J20" s="60"/>
      <c r="K20" s="60"/>
      <c r="L20" s="61"/>
    </row>
    <row r="21" spans="1:12" ht="15.75" thickBot="1" x14ac:dyDescent="0.3">
      <c r="A21" s="66"/>
      <c r="B21" s="67" t="s">
        <v>62</v>
      </c>
      <c r="C21" s="68"/>
      <c r="D21" s="68"/>
      <c r="E21" s="86">
        <v>1</v>
      </c>
      <c r="F21" s="86"/>
      <c r="G21" s="86"/>
      <c r="H21" s="68"/>
      <c r="I21" s="68"/>
      <c r="J21" s="68"/>
      <c r="K21" s="68"/>
      <c r="L21" s="69"/>
    </row>
    <row r="23" spans="1:12" x14ac:dyDescent="0.25">
      <c r="I23" s="70"/>
    </row>
  </sheetData>
  <mergeCells count="11">
    <mergeCell ref="A10:L10"/>
    <mergeCell ref="A11:L11"/>
    <mergeCell ref="A17:L17"/>
    <mergeCell ref="A13:L13"/>
    <mergeCell ref="A1:L1"/>
    <mergeCell ref="A2:L2"/>
    <mergeCell ref="A3:L3"/>
    <mergeCell ref="A4:A5"/>
    <mergeCell ref="B4:B5"/>
    <mergeCell ref="D4:G4"/>
    <mergeCell ref="I4:L4"/>
  </mergeCells>
  <pageMargins left="0.7" right="0.7" top="0.75" bottom="0.75" header="0.3" footer="0.3"/>
  <pageSetup scale="9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A34" workbookViewId="0">
      <selection activeCell="D52" sqref="D52"/>
    </sheetView>
  </sheetViews>
  <sheetFormatPr defaultRowHeight="15" x14ac:dyDescent="0.25"/>
  <cols>
    <col min="1" max="1" width="40.140625" customWidth="1"/>
    <col min="2" max="2" width="18.28515625" bestFit="1" customWidth="1"/>
    <col min="3" max="3" width="1.7109375" customWidth="1"/>
    <col min="4" max="5" width="9.7109375" customWidth="1"/>
    <col min="6" max="6" width="1.7109375" customWidth="1"/>
    <col min="7" max="8" width="9.7109375" customWidth="1"/>
    <col min="9" max="9" width="1.5703125" customWidth="1"/>
    <col min="12" max="13" width="9.140625" style="29" customWidth="1"/>
    <col min="14" max="16" width="9.140625" customWidth="1"/>
  </cols>
  <sheetData>
    <row r="1" spans="1:15" ht="15.75" thickBot="1" x14ac:dyDescent="0.3">
      <c r="A1" s="460" t="s">
        <v>304</v>
      </c>
      <c r="B1" s="461"/>
      <c r="C1" s="461"/>
      <c r="D1" s="461"/>
      <c r="E1" s="461"/>
      <c r="F1" s="461"/>
      <c r="G1" s="461"/>
      <c r="H1" s="461"/>
      <c r="I1" s="461"/>
      <c r="J1" s="461"/>
      <c r="K1" s="462"/>
      <c r="L1"/>
      <c r="M1"/>
    </row>
    <row r="2" spans="1:15" ht="15.75" thickBot="1" x14ac:dyDescent="0.3">
      <c r="A2" s="460" t="s">
        <v>21</v>
      </c>
      <c r="B2" s="461"/>
      <c r="C2" s="461"/>
      <c r="D2" s="461"/>
      <c r="E2" s="461"/>
      <c r="F2" s="461"/>
      <c r="G2" s="461"/>
      <c r="H2" s="461"/>
      <c r="I2" s="461"/>
      <c r="J2" s="461"/>
      <c r="K2" s="462"/>
    </row>
    <row r="3" spans="1:15" ht="15.75" thickBot="1" x14ac:dyDescent="0.3">
      <c r="A3" s="460" t="s">
        <v>341</v>
      </c>
      <c r="B3" s="461"/>
      <c r="C3" s="461"/>
      <c r="D3" s="461"/>
      <c r="E3" s="461"/>
      <c r="F3" s="461"/>
      <c r="G3" s="461"/>
      <c r="H3" s="461"/>
      <c r="I3" s="461"/>
      <c r="J3" s="461"/>
      <c r="K3" s="462"/>
      <c r="L3" s="29">
        <v>25</v>
      </c>
    </row>
    <row r="4" spans="1:15" ht="15.75" customHeight="1" thickBot="1" x14ac:dyDescent="0.3">
      <c r="A4" s="463" t="s">
        <v>10</v>
      </c>
      <c r="B4" s="463" t="s">
        <v>9</v>
      </c>
      <c r="C4" s="9"/>
      <c r="D4" s="467" t="s">
        <v>0</v>
      </c>
      <c r="E4" s="468"/>
      <c r="F4" s="2"/>
      <c r="G4" s="467" t="s">
        <v>1</v>
      </c>
      <c r="H4" s="469"/>
      <c r="I4" s="1"/>
      <c r="J4" s="467" t="s">
        <v>2</v>
      </c>
      <c r="K4" s="469"/>
      <c r="L4" s="74">
        <v>4</v>
      </c>
      <c r="M4" s="74">
        <v>4</v>
      </c>
      <c r="N4">
        <v>1.4</v>
      </c>
    </row>
    <row r="5" spans="1:15" ht="30.75" thickBot="1" x14ac:dyDescent="0.3">
      <c r="A5" s="464"/>
      <c r="B5" s="464"/>
      <c r="C5" s="96"/>
      <c r="D5" s="44" t="s">
        <v>3</v>
      </c>
      <c r="E5" s="45" t="s">
        <v>4</v>
      </c>
      <c r="F5" s="7"/>
      <c r="G5" s="3" t="s">
        <v>3</v>
      </c>
      <c r="H5" s="4" t="s">
        <v>4</v>
      </c>
      <c r="I5" s="6"/>
      <c r="J5" s="3" t="s">
        <v>7</v>
      </c>
      <c r="K5" s="8" t="s">
        <v>8</v>
      </c>
      <c r="L5" s="29">
        <v>4</v>
      </c>
      <c r="M5" s="29">
        <v>5</v>
      </c>
      <c r="N5">
        <v>1.5</v>
      </c>
      <c r="O5">
        <v>6</v>
      </c>
    </row>
    <row r="6" spans="1:15" ht="30" x14ac:dyDescent="0.25">
      <c r="A6" s="504" t="s">
        <v>89</v>
      </c>
      <c r="B6" s="282" t="s">
        <v>364</v>
      </c>
      <c r="C6" s="10"/>
      <c r="D6" s="15">
        <f t="shared" ref="D6:E8" si="0">(L6*$L$5)+25</f>
        <v>481</v>
      </c>
      <c r="E6" s="18">
        <f t="shared" si="0"/>
        <v>709</v>
      </c>
      <c r="F6" s="10"/>
      <c r="G6" s="15">
        <f>(L6*$M$5)+25</f>
        <v>595</v>
      </c>
      <c r="H6" s="18">
        <f>(M6*$M$5)+25</f>
        <v>880</v>
      </c>
      <c r="I6" s="10"/>
      <c r="J6" s="278">
        <f>(CEILING((L6*$L$5*$N$5)/2,1))+25</f>
        <v>367</v>
      </c>
      <c r="K6" s="278">
        <f>(CEILING((L6*$O$5*$N$5)/2,1))+25</f>
        <v>538</v>
      </c>
      <c r="L6" s="23">
        <v>114</v>
      </c>
      <c r="M6" s="23">
        <v>171</v>
      </c>
    </row>
    <row r="7" spans="1:15" ht="15.75" thickBot="1" x14ac:dyDescent="0.3">
      <c r="A7" s="505"/>
      <c r="B7" s="282" t="s">
        <v>365</v>
      </c>
      <c r="C7" s="239"/>
      <c r="D7" s="24">
        <f t="shared" si="0"/>
        <v>405</v>
      </c>
      <c r="E7" s="22">
        <f t="shared" si="0"/>
        <v>597</v>
      </c>
      <c r="F7" s="39"/>
      <c r="G7" s="24">
        <f>(L7*$M$4)+25</f>
        <v>405</v>
      </c>
      <c r="H7" s="22">
        <f>(M7*$M$4)+25</f>
        <v>597</v>
      </c>
      <c r="I7" s="239"/>
      <c r="J7" s="279">
        <f>(CEILING((L7*N4*L4)/2,1))+25</f>
        <v>291</v>
      </c>
      <c r="K7" s="279">
        <f>(CEILING((L7*$O$5*$N$4)/2,1))+25</f>
        <v>424</v>
      </c>
      <c r="L7" s="311">
        <v>95</v>
      </c>
      <c r="M7" s="311">
        <v>143</v>
      </c>
    </row>
    <row r="8" spans="1:15" ht="30" x14ac:dyDescent="0.25">
      <c r="A8" s="504" t="s">
        <v>292</v>
      </c>
      <c r="B8" s="282" t="s">
        <v>364</v>
      </c>
      <c r="C8" s="240"/>
      <c r="D8" s="15">
        <f t="shared" si="0"/>
        <v>633</v>
      </c>
      <c r="E8" s="16">
        <f t="shared" si="0"/>
        <v>937</v>
      </c>
      <c r="F8" s="160"/>
      <c r="G8" s="15">
        <f>(L8*$M$5)+25</f>
        <v>785</v>
      </c>
      <c r="H8" s="18">
        <f>(M8*$M$5)+25</f>
        <v>1165</v>
      </c>
      <c r="I8" s="239"/>
      <c r="J8" s="278">
        <f>(CEILING((L8*$L$5*$N$5)/2,1))+25</f>
        <v>481</v>
      </c>
      <c r="K8" s="278">
        <f>(CEILING((L8*$O$5*$N$5)/2,1))+25</f>
        <v>709</v>
      </c>
      <c r="L8" s="23">
        <v>152</v>
      </c>
      <c r="M8" s="23">
        <v>228</v>
      </c>
    </row>
    <row r="9" spans="1:15" ht="15.75" thickBot="1" x14ac:dyDescent="0.3">
      <c r="A9" s="505"/>
      <c r="B9" s="282" t="s">
        <v>365</v>
      </c>
      <c r="C9" s="240"/>
      <c r="D9" s="24">
        <f>(L9*$L$4)+25</f>
        <v>525</v>
      </c>
      <c r="E9" s="25">
        <f>(M9*$L$4)+25</f>
        <v>777</v>
      </c>
      <c r="F9" s="161"/>
      <c r="G9" s="24">
        <f>(L9*$M$4)+25</f>
        <v>525</v>
      </c>
      <c r="H9" s="22">
        <f>(M9*$M$4)+25</f>
        <v>777</v>
      </c>
      <c r="I9" s="239"/>
      <c r="J9" s="279">
        <f>(CEILING((L9*$N$4*$L$4)/2,1))+25</f>
        <v>375</v>
      </c>
      <c r="K9" s="279">
        <f>(CEILING((L9*$O$5*$N$4)/2,1))+25</f>
        <v>550</v>
      </c>
      <c r="L9" s="23">
        <v>125</v>
      </c>
      <c r="M9" s="23">
        <v>188</v>
      </c>
    </row>
    <row r="10" spans="1:15" ht="15.75" thickBot="1" x14ac:dyDescent="0.3">
      <c r="A10" s="99" t="s">
        <v>17</v>
      </c>
      <c r="B10" s="97"/>
      <c r="C10" s="97"/>
      <c r="D10" s="97"/>
      <c r="E10" s="97"/>
      <c r="F10" s="97"/>
      <c r="G10" s="97"/>
      <c r="H10" s="97"/>
      <c r="I10" s="97"/>
      <c r="J10" s="97"/>
      <c r="K10" s="98"/>
    </row>
    <row r="11" spans="1:15" x14ac:dyDescent="0.25">
      <c r="A11" s="76" t="s">
        <v>12</v>
      </c>
      <c r="B11" s="77"/>
      <c r="C11" s="77"/>
      <c r="D11" s="77"/>
      <c r="E11" s="77"/>
      <c r="F11" s="77"/>
      <c r="G11" s="77"/>
      <c r="H11" s="77"/>
      <c r="I11" s="77"/>
      <c r="J11" s="77"/>
      <c r="K11" s="78"/>
    </row>
    <row r="12" spans="1:15" x14ac:dyDescent="0.25">
      <c r="A12" s="28" t="s">
        <v>13</v>
      </c>
      <c r="B12" s="29"/>
      <c r="C12" s="29"/>
      <c r="D12" s="29"/>
      <c r="E12" s="29"/>
      <c r="F12" s="29"/>
      <c r="G12" s="29"/>
      <c r="H12" s="29"/>
      <c r="I12" s="29"/>
      <c r="J12" s="29"/>
      <c r="K12" s="58"/>
    </row>
    <row r="13" spans="1:15" x14ac:dyDescent="0.25">
      <c r="A13" s="548" t="s">
        <v>14</v>
      </c>
      <c r="B13" s="549"/>
      <c r="C13" s="549"/>
      <c r="D13" s="549"/>
      <c r="E13" s="549"/>
      <c r="F13" s="549"/>
      <c r="G13" s="549"/>
      <c r="H13" s="549"/>
      <c r="I13" s="549"/>
      <c r="J13" s="549"/>
      <c r="K13" s="518"/>
    </row>
    <row r="14" spans="1:15" ht="15.75" thickBot="1" x14ac:dyDescent="0.3">
      <c r="A14" s="138" t="s">
        <v>101</v>
      </c>
      <c r="B14" s="88"/>
      <c r="C14" s="88"/>
      <c r="D14" s="88"/>
      <c r="E14" s="88"/>
      <c r="F14" s="88"/>
      <c r="G14" s="88"/>
      <c r="H14" s="88"/>
      <c r="I14" s="88"/>
      <c r="J14" s="88"/>
      <c r="K14" s="87"/>
    </row>
    <row r="15" spans="1:15" ht="15.75" thickBot="1" x14ac:dyDescent="0.3">
      <c r="A15" s="545" t="s">
        <v>24</v>
      </c>
      <c r="B15" s="546"/>
      <c r="C15" s="546"/>
      <c r="D15" s="546"/>
      <c r="E15" s="546"/>
      <c r="F15" s="546"/>
      <c r="G15" s="546"/>
      <c r="H15" s="546"/>
      <c r="I15" s="546"/>
      <c r="J15" s="546"/>
      <c r="K15" s="547"/>
    </row>
    <row r="16" spans="1:15" s="74" customFormat="1" ht="15.75" thickBot="1" x14ac:dyDescent="0.3">
      <c r="A16" s="460" t="s">
        <v>366</v>
      </c>
      <c r="B16" s="461"/>
      <c r="C16" s="461"/>
      <c r="D16" s="553"/>
      <c r="E16" s="553"/>
      <c r="F16" s="461"/>
      <c r="G16" s="553"/>
      <c r="H16" s="553"/>
      <c r="I16" s="461"/>
      <c r="J16" s="553"/>
      <c r="K16" s="554"/>
      <c r="L16" s="27">
        <v>25</v>
      </c>
      <c r="M16" s="27">
        <v>0.9</v>
      </c>
    </row>
    <row r="17" spans="1:15" ht="15.75" customHeight="1" thickBot="1" x14ac:dyDescent="0.3">
      <c r="A17" s="463" t="s">
        <v>10</v>
      </c>
      <c r="B17" s="463" t="s">
        <v>9</v>
      </c>
      <c r="C17" s="9"/>
      <c r="D17" s="467" t="s">
        <v>0</v>
      </c>
      <c r="E17" s="468"/>
      <c r="F17" s="2"/>
      <c r="G17" s="467" t="s">
        <v>1</v>
      </c>
      <c r="H17" s="469"/>
      <c r="I17" s="1"/>
      <c r="J17" s="467" t="s">
        <v>2</v>
      </c>
      <c r="K17" s="469"/>
      <c r="L17" s="74">
        <v>4</v>
      </c>
      <c r="M17" s="74">
        <v>4</v>
      </c>
      <c r="N17">
        <v>1.4</v>
      </c>
    </row>
    <row r="18" spans="1:15" ht="30.75" thickBot="1" x14ac:dyDescent="0.3">
      <c r="A18" s="464"/>
      <c r="B18" s="464"/>
      <c r="C18" s="96"/>
      <c r="D18" s="280" t="s">
        <v>3</v>
      </c>
      <c r="E18" s="45" t="s">
        <v>4</v>
      </c>
      <c r="F18" s="7"/>
      <c r="G18" s="3" t="s">
        <v>3</v>
      </c>
      <c r="H18" s="4" t="s">
        <v>4</v>
      </c>
      <c r="I18" s="6"/>
      <c r="J18" s="3" t="s">
        <v>7</v>
      </c>
      <c r="K18" s="8" t="s">
        <v>8</v>
      </c>
      <c r="L18" s="74">
        <v>4</v>
      </c>
      <c r="M18" s="74">
        <v>5</v>
      </c>
      <c r="N18">
        <v>1.5</v>
      </c>
      <c r="O18">
        <v>6</v>
      </c>
    </row>
    <row r="19" spans="1:15" ht="30.75" thickBot="1" x14ac:dyDescent="0.3">
      <c r="A19" s="277" t="s">
        <v>89</v>
      </c>
      <c r="B19" s="282" t="s">
        <v>364</v>
      </c>
      <c r="C19" s="10"/>
      <c r="D19" s="15">
        <f>CEILING(((((L19*$L$5)+25)-25)*0.9)+25,1)</f>
        <v>436</v>
      </c>
      <c r="E19" s="18">
        <f>CEILING(((((M19*$L$5)+25)-25)*0.9)+25,1)</f>
        <v>641</v>
      </c>
      <c r="F19" s="10"/>
      <c r="G19" s="15">
        <f>((((L19*$M$5)+25)-25)*0.9)+25</f>
        <v>538</v>
      </c>
      <c r="H19" s="18">
        <f>CEILING(((((M19*$M$5)+25)-25)*0.9)+25,1)</f>
        <v>795</v>
      </c>
      <c r="I19" s="10"/>
      <c r="J19" s="278">
        <f>CEILING(((((CEILING((L19*$L$5*$N$5)/2,1))+25)-25)*0.9)+25,1)</f>
        <v>333</v>
      </c>
      <c r="K19" s="278">
        <f>CEILING(((((CEILING((L19*$O$5*$N$5)/2,1))+25)-25)*0.9)+25,1)</f>
        <v>487</v>
      </c>
      <c r="L19" s="23">
        <v>114</v>
      </c>
      <c r="M19" s="23">
        <v>171</v>
      </c>
    </row>
    <row r="20" spans="1:15" ht="30.75" thickBot="1" x14ac:dyDescent="0.3">
      <c r="A20" s="277" t="s">
        <v>292</v>
      </c>
      <c r="B20" s="282" t="s">
        <v>364</v>
      </c>
      <c r="C20" s="240"/>
      <c r="D20" s="15">
        <f>CEILING(((((L20*$L$5)+25)-25)*0.9)+25,1)</f>
        <v>573</v>
      </c>
      <c r="E20" s="16">
        <f>CEILING(((((M20*$L$5)+25)-25)*0.9)+25,1)</f>
        <v>846</v>
      </c>
      <c r="F20" s="160"/>
      <c r="G20" s="15">
        <f>((((L20*$M$5)+25)-25)*0.9)+25</f>
        <v>709</v>
      </c>
      <c r="H20" s="18">
        <f>((((M20*$M$5)+25)-25)*0.9)+25</f>
        <v>1051</v>
      </c>
      <c r="I20" s="239"/>
      <c r="J20" s="278">
        <f>CEILING(((((CEILING((L20*$L$5*$N$5)/2,1))+25)-25)*0.9)+25,1)</f>
        <v>436</v>
      </c>
      <c r="K20" s="278">
        <f>CEILING(((((CEILING((L20*$O$5*$N$5)/2,1))+25)-25)*0.9)+25,1)</f>
        <v>641</v>
      </c>
      <c r="L20" s="23">
        <v>152</v>
      </c>
      <c r="M20" s="23">
        <v>228</v>
      </c>
    </row>
    <row r="21" spans="1:15" s="74" customFormat="1" ht="15.75" thickBot="1" x14ac:dyDescent="0.3">
      <c r="A21" s="460" t="s">
        <v>367</v>
      </c>
      <c r="B21" s="461"/>
      <c r="C21" s="461"/>
      <c r="D21" s="553"/>
      <c r="E21" s="553"/>
      <c r="F21" s="461"/>
      <c r="G21" s="553"/>
      <c r="H21" s="553"/>
      <c r="I21" s="461"/>
      <c r="J21" s="553"/>
      <c r="K21" s="554"/>
      <c r="L21" s="27">
        <v>25</v>
      </c>
      <c r="M21" s="27">
        <v>0.9</v>
      </c>
    </row>
    <row r="22" spans="1:15" ht="15.75" customHeight="1" thickBot="1" x14ac:dyDescent="0.3">
      <c r="A22" s="463" t="s">
        <v>10</v>
      </c>
      <c r="B22" s="463" t="s">
        <v>9</v>
      </c>
      <c r="C22" s="9"/>
      <c r="D22" s="467" t="s">
        <v>0</v>
      </c>
      <c r="E22" s="468"/>
      <c r="F22" s="2"/>
      <c r="G22" s="467" t="s">
        <v>1</v>
      </c>
      <c r="H22" s="469"/>
      <c r="I22" s="1"/>
      <c r="J22" s="467" t="s">
        <v>2</v>
      </c>
      <c r="K22" s="469"/>
      <c r="L22" s="74">
        <v>4</v>
      </c>
      <c r="M22" s="74">
        <v>4</v>
      </c>
      <c r="N22" s="151">
        <v>1.4</v>
      </c>
    </row>
    <row r="23" spans="1:15" ht="30.75" thickBot="1" x14ac:dyDescent="0.3">
      <c r="A23" s="464"/>
      <c r="B23" s="464"/>
      <c r="C23" s="96"/>
      <c r="D23" s="280" t="s">
        <v>3</v>
      </c>
      <c r="E23" s="45" t="s">
        <v>4</v>
      </c>
      <c r="F23" s="7"/>
      <c r="G23" s="3" t="s">
        <v>3</v>
      </c>
      <c r="H23" s="4" t="s">
        <v>4</v>
      </c>
      <c r="I23" s="6"/>
      <c r="J23" s="3" t="s">
        <v>7</v>
      </c>
      <c r="K23" s="8" t="s">
        <v>8</v>
      </c>
      <c r="L23" s="29">
        <v>4</v>
      </c>
      <c r="M23" s="29">
        <v>5</v>
      </c>
      <c r="N23">
        <v>1.5</v>
      </c>
      <c r="O23">
        <v>6</v>
      </c>
    </row>
    <row r="24" spans="1:15" ht="15.75" thickBot="1" x14ac:dyDescent="0.3">
      <c r="A24" s="276" t="s">
        <v>89</v>
      </c>
      <c r="B24" s="282" t="s">
        <v>365</v>
      </c>
      <c r="C24" s="239"/>
      <c r="D24" s="24">
        <f>((((L24*$L$5)+25)-25)*0.9)+25</f>
        <v>367</v>
      </c>
      <c r="E24" s="22">
        <f>CEILING(((((M24*$L$5)+25)-25)*0.9)+25,1)</f>
        <v>540</v>
      </c>
      <c r="F24" s="39"/>
      <c r="G24" s="24">
        <f>((((L24*$M$4)+25)-25)*0.9)+25</f>
        <v>367</v>
      </c>
      <c r="H24" s="22">
        <f>CEILING(((((M24*$M$4)+25)-25)*0.9)+25,1)</f>
        <v>540</v>
      </c>
      <c r="I24" s="239"/>
      <c r="J24" s="279">
        <f>CEILING(((((CEILING((L24*N22*L22)/2,1))+25)-25)*0.9)+25,1)</f>
        <v>265</v>
      </c>
      <c r="K24" s="279">
        <f>CEILING(((((CEILING((L24*$O$5*$N$4)/2,1))+25)-25)*0.9)+25,1)</f>
        <v>385</v>
      </c>
      <c r="L24" s="311">
        <v>95</v>
      </c>
      <c r="M24" s="311">
        <v>143</v>
      </c>
    </row>
    <row r="25" spans="1:15" ht="15.75" thickBot="1" x14ac:dyDescent="0.3">
      <c r="A25" s="276" t="s">
        <v>292</v>
      </c>
      <c r="B25" s="282" t="s">
        <v>365</v>
      </c>
      <c r="C25" s="240"/>
      <c r="D25" s="24">
        <f>((((L25*$L$4)+25)-25)*0.9)+25</f>
        <v>475</v>
      </c>
      <c r="E25" s="25">
        <f>CEILING(((((M25*$L$4)+25)-25)*0.9)+25,1)</f>
        <v>702</v>
      </c>
      <c r="F25" s="161"/>
      <c r="G25" s="24">
        <f>((((L25*$M$4)+25)-25)*0.9)+25</f>
        <v>475</v>
      </c>
      <c r="H25" s="22">
        <f>CEILING(((((M25*$M$4)+25)-25)*0.9)+25,1)</f>
        <v>702</v>
      </c>
      <c r="I25" s="239"/>
      <c r="J25" s="279">
        <f>((((CEILING((L25*$N$4*$L$4)/2,1))+25)-25)*0.9)+25</f>
        <v>340</v>
      </c>
      <c r="K25" s="279">
        <f>CEILING(((((CEILING((L25*$O$5*$N$4)/2,1))+25)-25)*0.9)+25,1)</f>
        <v>498</v>
      </c>
      <c r="L25" s="23">
        <v>125</v>
      </c>
      <c r="M25" s="23">
        <v>188</v>
      </c>
    </row>
    <row r="26" spans="1:15" ht="15.75" thickBot="1" x14ac:dyDescent="0.3">
      <c r="A26" s="93" t="s">
        <v>102</v>
      </c>
      <c r="B26" s="92"/>
      <c r="C26" s="92"/>
      <c r="D26" s="92"/>
      <c r="E26" s="92"/>
      <c r="F26" s="92"/>
      <c r="G26" s="92"/>
      <c r="H26" s="92"/>
      <c r="I26" s="92"/>
      <c r="J26" s="92"/>
      <c r="K26" s="91"/>
    </row>
    <row r="27" spans="1:15" x14ac:dyDescent="0.25">
      <c r="A27" s="62" t="s">
        <v>103</v>
      </c>
      <c r="B27" s="29"/>
      <c r="C27" s="29"/>
      <c r="D27" s="29"/>
      <c r="E27" s="29"/>
      <c r="F27" s="29"/>
      <c r="G27" s="29"/>
      <c r="H27" s="29"/>
      <c r="I27" s="29"/>
      <c r="J27" s="29"/>
      <c r="K27" s="58"/>
    </row>
    <row r="28" spans="1:15" x14ac:dyDescent="0.25">
      <c r="A28" s="62" t="s">
        <v>104</v>
      </c>
      <c r="B28" s="29"/>
      <c r="C28" s="29"/>
      <c r="D28" s="29"/>
      <c r="E28" s="29"/>
      <c r="F28" s="29"/>
      <c r="G28" s="29"/>
      <c r="H28" s="29"/>
      <c r="I28" s="29"/>
      <c r="J28" s="29"/>
      <c r="K28" s="58"/>
    </row>
    <row r="29" spans="1:15" x14ac:dyDescent="0.25">
      <c r="A29" s="62" t="s">
        <v>105</v>
      </c>
      <c r="B29" s="29"/>
      <c r="C29" s="29"/>
      <c r="D29" s="29"/>
      <c r="E29" s="29"/>
      <c r="F29" s="29"/>
      <c r="G29" s="29"/>
      <c r="H29" s="29"/>
      <c r="I29" s="29"/>
      <c r="J29" s="29"/>
      <c r="K29" s="58"/>
    </row>
    <row r="30" spans="1:15" x14ac:dyDescent="0.25">
      <c r="A30" s="62" t="s">
        <v>106</v>
      </c>
      <c r="B30" s="29"/>
      <c r="C30" s="29"/>
      <c r="D30" s="29"/>
      <c r="E30" s="29"/>
      <c r="F30" s="29"/>
      <c r="G30" s="29"/>
      <c r="H30" s="29"/>
      <c r="I30" s="29"/>
      <c r="J30" s="29"/>
      <c r="K30" s="58"/>
    </row>
    <row r="31" spans="1:15" ht="15.75" thickBot="1" x14ac:dyDescent="0.3">
      <c r="A31" s="28" t="s">
        <v>87</v>
      </c>
      <c r="B31" s="29"/>
      <c r="C31" s="29"/>
      <c r="D31" s="29"/>
      <c r="E31" s="29"/>
      <c r="F31" s="29"/>
      <c r="G31" s="29"/>
      <c r="H31" s="29"/>
      <c r="I31" s="29"/>
      <c r="J31" s="29"/>
      <c r="K31" s="58"/>
    </row>
    <row r="32" spans="1:15" ht="15.75" thickBot="1" x14ac:dyDescent="0.3">
      <c r="A32" s="499" t="s">
        <v>16</v>
      </c>
      <c r="B32" s="500"/>
      <c r="C32" s="500"/>
      <c r="D32" s="500"/>
      <c r="E32" s="500"/>
      <c r="F32" s="500"/>
      <c r="G32" s="500"/>
      <c r="H32" s="500"/>
      <c r="I32" s="500"/>
      <c r="J32" s="500"/>
      <c r="K32" s="501"/>
    </row>
    <row r="33" spans="1:11" x14ac:dyDescent="0.25">
      <c r="A33" s="111" t="s">
        <v>65</v>
      </c>
      <c r="B33" s="82" t="s">
        <v>74</v>
      </c>
      <c r="C33" s="101"/>
      <c r="D33" s="101"/>
      <c r="E33" s="83"/>
      <c r="F33" s="83"/>
      <c r="G33" s="83"/>
      <c r="H33" s="83"/>
      <c r="I33" s="83"/>
      <c r="J33" s="77"/>
      <c r="K33" s="78"/>
    </row>
    <row r="34" spans="1:11" ht="15.75" thickBot="1" x14ac:dyDescent="0.3">
      <c r="A34" s="112" t="s">
        <v>18</v>
      </c>
      <c r="B34" s="67" t="s">
        <v>74</v>
      </c>
      <c r="C34" s="103"/>
      <c r="D34" s="103"/>
      <c r="E34" s="68"/>
      <c r="F34" s="68"/>
      <c r="G34" s="68"/>
      <c r="H34" s="68"/>
      <c r="I34" s="68"/>
      <c r="J34" s="88"/>
      <c r="K34" s="87"/>
    </row>
    <row r="35" spans="1:11" ht="15.75" thickBot="1" x14ac:dyDescent="0.3">
      <c r="A35" s="99" t="s">
        <v>15</v>
      </c>
      <c r="B35" s="97"/>
      <c r="C35" s="97"/>
      <c r="D35" s="97"/>
      <c r="E35" s="97"/>
      <c r="F35" s="97"/>
      <c r="G35" s="97"/>
      <c r="H35" s="97"/>
      <c r="I35" s="97"/>
      <c r="J35" s="97"/>
      <c r="K35" s="98"/>
    </row>
    <row r="36" spans="1:11" x14ac:dyDescent="0.25">
      <c r="A36" s="113" t="s">
        <v>107</v>
      </c>
      <c r="B36" s="77"/>
      <c r="C36" s="77"/>
      <c r="D36" s="77"/>
      <c r="E36" s="77"/>
      <c r="F36" s="77"/>
      <c r="G36" s="77"/>
      <c r="H36" s="77"/>
      <c r="I36" s="77"/>
      <c r="J36" s="77"/>
      <c r="K36" s="78"/>
    </row>
    <row r="37" spans="1:11" x14ac:dyDescent="0.25">
      <c r="A37" s="105" t="s">
        <v>109</v>
      </c>
      <c r="B37" s="29"/>
      <c r="C37" s="29"/>
      <c r="D37" s="29"/>
      <c r="E37" s="105"/>
      <c r="F37" s="29"/>
      <c r="G37" s="29"/>
      <c r="H37" s="29"/>
      <c r="I37" s="29"/>
      <c r="J37" s="29"/>
      <c r="K37" s="58"/>
    </row>
    <row r="38" spans="1:11" ht="32.25" customHeight="1" x14ac:dyDescent="0.25">
      <c r="A38" s="555" t="s">
        <v>108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7"/>
    </row>
    <row r="39" spans="1:11" x14ac:dyDescent="0.25">
      <c r="A39" s="114" t="s">
        <v>110</v>
      </c>
      <c r="B39" s="29"/>
      <c r="C39" s="29"/>
      <c r="D39" s="29"/>
      <c r="E39" s="29"/>
      <c r="F39" s="29"/>
      <c r="G39" s="29"/>
      <c r="H39" s="29"/>
      <c r="I39" s="29"/>
      <c r="J39" s="29"/>
      <c r="K39" s="58"/>
    </row>
    <row r="40" spans="1:11" x14ac:dyDescent="0.25">
      <c r="A40" s="105" t="s">
        <v>111</v>
      </c>
      <c r="B40" s="29"/>
      <c r="C40" s="29"/>
      <c r="D40" s="29"/>
      <c r="E40" s="29"/>
      <c r="F40" s="29"/>
      <c r="G40" s="29"/>
      <c r="H40" s="29"/>
      <c r="I40" s="29"/>
      <c r="J40" s="29"/>
      <c r="K40" s="58"/>
    </row>
    <row r="41" spans="1:11" ht="34.5" customHeight="1" x14ac:dyDescent="0.25">
      <c r="A41" s="548" t="s">
        <v>112</v>
      </c>
      <c r="B41" s="549"/>
      <c r="C41" s="549"/>
      <c r="D41" s="549"/>
      <c r="E41" s="549"/>
      <c r="F41" s="549"/>
      <c r="G41" s="549"/>
      <c r="H41" s="549"/>
      <c r="I41" s="549"/>
      <c r="J41" s="549"/>
      <c r="K41" s="518"/>
    </row>
    <row r="42" spans="1:11" ht="26.25" customHeight="1" thickBot="1" x14ac:dyDescent="0.3">
      <c r="A42" s="550" t="s">
        <v>113</v>
      </c>
      <c r="B42" s="551"/>
      <c r="C42" s="551"/>
      <c r="D42" s="551"/>
      <c r="E42" s="551"/>
      <c r="F42" s="551"/>
      <c r="G42" s="551"/>
      <c r="H42" s="551"/>
      <c r="I42" s="551"/>
      <c r="J42" s="551"/>
      <c r="K42" s="552"/>
    </row>
  </sheetData>
  <mergeCells count="28">
    <mergeCell ref="A41:K41"/>
    <mergeCell ref="A42:K42"/>
    <mergeCell ref="A16:K16"/>
    <mergeCell ref="A21:K21"/>
    <mergeCell ref="A17:A18"/>
    <mergeCell ref="A38:K38"/>
    <mergeCell ref="A32:K32"/>
    <mergeCell ref="B17:B18"/>
    <mergeCell ref="D17:E17"/>
    <mergeCell ref="G17:H17"/>
    <mergeCell ref="J17:K17"/>
    <mergeCell ref="A22:A23"/>
    <mergeCell ref="B22:B23"/>
    <mergeCell ref="D22:E22"/>
    <mergeCell ref="G22:H22"/>
    <mergeCell ref="J22:K22"/>
    <mergeCell ref="A15:K15"/>
    <mergeCell ref="A1:K1"/>
    <mergeCell ref="A13:K13"/>
    <mergeCell ref="A2:K2"/>
    <mergeCell ref="A3:K3"/>
    <mergeCell ref="A4:A5"/>
    <mergeCell ref="B4:B5"/>
    <mergeCell ref="A6:A7"/>
    <mergeCell ref="A8:A9"/>
    <mergeCell ref="D4:E4"/>
    <mergeCell ref="G4:H4"/>
    <mergeCell ref="J4:K4"/>
  </mergeCells>
  <pageMargins left="0.7" right="0.7" top="0.75" bottom="0.75" header="0.3" footer="0.3"/>
  <pageSetup scale="78" fitToHeight="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>
      <selection activeCell="F34" sqref="F34"/>
    </sheetView>
  </sheetViews>
  <sheetFormatPr defaultRowHeight="15" x14ac:dyDescent="0.25"/>
  <cols>
    <col min="1" max="1" width="24" customWidth="1"/>
    <col min="2" max="2" width="20" customWidth="1"/>
    <col min="3" max="3" width="1.7109375" customWidth="1"/>
    <col min="9" max="9" width="1.7109375" customWidth="1"/>
    <col min="10" max="14" width="9.140625" customWidth="1"/>
    <col min="15" max="15" width="1.5703125" customWidth="1"/>
    <col min="16" max="17" width="9.140625" customWidth="1"/>
  </cols>
  <sheetData>
    <row r="1" spans="1:22" ht="15.75" thickBot="1" x14ac:dyDescent="0.3">
      <c r="A1" s="460" t="s">
        <v>331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2"/>
    </row>
    <row r="2" spans="1:22" ht="15.75" thickBot="1" x14ac:dyDescent="0.3">
      <c r="A2" s="460" t="s">
        <v>21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2"/>
    </row>
    <row r="3" spans="1:22" ht="15.75" thickBot="1" x14ac:dyDescent="0.3">
      <c r="A3" s="460" t="s">
        <v>341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2"/>
    </row>
    <row r="4" spans="1:22" ht="15.75" customHeight="1" thickBot="1" x14ac:dyDescent="0.3">
      <c r="A4" s="463" t="s">
        <v>10</v>
      </c>
      <c r="B4" s="465" t="s">
        <v>9</v>
      </c>
      <c r="C4" s="9"/>
      <c r="D4" s="467" t="s">
        <v>0</v>
      </c>
      <c r="E4" s="468"/>
      <c r="F4" s="468"/>
      <c r="G4" s="468"/>
      <c r="H4" s="469"/>
      <c r="I4" s="2"/>
      <c r="J4" s="467" t="s">
        <v>1</v>
      </c>
      <c r="K4" s="468"/>
      <c r="L4" s="468"/>
      <c r="M4" s="468"/>
      <c r="N4" s="469"/>
      <c r="O4" s="1"/>
      <c r="P4" s="558" t="s">
        <v>2</v>
      </c>
      <c r="Q4" s="559"/>
    </row>
    <row r="5" spans="1:22" ht="60.75" thickBot="1" x14ac:dyDescent="0.3">
      <c r="A5" s="490"/>
      <c r="B5" s="502"/>
      <c r="C5" s="43"/>
      <c r="D5" s="254" t="s">
        <v>3</v>
      </c>
      <c r="E5" s="45" t="s">
        <v>4</v>
      </c>
      <c r="F5" s="45" t="s">
        <v>5</v>
      </c>
      <c r="G5" s="45" t="s">
        <v>316</v>
      </c>
      <c r="H5" s="255" t="s">
        <v>314</v>
      </c>
      <c r="I5" s="43"/>
      <c r="J5" s="254" t="s">
        <v>3</v>
      </c>
      <c r="K5" s="45" t="s">
        <v>4</v>
      </c>
      <c r="L5" s="45" t="s">
        <v>5</v>
      </c>
      <c r="M5" s="45" t="s">
        <v>316</v>
      </c>
      <c r="N5" s="255" t="s">
        <v>314</v>
      </c>
      <c r="O5" s="43"/>
      <c r="P5" s="254" t="s">
        <v>7</v>
      </c>
      <c r="Q5" s="255" t="s">
        <v>8</v>
      </c>
      <c r="R5">
        <v>4</v>
      </c>
      <c r="S5">
        <v>6</v>
      </c>
      <c r="T5">
        <v>35</v>
      </c>
      <c r="U5">
        <v>30</v>
      </c>
    </row>
    <row r="6" spans="1:22" ht="30" x14ac:dyDescent="0.25">
      <c r="A6" s="498" t="s">
        <v>46</v>
      </c>
      <c r="B6" s="278" t="s">
        <v>368</v>
      </c>
      <c r="C6" s="48"/>
      <c r="D6" s="15">
        <f t="shared" ref="D6:F8" si="0">(R6*$R$5)+35</f>
        <v>335</v>
      </c>
      <c r="E6" s="16">
        <f t="shared" si="0"/>
        <v>455</v>
      </c>
      <c r="F6" s="16">
        <f t="shared" si="0"/>
        <v>307</v>
      </c>
      <c r="G6" s="16">
        <f>(U6*$R$5)+30</f>
        <v>182</v>
      </c>
      <c r="H6" s="18">
        <f>(V6*$R$5)+35</f>
        <v>215</v>
      </c>
      <c r="I6" s="48"/>
      <c r="J6" s="15">
        <f t="shared" ref="J6:L8" si="1">(R6*$S$5)+35</f>
        <v>485</v>
      </c>
      <c r="K6" s="16">
        <f t="shared" si="1"/>
        <v>665</v>
      </c>
      <c r="L6" s="16">
        <f t="shared" si="1"/>
        <v>443</v>
      </c>
      <c r="M6" s="16">
        <f>(U6*$S$5)+30</f>
        <v>258</v>
      </c>
      <c r="N6" s="18">
        <f>(V6*$S$5)+35</f>
        <v>305</v>
      </c>
      <c r="O6" s="48"/>
      <c r="P6" s="278">
        <f>(R6*$R$5)+35</f>
        <v>335</v>
      </c>
      <c r="Q6" s="278">
        <f>(R6*$S$5)+35</f>
        <v>485</v>
      </c>
      <c r="R6">
        <v>75</v>
      </c>
      <c r="S6">
        <v>105</v>
      </c>
      <c r="T6">
        <v>68</v>
      </c>
      <c r="U6">
        <v>38</v>
      </c>
      <c r="V6">
        <v>45</v>
      </c>
    </row>
    <row r="7" spans="1:22" ht="15.75" thickBot="1" x14ac:dyDescent="0.3">
      <c r="A7" s="497"/>
      <c r="B7" s="279" t="s">
        <v>369</v>
      </c>
      <c r="C7" s="10"/>
      <c r="D7" s="24">
        <f>(R7*$R$5)+35</f>
        <v>307</v>
      </c>
      <c r="E7" s="25">
        <f>(S7*$R$5)+35</f>
        <v>415</v>
      </c>
      <c r="F7" s="25">
        <f>(T7*$R$5)+35</f>
        <v>279</v>
      </c>
      <c r="G7" s="25">
        <f>(U7*$R$5)+30</f>
        <v>166</v>
      </c>
      <c r="H7" s="22">
        <f>(V7*$R$5)+35</f>
        <v>199</v>
      </c>
      <c r="I7" s="10"/>
      <c r="J7" s="24">
        <f>(R7*$S$5)+35</f>
        <v>443</v>
      </c>
      <c r="K7" s="25">
        <f>(S7*$S$5)+35</f>
        <v>605</v>
      </c>
      <c r="L7" s="25">
        <f>(T7*$S$5)+35</f>
        <v>401</v>
      </c>
      <c r="M7" s="25">
        <f>(U7*$S$5)+30</f>
        <v>234</v>
      </c>
      <c r="N7" s="22">
        <f>(V7*$S$5)+35</f>
        <v>281</v>
      </c>
      <c r="O7" s="10"/>
      <c r="P7" s="279">
        <v>307</v>
      </c>
      <c r="Q7" s="279">
        <v>443</v>
      </c>
      <c r="R7">
        <v>68</v>
      </c>
      <c r="S7">
        <v>95</v>
      </c>
      <c r="T7">
        <v>61</v>
      </c>
      <c r="U7">
        <v>34</v>
      </c>
      <c r="V7">
        <v>41</v>
      </c>
    </row>
    <row r="8" spans="1:22" ht="30" x14ac:dyDescent="0.25">
      <c r="A8" s="498" t="s">
        <v>264</v>
      </c>
      <c r="B8" s="278" t="s">
        <v>368</v>
      </c>
      <c r="C8" s="10"/>
      <c r="D8" s="15">
        <f t="shared" si="0"/>
        <v>535</v>
      </c>
      <c r="E8" s="16">
        <f t="shared" si="0"/>
        <v>735</v>
      </c>
      <c r="F8" s="16">
        <f t="shared" si="0"/>
        <v>487</v>
      </c>
      <c r="G8" s="16">
        <f>(U8*$R$5)+30</f>
        <v>282</v>
      </c>
      <c r="H8" s="18">
        <f>(V8*$R$5)+35</f>
        <v>335</v>
      </c>
      <c r="I8" s="10"/>
      <c r="J8" s="15">
        <f t="shared" si="1"/>
        <v>785</v>
      </c>
      <c r="K8" s="16">
        <f t="shared" si="1"/>
        <v>1085</v>
      </c>
      <c r="L8" s="16">
        <f t="shared" si="1"/>
        <v>713</v>
      </c>
      <c r="M8" s="16">
        <f>(U8*$S$5)+30</f>
        <v>408</v>
      </c>
      <c r="N8" s="18">
        <f>(V8*$S$5)+35</f>
        <v>485</v>
      </c>
      <c r="O8" s="10"/>
      <c r="P8" s="278">
        <f>(R8*$R$5)+35</f>
        <v>535</v>
      </c>
      <c r="Q8" s="278">
        <f>(R8*$S$5)+35</f>
        <v>785</v>
      </c>
      <c r="R8">
        <v>125</v>
      </c>
      <c r="S8">
        <v>175</v>
      </c>
      <c r="T8">
        <v>113</v>
      </c>
      <c r="U8">
        <v>63</v>
      </c>
      <c r="V8">
        <v>75</v>
      </c>
    </row>
    <row r="9" spans="1:22" ht="15.75" thickBot="1" x14ac:dyDescent="0.3">
      <c r="A9" s="496"/>
      <c r="B9" s="279" t="s">
        <v>369</v>
      </c>
      <c r="C9" s="123"/>
      <c r="D9" s="24">
        <f>(R9*$R$5)+35</f>
        <v>507</v>
      </c>
      <c r="E9" s="25">
        <f>(S9*$R$5)+35</f>
        <v>295</v>
      </c>
      <c r="F9" s="25">
        <f>(T9*$R$5)+35</f>
        <v>459</v>
      </c>
      <c r="G9" s="25">
        <f>(U9*$R$5)+30</f>
        <v>266</v>
      </c>
      <c r="H9" s="22">
        <f>(V9*$R$5)+35</f>
        <v>319</v>
      </c>
      <c r="I9" s="123"/>
      <c r="J9" s="24">
        <f>(R9*$S$5)+35</f>
        <v>743</v>
      </c>
      <c r="K9" s="25">
        <f>(S9*$S$5)+35</f>
        <v>425</v>
      </c>
      <c r="L9" s="25">
        <f>(T9*$S$5)+35</f>
        <v>671</v>
      </c>
      <c r="M9" s="25">
        <f>(U9*$S$5)+30</f>
        <v>384</v>
      </c>
      <c r="N9" s="22">
        <f>(V9*$S$5)+35</f>
        <v>461</v>
      </c>
      <c r="O9" s="123"/>
      <c r="P9" s="279">
        <v>507</v>
      </c>
      <c r="Q9" s="279">
        <v>743</v>
      </c>
      <c r="R9">
        <v>118</v>
      </c>
      <c r="S9">
        <v>65</v>
      </c>
      <c r="T9">
        <v>106</v>
      </c>
      <c r="U9">
        <v>59</v>
      </c>
      <c r="V9">
        <v>71</v>
      </c>
    </row>
    <row r="10" spans="1:22" ht="15.75" thickBot="1" x14ac:dyDescent="0.3">
      <c r="A10" s="34" t="s">
        <v>17</v>
      </c>
      <c r="B10" s="35"/>
      <c r="C10" s="35"/>
      <c r="D10" s="117"/>
      <c r="E10" s="117"/>
      <c r="F10" s="117"/>
      <c r="G10" s="117"/>
      <c r="H10" s="117"/>
      <c r="I10" s="35"/>
      <c r="J10" s="117"/>
      <c r="K10" s="117"/>
      <c r="L10" s="117"/>
      <c r="M10" s="117"/>
      <c r="N10" s="117"/>
      <c r="O10" s="35"/>
      <c r="P10" s="117"/>
      <c r="Q10" s="118"/>
    </row>
    <row r="11" spans="1:22" x14ac:dyDescent="0.25">
      <c r="A11" s="59" t="s">
        <v>12</v>
      </c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6"/>
    </row>
    <row r="12" spans="1:22" x14ac:dyDescent="0.25">
      <c r="A12" s="59" t="s">
        <v>72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6"/>
    </row>
    <row r="13" spans="1:22" x14ac:dyDescent="0.25">
      <c r="A13" s="59" t="s">
        <v>14</v>
      </c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6"/>
    </row>
    <row r="14" spans="1:22" ht="15.75" thickBot="1" x14ac:dyDescent="0.3">
      <c r="A14" s="493" t="s">
        <v>338</v>
      </c>
      <c r="B14" s="494"/>
      <c r="C14" s="494"/>
      <c r="D14" s="494"/>
      <c r="E14" s="494"/>
      <c r="F14" s="494"/>
      <c r="G14" s="494"/>
      <c r="H14" s="494"/>
      <c r="I14" s="494"/>
      <c r="J14" s="494"/>
      <c r="K14" s="494"/>
      <c r="L14" s="494"/>
      <c r="M14" s="494"/>
      <c r="N14" s="494"/>
      <c r="O14" s="494"/>
      <c r="P14" s="494"/>
      <c r="Q14" s="495"/>
    </row>
    <row r="15" spans="1:22" ht="15.75" thickBot="1" x14ac:dyDescent="0.3">
      <c r="A15" s="249" t="s">
        <v>280</v>
      </c>
      <c r="B15" s="152"/>
      <c r="C15" s="152"/>
      <c r="D15" s="228"/>
      <c r="E15" s="228"/>
      <c r="F15" s="228"/>
      <c r="G15" s="228"/>
      <c r="H15" s="228"/>
      <c r="I15" s="152"/>
      <c r="J15" s="228"/>
      <c r="K15" s="228"/>
      <c r="L15" s="228"/>
      <c r="M15" s="228"/>
      <c r="N15" s="228"/>
      <c r="O15" s="152"/>
      <c r="P15" s="228"/>
      <c r="Q15" s="263"/>
    </row>
    <row r="16" spans="1:22" x14ac:dyDescent="0.25">
      <c r="A16" s="266" t="s">
        <v>332</v>
      </c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8"/>
    </row>
    <row r="17" spans="1:17" x14ac:dyDescent="0.25">
      <c r="A17" s="267" t="s">
        <v>333</v>
      </c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4"/>
    </row>
    <row r="18" spans="1:17" x14ac:dyDescent="0.25">
      <c r="A18" s="267" t="s">
        <v>335</v>
      </c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4"/>
    </row>
    <row r="19" spans="1:17" x14ac:dyDescent="0.25">
      <c r="A19" s="62" t="s">
        <v>336</v>
      </c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4"/>
    </row>
    <row r="20" spans="1:17" ht="15.75" thickBot="1" x14ac:dyDescent="0.3">
      <c r="A20" s="268" t="s">
        <v>334</v>
      </c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4"/>
    </row>
    <row r="21" spans="1:17" ht="15.75" thickBot="1" x14ac:dyDescent="0.3">
      <c r="A21" s="454" t="s">
        <v>16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6"/>
    </row>
    <row r="22" spans="1:17" x14ac:dyDescent="0.25">
      <c r="A22" s="63" t="s">
        <v>46</v>
      </c>
      <c r="B22" s="560" t="s">
        <v>337</v>
      </c>
      <c r="C22" s="560"/>
      <c r="D22" s="560"/>
      <c r="E22" s="560"/>
      <c r="F22" s="560"/>
      <c r="G22" s="560"/>
      <c r="H22" s="560"/>
      <c r="I22" s="560"/>
      <c r="J22" s="560"/>
      <c r="K22" s="560"/>
      <c r="L22" s="560"/>
      <c r="M22" s="560"/>
      <c r="N22" s="560"/>
      <c r="O22" s="560"/>
      <c r="P22" s="560"/>
      <c r="Q22" s="561"/>
    </row>
    <row r="23" spans="1:17" ht="15.75" thickBot="1" x14ac:dyDescent="0.3">
      <c r="A23" s="63" t="s">
        <v>264</v>
      </c>
      <c r="B23" s="64" t="s">
        <v>326</v>
      </c>
      <c r="C23" s="65"/>
      <c r="D23" s="65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1"/>
    </row>
    <row r="24" spans="1:17" ht="15.75" thickBot="1" x14ac:dyDescent="0.3">
      <c r="A24" s="499" t="s">
        <v>15</v>
      </c>
      <c r="B24" s="500"/>
      <c r="C24" s="500"/>
      <c r="D24" s="500"/>
      <c r="E24" s="500"/>
      <c r="F24" s="500"/>
      <c r="G24" s="500"/>
      <c r="H24" s="500"/>
      <c r="I24" s="500"/>
      <c r="J24" s="500"/>
      <c r="K24" s="500"/>
      <c r="L24" s="500"/>
      <c r="M24" s="500"/>
      <c r="N24" s="500"/>
      <c r="O24" s="500"/>
      <c r="P24" s="500"/>
      <c r="Q24" s="501"/>
    </row>
    <row r="25" spans="1:17" x14ac:dyDescent="0.25">
      <c r="A25" s="562" t="s">
        <v>369</v>
      </c>
      <c r="B25" s="77" t="s">
        <v>58</v>
      </c>
      <c r="C25" s="256"/>
      <c r="D25" s="77"/>
      <c r="E25" s="256"/>
      <c r="F25" s="256"/>
      <c r="G25" s="259" t="s">
        <v>60</v>
      </c>
      <c r="H25" s="256"/>
      <c r="I25" s="256"/>
      <c r="J25" s="256"/>
      <c r="K25" s="256"/>
      <c r="L25" s="256"/>
      <c r="M25" s="256"/>
      <c r="N25" s="256"/>
      <c r="O25" s="256"/>
      <c r="P25" s="256"/>
      <c r="Q25" s="257"/>
    </row>
    <row r="26" spans="1:17" x14ac:dyDescent="0.25">
      <c r="A26" s="563"/>
      <c r="B26" s="29" t="s">
        <v>59</v>
      </c>
      <c r="C26" s="29"/>
      <c r="D26" s="29"/>
      <c r="E26" s="29"/>
      <c r="F26" s="29"/>
      <c r="G26" s="260" t="s">
        <v>61</v>
      </c>
      <c r="H26" s="29"/>
      <c r="I26" s="250"/>
      <c r="J26" s="250"/>
      <c r="K26" s="250"/>
      <c r="L26" s="250"/>
      <c r="M26" s="250"/>
      <c r="N26" s="250"/>
      <c r="O26" s="250"/>
      <c r="P26" s="250"/>
      <c r="Q26" s="258"/>
    </row>
    <row r="27" spans="1:17" ht="15.75" thickBot="1" x14ac:dyDescent="0.3">
      <c r="A27" s="564"/>
      <c r="B27" s="88" t="s">
        <v>329</v>
      </c>
      <c r="C27" s="88"/>
      <c r="D27" s="88"/>
      <c r="E27" s="88"/>
      <c r="F27" s="88"/>
      <c r="G27" s="269">
        <v>1</v>
      </c>
      <c r="H27" s="88"/>
      <c r="I27" s="88"/>
      <c r="J27" s="88"/>
      <c r="K27" s="88"/>
      <c r="L27" s="88"/>
      <c r="M27" s="88"/>
      <c r="N27" s="88"/>
      <c r="O27" s="88"/>
      <c r="P27" s="88"/>
      <c r="Q27" s="87"/>
    </row>
  </sheetData>
  <mergeCells count="15">
    <mergeCell ref="A21:Q21"/>
    <mergeCell ref="B22:Q22"/>
    <mergeCell ref="A24:Q24"/>
    <mergeCell ref="A25:A27"/>
    <mergeCell ref="A14:Q14"/>
    <mergeCell ref="A8:A9"/>
    <mergeCell ref="A6:A7"/>
    <mergeCell ref="A1:Q1"/>
    <mergeCell ref="A2:Q2"/>
    <mergeCell ref="A3:Q3"/>
    <mergeCell ref="A4:A5"/>
    <mergeCell ref="B4:B5"/>
    <mergeCell ref="D4:H4"/>
    <mergeCell ref="J4:N4"/>
    <mergeCell ref="P4:Q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9"/>
  <sheetViews>
    <sheetView topLeftCell="A19" workbookViewId="0">
      <selection activeCell="G39" sqref="G39"/>
    </sheetView>
  </sheetViews>
  <sheetFormatPr defaultRowHeight="15" x14ac:dyDescent="0.25"/>
  <cols>
    <col min="1" max="1" width="24" customWidth="1"/>
    <col min="2" max="2" width="18.28515625" bestFit="1" customWidth="1"/>
    <col min="3" max="3" width="1.7109375" customWidth="1"/>
    <col min="8" max="8" width="1.7109375" customWidth="1"/>
    <col min="9" max="12" width="9.140625" customWidth="1"/>
    <col min="13" max="13" width="1.5703125" customWidth="1"/>
    <col min="14" max="15" width="9.140625" customWidth="1"/>
  </cols>
  <sheetData>
    <row r="1" spans="1:19" ht="15.75" thickBot="1" x14ac:dyDescent="0.3">
      <c r="A1" s="460" t="s">
        <v>305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2"/>
    </row>
    <row r="2" spans="1:19" ht="15.75" thickBot="1" x14ac:dyDescent="0.3">
      <c r="A2" s="460" t="s">
        <v>21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2"/>
    </row>
    <row r="3" spans="1:19" ht="15.75" thickBot="1" x14ac:dyDescent="0.3">
      <c r="A3" s="460" t="s">
        <v>341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2"/>
    </row>
    <row r="4" spans="1:19" ht="15.75" customHeight="1" thickBot="1" x14ac:dyDescent="0.3">
      <c r="A4" s="463" t="s">
        <v>10</v>
      </c>
      <c r="B4" s="465" t="s">
        <v>9</v>
      </c>
      <c r="C4" s="9"/>
      <c r="D4" s="467" t="s">
        <v>0</v>
      </c>
      <c r="E4" s="468"/>
      <c r="F4" s="468"/>
      <c r="G4" s="469"/>
      <c r="H4" s="1"/>
      <c r="I4" s="467" t="s">
        <v>1</v>
      </c>
      <c r="J4" s="468"/>
      <c r="K4" s="468"/>
      <c r="L4" s="469"/>
      <c r="M4" s="1"/>
      <c r="N4" s="491" t="s">
        <v>2</v>
      </c>
      <c r="O4" s="492"/>
      <c r="Q4">
        <v>0.8</v>
      </c>
    </row>
    <row r="5" spans="1:19" ht="45.75" thickBot="1" x14ac:dyDescent="0.3">
      <c r="A5" s="464"/>
      <c r="B5" s="502"/>
      <c r="C5" s="96"/>
      <c r="D5" s="44" t="s">
        <v>3</v>
      </c>
      <c r="E5" s="45" t="s">
        <v>4</v>
      </c>
      <c r="F5" s="46" t="s">
        <v>5</v>
      </c>
      <c r="G5" s="47" t="s">
        <v>229</v>
      </c>
      <c r="H5" s="43"/>
      <c r="I5" s="44" t="s">
        <v>3</v>
      </c>
      <c r="J5" s="45" t="s">
        <v>4</v>
      </c>
      <c r="K5" s="46" t="s">
        <v>5</v>
      </c>
      <c r="L5" s="47" t="s">
        <v>229</v>
      </c>
      <c r="M5" s="7"/>
      <c r="N5" s="3" t="s">
        <v>7</v>
      </c>
      <c r="O5" s="8" t="s">
        <v>8</v>
      </c>
      <c r="P5">
        <v>4</v>
      </c>
      <c r="Q5">
        <v>6</v>
      </c>
      <c r="R5">
        <v>25</v>
      </c>
      <c r="S5">
        <v>20</v>
      </c>
    </row>
    <row r="6" spans="1:19" ht="30" x14ac:dyDescent="0.25">
      <c r="A6" s="504" t="s">
        <v>228</v>
      </c>
      <c r="B6" s="278" t="s">
        <v>370</v>
      </c>
      <c r="C6" s="239"/>
      <c r="D6" s="15">
        <f t="shared" ref="D6:F8" si="0">(P6*$P$5)+25</f>
        <v>625</v>
      </c>
      <c r="E6" s="16">
        <f t="shared" si="0"/>
        <v>905</v>
      </c>
      <c r="F6" s="16">
        <f t="shared" si="0"/>
        <v>521</v>
      </c>
      <c r="G6" s="18">
        <v>20</v>
      </c>
      <c r="H6" s="239"/>
      <c r="I6" s="15">
        <f t="shared" ref="I6:K8" si="1">(P6*$Q$5)+25</f>
        <v>925</v>
      </c>
      <c r="J6" s="16">
        <f t="shared" si="1"/>
        <v>1345</v>
      </c>
      <c r="K6" s="16">
        <f t="shared" si="1"/>
        <v>769</v>
      </c>
      <c r="L6" s="18">
        <v>20</v>
      </c>
      <c r="M6" s="239"/>
      <c r="N6" s="278" t="s">
        <v>47</v>
      </c>
      <c r="O6" s="278">
        <f>(((P6*$Q$5)+(P6*$Q$5*$Q$4))/2)+25</f>
        <v>835</v>
      </c>
      <c r="P6">
        <v>150</v>
      </c>
      <c r="Q6">
        <v>220</v>
      </c>
      <c r="R6">
        <f>CEILING(((P6*2)+S6)/3,1)</f>
        <v>124</v>
      </c>
      <c r="S6">
        <v>70</v>
      </c>
    </row>
    <row r="7" spans="1:19" ht="15.75" thickBot="1" x14ac:dyDescent="0.3">
      <c r="A7" s="506"/>
      <c r="B7" s="279" t="s">
        <v>371</v>
      </c>
      <c r="C7" s="10"/>
      <c r="D7" s="24">
        <f>(P7*$P$5)+25</f>
        <v>605</v>
      </c>
      <c r="E7" s="25">
        <f>(Q7*$P$5)+25</f>
        <v>865</v>
      </c>
      <c r="F7" s="25">
        <f>(R7*$P$5)+25</f>
        <v>501</v>
      </c>
      <c r="G7" s="22">
        <v>20</v>
      </c>
      <c r="H7" s="10"/>
      <c r="I7" s="24">
        <f>(P7*$Q$5)+25</f>
        <v>895</v>
      </c>
      <c r="J7" s="25">
        <f>(Q7*$Q$5)+25</f>
        <v>1285</v>
      </c>
      <c r="K7" s="25">
        <f>(R7*$Q$5)+25</f>
        <v>739</v>
      </c>
      <c r="L7" s="22">
        <v>20</v>
      </c>
      <c r="M7" s="10"/>
      <c r="N7" s="279" t="s">
        <v>47</v>
      </c>
      <c r="O7" s="279">
        <v>818</v>
      </c>
      <c r="P7">
        <v>145</v>
      </c>
      <c r="Q7">
        <v>210</v>
      </c>
      <c r="R7">
        <v>119</v>
      </c>
      <c r="S7">
        <v>65</v>
      </c>
    </row>
    <row r="8" spans="1:19" ht="30.75" thickBot="1" x14ac:dyDescent="0.3">
      <c r="A8" s="504" t="s">
        <v>372</v>
      </c>
      <c r="B8" s="278" t="s">
        <v>370</v>
      </c>
      <c r="C8" s="31"/>
      <c r="D8" s="15">
        <f t="shared" si="0"/>
        <v>785</v>
      </c>
      <c r="E8" s="16">
        <f t="shared" si="0"/>
        <v>1065</v>
      </c>
      <c r="F8" s="16">
        <f t="shared" si="0"/>
        <v>625</v>
      </c>
      <c r="G8" s="18" t="s">
        <v>47</v>
      </c>
      <c r="H8" s="49"/>
      <c r="I8" s="15">
        <f t="shared" si="1"/>
        <v>1165</v>
      </c>
      <c r="J8" s="16">
        <f t="shared" si="1"/>
        <v>1585</v>
      </c>
      <c r="K8" s="16">
        <f t="shared" si="1"/>
        <v>925</v>
      </c>
      <c r="L8" s="18" t="s">
        <v>47</v>
      </c>
      <c r="M8" s="49"/>
      <c r="N8" s="278" t="s">
        <v>47</v>
      </c>
      <c r="O8" s="278">
        <f>(((P8*$Q$5)+(P8*$Q$5*$Q$4))/2)+25</f>
        <v>1051</v>
      </c>
      <c r="P8">
        <v>190</v>
      </c>
      <c r="Q8">
        <v>260</v>
      </c>
      <c r="R8">
        <f t="shared" ref="R8" si="2">((P8*2)+S8)/3</f>
        <v>150</v>
      </c>
      <c r="S8">
        <v>70</v>
      </c>
    </row>
    <row r="9" spans="1:19" ht="15.75" thickBot="1" x14ac:dyDescent="0.3">
      <c r="A9" s="506"/>
      <c r="B9" s="279" t="s">
        <v>371</v>
      </c>
      <c r="C9" s="312"/>
      <c r="D9" s="24">
        <f>(P9*$P$5)+25</f>
        <v>765</v>
      </c>
      <c r="E9" s="25">
        <f>(Q9*$P$5)+25</f>
        <v>1025</v>
      </c>
      <c r="F9" s="25">
        <f>(R9*$P$5)+25</f>
        <v>605</v>
      </c>
      <c r="G9" s="22" t="s">
        <v>47</v>
      </c>
      <c r="H9" s="124"/>
      <c r="I9" s="24">
        <f>(P9*$Q$5)+25</f>
        <v>1135</v>
      </c>
      <c r="J9" s="25">
        <f>(Q9*$Q$5)+25</f>
        <v>1525</v>
      </c>
      <c r="K9" s="25">
        <f>(R9*$Q$5)+25</f>
        <v>895</v>
      </c>
      <c r="L9" s="22" t="s">
        <v>47</v>
      </c>
      <c r="M9" s="124"/>
      <c r="N9" s="279" t="s">
        <v>47</v>
      </c>
      <c r="O9" s="279">
        <v>1034</v>
      </c>
      <c r="P9">
        <v>185</v>
      </c>
      <c r="Q9">
        <v>250</v>
      </c>
      <c r="R9">
        <v>145</v>
      </c>
      <c r="S9">
        <v>65</v>
      </c>
    </row>
    <row r="10" spans="1:19" ht="15.75" thickBot="1" x14ac:dyDescent="0.3">
      <c r="A10" s="99" t="s">
        <v>17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8"/>
    </row>
    <row r="11" spans="1:19" x14ac:dyDescent="0.25">
      <c r="A11" s="76" t="s">
        <v>12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8"/>
    </row>
    <row r="12" spans="1:19" x14ac:dyDescent="0.25">
      <c r="A12" s="28" t="s">
        <v>13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58"/>
    </row>
    <row r="13" spans="1:19" x14ac:dyDescent="0.25">
      <c r="A13" s="548" t="s">
        <v>14</v>
      </c>
      <c r="B13" s="549"/>
      <c r="C13" s="549"/>
      <c r="D13" s="549"/>
      <c r="E13" s="549"/>
      <c r="F13" s="549"/>
      <c r="G13" s="549"/>
      <c r="H13" s="549"/>
      <c r="I13" s="549"/>
      <c r="J13" s="549"/>
      <c r="K13" s="549"/>
      <c r="L13" s="549"/>
      <c r="M13" s="549"/>
      <c r="N13" s="549"/>
      <c r="O13" s="518"/>
    </row>
    <row r="14" spans="1:19" ht="15.75" thickBot="1" x14ac:dyDescent="0.3">
      <c r="A14" s="138" t="s">
        <v>101</v>
      </c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7"/>
    </row>
    <row r="15" spans="1:19" ht="15.75" thickBot="1" x14ac:dyDescent="0.3">
      <c r="A15" s="93" t="s">
        <v>102</v>
      </c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1"/>
    </row>
    <row r="16" spans="1:19" x14ac:dyDescent="0.25">
      <c r="A16" s="62" t="s">
        <v>230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58"/>
    </row>
    <row r="17" spans="1:15" x14ac:dyDescent="0.25">
      <c r="A17" s="62" t="s">
        <v>231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58"/>
    </row>
    <row r="18" spans="1:15" x14ac:dyDescent="0.25">
      <c r="A18" s="62" t="s">
        <v>232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58"/>
    </row>
    <row r="19" spans="1:15" x14ac:dyDescent="0.25">
      <c r="A19" s="62" t="s">
        <v>233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58"/>
    </row>
    <row r="20" spans="1:15" ht="15.75" thickBot="1" x14ac:dyDescent="0.3">
      <c r="A20" s="28" t="s">
        <v>234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58"/>
    </row>
    <row r="21" spans="1:15" ht="15.75" thickBot="1" x14ac:dyDescent="0.3">
      <c r="A21" s="499" t="s">
        <v>16</v>
      </c>
      <c r="B21" s="500"/>
      <c r="C21" s="500"/>
      <c r="D21" s="500"/>
      <c r="E21" s="500"/>
      <c r="F21" s="500"/>
      <c r="G21" s="500"/>
      <c r="H21" s="500"/>
      <c r="I21" s="500"/>
      <c r="J21" s="500"/>
      <c r="K21" s="500"/>
      <c r="L21" s="500"/>
      <c r="M21" s="500"/>
      <c r="N21" s="500"/>
      <c r="O21" s="501"/>
    </row>
    <row r="22" spans="1:15" x14ac:dyDescent="0.25">
      <c r="A22" s="111" t="s">
        <v>18</v>
      </c>
      <c r="B22" s="82" t="s">
        <v>242</v>
      </c>
      <c r="C22" s="101"/>
      <c r="D22" s="101"/>
      <c r="E22" s="83"/>
      <c r="F22" s="83"/>
      <c r="G22" s="83"/>
      <c r="H22" s="83"/>
      <c r="I22" s="83"/>
      <c r="J22" s="83"/>
      <c r="K22" s="83"/>
      <c r="L22" s="83"/>
      <c r="M22" s="83"/>
      <c r="N22" s="77"/>
      <c r="O22" s="78"/>
    </row>
    <row r="23" spans="1:15" ht="15.75" thickBot="1" x14ac:dyDescent="0.3">
      <c r="A23" s="112" t="s">
        <v>243</v>
      </c>
      <c r="B23" s="67" t="s">
        <v>244</v>
      </c>
      <c r="C23" s="103"/>
      <c r="D23" s="103"/>
      <c r="E23" s="68"/>
      <c r="F23" s="68"/>
      <c r="G23" s="68"/>
      <c r="H23" s="68"/>
      <c r="I23" s="68"/>
      <c r="J23" s="68"/>
      <c r="K23" s="68"/>
      <c r="L23" s="68"/>
      <c r="M23" s="68"/>
      <c r="N23" s="88"/>
      <c r="O23" s="87"/>
    </row>
    <row r="24" spans="1:15" ht="15.75" thickBot="1" x14ac:dyDescent="0.3">
      <c r="A24" s="99" t="s">
        <v>15</v>
      </c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8"/>
    </row>
    <row r="25" spans="1:15" x14ac:dyDescent="0.25">
      <c r="A25" s="213" t="s">
        <v>226</v>
      </c>
      <c r="B25" s="77" t="s">
        <v>235</v>
      </c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8"/>
    </row>
    <row r="26" spans="1:15" ht="30" x14ac:dyDescent="0.25">
      <c r="A26" s="209" t="s">
        <v>239</v>
      </c>
      <c r="B26" s="29" t="s">
        <v>236</v>
      </c>
      <c r="C26" s="29"/>
      <c r="D26" s="29"/>
      <c r="E26" s="105"/>
      <c r="F26" s="162"/>
      <c r="G26" s="162"/>
      <c r="H26" s="29"/>
      <c r="I26" s="29"/>
      <c r="J26" s="29"/>
      <c r="K26" s="29"/>
      <c r="L26" s="29"/>
      <c r="M26" s="29"/>
      <c r="N26" s="29"/>
      <c r="O26" s="58"/>
    </row>
    <row r="27" spans="1:15" ht="15" customHeight="1" x14ac:dyDescent="0.25">
      <c r="A27" s="565" t="s">
        <v>227</v>
      </c>
      <c r="B27" s="212" t="s">
        <v>237</v>
      </c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1"/>
    </row>
    <row r="28" spans="1:15" x14ac:dyDescent="0.25">
      <c r="A28" s="565"/>
      <c r="B28" s="29" t="s">
        <v>238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58"/>
    </row>
    <row r="29" spans="1:15" ht="15.75" thickBot="1" x14ac:dyDescent="0.3">
      <c r="A29" s="106" t="s">
        <v>240</v>
      </c>
      <c r="B29" s="150" t="s">
        <v>241</v>
      </c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7"/>
    </row>
  </sheetData>
  <mergeCells count="13">
    <mergeCell ref="A1:O1"/>
    <mergeCell ref="A2:O2"/>
    <mergeCell ref="A3:O3"/>
    <mergeCell ref="A4:A5"/>
    <mergeCell ref="B4:B5"/>
    <mergeCell ref="N4:O4"/>
    <mergeCell ref="D4:G4"/>
    <mergeCell ref="I4:L4"/>
    <mergeCell ref="A21:O21"/>
    <mergeCell ref="A13:O13"/>
    <mergeCell ref="A27:A28"/>
    <mergeCell ref="A6:A7"/>
    <mergeCell ref="A8:A9"/>
  </mergeCells>
  <pageMargins left="0.7" right="0.7" top="0.75" bottom="0.75" header="0.3" footer="0.3"/>
  <pageSetup scale="88" fitToHeight="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workbookViewId="0">
      <selection activeCell="D46" sqref="D46"/>
    </sheetView>
  </sheetViews>
  <sheetFormatPr defaultRowHeight="15" x14ac:dyDescent="0.25"/>
  <cols>
    <col min="1" max="1" width="24" customWidth="1"/>
    <col min="2" max="2" width="20" customWidth="1"/>
    <col min="3" max="3" width="1.7109375" customWidth="1"/>
    <col min="4" max="4" width="10.5703125" bestFit="1" customWidth="1"/>
    <col min="6" max="6" width="11.7109375" bestFit="1" customWidth="1"/>
    <col min="8" max="8" width="1.7109375" customWidth="1"/>
    <col min="9" max="9" width="9.5703125" bestFit="1" customWidth="1"/>
    <col min="13" max="13" width="1.5703125" customWidth="1"/>
  </cols>
  <sheetData>
    <row r="1" spans="1:19" ht="15.75" thickBot="1" x14ac:dyDescent="0.3">
      <c r="A1" s="460" t="s">
        <v>306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2"/>
    </row>
    <row r="2" spans="1:19" ht="15.75" customHeight="1" thickBot="1" x14ac:dyDescent="0.3">
      <c r="A2" s="460" t="s">
        <v>21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2"/>
    </row>
    <row r="3" spans="1:19" ht="15.75" thickBot="1" x14ac:dyDescent="0.3">
      <c r="A3" s="460" t="s">
        <v>341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2"/>
    </row>
    <row r="4" spans="1:19" ht="15.75" customHeight="1" thickBot="1" x14ac:dyDescent="0.3">
      <c r="A4" s="463" t="s">
        <v>10</v>
      </c>
      <c r="B4" s="465" t="s">
        <v>9</v>
      </c>
      <c r="C4" s="9"/>
      <c r="D4" s="470" t="s">
        <v>0</v>
      </c>
      <c r="E4" s="471"/>
      <c r="F4" s="471"/>
      <c r="G4" s="472"/>
      <c r="H4" s="2"/>
      <c r="I4" s="467" t="s">
        <v>1</v>
      </c>
      <c r="J4" s="468"/>
      <c r="K4" s="468"/>
      <c r="L4" s="469"/>
      <c r="M4" s="1"/>
      <c r="N4" s="491" t="s">
        <v>2</v>
      </c>
      <c r="O4" s="492"/>
      <c r="P4">
        <v>1.5</v>
      </c>
      <c r="Q4">
        <v>1.3</v>
      </c>
      <c r="R4">
        <v>65</v>
      </c>
      <c r="S4">
        <v>35</v>
      </c>
    </row>
    <row r="5" spans="1:19" ht="45.75" thickBot="1" x14ac:dyDescent="0.3">
      <c r="A5" s="490"/>
      <c r="B5" s="466"/>
      <c r="C5" s="43"/>
      <c r="D5" s="44" t="s">
        <v>3</v>
      </c>
      <c r="E5" s="45" t="s">
        <v>4</v>
      </c>
      <c r="F5" s="46" t="s">
        <v>5</v>
      </c>
      <c r="G5" s="47" t="s">
        <v>6</v>
      </c>
      <c r="H5" s="7"/>
      <c r="I5" s="3" t="s">
        <v>3</v>
      </c>
      <c r="J5" s="4" t="s">
        <v>4</v>
      </c>
      <c r="K5" s="5" t="s">
        <v>5</v>
      </c>
      <c r="L5" s="8" t="s">
        <v>6</v>
      </c>
      <c r="M5" s="6"/>
      <c r="N5" s="3" t="s">
        <v>7</v>
      </c>
      <c r="O5" s="8" t="s">
        <v>8</v>
      </c>
      <c r="P5" s="315">
        <v>0.8</v>
      </c>
      <c r="Q5">
        <v>0.65</v>
      </c>
      <c r="R5">
        <v>4</v>
      </c>
      <c r="S5">
        <v>6</v>
      </c>
    </row>
    <row r="6" spans="1:19" ht="15" customHeight="1" x14ac:dyDescent="0.25">
      <c r="A6" s="504" t="s">
        <v>93</v>
      </c>
      <c r="B6" s="313" t="s">
        <v>358</v>
      </c>
      <c r="C6" s="48"/>
      <c r="D6" s="15">
        <f>(P6*$R$5*$P$5)+65</f>
        <v>865</v>
      </c>
      <c r="E6" s="16">
        <f>(Q6*$R$5*$P$5)+65</f>
        <v>1185</v>
      </c>
      <c r="F6" s="16">
        <f>(R6*$R$5*$P$5)+65</f>
        <v>785</v>
      </c>
      <c r="G6" s="18">
        <f>(S6*$R$5*$P$5)+35</f>
        <v>51</v>
      </c>
      <c r="H6" s="48"/>
      <c r="I6" s="15">
        <f>(P6*$S$5*$P$5)+65</f>
        <v>1265</v>
      </c>
      <c r="J6" s="16">
        <f>(Q6*$S$5*$P$5)+65</f>
        <v>1745</v>
      </c>
      <c r="K6" s="16">
        <f>(R6*$S$5*$P$5)+65</f>
        <v>1145</v>
      </c>
      <c r="L6" s="18">
        <f>(S6*$S$5*$P$5)+35</f>
        <v>59</v>
      </c>
      <c r="M6" s="48"/>
      <c r="N6" s="163" t="s">
        <v>47</v>
      </c>
      <c r="O6" s="278">
        <f>(CEILING((P6*$P$4*$S$5)/2,1))+65</f>
        <v>1190</v>
      </c>
      <c r="P6">
        <v>250</v>
      </c>
      <c r="Q6">
        <v>350</v>
      </c>
      <c r="R6">
        <v>225</v>
      </c>
      <c r="S6">
        <v>5</v>
      </c>
    </row>
    <row r="7" spans="1:19" ht="30" x14ac:dyDescent="0.25">
      <c r="A7" s="505"/>
      <c r="B7" s="282" t="s">
        <v>373</v>
      </c>
      <c r="C7" s="239"/>
      <c r="D7" s="223">
        <f>(P7*$R$5*$Q$5)+65</f>
        <v>663</v>
      </c>
      <c r="E7" s="222">
        <f>(CEILING(Q7*$R$5*$Q$5,1))+65</f>
        <v>903</v>
      </c>
      <c r="F7" s="222">
        <f>(CEILING(R7*$R$5*$Q$5,1))+65</f>
        <v>604</v>
      </c>
      <c r="G7" s="224">
        <f>(S7*$R$5*$Q$5)+35</f>
        <v>48</v>
      </c>
      <c r="H7" s="239"/>
      <c r="I7" s="223">
        <f>(P7*$S$5*$Q$5)+65</f>
        <v>962</v>
      </c>
      <c r="J7" s="222">
        <f>(CEILING(Q7*$S$5*$Q$5,1))+65</f>
        <v>1321</v>
      </c>
      <c r="K7" s="222">
        <f>(CEILING(R7*$S$5*$Q$5,1))+65</f>
        <v>873</v>
      </c>
      <c r="L7" s="224">
        <f>(CEILING(S7*$S$5*$Q$5,1))+35</f>
        <v>55</v>
      </c>
      <c r="M7" s="239"/>
      <c r="N7" s="227" t="s">
        <v>47</v>
      </c>
      <c r="O7" s="282">
        <f>(CEILING((P7*S5*Q4)/2,1))+65</f>
        <v>962</v>
      </c>
      <c r="P7">
        <v>230</v>
      </c>
      <c r="Q7">
        <v>322</v>
      </c>
      <c r="R7">
        <v>207</v>
      </c>
      <c r="S7">
        <v>5</v>
      </c>
    </row>
    <row r="8" spans="1:19" ht="15" customHeight="1" x14ac:dyDescent="0.25">
      <c r="A8" s="505"/>
      <c r="B8" s="37" t="s">
        <v>344</v>
      </c>
      <c r="C8" s="10"/>
      <c r="D8" s="223">
        <f>(P8*$R$5*$Q$5)+65</f>
        <v>637</v>
      </c>
      <c r="E8" s="222">
        <f>(CEILING(Q8*$R$5*$Q$5,1))+65</f>
        <v>866</v>
      </c>
      <c r="F8" s="222">
        <f>(CEILING(R8*$R$5*$Q$5,1))+65</f>
        <v>580</v>
      </c>
      <c r="G8" s="224">
        <f>(S8*$R$5*$Q$5)+35</f>
        <v>48</v>
      </c>
      <c r="H8" s="10"/>
      <c r="I8" s="223">
        <f>(P8*$S$5*$Q$5)+65</f>
        <v>923</v>
      </c>
      <c r="J8" s="222">
        <f>(CEILING(Q8*$S$5*$Q$5,1))+65</f>
        <v>1267</v>
      </c>
      <c r="K8" s="222">
        <f>(CEILING(R8*$S$5*$Q$5,1))+65</f>
        <v>838</v>
      </c>
      <c r="L8" s="224">
        <f>(CEILING(S8*$S$5*$Q$5,1))+35</f>
        <v>55</v>
      </c>
      <c r="M8" s="10"/>
      <c r="N8" s="227" t="s">
        <v>47</v>
      </c>
      <c r="O8" s="282">
        <f>(CEILING((P8*S6*Q5)/2,1))+65</f>
        <v>423</v>
      </c>
      <c r="P8">
        <v>220</v>
      </c>
      <c r="Q8">
        <v>308</v>
      </c>
      <c r="R8">
        <v>198</v>
      </c>
      <c r="S8">
        <v>5</v>
      </c>
    </row>
    <row r="9" spans="1:19" ht="15.75" thickBot="1" x14ac:dyDescent="0.3">
      <c r="A9" s="505"/>
      <c r="B9" s="314" t="s">
        <v>346</v>
      </c>
      <c r="C9" s="239"/>
      <c r="D9" s="24">
        <f>(P9*$R$5*$P$5)+65</f>
        <v>833</v>
      </c>
      <c r="E9" s="25">
        <f>(CEILING(Q9*$R$5*$P$5,1))+65</f>
        <v>1141</v>
      </c>
      <c r="F9" s="25">
        <f>(CEILING(R9*$R$5*$P$5,1))+65</f>
        <v>757</v>
      </c>
      <c r="G9" s="22">
        <f>(S9*$R$5*$P$5)+35</f>
        <v>51</v>
      </c>
      <c r="H9" s="239"/>
      <c r="I9" s="24">
        <f>(P9*$S$5*$P$5)+65</f>
        <v>1217</v>
      </c>
      <c r="J9" s="25">
        <f>(CEILING(Q9*$S$5*$P$5,1))+65</f>
        <v>1678</v>
      </c>
      <c r="K9" s="25">
        <f>(CEILING(R9*$S$5*$P$5,1))+65</f>
        <v>1102</v>
      </c>
      <c r="L9" s="22">
        <f>(S9*$S$5*$P$5)+35</f>
        <v>59</v>
      </c>
      <c r="M9" s="239"/>
      <c r="N9" s="51" t="s">
        <v>47</v>
      </c>
      <c r="O9" s="279">
        <f>(CEILING((P9*$P$4*$S$5)/2,1))+65</f>
        <v>1145</v>
      </c>
      <c r="P9">
        <v>240</v>
      </c>
      <c r="Q9">
        <v>336</v>
      </c>
      <c r="R9">
        <v>216</v>
      </c>
      <c r="S9">
        <v>5</v>
      </c>
    </row>
    <row r="10" spans="1:19" ht="15" customHeight="1" x14ac:dyDescent="0.25">
      <c r="A10" s="504" t="s">
        <v>94</v>
      </c>
      <c r="B10" s="313" t="s">
        <v>358</v>
      </c>
      <c r="C10" s="220"/>
      <c r="D10" s="15">
        <f>(CEILING(P10*$R$5*$P$5,1))+65</f>
        <v>971</v>
      </c>
      <c r="E10" s="16">
        <f>(CEILING(Q10*$R$5*$P$5,1))+65</f>
        <v>1333</v>
      </c>
      <c r="F10" s="16">
        <f>(CEILING(R10*$R$5*$P$5,1))+65</f>
        <v>878</v>
      </c>
      <c r="G10" s="18">
        <f>(S10*$R$5*$P$5)+35</f>
        <v>51</v>
      </c>
      <c r="H10" s="48"/>
      <c r="I10" s="15">
        <f>(CEILING(P10*$S$5*$P$5,1))+65</f>
        <v>1424</v>
      </c>
      <c r="J10" s="16">
        <f>(CEILING(Q10*$S$5*$P$5,1))+65</f>
        <v>1966</v>
      </c>
      <c r="K10" s="16">
        <f>(CEILING(R10*$S$5*$P$5,1))+65</f>
        <v>1285</v>
      </c>
      <c r="L10" s="18">
        <f>(S10*$S$5*$P$5)+35</f>
        <v>59</v>
      </c>
      <c r="M10" s="48"/>
      <c r="N10" s="163" t="s">
        <v>47</v>
      </c>
      <c r="O10" s="278">
        <f>(CEILING((P10*$P$4*$S$5)/2,1))+65</f>
        <v>1339</v>
      </c>
      <c r="P10">
        <v>283</v>
      </c>
      <c r="Q10">
        <v>396</v>
      </c>
      <c r="R10">
        <v>254</v>
      </c>
      <c r="S10">
        <v>5</v>
      </c>
    </row>
    <row r="11" spans="1:19" ht="30.75" thickBot="1" x14ac:dyDescent="0.3">
      <c r="A11" s="505"/>
      <c r="B11" s="282" t="s">
        <v>373</v>
      </c>
      <c r="C11" s="316"/>
      <c r="D11" s="223">
        <f>(P11*$R$5*$Q$5)+65</f>
        <v>741</v>
      </c>
      <c r="E11" s="222">
        <f>(CEILING(Q11*$R$5*$Q$5,1))+65</f>
        <v>1012</v>
      </c>
      <c r="F11" s="222">
        <f>(CEILING(R11*$R$5*$Q$5,1))+65</f>
        <v>674</v>
      </c>
      <c r="G11" s="224">
        <f>(S11*$R$5*$Q$5)+35</f>
        <v>48</v>
      </c>
      <c r="H11" s="239"/>
      <c r="I11" s="223">
        <f>(P11*$S$5*$Q$5)+65</f>
        <v>1079</v>
      </c>
      <c r="J11" s="222">
        <f>(CEILING(Q11*$S$5*$Q$5,1))+65</f>
        <v>1485</v>
      </c>
      <c r="K11" s="222">
        <f>(CEILING(R11*$S$5*$Q$5,1))+65</f>
        <v>978</v>
      </c>
      <c r="L11" s="224">
        <f>(CEILING(S11*$S$5*$Q$5,1))+35</f>
        <v>55</v>
      </c>
      <c r="M11" s="239"/>
      <c r="N11" s="227" t="s">
        <v>47</v>
      </c>
      <c r="O11" s="282">
        <f>(CEILING((P11*$S$5*$Q$4)/2,1))+65</f>
        <v>1079</v>
      </c>
      <c r="P11">
        <v>260</v>
      </c>
      <c r="Q11">
        <v>364</v>
      </c>
      <c r="R11">
        <v>234</v>
      </c>
      <c r="S11">
        <v>5</v>
      </c>
    </row>
    <row r="12" spans="1:19" x14ac:dyDescent="0.25">
      <c r="A12" s="505"/>
      <c r="B12" s="37" t="s">
        <v>344</v>
      </c>
      <c r="C12" s="221"/>
      <c r="D12" s="223">
        <f>(CEILING(P12*$R$5*$Q$5,1))+65</f>
        <v>713</v>
      </c>
      <c r="E12" s="222">
        <f>(CEILING(Q12*$R$5*$Q$5,1))+65</f>
        <v>970</v>
      </c>
      <c r="F12" s="222">
        <f>(CEILING(R12*$R$5*$Q$5,1))+65</f>
        <v>648</v>
      </c>
      <c r="G12" s="224">
        <f>(S12*$R$5*$Q$5)+35</f>
        <v>48</v>
      </c>
      <c r="H12" s="48"/>
      <c r="I12" s="223">
        <f>(CEILING(P12*$S$5*$Q$5,1))+65</f>
        <v>1037</v>
      </c>
      <c r="J12" s="222">
        <f>(CEILING(Q12*$S$5*$Q$5,1))+65</f>
        <v>1423</v>
      </c>
      <c r="K12" s="222">
        <f>(CEILING(R12*$S$5*$Q$5,1))+65</f>
        <v>939</v>
      </c>
      <c r="L12" s="224">
        <f>(CEILING(S12*$S$5*$Q$5,1))+35</f>
        <v>55</v>
      </c>
      <c r="M12" s="48"/>
      <c r="N12" s="227" t="s">
        <v>47</v>
      </c>
      <c r="O12" s="282">
        <f>(CEILING((P12*$S$5*$Q$4)/2,1))+65</f>
        <v>1037</v>
      </c>
      <c r="P12">
        <v>249</v>
      </c>
      <c r="Q12">
        <v>348</v>
      </c>
      <c r="R12">
        <v>224</v>
      </c>
      <c r="S12">
        <v>5</v>
      </c>
    </row>
    <row r="13" spans="1:19" ht="15.75" thickBot="1" x14ac:dyDescent="0.3">
      <c r="A13" s="505"/>
      <c r="B13" s="314" t="s">
        <v>346</v>
      </c>
      <c r="C13" s="317"/>
      <c r="D13" s="24">
        <f>(CEILING(P13*$R$5*$P$5,1))+65</f>
        <v>933</v>
      </c>
      <c r="E13" s="25">
        <f>(Q13*$R$5*$P$5)+65</f>
        <v>1281</v>
      </c>
      <c r="F13" s="25">
        <f>(CEILING(R13*$R$5*$P$5,1))+65</f>
        <v>846</v>
      </c>
      <c r="G13" s="22">
        <f>(S13*$R$5*$P$5)+35</f>
        <v>51</v>
      </c>
      <c r="H13" s="239"/>
      <c r="I13" s="24">
        <f>(CEILING(P13*$S$5*$P$5,1))+65</f>
        <v>1366</v>
      </c>
      <c r="J13" s="25">
        <f>(Q13*$S$5*$P$5)+65</f>
        <v>1889</v>
      </c>
      <c r="K13" s="25">
        <f>(CEILING(R13*$S$5*$P$5,1))+65</f>
        <v>1237</v>
      </c>
      <c r="L13" s="22">
        <f>(S13*$S$5*$P$5)+35</f>
        <v>59</v>
      </c>
      <c r="M13" s="239"/>
      <c r="N13" s="51" t="s">
        <v>47</v>
      </c>
      <c r="O13" s="279">
        <f>(CEILING((P13*$P$4*$S$5)/2,1))+65</f>
        <v>1285</v>
      </c>
      <c r="P13">
        <v>271</v>
      </c>
      <c r="Q13">
        <v>380</v>
      </c>
      <c r="R13">
        <v>244</v>
      </c>
      <c r="S13">
        <v>5</v>
      </c>
    </row>
    <row r="14" spans="1:19" ht="15.75" thickBot="1" x14ac:dyDescent="0.3">
      <c r="A14" s="34" t="s">
        <v>17</v>
      </c>
      <c r="B14" s="117"/>
      <c r="C14" s="35"/>
      <c r="D14" s="117"/>
      <c r="E14" s="117"/>
      <c r="F14" s="117"/>
      <c r="G14" s="117"/>
      <c r="H14" s="35"/>
      <c r="I14" s="117"/>
      <c r="J14" s="117"/>
      <c r="K14" s="117"/>
      <c r="L14" s="117"/>
      <c r="M14" s="35"/>
      <c r="N14" s="117"/>
      <c r="O14" s="118"/>
    </row>
    <row r="15" spans="1:19" x14ac:dyDescent="0.25">
      <c r="A15" s="59" t="s">
        <v>12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1"/>
    </row>
    <row r="16" spans="1:19" x14ac:dyDescent="0.25">
      <c r="A16" s="59" t="s">
        <v>72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1"/>
    </row>
    <row r="17" spans="1:15" x14ac:dyDescent="0.25">
      <c r="A17" s="59" t="s">
        <v>14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1"/>
    </row>
    <row r="18" spans="1:15" ht="15.75" thickBot="1" x14ac:dyDescent="0.3">
      <c r="A18" s="493" t="s">
        <v>99</v>
      </c>
      <c r="B18" s="494"/>
      <c r="C18" s="494"/>
      <c r="D18" s="494"/>
      <c r="E18" s="494"/>
      <c r="F18" s="494"/>
      <c r="G18" s="494"/>
      <c r="H18" s="494"/>
      <c r="I18" s="494"/>
      <c r="J18" s="494"/>
      <c r="K18" s="494"/>
      <c r="L18" s="494"/>
      <c r="M18" s="494"/>
      <c r="N18" s="494"/>
      <c r="O18" s="495"/>
    </row>
    <row r="19" spans="1:15" ht="15.75" thickBot="1" x14ac:dyDescent="0.3">
      <c r="A19" s="460" t="s">
        <v>24</v>
      </c>
      <c r="B19" s="461"/>
      <c r="C19" s="461"/>
      <c r="D19" s="540"/>
      <c r="E19" s="540"/>
      <c r="F19" s="540"/>
      <c r="G19" s="540"/>
      <c r="H19" s="461"/>
      <c r="I19" s="540"/>
      <c r="J19" s="540"/>
      <c r="K19" s="540"/>
      <c r="L19" s="540"/>
      <c r="M19" s="461"/>
      <c r="N19" s="540"/>
      <c r="O19" s="566"/>
    </row>
    <row r="20" spans="1:15" ht="15.75" thickBot="1" x14ac:dyDescent="0.3">
      <c r="A20" s="275" t="s">
        <v>11</v>
      </c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6"/>
    </row>
    <row r="21" spans="1:15" x14ac:dyDescent="0.25">
      <c r="A21" s="28" t="s">
        <v>48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3"/>
    </row>
    <row r="22" spans="1:15" x14ac:dyDescent="0.25">
      <c r="A22" s="28" t="s">
        <v>49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3"/>
    </row>
    <row r="23" spans="1:15" x14ac:dyDescent="0.25">
      <c r="A23" s="28" t="s">
        <v>50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3"/>
    </row>
    <row r="24" spans="1:15" x14ac:dyDescent="0.25">
      <c r="A24" s="28" t="s">
        <v>51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3"/>
    </row>
    <row r="25" spans="1:15" x14ac:dyDescent="0.25">
      <c r="A25" s="28" t="s">
        <v>96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  <row r="26" spans="1:15" x14ac:dyDescent="0.25">
      <c r="A26" s="28" t="s">
        <v>97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3"/>
    </row>
    <row r="27" spans="1:15" ht="15.75" thickBot="1" x14ac:dyDescent="0.3">
      <c r="A27" s="108" t="s">
        <v>98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14"/>
    </row>
    <row r="28" spans="1:15" ht="15.75" thickBot="1" x14ac:dyDescent="0.3">
      <c r="A28" s="499" t="s">
        <v>16</v>
      </c>
      <c r="B28" s="500"/>
      <c r="C28" s="500"/>
      <c r="D28" s="500"/>
      <c r="E28" s="500"/>
      <c r="F28" s="500"/>
      <c r="G28" s="500"/>
      <c r="H28" s="500"/>
      <c r="I28" s="500"/>
      <c r="J28" s="500"/>
      <c r="K28" s="500"/>
      <c r="L28" s="500"/>
      <c r="M28" s="500"/>
      <c r="N28" s="500"/>
      <c r="O28" s="501"/>
    </row>
    <row r="29" spans="1:15" x14ac:dyDescent="0.25">
      <c r="A29" s="109" t="s">
        <v>18</v>
      </c>
      <c r="B29" s="82" t="s">
        <v>100</v>
      </c>
      <c r="C29" s="101"/>
      <c r="D29" s="101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5"/>
    </row>
    <row r="30" spans="1:15" ht="19.5" customHeight="1" thickBot="1" x14ac:dyDescent="0.3">
      <c r="A30" s="110" t="s">
        <v>95</v>
      </c>
      <c r="B30" s="67" t="s">
        <v>100</v>
      </c>
      <c r="C30" s="103"/>
      <c r="D30" s="103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9"/>
    </row>
    <row r="31" spans="1:15" ht="15.75" thickBot="1" x14ac:dyDescent="0.3">
      <c r="A31" s="457" t="s">
        <v>15</v>
      </c>
      <c r="B31" s="458"/>
      <c r="C31" s="458"/>
      <c r="D31" s="458"/>
      <c r="E31" s="458"/>
      <c r="F31" s="458"/>
      <c r="G31" s="458"/>
      <c r="H31" s="458"/>
      <c r="I31" s="458"/>
      <c r="J31" s="458"/>
      <c r="K31" s="458"/>
      <c r="L31" s="458"/>
      <c r="M31" s="458"/>
      <c r="N31" s="458"/>
      <c r="O31" s="459"/>
    </row>
    <row r="32" spans="1:15" x14ac:dyDescent="0.25">
      <c r="A32" s="81" t="s">
        <v>55</v>
      </c>
      <c r="B32" s="82" t="s">
        <v>56</v>
      </c>
      <c r="C32" s="83"/>
      <c r="D32" s="83"/>
      <c r="E32" s="84">
        <v>1</v>
      </c>
      <c r="F32" s="84"/>
      <c r="G32" s="83"/>
      <c r="H32" s="83"/>
      <c r="I32" s="83"/>
      <c r="J32" s="83"/>
      <c r="K32" s="83"/>
      <c r="L32" s="83"/>
      <c r="M32" s="83"/>
      <c r="N32" s="83"/>
      <c r="O32" s="85"/>
    </row>
    <row r="33" spans="1:15" x14ac:dyDescent="0.25">
      <c r="A33" s="62" t="s">
        <v>57</v>
      </c>
      <c r="B33" s="64" t="s">
        <v>58</v>
      </c>
      <c r="C33" s="60"/>
      <c r="D33" s="60"/>
      <c r="E33" s="79" t="s">
        <v>60</v>
      </c>
      <c r="F33" s="79"/>
      <c r="G33" s="60"/>
      <c r="H33" s="60"/>
      <c r="I33" s="60"/>
      <c r="J33" s="60"/>
      <c r="K33" s="60"/>
      <c r="L33" s="60"/>
      <c r="M33" s="60"/>
      <c r="N33" s="60"/>
      <c r="O33" s="61"/>
    </row>
    <row r="34" spans="1:15" x14ac:dyDescent="0.25">
      <c r="A34" s="62"/>
      <c r="B34" s="64" t="s">
        <v>59</v>
      </c>
      <c r="C34" s="60"/>
      <c r="D34" s="60"/>
      <c r="E34" s="79" t="s">
        <v>61</v>
      </c>
      <c r="F34" s="79"/>
      <c r="G34" s="60"/>
      <c r="H34" s="60"/>
      <c r="I34" s="60"/>
      <c r="J34" s="60"/>
      <c r="K34" s="60"/>
      <c r="L34" s="60"/>
      <c r="M34" s="60"/>
      <c r="N34" s="60"/>
      <c r="O34" s="61"/>
    </row>
    <row r="35" spans="1:15" ht="15.75" thickBot="1" x14ac:dyDescent="0.3">
      <c r="A35" s="66"/>
      <c r="B35" s="67" t="s">
        <v>62</v>
      </c>
      <c r="C35" s="68"/>
      <c r="D35" s="68"/>
      <c r="E35" s="86">
        <v>1</v>
      </c>
      <c r="F35" s="86"/>
      <c r="G35" s="68"/>
      <c r="H35" s="68"/>
      <c r="I35" s="68"/>
      <c r="J35" s="68"/>
      <c r="K35" s="68"/>
      <c r="L35" s="68"/>
      <c r="M35" s="68"/>
      <c r="N35" s="68"/>
      <c r="O35" s="69"/>
    </row>
  </sheetData>
  <mergeCells count="15">
    <mergeCell ref="A28:O28"/>
    <mergeCell ref="A31:O31"/>
    <mergeCell ref="A6:A9"/>
    <mergeCell ref="A19:O19"/>
    <mergeCell ref="A18:O18"/>
    <mergeCell ref="A10:A13"/>
    <mergeCell ref="B20:O20"/>
    <mergeCell ref="A1:O1"/>
    <mergeCell ref="A2:O2"/>
    <mergeCell ref="A3:O3"/>
    <mergeCell ref="A4:A5"/>
    <mergeCell ref="B4:B5"/>
    <mergeCell ref="D4:G4"/>
    <mergeCell ref="I4:L4"/>
    <mergeCell ref="N4:O4"/>
  </mergeCells>
  <pageMargins left="0.7" right="0.7" top="0.75" bottom="0.75" header="0.3" footer="0.3"/>
  <pageSetup scale="84" fitToHeight="3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workbookViewId="0">
      <selection activeCell="S16" sqref="S16"/>
    </sheetView>
  </sheetViews>
  <sheetFormatPr defaultRowHeight="15" x14ac:dyDescent="0.25"/>
  <cols>
    <col min="1" max="1" width="24" customWidth="1"/>
    <col min="2" max="2" width="18.28515625" bestFit="1" customWidth="1"/>
    <col min="3" max="3" width="1.7109375" customWidth="1"/>
    <col min="9" max="9" width="1.7109375" customWidth="1"/>
    <col min="15" max="15" width="1.5703125" customWidth="1"/>
    <col min="17" max="17" width="9.140625" customWidth="1"/>
  </cols>
  <sheetData>
    <row r="1" spans="1:22" ht="15.75" thickBot="1" x14ac:dyDescent="0.3">
      <c r="A1" s="460" t="s">
        <v>475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2"/>
    </row>
    <row r="2" spans="1:22" ht="15.75" thickBot="1" x14ac:dyDescent="0.3">
      <c r="A2" s="460" t="s">
        <v>21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2"/>
    </row>
    <row r="3" spans="1:22" ht="15.75" thickBot="1" x14ac:dyDescent="0.3">
      <c r="A3" s="460" t="s">
        <v>341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2"/>
    </row>
    <row r="4" spans="1:22" ht="15.75" customHeight="1" thickBot="1" x14ac:dyDescent="0.3">
      <c r="A4" s="463" t="s">
        <v>10</v>
      </c>
      <c r="B4" s="465" t="s">
        <v>9</v>
      </c>
      <c r="C4" s="9"/>
      <c r="D4" s="470" t="s">
        <v>0</v>
      </c>
      <c r="E4" s="471"/>
      <c r="F4" s="471"/>
      <c r="G4" s="471"/>
      <c r="H4" s="471"/>
      <c r="I4" s="2"/>
      <c r="J4" s="467" t="s">
        <v>1</v>
      </c>
      <c r="K4" s="468"/>
      <c r="L4" s="468"/>
      <c r="M4" s="468"/>
      <c r="N4" s="468"/>
      <c r="O4" s="1"/>
      <c r="P4" s="491" t="s">
        <v>2</v>
      </c>
      <c r="Q4" s="492"/>
    </row>
    <row r="5" spans="1:22" ht="45.75" thickBot="1" x14ac:dyDescent="0.3">
      <c r="A5" s="464"/>
      <c r="B5" s="466"/>
      <c r="C5" s="96"/>
      <c r="D5" s="403" t="s">
        <v>3</v>
      </c>
      <c r="E5" s="45" t="s">
        <v>4</v>
      </c>
      <c r="F5" s="46" t="s">
        <v>5</v>
      </c>
      <c r="G5" s="404" t="s">
        <v>114</v>
      </c>
      <c r="H5" s="404" t="s">
        <v>115</v>
      </c>
      <c r="I5" s="7"/>
      <c r="J5" s="403" t="s">
        <v>3</v>
      </c>
      <c r="K5" s="45" t="s">
        <v>4</v>
      </c>
      <c r="L5" s="46" t="s">
        <v>5</v>
      </c>
      <c r="M5" s="404" t="s">
        <v>114</v>
      </c>
      <c r="N5" s="404" t="s">
        <v>115</v>
      </c>
      <c r="O5" s="6"/>
      <c r="P5" s="3" t="s">
        <v>7</v>
      </c>
      <c r="Q5" s="8" t="s">
        <v>8</v>
      </c>
      <c r="R5">
        <v>4</v>
      </c>
      <c r="S5">
        <v>6</v>
      </c>
      <c r="T5">
        <v>1.85</v>
      </c>
      <c r="U5">
        <v>65</v>
      </c>
      <c r="V5">
        <v>35</v>
      </c>
    </row>
    <row r="6" spans="1:22" x14ac:dyDescent="0.25">
      <c r="A6" s="504" t="s">
        <v>476</v>
      </c>
      <c r="B6" s="405" t="s">
        <v>478</v>
      </c>
      <c r="C6" s="434"/>
      <c r="D6" s="442">
        <f t="shared" ref="D6:F11" si="0">(R6*$R$5)+65</f>
        <v>545</v>
      </c>
      <c r="E6" s="443">
        <f t="shared" si="0"/>
        <v>737</v>
      </c>
      <c r="F6" s="443">
        <f t="shared" si="0"/>
        <v>453</v>
      </c>
      <c r="G6" s="443">
        <f t="shared" ref="G6:G11" si="1">(U6*$R$5)+35</f>
        <v>115</v>
      </c>
      <c r="H6" s="444">
        <f t="shared" ref="H6:H11" si="2">(V6*$R$5)+65</f>
        <v>185</v>
      </c>
      <c r="I6" s="434"/>
      <c r="J6" s="442">
        <f t="shared" ref="J6:L11" si="3">(R6*$S$5)+65</f>
        <v>785</v>
      </c>
      <c r="K6" s="443">
        <f t="shared" si="3"/>
        <v>1073</v>
      </c>
      <c r="L6" s="443">
        <f t="shared" si="3"/>
        <v>647</v>
      </c>
      <c r="M6" s="443">
        <f t="shared" ref="M6:M11" si="4">(U6*$S$5)+35</f>
        <v>155</v>
      </c>
      <c r="N6" s="444">
        <f t="shared" ref="N6:N11" si="5">(V6*$S$5)+65</f>
        <v>245</v>
      </c>
      <c r="O6" s="434"/>
      <c r="P6" s="405" t="s">
        <v>47</v>
      </c>
      <c r="Q6" s="445">
        <f t="shared" ref="Q6:Q11" si="6">(CEILING((R6*$S$5*$T$5)/2,1))+65</f>
        <v>731</v>
      </c>
      <c r="R6">
        <v>120</v>
      </c>
      <c r="S6">
        <v>168</v>
      </c>
      <c r="T6">
        <f>CEILING(((120*2)+50)/3,1)</f>
        <v>97</v>
      </c>
      <c r="U6">
        <v>20</v>
      </c>
      <c r="V6">
        <v>30</v>
      </c>
    </row>
    <row r="7" spans="1:22" x14ac:dyDescent="0.25">
      <c r="A7" s="505"/>
      <c r="B7" s="37" t="s">
        <v>479</v>
      </c>
      <c r="C7" s="10"/>
      <c r="D7" s="446">
        <f t="shared" si="0"/>
        <v>445</v>
      </c>
      <c r="E7" s="447">
        <f t="shared" si="0"/>
        <v>593</v>
      </c>
      <c r="F7" s="447">
        <f t="shared" si="0"/>
        <v>385</v>
      </c>
      <c r="G7" s="447">
        <f t="shared" si="1"/>
        <v>115</v>
      </c>
      <c r="H7" s="448">
        <f t="shared" si="2"/>
        <v>185</v>
      </c>
      <c r="I7" s="10"/>
      <c r="J7" s="446">
        <f t="shared" si="3"/>
        <v>635</v>
      </c>
      <c r="K7" s="447">
        <f t="shared" si="3"/>
        <v>857</v>
      </c>
      <c r="L7" s="447">
        <f t="shared" si="3"/>
        <v>545</v>
      </c>
      <c r="M7" s="447">
        <f t="shared" si="4"/>
        <v>155</v>
      </c>
      <c r="N7" s="448">
        <f t="shared" si="5"/>
        <v>245</v>
      </c>
      <c r="O7" s="10"/>
      <c r="P7" s="332" t="s">
        <v>47</v>
      </c>
      <c r="Q7" s="449">
        <f t="shared" si="6"/>
        <v>593</v>
      </c>
      <c r="R7">
        <v>95</v>
      </c>
      <c r="S7">
        <v>132</v>
      </c>
      <c r="T7">
        <f>CEILING(((95*2)+50)/3,1)</f>
        <v>80</v>
      </c>
      <c r="U7">
        <v>20</v>
      </c>
      <c r="V7">
        <v>30</v>
      </c>
    </row>
    <row r="8" spans="1:22" ht="15.75" thickBot="1" x14ac:dyDescent="0.3">
      <c r="A8" s="506"/>
      <c r="B8" s="432" t="s">
        <v>346</v>
      </c>
      <c r="C8" s="10"/>
      <c r="D8" s="397">
        <f t="shared" si="0"/>
        <v>545</v>
      </c>
      <c r="E8" s="398">
        <f t="shared" si="0"/>
        <v>737</v>
      </c>
      <c r="F8" s="398">
        <f t="shared" si="0"/>
        <v>453</v>
      </c>
      <c r="G8" s="398">
        <f t="shared" si="1"/>
        <v>115</v>
      </c>
      <c r="H8" s="399">
        <f t="shared" si="2"/>
        <v>185</v>
      </c>
      <c r="I8" s="10"/>
      <c r="J8" s="397">
        <f t="shared" si="3"/>
        <v>785</v>
      </c>
      <c r="K8" s="398">
        <f t="shared" si="3"/>
        <v>1073</v>
      </c>
      <c r="L8" s="398">
        <f t="shared" si="3"/>
        <v>647</v>
      </c>
      <c r="M8" s="398">
        <f t="shared" si="4"/>
        <v>155</v>
      </c>
      <c r="N8" s="399">
        <f t="shared" si="5"/>
        <v>245</v>
      </c>
      <c r="O8" s="10"/>
      <c r="P8" s="307" t="s">
        <v>47</v>
      </c>
      <c r="Q8" s="450">
        <f t="shared" si="6"/>
        <v>731</v>
      </c>
      <c r="R8">
        <v>120</v>
      </c>
      <c r="S8">
        <v>168</v>
      </c>
      <c r="T8">
        <f>CEILING(((120*2)+50)/3,1)</f>
        <v>97</v>
      </c>
      <c r="U8">
        <v>20</v>
      </c>
      <c r="V8">
        <v>30</v>
      </c>
    </row>
    <row r="9" spans="1:22" ht="15" customHeight="1" x14ac:dyDescent="0.25">
      <c r="A9" s="504" t="s">
        <v>477</v>
      </c>
      <c r="B9" s="405" t="s">
        <v>478</v>
      </c>
      <c r="C9" s="434"/>
      <c r="D9" s="442">
        <f t="shared" si="0"/>
        <v>701</v>
      </c>
      <c r="E9" s="443">
        <f t="shared" si="0"/>
        <v>957</v>
      </c>
      <c r="F9" s="443">
        <f t="shared" si="0"/>
        <v>557</v>
      </c>
      <c r="G9" s="443">
        <f t="shared" si="1"/>
        <v>115</v>
      </c>
      <c r="H9" s="444">
        <f t="shared" si="2"/>
        <v>185</v>
      </c>
      <c r="I9" s="434"/>
      <c r="J9" s="442">
        <f t="shared" si="3"/>
        <v>1019</v>
      </c>
      <c r="K9" s="443">
        <f t="shared" si="3"/>
        <v>1403</v>
      </c>
      <c r="L9" s="443">
        <f t="shared" si="3"/>
        <v>803</v>
      </c>
      <c r="M9" s="443">
        <f t="shared" si="4"/>
        <v>155</v>
      </c>
      <c r="N9" s="444">
        <f t="shared" si="5"/>
        <v>245</v>
      </c>
      <c r="O9" s="434"/>
      <c r="P9" s="405" t="s">
        <v>47</v>
      </c>
      <c r="Q9" s="445">
        <f t="shared" si="6"/>
        <v>948</v>
      </c>
      <c r="R9">
        <v>159</v>
      </c>
      <c r="S9">
        <v>223</v>
      </c>
      <c r="T9">
        <f>CEILING(((159*2)+50)/3,1)</f>
        <v>123</v>
      </c>
      <c r="U9">
        <v>20</v>
      </c>
      <c r="V9">
        <v>30</v>
      </c>
    </row>
    <row r="10" spans="1:22" x14ac:dyDescent="0.25">
      <c r="A10" s="505"/>
      <c r="B10" s="37" t="s">
        <v>479</v>
      </c>
      <c r="C10" s="434"/>
      <c r="D10" s="446">
        <f t="shared" si="0"/>
        <v>509</v>
      </c>
      <c r="E10" s="447">
        <f t="shared" si="0"/>
        <v>685</v>
      </c>
      <c r="F10" s="447">
        <f t="shared" si="0"/>
        <v>429</v>
      </c>
      <c r="G10" s="447">
        <f t="shared" si="1"/>
        <v>115</v>
      </c>
      <c r="H10" s="448">
        <f t="shared" si="2"/>
        <v>185</v>
      </c>
      <c r="I10" s="434"/>
      <c r="J10" s="446">
        <f t="shared" si="3"/>
        <v>731</v>
      </c>
      <c r="K10" s="447">
        <f t="shared" si="3"/>
        <v>995</v>
      </c>
      <c r="L10" s="447">
        <f t="shared" si="3"/>
        <v>611</v>
      </c>
      <c r="M10" s="447">
        <f t="shared" si="4"/>
        <v>155</v>
      </c>
      <c r="N10" s="448">
        <f t="shared" si="5"/>
        <v>245</v>
      </c>
      <c r="O10" s="434"/>
      <c r="P10" s="332" t="s">
        <v>47</v>
      </c>
      <c r="Q10" s="449">
        <f t="shared" si="6"/>
        <v>682</v>
      </c>
      <c r="R10">
        <v>111</v>
      </c>
      <c r="S10">
        <v>155</v>
      </c>
      <c r="T10">
        <f>CEILING(((111*2)+50)/3,1)</f>
        <v>91</v>
      </c>
      <c r="U10">
        <v>20</v>
      </c>
      <c r="V10">
        <v>30</v>
      </c>
    </row>
    <row r="11" spans="1:22" ht="15.75" thickBot="1" x14ac:dyDescent="0.3">
      <c r="A11" s="506"/>
      <c r="B11" s="432" t="s">
        <v>346</v>
      </c>
      <c r="C11" s="123"/>
      <c r="D11" s="397">
        <f t="shared" si="0"/>
        <v>701</v>
      </c>
      <c r="E11" s="398">
        <f t="shared" si="0"/>
        <v>957</v>
      </c>
      <c r="F11" s="398">
        <f t="shared" si="0"/>
        <v>557</v>
      </c>
      <c r="G11" s="398">
        <f t="shared" si="1"/>
        <v>115</v>
      </c>
      <c r="H11" s="399">
        <f t="shared" si="2"/>
        <v>185</v>
      </c>
      <c r="I11" s="123"/>
      <c r="J11" s="397">
        <f t="shared" si="3"/>
        <v>1019</v>
      </c>
      <c r="K11" s="398">
        <f t="shared" si="3"/>
        <v>1403</v>
      </c>
      <c r="L11" s="398">
        <f t="shared" si="3"/>
        <v>803</v>
      </c>
      <c r="M11" s="398">
        <f t="shared" si="4"/>
        <v>155</v>
      </c>
      <c r="N11" s="399">
        <f t="shared" si="5"/>
        <v>245</v>
      </c>
      <c r="O11" s="123"/>
      <c r="P11" s="307" t="s">
        <v>47</v>
      </c>
      <c r="Q11" s="450">
        <f t="shared" si="6"/>
        <v>948</v>
      </c>
      <c r="R11">
        <v>159</v>
      </c>
      <c r="S11">
        <v>223</v>
      </c>
      <c r="T11">
        <f>CEILING(((159*2)+50)/3,1)</f>
        <v>123</v>
      </c>
      <c r="U11">
        <v>20</v>
      </c>
      <c r="V11">
        <v>30</v>
      </c>
    </row>
    <row r="12" spans="1:22" ht="15.75" thickBot="1" x14ac:dyDescent="0.3">
      <c r="A12" s="99" t="s">
        <v>17</v>
      </c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8"/>
    </row>
    <row r="13" spans="1:22" x14ac:dyDescent="0.25">
      <c r="A13" s="76" t="s">
        <v>12</v>
      </c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M13" s="402"/>
      <c r="N13" s="402"/>
      <c r="O13" s="402"/>
      <c r="P13" s="402"/>
      <c r="Q13" s="78"/>
    </row>
    <row r="14" spans="1:22" x14ac:dyDescent="0.25">
      <c r="A14" s="28" t="s">
        <v>72</v>
      </c>
      <c r="B14" s="401"/>
      <c r="C14" s="401"/>
      <c r="D14" s="401"/>
      <c r="E14" s="401"/>
      <c r="F14" s="401"/>
      <c r="G14" s="401"/>
      <c r="H14" s="401"/>
      <c r="I14" s="401"/>
      <c r="J14" s="401"/>
      <c r="K14" s="401"/>
      <c r="L14" s="401"/>
      <c r="M14" s="401"/>
      <c r="N14" s="401"/>
      <c r="O14" s="401"/>
      <c r="P14" s="401"/>
      <c r="Q14" s="58"/>
    </row>
    <row r="15" spans="1:22" x14ac:dyDescent="0.25">
      <c r="A15" s="548" t="s">
        <v>14</v>
      </c>
      <c r="B15" s="549"/>
      <c r="C15" s="549"/>
      <c r="D15" s="549"/>
      <c r="E15" s="549"/>
      <c r="F15" s="549"/>
      <c r="G15" s="549"/>
      <c r="H15" s="549"/>
      <c r="I15" s="549"/>
      <c r="J15" s="549"/>
      <c r="K15" s="549"/>
      <c r="L15" s="549"/>
      <c r="M15" s="549"/>
      <c r="N15" s="549"/>
      <c r="O15" s="549"/>
      <c r="P15" s="549"/>
      <c r="Q15" s="518"/>
    </row>
    <row r="16" spans="1:22" ht="15.75" thickBot="1" x14ac:dyDescent="0.3">
      <c r="A16" s="138" t="s">
        <v>480</v>
      </c>
      <c r="B16" s="400"/>
      <c r="C16" s="400"/>
      <c r="D16" s="400"/>
      <c r="E16" s="400"/>
      <c r="F16" s="400"/>
      <c r="G16" s="400"/>
      <c r="H16" s="400"/>
      <c r="I16" s="400"/>
      <c r="J16" s="400"/>
      <c r="K16" s="400"/>
      <c r="L16" s="400"/>
      <c r="M16" s="400"/>
      <c r="N16" s="400"/>
      <c r="O16" s="400"/>
      <c r="P16" s="400"/>
      <c r="Q16" s="87"/>
    </row>
    <row r="17" spans="1:17" ht="15.75" thickBot="1" x14ac:dyDescent="0.3">
      <c r="A17" s="460" t="s">
        <v>24</v>
      </c>
      <c r="B17" s="461"/>
      <c r="C17" s="461"/>
      <c r="D17" s="461"/>
      <c r="E17" s="461"/>
      <c r="F17" s="461"/>
      <c r="G17" s="461"/>
      <c r="H17" s="461"/>
      <c r="I17" s="461"/>
      <c r="J17" s="461"/>
      <c r="K17" s="461"/>
      <c r="L17" s="461"/>
      <c r="M17" s="461"/>
      <c r="N17" s="461"/>
      <c r="O17" s="461"/>
      <c r="P17" s="461"/>
      <c r="Q17" s="462"/>
    </row>
    <row r="18" spans="1:17" ht="15.75" thickBot="1" x14ac:dyDescent="0.3">
      <c r="A18" s="93" t="s">
        <v>481</v>
      </c>
      <c r="B18" s="92"/>
      <c r="C18" s="92"/>
      <c r="D18" s="97"/>
      <c r="E18" s="97"/>
      <c r="F18" s="97"/>
      <c r="G18" s="97"/>
      <c r="H18" s="97"/>
      <c r="I18" s="92"/>
      <c r="J18" s="97"/>
      <c r="K18" s="97"/>
      <c r="L18" s="97"/>
      <c r="M18" s="97"/>
      <c r="N18" s="97"/>
      <c r="O18" s="92"/>
      <c r="P18" s="92"/>
      <c r="Q18" s="91"/>
    </row>
    <row r="19" spans="1:17" x14ac:dyDescent="0.25">
      <c r="A19" s="62" t="s">
        <v>482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58"/>
    </row>
    <row r="20" spans="1:17" x14ac:dyDescent="0.25">
      <c r="A20" s="62" t="s">
        <v>483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58"/>
    </row>
    <row r="21" spans="1:17" x14ac:dyDescent="0.25">
      <c r="A21" s="62" t="s">
        <v>484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58"/>
    </row>
    <row r="22" spans="1:17" x14ac:dyDescent="0.25">
      <c r="A22" s="62" t="s">
        <v>485</v>
      </c>
      <c r="B22" s="401"/>
      <c r="C22" s="401"/>
      <c r="D22" s="401"/>
      <c r="E22" s="401"/>
      <c r="F22" s="401"/>
      <c r="G22" s="401"/>
      <c r="H22" s="401"/>
      <c r="I22" s="401"/>
      <c r="J22" s="401"/>
      <c r="K22" s="401"/>
      <c r="L22" s="401"/>
      <c r="M22" s="401"/>
      <c r="N22" s="401"/>
      <c r="O22" s="401"/>
      <c r="P22" s="401"/>
      <c r="Q22" s="58"/>
    </row>
    <row r="23" spans="1:17" x14ac:dyDescent="0.25">
      <c r="A23" s="62" t="s">
        <v>486</v>
      </c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1"/>
      <c r="P23" s="401"/>
      <c r="Q23" s="58"/>
    </row>
    <row r="24" spans="1:17" x14ac:dyDescent="0.25">
      <c r="A24" s="62" t="s">
        <v>487</v>
      </c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1"/>
      <c r="P24" s="401"/>
      <c r="Q24" s="58"/>
    </row>
    <row r="25" spans="1:17" x14ac:dyDescent="0.25">
      <c r="A25" s="62" t="s">
        <v>488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58"/>
    </row>
    <row r="26" spans="1:17" x14ac:dyDescent="0.25">
      <c r="A26" s="62" t="s">
        <v>489</v>
      </c>
      <c r="B26" s="401"/>
      <c r="C26" s="401"/>
      <c r="D26" s="401"/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58"/>
    </row>
    <row r="27" spans="1:17" x14ac:dyDescent="0.25">
      <c r="A27" s="62" t="s">
        <v>490</v>
      </c>
      <c r="B27" s="401"/>
      <c r="C27" s="401"/>
      <c r="D27" s="401"/>
      <c r="E27" s="401"/>
      <c r="F27" s="401"/>
      <c r="G27" s="401"/>
      <c r="H27" s="401"/>
      <c r="I27" s="401"/>
      <c r="J27" s="401"/>
      <c r="K27" s="401"/>
      <c r="L27" s="401"/>
      <c r="M27" s="401"/>
      <c r="N27" s="401"/>
      <c r="O27" s="401"/>
      <c r="P27" s="401"/>
      <c r="Q27" s="58"/>
    </row>
    <row r="28" spans="1:17" ht="15.75" thickBot="1" x14ac:dyDescent="0.3">
      <c r="A28" s="28" t="s">
        <v>491</v>
      </c>
      <c r="B28" s="401"/>
      <c r="C28" s="401"/>
      <c r="D28" s="401"/>
      <c r="E28" s="401"/>
      <c r="F28" s="401"/>
      <c r="G28" s="401"/>
      <c r="H28" s="401"/>
      <c r="I28" s="401"/>
      <c r="J28" s="401"/>
      <c r="K28" s="401"/>
      <c r="L28" s="401"/>
      <c r="M28" s="401"/>
      <c r="N28" s="401"/>
      <c r="O28" s="401"/>
      <c r="P28" s="401"/>
      <c r="Q28" s="58"/>
    </row>
    <row r="29" spans="1:17" ht="15.75" thickBot="1" x14ac:dyDescent="0.3">
      <c r="A29" s="499" t="s">
        <v>16</v>
      </c>
      <c r="B29" s="500"/>
      <c r="C29" s="500"/>
      <c r="D29" s="500"/>
      <c r="E29" s="500"/>
      <c r="F29" s="500"/>
      <c r="G29" s="500"/>
      <c r="H29" s="500"/>
      <c r="I29" s="500"/>
      <c r="J29" s="500"/>
      <c r="K29" s="500"/>
      <c r="L29" s="500"/>
      <c r="M29" s="500"/>
      <c r="N29" s="500"/>
      <c r="O29" s="500"/>
      <c r="P29" s="500"/>
      <c r="Q29" s="501"/>
    </row>
    <row r="30" spans="1:17" x14ac:dyDescent="0.25">
      <c r="A30" s="111" t="s">
        <v>492</v>
      </c>
      <c r="B30" s="82" t="s">
        <v>493</v>
      </c>
      <c r="C30" s="101"/>
      <c r="D30" s="101"/>
      <c r="E30" s="101"/>
      <c r="F30" s="101"/>
      <c r="G30" s="101"/>
      <c r="H30" s="83"/>
      <c r="I30" s="83"/>
      <c r="J30" s="83"/>
      <c r="K30" s="83"/>
      <c r="L30" s="83"/>
      <c r="M30" s="83"/>
      <c r="N30" s="83"/>
      <c r="O30" s="83"/>
      <c r="P30" s="402"/>
      <c r="Q30" s="78"/>
    </row>
    <row r="31" spans="1:17" ht="15.75" thickBot="1" x14ac:dyDescent="0.3">
      <c r="A31" s="112" t="s">
        <v>494</v>
      </c>
      <c r="B31" s="67" t="s">
        <v>493</v>
      </c>
      <c r="C31" s="103"/>
      <c r="D31" s="103"/>
      <c r="E31" s="103"/>
      <c r="F31" s="103"/>
      <c r="G31" s="103"/>
      <c r="H31" s="68"/>
      <c r="I31" s="68"/>
      <c r="J31" s="68"/>
      <c r="K31" s="68"/>
      <c r="L31" s="68"/>
      <c r="M31" s="68"/>
      <c r="N31" s="68"/>
      <c r="O31" s="68"/>
      <c r="P31" s="400"/>
      <c r="Q31" s="87"/>
    </row>
    <row r="32" spans="1:17" ht="15.75" thickBot="1" x14ac:dyDescent="0.3">
      <c r="A32" s="99" t="s">
        <v>15</v>
      </c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8"/>
    </row>
    <row r="33" spans="1:17" x14ac:dyDescent="0.25">
      <c r="A33" s="105" t="s">
        <v>495</v>
      </c>
      <c r="C33" s="401"/>
      <c r="D33" s="401" t="s">
        <v>496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  <c r="Q33" s="58"/>
    </row>
    <row r="34" spans="1:17" x14ac:dyDescent="0.25">
      <c r="A34" s="435" t="s">
        <v>497</v>
      </c>
      <c r="C34" s="436"/>
      <c r="D34" s="311" t="s">
        <v>498</v>
      </c>
      <c r="F34" s="436"/>
      <c r="G34" s="436"/>
      <c r="H34" s="436"/>
      <c r="I34" s="436"/>
      <c r="J34" s="436"/>
      <c r="K34" s="436"/>
      <c r="L34" s="436"/>
      <c r="M34" s="436"/>
      <c r="N34" s="436"/>
      <c r="O34" s="436"/>
      <c r="P34" s="436"/>
      <c r="Q34" s="437"/>
    </row>
    <row r="35" spans="1:17" ht="15.75" customHeight="1" thickBot="1" x14ac:dyDescent="0.3">
      <c r="A35" s="438" t="s">
        <v>499</v>
      </c>
      <c r="B35" s="439"/>
      <c r="C35" s="439"/>
      <c r="D35" s="439" t="s">
        <v>498</v>
      </c>
      <c r="E35" s="439"/>
      <c r="F35" s="439"/>
      <c r="G35" s="439"/>
      <c r="H35" s="439"/>
      <c r="I35" s="439"/>
      <c r="J35" s="439"/>
      <c r="K35" s="439"/>
      <c r="L35" s="439"/>
      <c r="M35" s="439"/>
      <c r="N35" s="439"/>
      <c r="O35" s="439"/>
      <c r="P35" s="439"/>
      <c r="Q35" s="440"/>
    </row>
    <row r="36" spans="1:17" ht="15.75" thickBot="1" x14ac:dyDescent="0.3">
      <c r="A36" s="499" t="s">
        <v>191</v>
      </c>
      <c r="B36" s="500"/>
      <c r="C36" s="500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  <c r="P36" s="500"/>
      <c r="Q36" s="501"/>
    </row>
    <row r="37" spans="1:17" ht="77.25" customHeight="1" x14ac:dyDescent="0.25">
      <c r="A37" s="488" t="s">
        <v>178</v>
      </c>
      <c r="B37" s="489"/>
      <c r="C37" s="489"/>
      <c r="D37" s="473" t="s">
        <v>500</v>
      </c>
      <c r="E37" s="475"/>
      <c r="F37" s="473" t="s">
        <v>503</v>
      </c>
      <c r="G37" s="475"/>
      <c r="H37" s="534"/>
      <c r="I37" s="533"/>
      <c r="J37" s="533"/>
      <c r="K37" s="534"/>
      <c r="L37" s="533"/>
      <c r="M37" s="402"/>
      <c r="N37" s="402"/>
      <c r="O37" s="402"/>
      <c r="P37" s="402"/>
      <c r="Q37" s="78"/>
    </row>
    <row r="38" spans="1:17" x14ac:dyDescent="0.25">
      <c r="A38" s="140" t="s">
        <v>179</v>
      </c>
      <c r="B38" s="145"/>
      <c r="C38" s="441"/>
      <c r="D38" s="485">
        <v>36</v>
      </c>
      <c r="E38" s="487"/>
      <c r="F38" s="485">
        <v>56</v>
      </c>
      <c r="G38" s="570"/>
      <c r="H38" s="530"/>
      <c r="I38" s="529"/>
      <c r="J38" s="529"/>
      <c r="K38" s="530"/>
      <c r="L38" s="529"/>
      <c r="M38" s="401"/>
      <c r="N38" s="401"/>
      <c r="O38" s="401"/>
      <c r="P38" s="401"/>
      <c r="Q38" s="58"/>
    </row>
    <row r="39" spans="1:17" x14ac:dyDescent="0.25">
      <c r="A39" s="140" t="s">
        <v>501</v>
      </c>
      <c r="B39" s="145"/>
      <c r="C39" s="358"/>
      <c r="D39" s="485">
        <v>18</v>
      </c>
      <c r="E39" s="487"/>
      <c r="F39" s="485">
        <v>28</v>
      </c>
      <c r="G39" s="570"/>
      <c r="H39" s="530"/>
      <c r="I39" s="529"/>
      <c r="J39" s="529"/>
      <c r="K39" s="530"/>
      <c r="L39" s="529"/>
      <c r="M39" s="401"/>
      <c r="N39" s="401"/>
      <c r="O39" s="401"/>
      <c r="P39" s="401"/>
      <c r="Q39" s="58"/>
    </row>
    <row r="40" spans="1:17" ht="15.75" thickBot="1" x14ac:dyDescent="0.3">
      <c r="A40" s="141" t="s">
        <v>502</v>
      </c>
      <c r="B40" s="146"/>
      <c r="C40" s="359"/>
      <c r="D40" s="567">
        <v>10</v>
      </c>
      <c r="E40" s="568"/>
      <c r="F40" s="567">
        <v>17</v>
      </c>
      <c r="G40" s="569"/>
      <c r="H40" s="525"/>
      <c r="I40" s="524"/>
      <c r="J40" s="524"/>
      <c r="K40" s="525"/>
      <c r="L40" s="524"/>
      <c r="M40" s="400"/>
      <c r="N40" s="400"/>
      <c r="O40" s="400"/>
      <c r="P40" s="400"/>
      <c r="Q40" s="87"/>
    </row>
  </sheetData>
  <mergeCells count="31">
    <mergeCell ref="A15:Q15"/>
    <mergeCell ref="A17:Q17"/>
    <mergeCell ref="A1:Q1"/>
    <mergeCell ref="A2:Q2"/>
    <mergeCell ref="A3:Q3"/>
    <mergeCell ref="A4:A5"/>
    <mergeCell ref="B4:B5"/>
    <mergeCell ref="D4:H4"/>
    <mergeCell ref="J4:N4"/>
    <mergeCell ref="P4:Q4"/>
    <mergeCell ref="A37:C37"/>
    <mergeCell ref="D37:E37"/>
    <mergeCell ref="F37:G37"/>
    <mergeCell ref="H37:J37"/>
    <mergeCell ref="K37:L37"/>
    <mergeCell ref="D40:E40"/>
    <mergeCell ref="F40:G40"/>
    <mergeCell ref="H40:J40"/>
    <mergeCell ref="K40:L40"/>
    <mergeCell ref="A6:A8"/>
    <mergeCell ref="A9:A11"/>
    <mergeCell ref="D38:E38"/>
    <mergeCell ref="F38:G38"/>
    <mergeCell ref="H38:J38"/>
    <mergeCell ref="K38:L38"/>
    <mergeCell ref="D39:E39"/>
    <mergeCell ref="F39:G39"/>
    <mergeCell ref="H39:J39"/>
    <mergeCell ref="K39:L39"/>
    <mergeCell ref="A29:Q29"/>
    <mergeCell ref="A36:Q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7"/>
  <sheetViews>
    <sheetView zoomScaleNormal="100" workbookViewId="0">
      <selection activeCell="S13" sqref="S13"/>
    </sheetView>
  </sheetViews>
  <sheetFormatPr defaultRowHeight="15" x14ac:dyDescent="0.25"/>
  <cols>
    <col min="1" max="1" width="24" customWidth="1"/>
    <col min="2" max="2" width="18.28515625" bestFit="1" customWidth="1"/>
    <col min="3" max="3" width="1.7109375" customWidth="1"/>
    <col min="9" max="9" width="1.7109375" customWidth="1"/>
    <col min="15" max="15" width="1.5703125" customWidth="1"/>
    <col min="17" max="17" width="16.42578125" bestFit="1" customWidth="1"/>
  </cols>
  <sheetData>
    <row r="1" spans="1:22" ht="15.75" thickBot="1" x14ac:dyDescent="0.3">
      <c r="A1" s="460" t="s">
        <v>307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2"/>
    </row>
    <row r="2" spans="1:22" ht="15.75" thickBot="1" x14ac:dyDescent="0.3">
      <c r="A2" s="460" t="s">
        <v>21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2"/>
    </row>
    <row r="3" spans="1:22" ht="15.75" thickBot="1" x14ac:dyDescent="0.3">
      <c r="A3" s="460" t="s">
        <v>341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2"/>
    </row>
    <row r="4" spans="1:22" ht="15.75" customHeight="1" thickBot="1" x14ac:dyDescent="0.3">
      <c r="A4" s="463" t="s">
        <v>10</v>
      </c>
      <c r="B4" s="465" t="s">
        <v>9</v>
      </c>
      <c r="C4" s="9"/>
      <c r="D4" s="470" t="s">
        <v>0</v>
      </c>
      <c r="E4" s="471"/>
      <c r="F4" s="471"/>
      <c r="G4" s="471"/>
      <c r="H4" s="471"/>
      <c r="I4" s="2"/>
      <c r="J4" s="467" t="s">
        <v>1</v>
      </c>
      <c r="K4" s="468"/>
      <c r="L4" s="468"/>
      <c r="M4" s="468"/>
      <c r="N4" s="468"/>
      <c r="O4" s="1"/>
      <c r="P4" s="491" t="s">
        <v>2</v>
      </c>
      <c r="Q4" s="492"/>
      <c r="R4">
        <v>4</v>
      </c>
      <c r="S4">
        <v>4</v>
      </c>
      <c r="T4">
        <v>1.4</v>
      </c>
      <c r="U4">
        <v>25</v>
      </c>
      <c r="V4">
        <v>20</v>
      </c>
    </row>
    <row r="5" spans="1:22" ht="45.75" thickBot="1" x14ac:dyDescent="0.3">
      <c r="A5" s="464"/>
      <c r="B5" s="466"/>
      <c r="C5" s="96"/>
      <c r="D5" s="44" t="s">
        <v>3</v>
      </c>
      <c r="E5" s="45" t="s">
        <v>4</v>
      </c>
      <c r="F5" s="46" t="s">
        <v>5</v>
      </c>
      <c r="G5" s="47" t="s">
        <v>114</v>
      </c>
      <c r="H5" s="47" t="s">
        <v>115</v>
      </c>
      <c r="I5" s="7"/>
      <c r="J5" s="44" t="s">
        <v>3</v>
      </c>
      <c r="K5" s="45" t="s">
        <v>4</v>
      </c>
      <c r="L5" s="46" t="s">
        <v>5</v>
      </c>
      <c r="M5" s="47" t="s">
        <v>114</v>
      </c>
      <c r="N5" s="47" t="s">
        <v>115</v>
      </c>
      <c r="O5" s="6"/>
      <c r="P5" s="3" t="s">
        <v>7</v>
      </c>
      <c r="Q5" s="8" t="s">
        <v>8</v>
      </c>
      <c r="R5" s="315">
        <v>4</v>
      </c>
      <c r="S5" s="315">
        <v>5</v>
      </c>
      <c r="T5">
        <v>1.5</v>
      </c>
      <c r="U5">
        <v>6</v>
      </c>
    </row>
    <row r="6" spans="1:22" ht="30" x14ac:dyDescent="0.25">
      <c r="A6" s="504" t="s">
        <v>293</v>
      </c>
      <c r="B6" s="318" t="s">
        <v>364</v>
      </c>
      <c r="C6" s="11"/>
      <c r="D6" s="15">
        <f>(R6*$R$5)+25</f>
        <v>581</v>
      </c>
      <c r="E6" s="16">
        <f>(S6*$R$5)+25</f>
        <v>861</v>
      </c>
      <c r="F6" s="16">
        <f>(T6*$R$5)+25</f>
        <v>505</v>
      </c>
      <c r="G6" s="16">
        <f>(U6*$R$5)+20</f>
        <v>172</v>
      </c>
      <c r="H6" s="18">
        <f>(V6*$R$5)+25</f>
        <v>277</v>
      </c>
      <c r="I6" s="11"/>
      <c r="J6" s="15">
        <f>(R6*$S$5)+25</f>
        <v>720</v>
      </c>
      <c r="K6" s="16">
        <f>(S6*$S$5)+25</f>
        <v>1070</v>
      </c>
      <c r="L6" s="16">
        <f>(T6*$S$5)+25</f>
        <v>625</v>
      </c>
      <c r="M6" s="16">
        <f>(U6*$S$5)+20</f>
        <v>210</v>
      </c>
      <c r="N6" s="18">
        <f>(V6*$S$5)+25</f>
        <v>340</v>
      </c>
      <c r="O6" s="239"/>
      <c r="P6" s="278">
        <f>(CEILING((R6*$T$5*$R$5)/2,1))+25</f>
        <v>442</v>
      </c>
      <c r="Q6" s="278">
        <f>(CEILING((R6*$T$5*$U$5)/2,1))+25</f>
        <v>651</v>
      </c>
      <c r="R6">
        <v>139</v>
      </c>
      <c r="S6">
        <v>209</v>
      </c>
      <c r="T6">
        <f>CEILING(((R6*2)+82)/3,1)</f>
        <v>120</v>
      </c>
      <c r="U6">
        <v>38</v>
      </c>
      <c r="V6">
        <v>63</v>
      </c>
    </row>
    <row r="7" spans="1:22" ht="15.75" thickBot="1" x14ac:dyDescent="0.3">
      <c r="A7" s="506"/>
      <c r="B7" s="37" t="s">
        <v>365</v>
      </c>
      <c r="C7" s="10"/>
      <c r="D7" s="24">
        <f>(R7*$R$4)+25</f>
        <v>405</v>
      </c>
      <c r="E7" s="25">
        <f>(S7*$R$4)+25</f>
        <v>597</v>
      </c>
      <c r="F7" s="25">
        <f>(T7*$R$4)+25</f>
        <v>389</v>
      </c>
      <c r="G7" s="25">
        <f>(U7*$R$4)+20</f>
        <v>172</v>
      </c>
      <c r="H7" s="22">
        <f>(V7*$R$4)+25</f>
        <v>277</v>
      </c>
      <c r="I7" s="10"/>
      <c r="J7" s="24">
        <f>(R7*$S$4)+25</f>
        <v>405</v>
      </c>
      <c r="K7" s="25">
        <f>(S7*$S$4)+25</f>
        <v>597</v>
      </c>
      <c r="L7" s="25">
        <f>(T7*$S$4)+25</f>
        <v>389</v>
      </c>
      <c r="M7" s="25">
        <f>(U7*$S$4)+20</f>
        <v>172</v>
      </c>
      <c r="N7" s="22">
        <f>(V7*$S$4)+25</f>
        <v>277</v>
      </c>
      <c r="O7" s="10"/>
      <c r="P7" s="279">
        <f>(CEILING((R7*R4*T4)/2,1))+25</f>
        <v>291</v>
      </c>
      <c r="Q7" s="279">
        <f>(CEILING((R7*T4*U5)/2,1))+25</f>
        <v>424</v>
      </c>
      <c r="R7">
        <v>95</v>
      </c>
      <c r="S7">
        <v>143</v>
      </c>
      <c r="T7">
        <f t="shared" ref="T7:T9" si="0">CEILING(((R7*2)+82)/3,1)</f>
        <v>91</v>
      </c>
      <c r="U7">
        <v>38</v>
      </c>
      <c r="V7">
        <v>63</v>
      </c>
    </row>
    <row r="8" spans="1:22" ht="30" x14ac:dyDescent="0.25">
      <c r="A8" s="504" t="s">
        <v>294</v>
      </c>
      <c r="B8" s="318" t="s">
        <v>364</v>
      </c>
      <c r="C8" s="11"/>
      <c r="D8" s="15">
        <f>(R8*$R$5)+25</f>
        <v>685</v>
      </c>
      <c r="E8" s="16">
        <f>(S8*$R$5)+25</f>
        <v>1017</v>
      </c>
      <c r="F8" s="16">
        <f>(T8*$R$5)+25</f>
        <v>577</v>
      </c>
      <c r="G8" s="16">
        <f>(U8*$R$5)+20</f>
        <v>172</v>
      </c>
      <c r="H8" s="18">
        <f>(V8*$R$5)+25</f>
        <v>277</v>
      </c>
      <c r="I8" s="11"/>
      <c r="J8" s="15">
        <f>(R8*$S$5)+25</f>
        <v>850</v>
      </c>
      <c r="K8" s="16">
        <f>(S8*$S$5)+25</f>
        <v>1265</v>
      </c>
      <c r="L8" s="16">
        <f>(T8*$S$5)+25</f>
        <v>715</v>
      </c>
      <c r="M8" s="16">
        <f>(U8*$S$5)+20</f>
        <v>210</v>
      </c>
      <c r="N8" s="18">
        <f>(V8*$S$5)+25</f>
        <v>340</v>
      </c>
      <c r="O8" s="239"/>
      <c r="P8" s="278">
        <f>(CEILING((R8*$T$5*$R$5)/2,1))+25</f>
        <v>520</v>
      </c>
      <c r="Q8" s="278">
        <f>(CEILING((R8*$T$5*$U$5)/2,1))+25</f>
        <v>768</v>
      </c>
      <c r="R8">
        <v>165</v>
      </c>
      <c r="S8">
        <v>248</v>
      </c>
      <c r="T8">
        <f t="shared" si="0"/>
        <v>138</v>
      </c>
      <c r="U8">
        <v>38</v>
      </c>
      <c r="V8">
        <v>63</v>
      </c>
    </row>
    <row r="9" spans="1:22" ht="15.75" thickBot="1" x14ac:dyDescent="0.3">
      <c r="A9" s="506"/>
      <c r="B9" s="37" t="s">
        <v>365</v>
      </c>
      <c r="C9" s="11"/>
      <c r="D9" s="24">
        <f>(R9*$R$4)+25</f>
        <v>481</v>
      </c>
      <c r="E9" s="25">
        <f>(S9*$R$4)+25</f>
        <v>709</v>
      </c>
      <c r="F9" s="25">
        <f>(T9*$R$4)+25</f>
        <v>441</v>
      </c>
      <c r="G9" s="25">
        <f>(U9*$R$4)+20</f>
        <v>172</v>
      </c>
      <c r="H9" s="22">
        <f>(V9*$R$4)+25</f>
        <v>277</v>
      </c>
      <c r="I9" s="11"/>
      <c r="J9" s="24">
        <f>(R9*$S$4)+25</f>
        <v>481</v>
      </c>
      <c r="K9" s="25">
        <f>(S9*$S$4)+25</f>
        <v>709</v>
      </c>
      <c r="L9" s="25">
        <f>(T9*$S$4)+25</f>
        <v>441</v>
      </c>
      <c r="M9" s="25">
        <f>(U9*$S$4)+20</f>
        <v>172</v>
      </c>
      <c r="N9" s="22">
        <f>(V9*$S$4)+25</f>
        <v>277</v>
      </c>
      <c r="O9" s="239"/>
      <c r="P9" s="279">
        <f>(CEILING((R9*T4*R5)/2,1))+25</f>
        <v>345</v>
      </c>
      <c r="Q9" s="279">
        <f>(CEILING((R9*T4*U5)/2,1))+25</f>
        <v>504</v>
      </c>
      <c r="R9">
        <v>114</v>
      </c>
      <c r="S9">
        <v>171</v>
      </c>
      <c r="T9">
        <f t="shared" si="0"/>
        <v>104</v>
      </c>
      <c r="U9">
        <v>38</v>
      </c>
      <c r="V9">
        <v>63</v>
      </c>
    </row>
    <row r="10" spans="1:22" ht="15.75" thickBot="1" x14ac:dyDescent="0.3">
      <c r="A10" s="99" t="s">
        <v>17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8"/>
    </row>
    <row r="11" spans="1:22" x14ac:dyDescent="0.25">
      <c r="A11" s="76" t="s">
        <v>12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8"/>
    </row>
    <row r="12" spans="1:22" x14ac:dyDescent="0.25">
      <c r="A12" s="28" t="s">
        <v>54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58"/>
    </row>
    <row r="13" spans="1:22" x14ac:dyDescent="0.25">
      <c r="A13" s="548" t="s">
        <v>14</v>
      </c>
      <c r="B13" s="549"/>
      <c r="C13" s="549"/>
      <c r="D13" s="549"/>
      <c r="E13" s="549"/>
      <c r="F13" s="549"/>
      <c r="G13" s="549"/>
      <c r="H13" s="549"/>
      <c r="I13" s="549"/>
      <c r="J13" s="549"/>
      <c r="K13" s="549"/>
      <c r="L13" s="549"/>
      <c r="M13" s="549"/>
      <c r="N13" s="549"/>
      <c r="O13" s="549"/>
      <c r="P13" s="549"/>
      <c r="Q13" s="518"/>
    </row>
    <row r="14" spans="1:22" ht="15.75" thickBot="1" x14ac:dyDescent="0.3">
      <c r="A14" s="138" t="s">
        <v>295</v>
      </c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7"/>
    </row>
    <row r="15" spans="1:22" ht="15.75" thickBot="1" x14ac:dyDescent="0.3">
      <c r="A15" s="460" t="s">
        <v>24</v>
      </c>
      <c r="B15" s="461"/>
      <c r="C15" s="461"/>
      <c r="D15" s="461"/>
      <c r="E15" s="461"/>
      <c r="F15" s="461"/>
      <c r="G15" s="461"/>
      <c r="H15" s="461"/>
      <c r="I15" s="461"/>
      <c r="J15" s="461"/>
      <c r="K15" s="461"/>
      <c r="L15" s="461"/>
      <c r="M15" s="461"/>
      <c r="N15" s="461"/>
      <c r="O15" s="461"/>
      <c r="P15" s="461"/>
      <c r="Q15" s="462"/>
    </row>
    <row r="16" spans="1:22" s="74" customFormat="1" ht="15.75" thickBot="1" x14ac:dyDescent="0.3">
      <c r="A16" s="571" t="s">
        <v>374</v>
      </c>
      <c r="B16" s="540"/>
      <c r="C16" s="540"/>
      <c r="D16" s="546"/>
      <c r="E16" s="546"/>
      <c r="F16" s="546"/>
      <c r="G16" s="546"/>
      <c r="H16" s="546"/>
      <c r="I16" s="540"/>
      <c r="J16" s="546"/>
      <c r="K16" s="546"/>
      <c r="L16" s="546"/>
      <c r="M16" s="546"/>
      <c r="N16" s="546"/>
      <c r="O16" s="540"/>
      <c r="P16" s="546"/>
      <c r="Q16" s="547"/>
      <c r="R16" s="74">
        <v>0.9</v>
      </c>
    </row>
    <row r="17" spans="1:22" ht="15.75" customHeight="1" thickBot="1" x14ac:dyDescent="0.3">
      <c r="A17" s="463" t="s">
        <v>10</v>
      </c>
      <c r="B17" s="465" t="s">
        <v>9</v>
      </c>
      <c r="C17" s="9"/>
      <c r="D17" s="470" t="s">
        <v>0</v>
      </c>
      <c r="E17" s="471"/>
      <c r="F17" s="471"/>
      <c r="G17" s="471"/>
      <c r="H17" s="471"/>
      <c r="I17" s="2"/>
      <c r="J17" s="467" t="s">
        <v>1</v>
      </c>
      <c r="K17" s="468"/>
      <c r="L17" s="468"/>
      <c r="M17" s="468"/>
      <c r="N17" s="468"/>
      <c r="O17" s="1"/>
      <c r="P17" s="491" t="s">
        <v>2</v>
      </c>
      <c r="Q17" s="492"/>
      <c r="R17">
        <v>4</v>
      </c>
      <c r="S17">
        <v>4</v>
      </c>
      <c r="T17">
        <v>1.4</v>
      </c>
      <c r="U17">
        <v>25</v>
      </c>
      <c r="V17">
        <v>20</v>
      </c>
    </row>
    <row r="18" spans="1:22" ht="45.75" thickBot="1" x14ac:dyDescent="0.3">
      <c r="A18" s="464"/>
      <c r="B18" s="466"/>
      <c r="C18" s="96"/>
      <c r="D18" s="303" t="s">
        <v>3</v>
      </c>
      <c r="E18" s="45" t="s">
        <v>4</v>
      </c>
      <c r="F18" s="46" t="s">
        <v>5</v>
      </c>
      <c r="G18" s="304" t="s">
        <v>114</v>
      </c>
      <c r="H18" s="304" t="s">
        <v>115</v>
      </c>
      <c r="I18" s="7"/>
      <c r="J18" s="303" t="s">
        <v>3</v>
      </c>
      <c r="K18" s="45" t="s">
        <v>4</v>
      </c>
      <c r="L18" s="46" t="s">
        <v>5</v>
      </c>
      <c r="M18" s="304" t="s">
        <v>114</v>
      </c>
      <c r="N18" s="304" t="s">
        <v>115</v>
      </c>
      <c r="O18" s="6"/>
      <c r="P18" s="3" t="s">
        <v>7</v>
      </c>
      <c r="Q18" s="8" t="s">
        <v>8</v>
      </c>
      <c r="R18" s="315">
        <v>4</v>
      </c>
      <c r="S18" s="315">
        <v>5</v>
      </c>
      <c r="T18">
        <v>1.5</v>
      </c>
      <c r="U18">
        <v>6</v>
      </c>
    </row>
    <row r="19" spans="1:22" ht="30.75" thickBot="1" x14ac:dyDescent="0.3">
      <c r="A19" s="302" t="s">
        <v>293</v>
      </c>
      <c r="B19" s="318" t="s">
        <v>364</v>
      </c>
      <c r="C19" s="11"/>
      <c r="D19" s="15">
        <f>CEILING(((((R19*$R$5)+25)-25)*0.9)+25,1)</f>
        <v>526</v>
      </c>
      <c r="E19" s="16">
        <f>CEILING(((((S19*$R$5)+25)-25)*0.9)+25,1)</f>
        <v>778</v>
      </c>
      <c r="F19" s="16">
        <f>((((T19*$R$5)+25)-25)*0.9)+25</f>
        <v>457</v>
      </c>
      <c r="G19" s="16">
        <f>(U19*$R$5)+20</f>
        <v>172</v>
      </c>
      <c r="H19" s="18">
        <f>CEILING(((((V19*$R$5)+25)-25)*0.9)+25,1)</f>
        <v>252</v>
      </c>
      <c r="I19" s="11"/>
      <c r="J19" s="15">
        <f>CEILING(((((R19*$S$5)+25)-25)*0.9)+25,1)</f>
        <v>651</v>
      </c>
      <c r="K19" s="16">
        <f>CEILING(((((S19*$S$5)+25)-25)*0.9)+25,1)</f>
        <v>966</v>
      </c>
      <c r="L19" s="16">
        <f>((((T19*$S$5)+25)-25)*0.9)+25</f>
        <v>565</v>
      </c>
      <c r="M19" s="16">
        <f>(U19*$S$5)+20</f>
        <v>210</v>
      </c>
      <c r="N19" s="18">
        <f>CEILING(((((V19*$S$5)+25)-25)*0.9)+25,1)</f>
        <v>309</v>
      </c>
      <c r="O19" s="239"/>
      <c r="P19" s="305">
        <f>CEILING(((((CEILING((R19*$T$5*$R$5)/2,1))+25)-25)*0.9)+25,1)</f>
        <v>401</v>
      </c>
      <c r="Q19" s="305">
        <f>CEILING(((((CEILING((R19*$T$5*$U$5)/2,1))+25)-25)*0.9)+25,1)</f>
        <v>589</v>
      </c>
      <c r="R19">
        <v>139</v>
      </c>
      <c r="S19">
        <v>209</v>
      </c>
      <c r="T19">
        <f>CEILING(((R19*2)+82)/3,1)</f>
        <v>120</v>
      </c>
      <c r="U19">
        <v>38</v>
      </c>
      <c r="V19">
        <v>63</v>
      </c>
    </row>
    <row r="20" spans="1:22" ht="30.75" thickBot="1" x14ac:dyDescent="0.3">
      <c r="A20" s="302" t="s">
        <v>294</v>
      </c>
      <c r="B20" s="318" t="s">
        <v>364</v>
      </c>
      <c r="C20" s="11"/>
      <c r="D20" s="15">
        <f>((((R20*$R$5)+25)-25)*0.9)+25</f>
        <v>619</v>
      </c>
      <c r="E20" s="16">
        <f>CEILING(((((S20*$R$5)+25)-25)*0.9)+25,1)</f>
        <v>918</v>
      </c>
      <c r="F20" s="16">
        <f>CEILING(((((T20*$R$5)+25)-25)*0.9)+25,1)</f>
        <v>522</v>
      </c>
      <c r="G20" s="16">
        <f>(U20*$R$5)+20</f>
        <v>172</v>
      </c>
      <c r="H20" s="18">
        <f>CEILING(((((V20*$R$5)+25)-25)*0.9)+25,1)</f>
        <v>252</v>
      </c>
      <c r="I20" s="11"/>
      <c r="J20" s="15">
        <f>CEILING(((((R20*$S$5)+25)-25)*0.9)+25,1)</f>
        <v>768</v>
      </c>
      <c r="K20" s="16">
        <f>((((S20*$S$5)+25)-25)*0.9)+25</f>
        <v>1141</v>
      </c>
      <c r="L20" s="16">
        <f>((((T20*$S$5)+25)-25)*0.9)+25</f>
        <v>646</v>
      </c>
      <c r="M20" s="16">
        <f>(U20*$S$5)+20</f>
        <v>210</v>
      </c>
      <c r="N20" s="18">
        <f>CEILING(((((V20*$S$5)+25)-25)*0.9)+25,1)</f>
        <v>309</v>
      </c>
      <c r="O20" s="239"/>
      <c r="P20" s="305">
        <f>CEILING(((((CEILING((R20*$T$5*$R$5)/2,1))+25)-25)*0.9)+25,1)</f>
        <v>471</v>
      </c>
      <c r="Q20" s="305">
        <f>CEILING(((((CEILING((R20*$T$5*$U$5)/2,1))+25)-25)*0.9)+25,1)</f>
        <v>694</v>
      </c>
      <c r="R20">
        <v>165</v>
      </c>
      <c r="S20">
        <v>248</v>
      </c>
      <c r="T20">
        <f t="shared" ref="T20" si="1">CEILING(((R20*2)+82)/3,1)</f>
        <v>138</v>
      </c>
      <c r="U20">
        <v>38</v>
      </c>
      <c r="V20">
        <v>63</v>
      </c>
    </row>
    <row r="21" spans="1:22" s="74" customFormat="1" ht="15.75" thickBot="1" x14ac:dyDescent="0.3">
      <c r="A21" s="460" t="s">
        <v>367</v>
      </c>
      <c r="B21" s="553"/>
      <c r="C21" s="461"/>
      <c r="D21" s="546"/>
      <c r="E21" s="546"/>
      <c r="F21" s="546"/>
      <c r="G21" s="546"/>
      <c r="H21" s="546"/>
      <c r="I21" s="461"/>
      <c r="J21" s="546"/>
      <c r="K21" s="546"/>
      <c r="L21" s="546"/>
      <c r="M21" s="546"/>
      <c r="N21" s="546"/>
      <c r="O21" s="553"/>
      <c r="P21" s="546"/>
      <c r="Q21" s="547"/>
      <c r="R21" s="74">
        <v>0.9</v>
      </c>
    </row>
    <row r="22" spans="1:22" ht="15.75" customHeight="1" thickBot="1" x14ac:dyDescent="0.3">
      <c r="A22" s="463" t="s">
        <v>10</v>
      </c>
      <c r="B22" s="465" t="s">
        <v>9</v>
      </c>
      <c r="C22" s="9"/>
      <c r="D22" s="470" t="s">
        <v>0</v>
      </c>
      <c r="E22" s="471"/>
      <c r="F22" s="471"/>
      <c r="G22" s="471"/>
      <c r="H22" s="471"/>
      <c r="I22" s="2"/>
      <c r="J22" s="467" t="s">
        <v>1</v>
      </c>
      <c r="K22" s="468"/>
      <c r="L22" s="468"/>
      <c r="M22" s="468"/>
      <c r="N22" s="468"/>
      <c r="O22" s="1"/>
      <c r="P22" s="491" t="s">
        <v>2</v>
      </c>
      <c r="Q22" s="492"/>
      <c r="R22">
        <v>4</v>
      </c>
      <c r="S22">
        <v>4</v>
      </c>
      <c r="T22">
        <v>1.4</v>
      </c>
      <c r="U22">
        <v>25</v>
      </c>
      <c r="V22">
        <v>20</v>
      </c>
    </row>
    <row r="23" spans="1:22" ht="45.75" thickBot="1" x14ac:dyDescent="0.3">
      <c r="A23" s="464"/>
      <c r="B23" s="466"/>
      <c r="C23" s="96"/>
      <c r="D23" s="303" t="s">
        <v>3</v>
      </c>
      <c r="E23" s="45" t="s">
        <v>4</v>
      </c>
      <c r="F23" s="46" t="s">
        <v>5</v>
      </c>
      <c r="G23" s="304" t="s">
        <v>114</v>
      </c>
      <c r="H23" s="304" t="s">
        <v>115</v>
      </c>
      <c r="I23" s="7"/>
      <c r="J23" s="303" t="s">
        <v>3</v>
      </c>
      <c r="K23" s="45" t="s">
        <v>4</v>
      </c>
      <c r="L23" s="46" t="s">
        <v>5</v>
      </c>
      <c r="M23" s="304" t="s">
        <v>114</v>
      </c>
      <c r="N23" s="304" t="s">
        <v>115</v>
      </c>
      <c r="O23" s="6"/>
      <c r="P23" s="3" t="s">
        <v>7</v>
      </c>
      <c r="Q23" s="8" t="s">
        <v>8</v>
      </c>
      <c r="R23" s="315">
        <v>4</v>
      </c>
      <c r="S23" s="315">
        <v>5</v>
      </c>
      <c r="T23">
        <v>1.5</v>
      </c>
      <c r="U23">
        <v>6</v>
      </c>
    </row>
    <row r="24" spans="1:22" ht="15.75" thickBot="1" x14ac:dyDescent="0.3">
      <c r="A24" s="301" t="s">
        <v>293</v>
      </c>
      <c r="B24" s="37" t="s">
        <v>365</v>
      </c>
      <c r="C24" s="10"/>
      <c r="D24" s="24">
        <f>((((R24*$R$4)+25)-25)*0.9)+25</f>
        <v>367</v>
      </c>
      <c r="E24" s="25">
        <f>CEILING(((((S24*$R$4)+25)-25)*0.9)+25,1)</f>
        <v>540</v>
      </c>
      <c r="F24" s="25">
        <f>CEILING(((((T24*$R$4)+25)-25)*0.9)+25,1)</f>
        <v>353</v>
      </c>
      <c r="G24" s="25">
        <f>(U24*$R$4)+20</f>
        <v>172</v>
      </c>
      <c r="H24" s="22">
        <f>CEILING(((((V24*$R$4)+25)-25)*0.9)+25,1)</f>
        <v>252</v>
      </c>
      <c r="I24" s="10"/>
      <c r="J24" s="24">
        <f>((((R24*$S$4)+25)-25)*0.9)+25</f>
        <v>367</v>
      </c>
      <c r="K24" s="25">
        <f>CEILING(((((S24*$S$4)+25)-25)*0.9)+25,1)</f>
        <v>540</v>
      </c>
      <c r="L24" s="25">
        <f>CEILING(((((T24*$S$4)+25)-25)*0.9)+25,1)</f>
        <v>353</v>
      </c>
      <c r="M24" s="25">
        <f>(U24*$S$4)+20</f>
        <v>172</v>
      </c>
      <c r="N24" s="22">
        <f>CEILING(((((V24*$S$4)+25)-25)*0.9)+25,1)</f>
        <v>252</v>
      </c>
      <c r="O24" s="10"/>
      <c r="P24" s="307">
        <f>CEILING(((((CEILING((R24*R22*T22)/2,1))+25)-25)*0.9)+25,1)</f>
        <v>265</v>
      </c>
      <c r="Q24" s="307">
        <f>CEILING(((((CEILING((R24*T22*U23)/2,1))+25)-25)*0.9)+25,1)</f>
        <v>385</v>
      </c>
      <c r="R24">
        <v>95</v>
      </c>
      <c r="S24">
        <v>143</v>
      </c>
      <c r="T24">
        <f t="shared" ref="T24:T25" si="2">CEILING(((R24*2)+82)/3,1)</f>
        <v>91</v>
      </c>
      <c r="U24">
        <v>38</v>
      </c>
      <c r="V24">
        <v>63</v>
      </c>
    </row>
    <row r="25" spans="1:22" ht="15.75" thickBot="1" x14ac:dyDescent="0.3">
      <c r="A25" s="301" t="s">
        <v>294</v>
      </c>
      <c r="B25" s="37" t="s">
        <v>365</v>
      </c>
      <c r="C25" s="11"/>
      <c r="D25" s="24">
        <f>CEILING(((((R25*$R$4)+25)-25)*0.9)+25,1)</f>
        <v>436</v>
      </c>
      <c r="E25" s="25">
        <f>CEILING(((((S25*$R$4)+25)-25)*0.9)+25,1)</f>
        <v>641</v>
      </c>
      <c r="F25" s="25">
        <f>CEILING(((((T25*$R$4)+25)-25)*0.9)+25,1)</f>
        <v>400</v>
      </c>
      <c r="G25" s="25">
        <f>(U25*$R$4)+20</f>
        <v>172</v>
      </c>
      <c r="H25" s="22">
        <f>CEILING(((((V25*$R$4)+25)-25)*0.9)+25,1)</f>
        <v>252</v>
      </c>
      <c r="I25" s="11"/>
      <c r="J25" s="24">
        <f>CEILING(((((R25*$S$4)+25)-25)*0.9)+25,1)</f>
        <v>436</v>
      </c>
      <c r="K25" s="25">
        <f>CEILING(((((S25*$S$4)+25)-25)*0.9)+25,1)</f>
        <v>641</v>
      </c>
      <c r="L25" s="25">
        <f>CEILING(((((T25*$S$4)+25)-25)*0.9)+25,1)</f>
        <v>400</v>
      </c>
      <c r="M25" s="25">
        <f>(U25*$S$4)+20</f>
        <v>172</v>
      </c>
      <c r="N25" s="22">
        <f>CEILING(((((V25*$S$4)+25)-25)*0.9)+25,1)</f>
        <v>252</v>
      </c>
      <c r="O25" s="239"/>
      <c r="P25" s="307">
        <f>((((CEILING((R25*T22*R23)/2,1))+25)-25)*0.9)+25</f>
        <v>313</v>
      </c>
      <c r="Q25" s="307">
        <f>CEILING(((((CEILING((R25*T22*U23)/2,1))+25)-25)*0.9)+25,1)</f>
        <v>457</v>
      </c>
      <c r="R25">
        <v>114</v>
      </c>
      <c r="S25">
        <v>171</v>
      </c>
      <c r="T25">
        <f t="shared" si="2"/>
        <v>104</v>
      </c>
      <c r="U25">
        <v>38</v>
      </c>
      <c r="V25">
        <v>63</v>
      </c>
    </row>
    <row r="26" spans="1:22" ht="15.75" thickBot="1" x14ac:dyDescent="0.3">
      <c r="A26" s="93" t="s">
        <v>102</v>
      </c>
      <c r="B26" s="92"/>
      <c r="C26" s="92"/>
      <c r="D26" s="97"/>
      <c r="E26" s="97"/>
      <c r="F26" s="97"/>
      <c r="G26" s="97"/>
      <c r="H26" s="97"/>
      <c r="I26" s="92"/>
      <c r="J26" s="97"/>
      <c r="K26" s="97"/>
      <c r="L26" s="97"/>
      <c r="M26" s="97"/>
      <c r="N26" s="97"/>
      <c r="O26" s="92"/>
      <c r="P26" s="92"/>
      <c r="Q26" s="91"/>
    </row>
    <row r="27" spans="1:22" x14ac:dyDescent="0.25">
      <c r="A27" s="62" t="s">
        <v>103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58"/>
    </row>
    <row r="28" spans="1:22" x14ac:dyDescent="0.25">
      <c r="A28" s="62" t="s">
        <v>104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58"/>
    </row>
    <row r="29" spans="1:22" x14ac:dyDescent="0.25">
      <c r="A29" s="62" t="s">
        <v>105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58"/>
    </row>
    <row r="30" spans="1:22" x14ac:dyDescent="0.25">
      <c r="A30" s="62" t="s">
        <v>106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58"/>
    </row>
    <row r="31" spans="1:22" ht="15.75" thickBot="1" x14ac:dyDescent="0.3">
      <c r="A31" s="28" t="s">
        <v>87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58"/>
    </row>
    <row r="32" spans="1:22" ht="15.75" thickBot="1" x14ac:dyDescent="0.3">
      <c r="A32" s="499" t="s">
        <v>16</v>
      </c>
      <c r="B32" s="500"/>
      <c r="C32" s="500"/>
      <c r="D32" s="500"/>
      <c r="E32" s="500"/>
      <c r="F32" s="500"/>
      <c r="G32" s="500"/>
      <c r="H32" s="500"/>
      <c r="I32" s="500"/>
      <c r="J32" s="500"/>
      <c r="K32" s="500"/>
      <c r="L32" s="500"/>
      <c r="M32" s="500"/>
      <c r="N32" s="500"/>
      <c r="O32" s="500"/>
      <c r="P32" s="500"/>
      <c r="Q32" s="501"/>
    </row>
    <row r="33" spans="1:17" x14ac:dyDescent="0.25">
      <c r="A33" s="111" t="s">
        <v>18</v>
      </c>
      <c r="B33" s="82" t="s">
        <v>74</v>
      </c>
      <c r="C33" s="101"/>
      <c r="D33" s="101"/>
      <c r="E33" s="101"/>
      <c r="F33" s="101"/>
      <c r="G33" s="101"/>
      <c r="H33" s="83"/>
      <c r="I33" s="83"/>
      <c r="J33" s="83"/>
      <c r="K33" s="83"/>
      <c r="L33" s="83"/>
      <c r="M33" s="83"/>
      <c r="N33" s="83"/>
      <c r="O33" s="83"/>
      <c r="P33" s="77"/>
      <c r="Q33" s="78"/>
    </row>
    <row r="34" spans="1:17" ht="15.75" thickBot="1" x14ac:dyDescent="0.3">
      <c r="A34" s="112" t="s">
        <v>116</v>
      </c>
      <c r="B34" s="67" t="s">
        <v>74</v>
      </c>
      <c r="C34" s="103"/>
      <c r="D34" s="103"/>
      <c r="E34" s="103"/>
      <c r="F34" s="103"/>
      <c r="G34" s="103"/>
      <c r="H34" s="68"/>
      <c r="I34" s="68"/>
      <c r="J34" s="68"/>
      <c r="K34" s="68"/>
      <c r="L34" s="68"/>
      <c r="M34" s="68"/>
      <c r="N34" s="68"/>
      <c r="O34" s="68"/>
      <c r="P34" s="88"/>
      <c r="Q34" s="87"/>
    </row>
    <row r="35" spans="1:17" ht="15.75" thickBot="1" x14ac:dyDescent="0.3">
      <c r="A35" s="99" t="s">
        <v>15</v>
      </c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8"/>
    </row>
    <row r="36" spans="1:17" x14ac:dyDescent="0.25">
      <c r="A36" s="113" t="s">
        <v>107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8"/>
    </row>
    <row r="37" spans="1:17" x14ac:dyDescent="0.25">
      <c r="A37" s="105" t="s">
        <v>109</v>
      </c>
      <c r="B37" s="29"/>
      <c r="C37" s="29"/>
      <c r="D37" s="29"/>
      <c r="E37" s="29"/>
      <c r="F37" s="29"/>
      <c r="G37" s="29"/>
      <c r="H37" s="162"/>
      <c r="I37" s="29"/>
      <c r="J37" s="29"/>
      <c r="K37" s="29"/>
      <c r="L37" s="29"/>
      <c r="M37" s="29"/>
      <c r="N37" s="29"/>
      <c r="O37" s="29"/>
      <c r="P37" s="29"/>
      <c r="Q37" s="58"/>
    </row>
    <row r="38" spans="1:17" x14ac:dyDescent="0.25">
      <c r="A38" s="555" t="s">
        <v>108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7"/>
    </row>
    <row r="39" spans="1:17" x14ac:dyDescent="0.25">
      <c r="A39" s="114" t="s">
        <v>110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58"/>
    </row>
    <row r="40" spans="1:17" x14ac:dyDescent="0.25">
      <c r="A40" s="105" t="s">
        <v>111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58"/>
    </row>
    <row r="41" spans="1:17" x14ac:dyDescent="0.25">
      <c r="A41" s="548" t="s">
        <v>112</v>
      </c>
      <c r="B41" s="549"/>
      <c r="C41" s="549"/>
      <c r="D41" s="549"/>
      <c r="E41" s="549"/>
      <c r="F41" s="549"/>
      <c r="G41" s="549"/>
      <c r="H41" s="549"/>
      <c r="I41" s="549"/>
      <c r="J41" s="549"/>
      <c r="K41" s="549"/>
      <c r="L41" s="549"/>
      <c r="M41" s="549"/>
      <c r="N41" s="549"/>
      <c r="O41" s="549"/>
      <c r="P41" s="549"/>
      <c r="Q41" s="518"/>
    </row>
    <row r="42" spans="1:17" ht="15.75" thickBot="1" x14ac:dyDescent="0.3">
      <c r="A42" s="550" t="s">
        <v>113</v>
      </c>
      <c r="B42" s="551"/>
      <c r="C42" s="551"/>
      <c r="D42" s="551"/>
      <c r="E42" s="551"/>
      <c r="F42" s="551"/>
      <c r="G42" s="551"/>
      <c r="H42" s="551"/>
      <c r="I42" s="551"/>
      <c r="J42" s="551"/>
      <c r="K42" s="551"/>
      <c r="L42" s="551"/>
      <c r="M42" s="551"/>
      <c r="N42" s="551"/>
      <c r="O42" s="551"/>
      <c r="P42" s="551"/>
      <c r="Q42" s="552"/>
    </row>
    <row r="43" spans="1:17" ht="15.75" thickBot="1" x14ac:dyDescent="0.3">
      <c r="A43" s="499" t="s">
        <v>191</v>
      </c>
      <c r="B43" s="500"/>
      <c r="C43" s="500"/>
      <c r="D43" s="500"/>
      <c r="E43" s="500"/>
      <c r="F43" s="500"/>
      <c r="G43" s="500"/>
      <c r="H43" s="500"/>
      <c r="I43" s="500"/>
      <c r="J43" s="500"/>
      <c r="K43" s="500"/>
      <c r="L43" s="500"/>
      <c r="M43" s="500"/>
      <c r="N43" s="500"/>
      <c r="O43" s="500"/>
      <c r="P43" s="500"/>
      <c r="Q43" s="501"/>
    </row>
    <row r="44" spans="1:17" ht="77.25" customHeight="1" x14ac:dyDescent="0.25">
      <c r="A44" s="488" t="s">
        <v>178</v>
      </c>
      <c r="B44" s="489"/>
      <c r="C44" s="508"/>
      <c r="D44" s="474" t="s">
        <v>176</v>
      </c>
      <c r="E44" s="474"/>
      <c r="F44" s="474" t="s">
        <v>177</v>
      </c>
      <c r="G44" s="509"/>
      <c r="H44" s="532"/>
      <c r="I44" s="533"/>
      <c r="J44" s="533"/>
      <c r="K44" s="534"/>
      <c r="L44" s="533"/>
      <c r="M44" s="77"/>
      <c r="N44" s="77"/>
      <c r="O44" s="77"/>
      <c r="P44" s="77"/>
      <c r="Q44" s="78"/>
    </row>
    <row r="45" spans="1:17" x14ac:dyDescent="0.25">
      <c r="A45" s="140" t="s">
        <v>179</v>
      </c>
      <c r="B45" s="145"/>
      <c r="C45" s="142"/>
      <c r="D45" s="526">
        <v>87</v>
      </c>
      <c r="E45" s="526"/>
      <c r="F45" s="526">
        <v>32</v>
      </c>
      <c r="G45" s="527"/>
      <c r="H45" s="528"/>
      <c r="I45" s="529"/>
      <c r="J45" s="529"/>
      <c r="K45" s="530"/>
      <c r="L45" s="529"/>
      <c r="M45" s="29"/>
      <c r="N45" s="29"/>
      <c r="O45" s="29"/>
      <c r="P45" s="29"/>
      <c r="Q45" s="58"/>
    </row>
    <row r="46" spans="1:17" x14ac:dyDescent="0.25">
      <c r="A46" s="140" t="s">
        <v>181</v>
      </c>
      <c r="B46" s="145"/>
      <c r="C46" s="144"/>
      <c r="D46" s="526">
        <v>44</v>
      </c>
      <c r="E46" s="526"/>
      <c r="F46" s="526">
        <v>16</v>
      </c>
      <c r="G46" s="527"/>
      <c r="H46" s="528"/>
      <c r="I46" s="529"/>
      <c r="J46" s="529"/>
      <c r="K46" s="530"/>
      <c r="L46" s="529"/>
      <c r="M46" s="29"/>
      <c r="N46" s="29"/>
      <c r="O46" s="29"/>
      <c r="P46" s="29"/>
      <c r="Q46" s="58"/>
    </row>
    <row r="47" spans="1:17" ht="15.75" thickBot="1" x14ac:dyDescent="0.3">
      <c r="A47" s="141" t="s">
        <v>182</v>
      </c>
      <c r="B47" s="146"/>
      <c r="C47" s="143"/>
      <c r="D47" s="521" t="s">
        <v>175</v>
      </c>
      <c r="E47" s="521"/>
      <c r="F47" s="521" t="s">
        <v>175</v>
      </c>
      <c r="G47" s="522"/>
      <c r="H47" s="523"/>
      <c r="I47" s="524"/>
      <c r="J47" s="524"/>
      <c r="K47" s="525"/>
      <c r="L47" s="524"/>
      <c r="M47" s="88"/>
      <c r="N47" s="88"/>
      <c r="O47" s="88"/>
      <c r="P47" s="88"/>
      <c r="Q47" s="87"/>
    </row>
  </sheetData>
  <mergeCells count="46">
    <mergeCell ref="D46:E46"/>
    <mergeCell ref="F46:G46"/>
    <mergeCell ref="H46:J46"/>
    <mergeCell ref="K46:L46"/>
    <mergeCell ref="D47:E47"/>
    <mergeCell ref="F47:G47"/>
    <mergeCell ref="H47:J47"/>
    <mergeCell ref="K47:L47"/>
    <mergeCell ref="D45:E45"/>
    <mergeCell ref="F45:G45"/>
    <mergeCell ref="H45:J45"/>
    <mergeCell ref="K45:L45"/>
    <mergeCell ref="A43:Q43"/>
    <mergeCell ref="A44:C44"/>
    <mergeCell ref="D44:E44"/>
    <mergeCell ref="F44:G44"/>
    <mergeCell ref="H44:J44"/>
    <mergeCell ref="K44:L44"/>
    <mergeCell ref="A1:Q1"/>
    <mergeCell ref="A2:Q2"/>
    <mergeCell ref="A3:Q3"/>
    <mergeCell ref="A4:A5"/>
    <mergeCell ref="B4:B5"/>
    <mergeCell ref="D4:H4"/>
    <mergeCell ref="J4:N4"/>
    <mergeCell ref="P4:Q4"/>
    <mergeCell ref="A6:A7"/>
    <mergeCell ref="A8:A9"/>
    <mergeCell ref="A16:Q16"/>
    <mergeCell ref="A21:Q21"/>
    <mergeCell ref="A15:Q15"/>
    <mergeCell ref="A13:Q13"/>
    <mergeCell ref="A17:A18"/>
    <mergeCell ref="B17:B18"/>
    <mergeCell ref="D17:H17"/>
    <mergeCell ref="J17:N17"/>
    <mergeCell ref="P17:Q17"/>
    <mergeCell ref="A32:Q32"/>
    <mergeCell ref="A38:Q38"/>
    <mergeCell ref="A41:Q41"/>
    <mergeCell ref="A42:Q42"/>
    <mergeCell ref="A22:A23"/>
    <mergeCell ref="B22:B23"/>
    <mergeCell ref="D22:H22"/>
    <mergeCell ref="J22:N22"/>
    <mergeCell ref="P22:Q22"/>
  </mergeCells>
  <pageMargins left="0.7" right="0.7" top="0.75" bottom="0.75" header="0.3" footer="0.3"/>
  <pageSetup scale="77" fitToHeight="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topLeftCell="A49" workbookViewId="0">
      <selection activeCell="P57" sqref="P57"/>
    </sheetView>
  </sheetViews>
  <sheetFormatPr defaultRowHeight="15" x14ac:dyDescent="0.25"/>
  <cols>
    <col min="1" max="1" width="24" customWidth="1"/>
    <col min="2" max="2" width="20" customWidth="1"/>
    <col min="3" max="3" width="1.7109375" customWidth="1"/>
    <col min="7" max="7" width="1.7109375" customWidth="1"/>
    <col min="11" max="11" width="1.5703125" customWidth="1"/>
  </cols>
  <sheetData>
    <row r="1" spans="1:17" ht="15.75" thickBot="1" x14ac:dyDescent="0.3">
      <c r="A1" s="460" t="s">
        <v>308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2"/>
    </row>
    <row r="2" spans="1:17" ht="15.75" customHeight="1" thickBot="1" x14ac:dyDescent="0.3">
      <c r="A2" s="460" t="s">
        <v>21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2"/>
    </row>
    <row r="3" spans="1:17" ht="15.75" thickBot="1" x14ac:dyDescent="0.3">
      <c r="A3" s="460" t="s">
        <v>341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2"/>
    </row>
    <row r="4" spans="1:17" ht="15.75" customHeight="1" thickBot="1" x14ac:dyDescent="0.3">
      <c r="A4" s="463" t="s">
        <v>10</v>
      </c>
      <c r="B4" s="465" t="s">
        <v>9</v>
      </c>
      <c r="C4" s="9"/>
      <c r="D4" s="470" t="s">
        <v>0</v>
      </c>
      <c r="E4" s="471"/>
      <c r="F4" s="472"/>
      <c r="G4" s="2"/>
      <c r="H4" s="467" t="s">
        <v>1</v>
      </c>
      <c r="I4" s="468"/>
      <c r="J4" s="469"/>
      <c r="K4" s="1"/>
      <c r="L4" s="491" t="s">
        <v>2</v>
      </c>
      <c r="M4" s="492"/>
      <c r="N4">
        <v>0.5</v>
      </c>
    </row>
    <row r="5" spans="1:17" ht="45.75" thickBot="1" x14ac:dyDescent="0.3">
      <c r="A5" s="490"/>
      <c r="B5" s="466"/>
      <c r="C5" s="43"/>
      <c r="D5" s="44" t="s">
        <v>3</v>
      </c>
      <c r="E5" s="45" t="s">
        <v>4</v>
      </c>
      <c r="F5" s="47" t="s">
        <v>120</v>
      </c>
      <c r="G5" s="7"/>
      <c r="H5" s="3" t="s">
        <v>3</v>
      </c>
      <c r="I5" s="4" t="s">
        <v>4</v>
      </c>
      <c r="J5" s="47" t="s">
        <v>120</v>
      </c>
      <c r="K5" s="6"/>
      <c r="L5" s="3" t="s">
        <v>7</v>
      </c>
      <c r="M5" s="8" t="s">
        <v>8</v>
      </c>
      <c r="N5">
        <v>4</v>
      </c>
      <c r="O5">
        <v>6</v>
      </c>
      <c r="P5">
        <v>25</v>
      </c>
      <c r="Q5">
        <v>20</v>
      </c>
    </row>
    <row r="6" spans="1:17" ht="30" x14ac:dyDescent="0.25">
      <c r="A6" s="504" t="s">
        <v>18</v>
      </c>
      <c r="B6" s="306" t="s">
        <v>375</v>
      </c>
      <c r="C6" s="48"/>
      <c r="D6" s="223">
        <f t="shared" ref="D6:E9" si="0">(N6*$N$5)+25</f>
        <v>1345</v>
      </c>
      <c r="E6" s="222">
        <f t="shared" si="0"/>
        <v>2005</v>
      </c>
      <c r="F6" s="224">
        <f t="shared" ref="F6:F9" si="1">(P6*$N$5)+20</f>
        <v>180</v>
      </c>
      <c r="G6" s="48"/>
      <c r="H6" s="223">
        <f t="shared" ref="H6:I9" si="2">(N6*$O$5)+25</f>
        <v>2005</v>
      </c>
      <c r="I6" s="222">
        <f t="shared" si="2"/>
        <v>2995</v>
      </c>
      <c r="J6" s="224">
        <f t="shared" ref="J6:J9" si="3">(P6*$O$5)+20</f>
        <v>260</v>
      </c>
      <c r="K6" s="48"/>
      <c r="L6" s="20">
        <f t="shared" ref="L6:L9" si="4">((N6*$N$5*$N$4+(N6*$N$5))/2)+25</f>
        <v>1015</v>
      </c>
      <c r="M6" s="19">
        <f>((N6*$O$5*$N$4+(N6*$O$5))/2)+25</f>
        <v>1510</v>
      </c>
      <c r="N6">
        <v>330</v>
      </c>
      <c r="O6">
        <v>495</v>
      </c>
      <c r="P6">
        <v>40</v>
      </c>
    </row>
    <row r="7" spans="1:17" ht="15.75" thickBot="1" x14ac:dyDescent="0.3">
      <c r="A7" s="506"/>
      <c r="B7" s="37" t="s">
        <v>350</v>
      </c>
      <c r="C7" s="11"/>
      <c r="D7" s="223">
        <f t="shared" si="0"/>
        <v>1125</v>
      </c>
      <c r="E7" s="222">
        <f t="shared" si="0"/>
        <v>1677</v>
      </c>
      <c r="F7" s="224">
        <f t="shared" si="1"/>
        <v>180</v>
      </c>
      <c r="G7" s="11"/>
      <c r="H7" s="223">
        <f t="shared" si="2"/>
        <v>1675</v>
      </c>
      <c r="I7" s="222">
        <f t="shared" si="2"/>
        <v>2503</v>
      </c>
      <c r="J7" s="224">
        <f t="shared" si="3"/>
        <v>260</v>
      </c>
      <c r="K7" s="11"/>
      <c r="L7" s="20">
        <f t="shared" si="4"/>
        <v>850</v>
      </c>
      <c r="M7" s="19">
        <f>CEILING(((N7*$O$5*$N$4+(N7*$O$5))/2)+25,1)</f>
        <v>1263</v>
      </c>
      <c r="N7">
        <v>275</v>
      </c>
      <c r="O7">
        <v>413</v>
      </c>
      <c r="P7">
        <v>40</v>
      </c>
    </row>
    <row r="8" spans="1:17" ht="30" x14ac:dyDescent="0.25">
      <c r="A8" s="504" t="s">
        <v>119</v>
      </c>
      <c r="B8" s="306" t="s">
        <v>375</v>
      </c>
      <c r="C8" s="40"/>
      <c r="D8" s="223">
        <f t="shared" si="0"/>
        <v>1453</v>
      </c>
      <c r="E8" s="222">
        <f t="shared" si="0"/>
        <v>2169</v>
      </c>
      <c r="F8" s="224">
        <f t="shared" si="1"/>
        <v>180</v>
      </c>
      <c r="G8" s="48"/>
      <c r="H8" s="223">
        <f t="shared" si="2"/>
        <v>2167</v>
      </c>
      <c r="I8" s="222">
        <f t="shared" si="2"/>
        <v>3241</v>
      </c>
      <c r="J8" s="224">
        <f t="shared" si="3"/>
        <v>260</v>
      </c>
      <c r="K8" s="48"/>
      <c r="L8" s="12">
        <f t="shared" si="4"/>
        <v>1096</v>
      </c>
      <c r="M8" s="13">
        <f>CEILING(((N8*$O$5*$N$4+(N8*$O$5))/2)+25,1)</f>
        <v>1632</v>
      </c>
      <c r="N8">
        <v>357</v>
      </c>
      <c r="O8">
        <v>536</v>
      </c>
      <c r="P8">
        <v>40</v>
      </c>
    </row>
    <row r="9" spans="1:17" ht="15.75" thickBot="1" x14ac:dyDescent="0.3">
      <c r="A9" s="506"/>
      <c r="B9" s="37" t="s">
        <v>350</v>
      </c>
      <c r="C9" s="30"/>
      <c r="D9" s="223">
        <f t="shared" si="0"/>
        <v>1205</v>
      </c>
      <c r="E9" s="222">
        <f t="shared" si="0"/>
        <v>1797</v>
      </c>
      <c r="F9" s="224">
        <f t="shared" si="1"/>
        <v>180</v>
      </c>
      <c r="G9" s="11"/>
      <c r="H9" s="223">
        <f t="shared" si="2"/>
        <v>1795</v>
      </c>
      <c r="I9" s="222">
        <f t="shared" si="2"/>
        <v>2683</v>
      </c>
      <c r="J9" s="224">
        <f t="shared" si="3"/>
        <v>260</v>
      </c>
      <c r="K9" s="11"/>
      <c r="L9" s="20">
        <f t="shared" si="4"/>
        <v>910</v>
      </c>
      <c r="M9" s="19">
        <f>CEILING(((N9*$O$5*$N$4+(N9*$O$5))/2)+25,1)</f>
        <v>1353</v>
      </c>
      <c r="N9">
        <v>295</v>
      </c>
      <c r="O9">
        <v>443</v>
      </c>
      <c r="P9">
        <v>40</v>
      </c>
    </row>
    <row r="10" spans="1:17" ht="15.75" thickBot="1" x14ac:dyDescent="0.3">
      <c r="A10" s="34" t="s">
        <v>17</v>
      </c>
      <c r="B10" s="35"/>
      <c r="C10" s="35"/>
      <c r="D10" s="117"/>
      <c r="E10" s="117"/>
      <c r="F10" s="117"/>
      <c r="G10" s="35"/>
      <c r="H10" s="117"/>
      <c r="I10" s="117"/>
      <c r="J10" s="117"/>
      <c r="K10" s="35"/>
      <c r="L10" s="117"/>
      <c r="M10" s="118"/>
    </row>
    <row r="11" spans="1:17" x14ac:dyDescent="0.25">
      <c r="A11" s="59" t="s">
        <v>12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1"/>
    </row>
    <row r="12" spans="1:17" x14ac:dyDescent="0.25">
      <c r="A12" s="59" t="s">
        <v>13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1"/>
    </row>
    <row r="13" spans="1:17" x14ac:dyDescent="0.25">
      <c r="A13" s="59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1"/>
    </row>
    <row r="14" spans="1:17" ht="15.75" thickBot="1" x14ac:dyDescent="0.3">
      <c r="A14" s="493" t="s">
        <v>125</v>
      </c>
      <c r="B14" s="494"/>
      <c r="C14" s="494"/>
      <c r="D14" s="494"/>
      <c r="E14" s="494"/>
      <c r="F14" s="494"/>
      <c r="G14" s="494"/>
      <c r="H14" s="494"/>
      <c r="I14" s="494"/>
      <c r="J14" s="494"/>
      <c r="K14" s="494"/>
      <c r="L14" s="494"/>
      <c r="M14" s="495"/>
    </row>
    <row r="15" spans="1:17" ht="15.75" thickBot="1" x14ac:dyDescent="0.3">
      <c r="A15" s="460" t="s">
        <v>121</v>
      </c>
      <c r="B15" s="461"/>
      <c r="C15" s="461"/>
      <c r="D15" s="461"/>
      <c r="E15" s="461"/>
      <c r="F15" s="461"/>
      <c r="G15" s="461"/>
      <c r="H15" s="461"/>
      <c r="I15" s="461"/>
      <c r="J15" s="461"/>
      <c r="K15" s="461"/>
      <c r="L15" s="461"/>
      <c r="M15" s="462"/>
    </row>
    <row r="16" spans="1:17" ht="15.75" thickBot="1" x14ac:dyDescent="0.3">
      <c r="A16" s="460" t="s">
        <v>122</v>
      </c>
      <c r="B16" s="461"/>
      <c r="C16" s="461"/>
      <c r="D16" s="461"/>
      <c r="E16" s="461"/>
      <c r="F16" s="461"/>
      <c r="G16" s="461"/>
      <c r="H16" s="461"/>
      <c r="I16" s="461"/>
      <c r="J16" s="461"/>
      <c r="K16" s="461"/>
      <c r="L16" s="461"/>
      <c r="M16" s="462"/>
    </row>
    <row r="17" spans="1:16" ht="15.75" thickBot="1" x14ac:dyDescent="0.3">
      <c r="A17" s="460" t="s">
        <v>123</v>
      </c>
      <c r="B17" s="461"/>
      <c r="C17" s="461"/>
      <c r="D17" s="461"/>
      <c r="E17" s="461"/>
      <c r="F17" s="461"/>
      <c r="G17" s="461"/>
      <c r="H17" s="461"/>
      <c r="I17" s="461"/>
      <c r="J17" s="461"/>
      <c r="K17" s="461"/>
      <c r="L17" s="461"/>
      <c r="M17" s="462"/>
    </row>
    <row r="18" spans="1:16" ht="15.75" thickBot="1" x14ac:dyDescent="0.3">
      <c r="A18" s="463" t="s">
        <v>10</v>
      </c>
      <c r="B18" s="465" t="s">
        <v>9</v>
      </c>
      <c r="C18" s="9"/>
      <c r="D18" s="470" t="s">
        <v>0</v>
      </c>
      <c r="E18" s="471"/>
      <c r="F18" s="472"/>
      <c r="G18" s="2"/>
      <c r="H18" s="467" t="s">
        <v>1</v>
      </c>
      <c r="I18" s="468"/>
      <c r="J18" s="469"/>
      <c r="K18" s="1"/>
      <c r="L18" s="491" t="s">
        <v>2</v>
      </c>
      <c r="M18" s="492"/>
    </row>
    <row r="19" spans="1:16" ht="45.75" thickBot="1" x14ac:dyDescent="0.3">
      <c r="A19" s="490"/>
      <c r="B19" s="466"/>
      <c r="C19" s="43"/>
      <c r="D19" s="44" t="s">
        <v>3</v>
      </c>
      <c r="E19" s="45" t="s">
        <v>4</v>
      </c>
      <c r="F19" s="47" t="s">
        <v>6</v>
      </c>
      <c r="G19" s="7"/>
      <c r="H19" s="3" t="s">
        <v>3</v>
      </c>
      <c r="I19" s="4" t="s">
        <v>4</v>
      </c>
      <c r="J19" s="8" t="s">
        <v>6</v>
      </c>
      <c r="K19" s="6"/>
      <c r="L19" s="3" t="s">
        <v>7</v>
      </c>
      <c r="M19" s="8" t="s">
        <v>8</v>
      </c>
      <c r="N19">
        <v>0.6</v>
      </c>
      <c r="O19">
        <v>25</v>
      </c>
      <c r="P19">
        <v>20</v>
      </c>
    </row>
    <row r="20" spans="1:16" ht="15" customHeight="1" x14ac:dyDescent="0.25">
      <c r="A20" s="504" t="s">
        <v>18</v>
      </c>
      <c r="B20" s="306" t="s">
        <v>375</v>
      </c>
      <c r="C20" s="48"/>
      <c r="D20" s="15">
        <f>((((N20*$N$5)+25)-25)*0.6)+25</f>
        <v>817</v>
      </c>
      <c r="E20" s="16">
        <f>((((O20*$N$5)+25)-25)*0.6)+25</f>
        <v>1213</v>
      </c>
      <c r="F20" s="18">
        <f t="shared" ref="F20:F23" si="5">(P20*$N$5)+20</f>
        <v>180</v>
      </c>
      <c r="G20" s="48"/>
      <c r="H20" s="15">
        <f>((((N20*$O$5)+25)-25)*0.6)+25</f>
        <v>1213</v>
      </c>
      <c r="I20" s="16">
        <f>((((O20*$O$5)+25)-25)*0.6)+25</f>
        <v>1807</v>
      </c>
      <c r="J20" s="18">
        <f t="shared" ref="J20:J23" si="6">(P20*$O$5)+20</f>
        <v>260</v>
      </c>
      <c r="K20" s="48"/>
      <c r="L20" s="15" t="s">
        <v>47</v>
      </c>
      <c r="M20" s="18" t="s">
        <v>47</v>
      </c>
      <c r="N20">
        <v>330</v>
      </c>
      <c r="O20">
        <v>495</v>
      </c>
      <c r="P20">
        <v>40</v>
      </c>
    </row>
    <row r="21" spans="1:16" ht="15.75" thickBot="1" x14ac:dyDescent="0.3">
      <c r="A21" s="505"/>
      <c r="B21" s="37" t="s">
        <v>350</v>
      </c>
      <c r="C21" s="11"/>
      <c r="D21" s="20">
        <f>((((N21*$N$5)+25)-25)*0.6)+25</f>
        <v>685</v>
      </c>
      <c r="E21" s="21">
        <f>CEILING(((((O21*$N$5)+25)-25)*0.6)+25,1)</f>
        <v>1017</v>
      </c>
      <c r="F21" s="19">
        <f t="shared" si="5"/>
        <v>180</v>
      </c>
      <c r="G21" s="11"/>
      <c r="H21" s="20">
        <f>((((N21*$O$5)+25)-25)*0.6)+25</f>
        <v>1015</v>
      </c>
      <c r="I21" s="21">
        <f>CEILING(((((O21*$O$5)+25)-25)*0.6)+25,1)</f>
        <v>1512</v>
      </c>
      <c r="J21" s="19">
        <f t="shared" si="6"/>
        <v>260</v>
      </c>
      <c r="K21" s="11"/>
      <c r="L21" s="20" t="s">
        <v>47</v>
      </c>
      <c r="M21" s="19" t="s">
        <v>47</v>
      </c>
      <c r="N21">
        <v>275</v>
      </c>
      <c r="O21">
        <v>413</v>
      </c>
      <c r="P21">
        <v>40</v>
      </c>
    </row>
    <row r="22" spans="1:16" ht="30" x14ac:dyDescent="0.25">
      <c r="A22" s="504" t="s">
        <v>119</v>
      </c>
      <c r="B22" s="306" t="s">
        <v>375</v>
      </c>
      <c r="C22" s="40"/>
      <c r="D22" s="15">
        <f>CEILING(((((N22*$N$5)+25)-25)*0.6)+25,1)</f>
        <v>882</v>
      </c>
      <c r="E22" s="16">
        <f>CEILING(((((O22*$N$5)+25)-25)*0.6)+25,1)</f>
        <v>1312</v>
      </c>
      <c r="F22" s="18">
        <f t="shared" si="5"/>
        <v>180</v>
      </c>
      <c r="G22" s="48"/>
      <c r="H22" s="15">
        <f>CEILING(((((N22*$O$5)+25)-25)*0.6)+25,1)</f>
        <v>1311</v>
      </c>
      <c r="I22" s="16">
        <f>CEILING(((((O22*$O$5)+25)-25)*0.6)+25,1)</f>
        <v>1955</v>
      </c>
      <c r="J22" s="18">
        <f t="shared" si="6"/>
        <v>260</v>
      </c>
      <c r="K22" s="48"/>
      <c r="L22" s="15" t="s">
        <v>47</v>
      </c>
      <c r="M22" s="18" t="s">
        <v>47</v>
      </c>
      <c r="N22">
        <v>357</v>
      </c>
      <c r="O22">
        <v>536</v>
      </c>
      <c r="P22">
        <v>40</v>
      </c>
    </row>
    <row r="23" spans="1:16" ht="15.75" thickBot="1" x14ac:dyDescent="0.3">
      <c r="A23" s="505"/>
      <c r="B23" s="37" t="s">
        <v>350</v>
      </c>
      <c r="C23" s="30"/>
      <c r="D23" s="20">
        <f>((((N23*$N$5)+25)-25)*0.6)+25</f>
        <v>733</v>
      </c>
      <c r="E23" s="21">
        <f>CEILING(((((O23*$N$5)+25)-25)*0.6)+25,1)</f>
        <v>1089</v>
      </c>
      <c r="F23" s="19">
        <f t="shared" si="5"/>
        <v>180</v>
      </c>
      <c r="G23" s="11"/>
      <c r="H23" s="20">
        <f>((((N23*$O$5)+25)-25)*0.6)+25</f>
        <v>1087</v>
      </c>
      <c r="I23" s="21">
        <f>CEILING(((((O23*$O$5)+25)-25)*0.6)+25,1)</f>
        <v>1620</v>
      </c>
      <c r="J23" s="19">
        <f t="shared" si="6"/>
        <v>260</v>
      </c>
      <c r="K23" s="11"/>
      <c r="L23" s="20" t="s">
        <v>47</v>
      </c>
      <c r="M23" s="19" t="s">
        <v>47</v>
      </c>
      <c r="N23">
        <v>295</v>
      </c>
      <c r="O23">
        <v>443</v>
      </c>
      <c r="P23">
        <v>40</v>
      </c>
    </row>
    <row r="24" spans="1:16" ht="15.75" thickBot="1" x14ac:dyDescent="0.3">
      <c r="A24" s="460" t="s">
        <v>124</v>
      </c>
      <c r="B24" s="461"/>
      <c r="C24" s="461"/>
      <c r="D24" s="461"/>
      <c r="E24" s="461"/>
      <c r="F24" s="461"/>
      <c r="G24" s="461"/>
      <c r="H24" s="461"/>
      <c r="I24" s="461"/>
      <c r="J24" s="461"/>
      <c r="K24" s="461"/>
      <c r="L24" s="461"/>
      <c r="M24" s="462"/>
    </row>
    <row r="25" spans="1:16" ht="15.75" thickBot="1" x14ac:dyDescent="0.3">
      <c r="A25" s="463" t="s">
        <v>10</v>
      </c>
      <c r="B25" s="465" t="s">
        <v>9</v>
      </c>
      <c r="C25" s="9"/>
      <c r="D25" s="470" t="s">
        <v>0</v>
      </c>
      <c r="E25" s="471"/>
      <c r="F25" s="472"/>
      <c r="G25" s="2"/>
      <c r="H25" s="467" t="s">
        <v>1</v>
      </c>
      <c r="I25" s="468"/>
      <c r="J25" s="469"/>
      <c r="K25" s="1"/>
      <c r="L25" s="491" t="s">
        <v>2</v>
      </c>
      <c r="M25" s="492"/>
    </row>
    <row r="26" spans="1:16" ht="45.75" thickBot="1" x14ac:dyDescent="0.3">
      <c r="A26" s="490"/>
      <c r="B26" s="466"/>
      <c r="C26" s="43"/>
      <c r="D26" s="44" t="s">
        <v>3</v>
      </c>
      <c r="E26" s="45" t="s">
        <v>4</v>
      </c>
      <c r="F26" s="47" t="s">
        <v>6</v>
      </c>
      <c r="G26" s="7"/>
      <c r="H26" s="3" t="s">
        <v>3</v>
      </c>
      <c r="I26" s="4" t="s">
        <v>4</v>
      </c>
      <c r="J26" s="8" t="s">
        <v>6</v>
      </c>
      <c r="K26" s="6"/>
      <c r="L26" s="3" t="s">
        <v>7</v>
      </c>
      <c r="M26" s="8" t="s">
        <v>8</v>
      </c>
      <c r="N26">
        <v>0.7</v>
      </c>
      <c r="O26">
        <v>25</v>
      </c>
      <c r="P26">
        <v>20</v>
      </c>
    </row>
    <row r="27" spans="1:16" ht="15" customHeight="1" x14ac:dyDescent="0.25">
      <c r="A27" s="504" t="s">
        <v>18</v>
      </c>
      <c r="B27" s="306" t="s">
        <v>375</v>
      </c>
      <c r="C27" s="48"/>
      <c r="D27" s="15">
        <f>((((N27*$N$5)+25)-25)*0.7)+25</f>
        <v>948.99999999999989</v>
      </c>
      <c r="E27" s="16">
        <f>((((O27*$N$5)+25)-25)*0.7)+25</f>
        <v>1411</v>
      </c>
      <c r="F27" s="18">
        <f t="shared" ref="F27:F30" si="7">(P27*$N$5)+20</f>
        <v>180</v>
      </c>
      <c r="G27" s="48"/>
      <c r="H27" s="15">
        <f>((((N27*$O$5)+25)-25)*0.7)+25</f>
        <v>1411</v>
      </c>
      <c r="I27" s="16">
        <f>((((O27*$O$5)+25)-25)*0.7)+25</f>
        <v>2104</v>
      </c>
      <c r="J27" s="18">
        <f t="shared" ref="J27:J30" si="8">(P27*$O$5)+20</f>
        <v>260</v>
      </c>
      <c r="K27" s="48"/>
      <c r="L27" s="15" t="s">
        <v>47</v>
      </c>
      <c r="M27" s="18" t="s">
        <v>47</v>
      </c>
      <c r="N27">
        <v>330</v>
      </c>
      <c r="O27">
        <v>495</v>
      </c>
      <c r="P27">
        <v>40</v>
      </c>
    </row>
    <row r="28" spans="1:16" ht="15.75" thickBot="1" x14ac:dyDescent="0.3">
      <c r="A28" s="505"/>
      <c r="B28" s="37" t="s">
        <v>350</v>
      </c>
      <c r="C28" s="11"/>
      <c r="D28" s="20">
        <f>((((N28*$N$5)+25)-25)*0.7)+25</f>
        <v>795</v>
      </c>
      <c r="E28" s="21">
        <f>CEILING(((((O28*$N$5)+25)-25)*0.7)+25,1)</f>
        <v>1182</v>
      </c>
      <c r="F28" s="19">
        <f t="shared" si="7"/>
        <v>180</v>
      </c>
      <c r="G28" s="11"/>
      <c r="H28" s="20">
        <f>((((N28*$O$5)+25)-25)*0.7)+25</f>
        <v>1180</v>
      </c>
      <c r="I28" s="21">
        <f>CEILING(((((O28*$O$5)+25)-25)*0.7)+25,1)</f>
        <v>1760</v>
      </c>
      <c r="J28" s="19">
        <f t="shared" si="8"/>
        <v>260</v>
      </c>
      <c r="K28" s="11"/>
      <c r="L28" s="20" t="s">
        <v>47</v>
      </c>
      <c r="M28" s="19" t="s">
        <v>47</v>
      </c>
      <c r="N28">
        <v>275</v>
      </c>
      <c r="O28">
        <v>413</v>
      </c>
      <c r="P28">
        <v>40</v>
      </c>
    </row>
    <row r="29" spans="1:16" ht="30" x14ac:dyDescent="0.25">
      <c r="A29" s="504" t="s">
        <v>119</v>
      </c>
      <c r="B29" s="306" t="s">
        <v>375</v>
      </c>
      <c r="C29" s="40"/>
      <c r="D29" s="15">
        <f>CEILING(((((N29*$N$5)+25)-25)*0.7)+25,1)</f>
        <v>1025</v>
      </c>
      <c r="E29" s="16">
        <f>CEILING(((((O29*$N$5)+25)-25)*0.7)+25,1)</f>
        <v>1526</v>
      </c>
      <c r="F29" s="18">
        <f t="shared" si="7"/>
        <v>180</v>
      </c>
      <c r="G29" s="48"/>
      <c r="H29" s="15">
        <f>CEILING(((((N29*$O$5)+25)-25)*0.7)+25,1)</f>
        <v>1525</v>
      </c>
      <c r="I29" s="16">
        <f>CEILING(((((O29*$O$5)+25)-25)*0.7)+25,1)</f>
        <v>2277</v>
      </c>
      <c r="J29" s="18">
        <f t="shared" si="8"/>
        <v>260</v>
      </c>
      <c r="K29" s="48"/>
      <c r="L29" s="15" t="s">
        <v>47</v>
      </c>
      <c r="M29" s="18" t="s">
        <v>47</v>
      </c>
      <c r="N29">
        <v>357</v>
      </c>
      <c r="O29">
        <v>536</v>
      </c>
      <c r="P29">
        <v>40</v>
      </c>
    </row>
    <row r="30" spans="1:16" ht="15.75" thickBot="1" x14ac:dyDescent="0.3">
      <c r="A30" s="505"/>
      <c r="B30" s="37" t="s">
        <v>350</v>
      </c>
      <c r="C30" s="30"/>
      <c r="D30" s="20">
        <f>((((N30*$N$5)+25)-25)*0.7)+25</f>
        <v>851</v>
      </c>
      <c r="E30" s="21">
        <f>CEILING(((((O30*$N$5)+25)-25)*0.7)+25,1)</f>
        <v>1266</v>
      </c>
      <c r="F30" s="19">
        <f t="shared" si="7"/>
        <v>180</v>
      </c>
      <c r="G30" s="11"/>
      <c r="H30" s="20">
        <f>((((N30*$O$5)+25)-25)*0.7)+25</f>
        <v>1264</v>
      </c>
      <c r="I30" s="21">
        <f>CEILING(((((O30*$O$5)+25)-25)*0.7)+25,1)</f>
        <v>1886</v>
      </c>
      <c r="J30" s="19">
        <f t="shared" si="8"/>
        <v>260</v>
      </c>
      <c r="K30" s="11"/>
      <c r="L30" s="20" t="s">
        <v>47</v>
      </c>
      <c r="M30" s="19" t="s">
        <v>47</v>
      </c>
      <c r="N30">
        <v>295</v>
      </c>
      <c r="O30">
        <v>443</v>
      </c>
      <c r="P30">
        <v>40</v>
      </c>
    </row>
    <row r="31" spans="1:16" ht="15.75" thickBot="1" x14ac:dyDescent="0.3">
      <c r="A31" s="460" t="s">
        <v>122</v>
      </c>
      <c r="B31" s="461"/>
      <c r="C31" s="461"/>
      <c r="D31" s="461"/>
      <c r="E31" s="461"/>
      <c r="F31" s="461"/>
      <c r="G31" s="461"/>
      <c r="H31" s="461"/>
      <c r="I31" s="461"/>
      <c r="J31" s="461"/>
      <c r="K31" s="461"/>
      <c r="L31" s="461"/>
      <c r="M31" s="462"/>
    </row>
    <row r="32" spans="1:16" ht="15.75" thickBot="1" x14ac:dyDescent="0.3">
      <c r="A32" s="460" t="s">
        <v>340</v>
      </c>
      <c r="B32" s="461"/>
      <c r="C32" s="461"/>
      <c r="D32" s="461"/>
      <c r="E32" s="461"/>
      <c r="F32" s="461"/>
      <c r="G32" s="461"/>
      <c r="H32" s="461"/>
      <c r="I32" s="461"/>
      <c r="J32" s="461"/>
      <c r="K32" s="461"/>
      <c r="L32" s="461"/>
      <c r="M32" s="462"/>
    </row>
    <row r="33" spans="1:17" ht="15.75" thickBot="1" x14ac:dyDescent="0.3">
      <c r="A33" s="463" t="s">
        <v>10</v>
      </c>
      <c r="B33" s="465" t="s">
        <v>9</v>
      </c>
      <c r="C33" s="9"/>
      <c r="D33" s="470" t="s">
        <v>0</v>
      </c>
      <c r="E33" s="471"/>
      <c r="F33" s="472"/>
      <c r="G33" s="2"/>
      <c r="H33" s="467" t="s">
        <v>1</v>
      </c>
      <c r="I33" s="468"/>
      <c r="J33" s="469"/>
      <c r="K33" s="1"/>
      <c r="L33" s="491" t="s">
        <v>2</v>
      </c>
      <c r="M33" s="492"/>
    </row>
    <row r="34" spans="1:17" ht="45.75" thickBot="1" x14ac:dyDescent="0.3">
      <c r="A34" s="490"/>
      <c r="B34" s="466"/>
      <c r="C34" s="43"/>
      <c r="D34" s="303" t="s">
        <v>3</v>
      </c>
      <c r="E34" s="45" t="s">
        <v>4</v>
      </c>
      <c r="F34" s="304" t="s">
        <v>6</v>
      </c>
      <c r="G34" s="7"/>
      <c r="H34" s="3" t="s">
        <v>3</v>
      </c>
      <c r="I34" s="4" t="s">
        <v>4</v>
      </c>
      <c r="J34" s="8" t="s">
        <v>6</v>
      </c>
      <c r="K34" s="6"/>
      <c r="L34" s="3" t="s">
        <v>7</v>
      </c>
      <c r="M34" s="8" t="s">
        <v>8</v>
      </c>
      <c r="N34">
        <v>4</v>
      </c>
      <c r="O34">
        <v>6</v>
      </c>
      <c r="P34">
        <v>25</v>
      </c>
      <c r="Q34">
        <v>20</v>
      </c>
    </row>
    <row r="35" spans="1:17" ht="15.75" thickBot="1" x14ac:dyDescent="0.3">
      <c r="A35" s="52" t="s">
        <v>93</v>
      </c>
      <c r="B35" s="37" t="s">
        <v>342</v>
      </c>
      <c r="C35" s="11"/>
      <c r="D35" s="15">
        <f>(N35*$N$34)+25</f>
        <v>621</v>
      </c>
      <c r="E35" s="15">
        <f>(O35*$N$34)+25</f>
        <v>917</v>
      </c>
      <c r="F35" s="15">
        <f>(P35*$N$34)+20</f>
        <v>180</v>
      </c>
      <c r="G35" s="239"/>
      <c r="H35" s="15">
        <f>(N35*$O$34)+25</f>
        <v>919</v>
      </c>
      <c r="I35" s="15">
        <f>(O35*$O$34)+25</f>
        <v>1363</v>
      </c>
      <c r="J35" s="15">
        <f>(P35*$O$34)+20</f>
        <v>260</v>
      </c>
      <c r="K35" s="239"/>
      <c r="L35" s="15">
        <v>621</v>
      </c>
      <c r="M35" s="18">
        <v>919</v>
      </c>
      <c r="N35" s="29">
        <v>149</v>
      </c>
      <c r="O35">
        <v>223</v>
      </c>
      <c r="P35">
        <v>40</v>
      </c>
    </row>
    <row r="36" spans="1:17" ht="15.75" thickBot="1" x14ac:dyDescent="0.3">
      <c r="A36" s="52" t="s">
        <v>339</v>
      </c>
      <c r="B36" s="37" t="s">
        <v>342</v>
      </c>
      <c r="C36" s="31"/>
      <c r="D36" s="15">
        <f>(N36*$N$34)+25</f>
        <v>669</v>
      </c>
      <c r="E36" s="15">
        <f>(O36*$N$34)+25</f>
        <v>989</v>
      </c>
      <c r="F36" s="15">
        <f>(P36*$N$34)+20</f>
        <v>180</v>
      </c>
      <c r="G36" s="116"/>
      <c r="H36" s="15">
        <f>(N36*$O$34)+25</f>
        <v>991</v>
      </c>
      <c r="I36" s="15">
        <f>(O36*$O$34)+25</f>
        <v>1471</v>
      </c>
      <c r="J36" s="15">
        <f>(P36*$O$34)+20</f>
        <v>260</v>
      </c>
      <c r="K36" s="116"/>
      <c r="L36" s="24">
        <v>669</v>
      </c>
      <c r="M36" s="22">
        <v>991</v>
      </c>
      <c r="N36">
        <v>161</v>
      </c>
      <c r="O36">
        <v>241</v>
      </c>
      <c r="P36">
        <v>40</v>
      </c>
    </row>
    <row r="37" spans="1:17" ht="15.75" thickBot="1" x14ac:dyDescent="0.3">
      <c r="A37" s="115" t="s">
        <v>126</v>
      </c>
      <c r="B37" s="119"/>
      <c r="C37" s="119"/>
      <c r="D37" s="164"/>
      <c r="E37" s="164"/>
      <c r="F37" s="164"/>
      <c r="G37" s="119"/>
      <c r="H37" s="119"/>
      <c r="I37" s="119"/>
      <c r="J37" s="119"/>
      <c r="K37" s="119"/>
      <c r="L37" s="119"/>
      <c r="M37" s="120"/>
    </row>
    <row r="38" spans="1:17" ht="29.25" customHeight="1" x14ac:dyDescent="0.25">
      <c r="A38" s="572" t="s">
        <v>129</v>
      </c>
      <c r="B38" s="573"/>
      <c r="C38" s="573"/>
      <c r="D38" s="573"/>
      <c r="E38" s="573"/>
      <c r="F38" s="573"/>
      <c r="G38" s="573"/>
      <c r="H38" s="573"/>
      <c r="I38" s="573"/>
      <c r="J38" s="573"/>
      <c r="K38" s="573"/>
      <c r="L38" s="573"/>
      <c r="M38" s="574"/>
    </row>
    <row r="39" spans="1:17" x14ac:dyDescent="0.25">
      <c r="A39" s="62" t="s">
        <v>29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1"/>
    </row>
    <row r="40" spans="1:17" x14ac:dyDescent="0.25">
      <c r="A40" s="62" t="s">
        <v>30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1"/>
    </row>
    <row r="41" spans="1:17" x14ac:dyDescent="0.25">
      <c r="A41" s="62" t="s">
        <v>130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1"/>
    </row>
    <row r="42" spans="1:17" ht="15.75" thickBot="1" x14ac:dyDescent="0.3">
      <c r="A42" s="62" t="s">
        <v>131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1"/>
    </row>
    <row r="43" spans="1:17" ht="15.75" thickBot="1" x14ac:dyDescent="0.3">
      <c r="A43" s="454" t="s">
        <v>16</v>
      </c>
      <c r="B43" s="455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6"/>
    </row>
    <row r="44" spans="1:17" x14ac:dyDescent="0.25">
      <c r="A44" s="63" t="s">
        <v>18</v>
      </c>
      <c r="B44" s="64" t="s">
        <v>127</v>
      </c>
      <c r="C44" s="65"/>
      <c r="D44" s="65"/>
      <c r="E44" s="60"/>
      <c r="F44" s="60"/>
      <c r="G44" s="60"/>
      <c r="H44" s="60"/>
      <c r="I44" s="60"/>
      <c r="J44" s="60"/>
      <c r="K44" s="60"/>
      <c r="L44" s="60"/>
      <c r="M44" s="61"/>
    </row>
    <row r="45" spans="1:17" ht="15.75" thickBot="1" x14ac:dyDescent="0.3">
      <c r="A45" s="63" t="s">
        <v>119</v>
      </c>
      <c r="B45" s="64" t="s">
        <v>128</v>
      </c>
      <c r="C45" s="65"/>
      <c r="D45" s="65"/>
      <c r="E45" s="60"/>
      <c r="F45" s="60"/>
      <c r="G45" s="60"/>
      <c r="H45" s="60"/>
      <c r="I45" s="60"/>
      <c r="J45" s="60"/>
      <c r="K45" s="60"/>
      <c r="L45" s="60"/>
      <c r="M45" s="61"/>
    </row>
    <row r="46" spans="1:17" ht="15.75" thickBot="1" x14ac:dyDescent="0.3">
      <c r="A46" s="454" t="s">
        <v>15</v>
      </c>
      <c r="B46" s="455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6"/>
    </row>
    <row r="47" spans="1:17" x14ac:dyDescent="0.25">
      <c r="A47" s="81" t="s">
        <v>32</v>
      </c>
      <c r="B47" s="77" t="s">
        <v>20</v>
      </c>
      <c r="C47" s="82" t="s">
        <v>34</v>
      </c>
      <c r="D47" s="83"/>
      <c r="E47" s="83"/>
      <c r="F47" s="83"/>
      <c r="G47" s="83"/>
      <c r="H47" s="83"/>
      <c r="I47" s="83"/>
      <c r="J47" s="83"/>
      <c r="K47" s="83"/>
      <c r="L47" s="83"/>
      <c r="M47" s="85"/>
    </row>
    <row r="48" spans="1:17" x14ac:dyDescent="0.25">
      <c r="A48" s="62"/>
      <c r="B48" s="29"/>
      <c r="C48" s="64" t="s">
        <v>35</v>
      </c>
      <c r="D48" s="60"/>
      <c r="E48" s="60"/>
      <c r="F48" s="60"/>
      <c r="G48" s="60"/>
      <c r="H48" s="60"/>
      <c r="I48" s="60"/>
      <c r="J48" s="60"/>
      <c r="K48" s="60"/>
      <c r="L48" s="60"/>
      <c r="M48" s="61"/>
    </row>
    <row r="49" spans="1:17" x14ac:dyDescent="0.25">
      <c r="A49" s="62" t="s">
        <v>33</v>
      </c>
      <c r="B49" s="29" t="s">
        <v>19</v>
      </c>
      <c r="C49" s="64" t="s">
        <v>36</v>
      </c>
      <c r="D49" s="60"/>
      <c r="E49" s="60"/>
      <c r="F49" s="60"/>
      <c r="G49" s="60"/>
      <c r="H49" s="60"/>
      <c r="I49" s="60"/>
      <c r="J49" s="60"/>
      <c r="K49" s="60"/>
      <c r="L49" s="60"/>
      <c r="M49" s="61"/>
    </row>
    <row r="50" spans="1:17" x14ac:dyDescent="0.25">
      <c r="A50" s="59"/>
      <c r="B50" s="29" t="s">
        <v>118</v>
      </c>
      <c r="C50" s="64" t="s">
        <v>37</v>
      </c>
      <c r="D50" s="60"/>
      <c r="E50" s="60"/>
      <c r="F50" s="60"/>
      <c r="G50" s="60"/>
      <c r="H50" s="60"/>
      <c r="I50" s="60"/>
      <c r="J50" s="60"/>
      <c r="K50" s="60"/>
      <c r="L50" s="60"/>
      <c r="M50" s="61"/>
    </row>
    <row r="51" spans="1:17" x14ac:dyDescent="0.25">
      <c r="A51" s="59" t="s">
        <v>38</v>
      </c>
      <c r="B51" s="29" t="s">
        <v>117</v>
      </c>
      <c r="C51" s="64" t="s">
        <v>39</v>
      </c>
      <c r="D51" s="60"/>
      <c r="E51" s="60"/>
      <c r="F51" s="60"/>
      <c r="G51" s="60"/>
      <c r="H51" s="60"/>
      <c r="I51" s="60"/>
      <c r="J51" s="60"/>
      <c r="K51" s="60"/>
      <c r="L51" s="60"/>
      <c r="M51" s="61"/>
    </row>
    <row r="52" spans="1:17" ht="15.75" thickBot="1" x14ac:dyDescent="0.3">
      <c r="A52" s="66"/>
      <c r="B52" s="88"/>
      <c r="C52" s="67" t="s">
        <v>40</v>
      </c>
      <c r="D52" s="68"/>
      <c r="E52" s="68"/>
      <c r="F52" s="68"/>
      <c r="G52" s="68"/>
      <c r="H52" s="68"/>
      <c r="I52" s="68"/>
      <c r="J52" s="68"/>
      <c r="K52" s="68"/>
      <c r="L52" s="68"/>
      <c r="M52" s="69"/>
    </row>
    <row r="53" spans="1:17" ht="15.75" thickBot="1" x14ac:dyDescent="0.3">
      <c r="A53" s="154" t="s">
        <v>191</v>
      </c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3"/>
      <c r="N53" s="148"/>
      <c r="O53" s="148"/>
      <c r="P53" s="148"/>
      <c r="Q53" s="148"/>
    </row>
    <row r="54" spans="1:17" ht="77.25" customHeight="1" x14ac:dyDescent="0.25">
      <c r="A54" s="488" t="s">
        <v>178</v>
      </c>
      <c r="B54" s="489"/>
      <c r="C54" s="508"/>
      <c r="D54" s="474" t="s">
        <v>185</v>
      </c>
      <c r="E54" s="531"/>
      <c r="F54" s="474" t="s">
        <v>186</v>
      </c>
      <c r="G54" s="474"/>
      <c r="H54" s="474"/>
      <c r="I54" s="531"/>
      <c r="J54" s="531"/>
      <c r="K54" s="474"/>
      <c r="L54" s="474"/>
      <c r="M54" s="475"/>
      <c r="N54" s="74"/>
      <c r="O54" s="74"/>
      <c r="P54" s="74"/>
      <c r="Q54" s="74"/>
    </row>
    <row r="55" spans="1:17" x14ac:dyDescent="0.25">
      <c r="A55" s="140" t="s">
        <v>179</v>
      </c>
      <c r="B55" s="145"/>
      <c r="C55" s="142"/>
      <c r="D55" s="526">
        <v>25</v>
      </c>
      <c r="E55" s="526"/>
      <c r="F55" s="526">
        <v>60</v>
      </c>
      <c r="G55" s="576"/>
      <c r="H55" s="526"/>
      <c r="I55" s="576"/>
      <c r="J55" s="576"/>
      <c r="K55" s="526"/>
      <c r="L55" s="526"/>
      <c r="M55" s="577"/>
      <c r="N55" s="74"/>
      <c r="O55" s="74"/>
      <c r="P55" s="74"/>
      <c r="Q55" s="74"/>
    </row>
    <row r="56" spans="1:17" x14ac:dyDescent="0.25">
      <c r="A56" s="140" t="s">
        <v>189</v>
      </c>
      <c r="B56" s="145"/>
      <c r="C56" s="144"/>
      <c r="D56" s="526">
        <v>20</v>
      </c>
      <c r="E56" s="526"/>
      <c r="F56" s="526">
        <v>30</v>
      </c>
      <c r="G56" s="576"/>
      <c r="H56" s="526"/>
      <c r="I56" s="576"/>
      <c r="J56" s="576"/>
      <c r="K56" s="526"/>
      <c r="L56" s="526"/>
      <c r="M56" s="577"/>
      <c r="N56" s="74"/>
      <c r="O56" s="74"/>
      <c r="P56" s="74"/>
      <c r="Q56" s="74"/>
    </row>
    <row r="57" spans="1:17" ht="15.75" thickBot="1" x14ac:dyDescent="0.3">
      <c r="A57" s="141" t="s">
        <v>190</v>
      </c>
      <c r="B57" s="146"/>
      <c r="C57" s="143"/>
      <c r="D57" s="521" t="s">
        <v>175</v>
      </c>
      <c r="E57" s="521"/>
      <c r="F57" s="521" t="s">
        <v>175</v>
      </c>
      <c r="G57" s="578"/>
      <c r="H57" s="521"/>
      <c r="I57" s="578"/>
      <c r="J57" s="578"/>
      <c r="K57" s="521"/>
      <c r="L57" s="521"/>
      <c r="M57" s="575"/>
      <c r="N57" s="74"/>
      <c r="O57" s="74"/>
      <c r="P57" s="74"/>
      <c r="Q57" s="74"/>
    </row>
  </sheetData>
  <mergeCells count="56">
    <mergeCell ref="A54:C54"/>
    <mergeCell ref="D54:E54"/>
    <mergeCell ref="F54:G54"/>
    <mergeCell ref="H54:J54"/>
    <mergeCell ref="B18:B19"/>
    <mergeCell ref="D18:F18"/>
    <mergeCell ref="H18:J18"/>
    <mergeCell ref="A31:M31"/>
    <mergeCell ref="A32:M32"/>
    <mergeCell ref="K54:M54"/>
    <mergeCell ref="A33:A34"/>
    <mergeCell ref="B33:B34"/>
    <mergeCell ref="D33:F33"/>
    <mergeCell ref="H33:J33"/>
    <mergeCell ref="A43:M43"/>
    <mergeCell ref="A46:M46"/>
    <mergeCell ref="K57:M57"/>
    <mergeCell ref="D55:E55"/>
    <mergeCell ref="F55:G55"/>
    <mergeCell ref="H55:J55"/>
    <mergeCell ref="D56:E56"/>
    <mergeCell ref="F56:G56"/>
    <mergeCell ref="H56:J56"/>
    <mergeCell ref="K56:M56"/>
    <mergeCell ref="K55:M55"/>
    <mergeCell ref="D57:E57"/>
    <mergeCell ref="F57:G57"/>
    <mergeCell ref="H57:J57"/>
    <mergeCell ref="A20:A21"/>
    <mergeCell ref="A22:A23"/>
    <mergeCell ref="A24:M24"/>
    <mergeCell ref="A25:A26"/>
    <mergeCell ref="B25:B26"/>
    <mergeCell ref="A38:M38"/>
    <mergeCell ref="A29:A30"/>
    <mergeCell ref="A27:A28"/>
    <mergeCell ref="D25:F25"/>
    <mergeCell ref="H25:J25"/>
    <mergeCell ref="L25:M25"/>
    <mergeCell ref="L33:M33"/>
    <mergeCell ref="A6:A7"/>
    <mergeCell ref="A8:A9"/>
    <mergeCell ref="A14:M14"/>
    <mergeCell ref="A1:M1"/>
    <mergeCell ref="A2:M2"/>
    <mergeCell ref="A3:M3"/>
    <mergeCell ref="A4:A5"/>
    <mergeCell ref="B4:B5"/>
    <mergeCell ref="D4:F4"/>
    <mergeCell ref="H4:J4"/>
    <mergeCell ref="L4:M4"/>
    <mergeCell ref="A18:A19"/>
    <mergeCell ref="L18:M18"/>
    <mergeCell ref="A15:M15"/>
    <mergeCell ref="A16:M16"/>
    <mergeCell ref="A17:M17"/>
  </mergeCells>
  <pageMargins left="0.7" right="0.7" top="0.75" bottom="0.75" header="0.3" footer="0.3"/>
  <pageSetup fitToHeight="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6"/>
  <sheetViews>
    <sheetView topLeftCell="A40" workbookViewId="0">
      <selection activeCell="H61" sqref="H61"/>
    </sheetView>
  </sheetViews>
  <sheetFormatPr defaultRowHeight="15" x14ac:dyDescent="0.25"/>
  <cols>
    <col min="1" max="1" width="24" customWidth="1"/>
    <col min="2" max="2" width="20" customWidth="1"/>
    <col min="3" max="3" width="1.7109375" customWidth="1"/>
    <col min="9" max="9" width="1.7109375" customWidth="1"/>
    <col min="15" max="15" width="1.5703125" customWidth="1"/>
  </cols>
  <sheetData>
    <row r="1" spans="1:22" ht="15.75" thickBot="1" x14ac:dyDescent="0.3">
      <c r="A1" s="460" t="s">
        <v>309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2"/>
    </row>
    <row r="2" spans="1:22" ht="15.75" thickBot="1" x14ac:dyDescent="0.3">
      <c r="A2" s="460" t="s">
        <v>138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2"/>
    </row>
    <row r="3" spans="1:22" ht="15.75" thickBot="1" x14ac:dyDescent="0.3">
      <c r="A3" s="460" t="s">
        <v>341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2"/>
    </row>
    <row r="4" spans="1:22" ht="15.75" thickBot="1" x14ac:dyDescent="0.3">
      <c r="A4" s="463" t="s">
        <v>10</v>
      </c>
      <c r="B4" s="465" t="s">
        <v>9</v>
      </c>
      <c r="C4" s="9"/>
      <c r="D4" s="470" t="s">
        <v>0</v>
      </c>
      <c r="E4" s="471"/>
      <c r="F4" s="471"/>
      <c r="G4" s="471"/>
      <c r="H4" s="472"/>
      <c r="I4" s="2"/>
      <c r="J4" s="470" t="s">
        <v>1</v>
      </c>
      <c r="K4" s="471"/>
      <c r="L4" s="471"/>
      <c r="M4" s="471"/>
      <c r="N4" s="472"/>
      <c r="O4" s="1"/>
      <c r="P4" s="491" t="s">
        <v>2</v>
      </c>
      <c r="Q4" s="492"/>
      <c r="R4">
        <v>0.5</v>
      </c>
    </row>
    <row r="5" spans="1:22" ht="45.75" thickBot="1" x14ac:dyDescent="0.3">
      <c r="A5" s="490"/>
      <c r="B5" s="579"/>
      <c r="C5" s="43"/>
      <c r="D5" s="131" t="s">
        <v>3</v>
      </c>
      <c r="E5" s="139" t="s">
        <v>4</v>
      </c>
      <c r="F5" s="139" t="s">
        <v>5</v>
      </c>
      <c r="G5" s="139" t="s">
        <v>120</v>
      </c>
      <c r="H5" s="132" t="s">
        <v>137</v>
      </c>
      <c r="I5" s="43"/>
      <c r="J5" s="131" t="s">
        <v>3</v>
      </c>
      <c r="K5" s="139" t="s">
        <v>4</v>
      </c>
      <c r="L5" s="139" t="s">
        <v>5</v>
      </c>
      <c r="M5" s="139" t="s">
        <v>120</v>
      </c>
      <c r="N5" s="132" t="s">
        <v>137</v>
      </c>
      <c r="O5" s="7"/>
      <c r="P5" s="3" t="s">
        <v>7</v>
      </c>
      <c r="Q5" s="8" t="s">
        <v>8</v>
      </c>
      <c r="R5">
        <v>4</v>
      </c>
      <c r="S5">
        <v>6</v>
      </c>
      <c r="T5">
        <v>70</v>
      </c>
    </row>
    <row r="6" spans="1:22" ht="30" x14ac:dyDescent="0.25">
      <c r="A6" s="504" t="s">
        <v>135</v>
      </c>
      <c r="B6" s="305" t="s">
        <v>356</v>
      </c>
      <c r="C6" s="48"/>
      <c r="D6" s="12">
        <f>R6*$R$5</f>
        <v>2320</v>
      </c>
      <c r="E6" s="71">
        <f t="shared" ref="E6:H6" si="0">S6*$R$5</f>
        <v>3480</v>
      </c>
      <c r="F6" s="71">
        <f t="shared" si="0"/>
        <v>1556</v>
      </c>
      <c r="G6" s="71">
        <f t="shared" si="0"/>
        <v>0</v>
      </c>
      <c r="H6" s="95">
        <f t="shared" si="0"/>
        <v>576</v>
      </c>
      <c r="I6" s="42"/>
      <c r="J6" s="12">
        <f>R6*$S$5</f>
        <v>3480</v>
      </c>
      <c r="K6" s="71">
        <f t="shared" ref="K6:N6" si="1">S6*$S$5</f>
        <v>5220</v>
      </c>
      <c r="L6" s="71">
        <f t="shared" si="1"/>
        <v>2334</v>
      </c>
      <c r="M6" s="71">
        <f t="shared" si="1"/>
        <v>0</v>
      </c>
      <c r="N6" s="95">
        <f t="shared" si="1"/>
        <v>864</v>
      </c>
      <c r="O6" s="42"/>
      <c r="P6" s="20">
        <f>(R6*$R$5)*0.5</f>
        <v>1160</v>
      </c>
      <c r="Q6" s="19">
        <f>(R6*$S$5)*0.5</f>
        <v>1740</v>
      </c>
      <c r="R6">
        <v>580</v>
      </c>
      <c r="S6">
        <v>870</v>
      </c>
      <c r="T6">
        <v>389</v>
      </c>
      <c r="U6">
        <v>0</v>
      </c>
      <c r="V6">
        <v>144</v>
      </c>
    </row>
    <row r="7" spans="1:22" ht="15.75" thickBot="1" x14ac:dyDescent="0.3">
      <c r="A7" s="505"/>
      <c r="B7" s="38" t="s">
        <v>350</v>
      </c>
      <c r="C7" s="11"/>
      <c r="D7" s="20">
        <f t="shared" ref="D7:D9" si="2">R7*$R$5</f>
        <v>1468</v>
      </c>
      <c r="E7" s="21">
        <f t="shared" ref="E7:E9" si="3">S7*$R$5</f>
        <v>2200</v>
      </c>
      <c r="F7" s="21">
        <f t="shared" ref="F7:F9" si="4">T7*$R$5</f>
        <v>924</v>
      </c>
      <c r="G7" s="21">
        <f t="shared" ref="G7:G9" si="5">U7*$R$5</f>
        <v>0</v>
      </c>
      <c r="H7" s="94">
        <f t="shared" ref="H7:H9" si="6">V7*$R$5</f>
        <v>576</v>
      </c>
      <c r="I7" s="219"/>
      <c r="J7" s="20">
        <f t="shared" ref="J7:J9" si="7">R7*$S$5</f>
        <v>2202</v>
      </c>
      <c r="K7" s="21">
        <f t="shared" ref="K7:K9" si="8">S7*$S$5</f>
        <v>3300</v>
      </c>
      <c r="L7" s="21">
        <f t="shared" ref="L7:L9" si="9">T7*$S$5</f>
        <v>1386</v>
      </c>
      <c r="M7" s="21">
        <f t="shared" ref="M7:M9" si="10">U7*$S$5</f>
        <v>0</v>
      </c>
      <c r="N7" s="94">
        <f t="shared" ref="N7:N9" si="11">V7*$S$5</f>
        <v>864</v>
      </c>
      <c r="O7" s="219"/>
      <c r="P7" s="20">
        <f>(R7*$R$5)*0.5</f>
        <v>734</v>
      </c>
      <c r="Q7" s="19">
        <f>(R7*$S$5)*0.5</f>
        <v>1101</v>
      </c>
      <c r="R7">
        <v>367</v>
      </c>
      <c r="S7">
        <v>550</v>
      </c>
      <c r="T7">
        <v>231</v>
      </c>
      <c r="U7">
        <v>0</v>
      </c>
      <c r="V7">
        <v>144</v>
      </c>
    </row>
    <row r="8" spans="1:22" ht="30" x14ac:dyDescent="0.25">
      <c r="A8" s="504" t="s">
        <v>136</v>
      </c>
      <c r="B8" s="324" t="s">
        <v>356</v>
      </c>
      <c r="C8" s="40"/>
      <c r="D8" s="15">
        <f t="shared" si="2"/>
        <v>2532</v>
      </c>
      <c r="E8" s="16">
        <f t="shared" si="3"/>
        <v>3800</v>
      </c>
      <c r="F8" s="16">
        <f t="shared" si="4"/>
        <v>1556</v>
      </c>
      <c r="G8" s="16">
        <f t="shared" si="5"/>
        <v>0</v>
      </c>
      <c r="H8" s="18">
        <f t="shared" si="6"/>
        <v>576</v>
      </c>
      <c r="I8" s="48"/>
      <c r="J8" s="15">
        <f t="shared" si="7"/>
        <v>3798</v>
      </c>
      <c r="K8" s="16">
        <f t="shared" si="8"/>
        <v>5700</v>
      </c>
      <c r="L8" s="16">
        <f t="shared" si="9"/>
        <v>2334</v>
      </c>
      <c r="M8" s="16">
        <f t="shared" si="10"/>
        <v>0</v>
      </c>
      <c r="N8" s="18">
        <f t="shared" si="11"/>
        <v>864</v>
      </c>
      <c r="O8" s="48"/>
      <c r="P8" s="12">
        <f>(R8*$R$5)*0.5</f>
        <v>1266</v>
      </c>
      <c r="Q8" s="13">
        <f>(R8*$S$5)*0.5</f>
        <v>1899</v>
      </c>
      <c r="R8">
        <v>633</v>
      </c>
      <c r="S8">
        <v>950</v>
      </c>
      <c r="T8">
        <v>389</v>
      </c>
      <c r="U8">
        <v>0</v>
      </c>
      <c r="V8">
        <v>144</v>
      </c>
    </row>
    <row r="9" spans="1:22" ht="15.75" thickBot="1" x14ac:dyDescent="0.3">
      <c r="A9" s="505"/>
      <c r="B9" s="37" t="s">
        <v>350</v>
      </c>
      <c r="C9" s="30"/>
      <c r="D9" s="20">
        <f t="shared" si="2"/>
        <v>1652</v>
      </c>
      <c r="E9" s="21">
        <f t="shared" si="3"/>
        <v>2480</v>
      </c>
      <c r="F9" s="21">
        <f t="shared" si="4"/>
        <v>924</v>
      </c>
      <c r="G9" s="21">
        <f t="shared" si="5"/>
        <v>0</v>
      </c>
      <c r="H9" s="19">
        <f t="shared" si="6"/>
        <v>576</v>
      </c>
      <c r="I9" s="11"/>
      <c r="J9" s="20">
        <f t="shared" si="7"/>
        <v>2478</v>
      </c>
      <c r="K9" s="21">
        <f t="shared" si="8"/>
        <v>3720</v>
      </c>
      <c r="L9" s="21">
        <f t="shared" si="9"/>
        <v>1386</v>
      </c>
      <c r="M9" s="21">
        <f t="shared" si="10"/>
        <v>0</v>
      </c>
      <c r="N9" s="19">
        <f t="shared" si="11"/>
        <v>864</v>
      </c>
      <c r="O9" s="11"/>
      <c r="P9" s="20">
        <f>(R9*$R$5)*0.5</f>
        <v>826</v>
      </c>
      <c r="Q9" s="19">
        <f>(R9*$S$5)*0.5</f>
        <v>1239</v>
      </c>
      <c r="R9">
        <v>413</v>
      </c>
      <c r="S9">
        <v>620</v>
      </c>
      <c r="T9">
        <v>231</v>
      </c>
      <c r="U9">
        <v>0</v>
      </c>
      <c r="V9">
        <v>144</v>
      </c>
    </row>
    <row r="10" spans="1:22" ht="15.75" thickBot="1" x14ac:dyDescent="0.3">
      <c r="A10" s="34" t="s">
        <v>17</v>
      </c>
      <c r="B10" s="35"/>
      <c r="C10" s="35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35"/>
      <c r="P10" s="117"/>
      <c r="Q10" s="118"/>
    </row>
    <row r="11" spans="1:22" x14ac:dyDescent="0.25">
      <c r="A11" s="59" t="s">
        <v>12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27"/>
      <c r="Q11" s="14"/>
    </row>
    <row r="12" spans="1:22" x14ac:dyDescent="0.25">
      <c r="A12" s="59" t="s">
        <v>13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1"/>
    </row>
    <row r="13" spans="1:22" x14ac:dyDescent="0.25">
      <c r="A13" s="59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1"/>
    </row>
    <row r="14" spans="1:22" ht="15.75" thickBot="1" x14ac:dyDescent="0.3">
      <c r="A14" s="493" t="s">
        <v>139</v>
      </c>
      <c r="B14" s="494"/>
      <c r="C14" s="494"/>
      <c r="D14" s="494"/>
      <c r="E14" s="494"/>
      <c r="F14" s="494"/>
      <c r="G14" s="494"/>
      <c r="H14" s="494"/>
      <c r="I14" s="494"/>
      <c r="J14" s="494"/>
      <c r="K14" s="494"/>
      <c r="L14" s="494"/>
      <c r="M14" s="494"/>
      <c r="N14" s="494"/>
      <c r="O14" s="494"/>
      <c r="P14" s="494"/>
      <c r="Q14" s="495"/>
    </row>
    <row r="15" spans="1:22" ht="15.75" thickBot="1" x14ac:dyDescent="0.3">
      <c r="A15" s="460" t="s">
        <v>121</v>
      </c>
      <c r="B15" s="461"/>
      <c r="C15" s="461"/>
      <c r="D15" s="461"/>
      <c r="E15" s="461"/>
      <c r="F15" s="461"/>
      <c r="G15" s="461"/>
      <c r="H15" s="461"/>
      <c r="I15" s="461"/>
      <c r="J15" s="461"/>
      <c r="K15" s="461"/>
      <c r="L15" s="461"/>
      <c r="M15" s="461"/>
      <c r="N15" s="461"/>
      <c r="O15" s="461"/>
      <c r="P15" s="461"/>
      <c r="Q15" s="462"/>
    </row>
    <row r="16" spans="1:22" ht="15.75" thickBot="1" x14ac:dyDescent="0.3">
      <c r="A16" s="460" t="s">
        <v>122</v>
      </c>
      <c r="B16" s="461"/>
      <c r="C16" s="461"/>
      <c r="D16" s="461"/>
      <c r="E16" s="461"/>
      <c r="F16" s="461"/>
      <c r="G16" s="461"/>
      <c r="H16" s="461"/>
      <c r="I16" s="461"/>
      <c r="J16" s="461"/>
      <c r="K16" s="461"/>
      <c r="L16" s="461"/>
      <c r="M16" s="461"/>
      <c r="N16" s="461"/>
      <c r="O16" s="461"/>
      <c r="P16" s="461"/>
      <c r="Q16" s="462"/>
    </row>
    <row r="17" spans="1:22" ht="15.75" thickBot="1" x14ac:dyDescent="0.3">
      <c r="A17" s="460" t="s">
        <v>123</v>
      </c>
      <c r="B17" s="461"/>
      <c r="C17" s="461"/>
      <c r="D17" s="461"/>
      <c r="E17" s="461"/>
      <c r="F17" s="461"/>
      <c r="G17" s="461"/>
      <c r="H17" s="461"/>
      <c r="I17" s="461"/>
      <c r="J17" s="461"/>
      <c r="K17" s="461"/>
      <c r="L17" s="461"/>
      <c r="M17" s="461"/>
      <c r="N17" s="461"/>
      <c r="O17" s="461"/>
      <c r="P17" s="461"/>
      <c r="Q17" s="462"/>
    </row>
    <row r="18" spans="1:22" ht="15.75" thickBot="1" x14ac:dyDescent="0.3">
      <c r="A18" s="463" t="s">
        <v>10</v>
      </c>
      <c r="B18" s="465" t="s">
        <v>9</v>
      </c>
      <c r="C18" s="9"/>
      <c r="D18" s="470" t="s">
        <v>0</v>
      </c>
      <c r="E18" s="471"/>
      <c r="F18" s="471"/>
      <c r="G18" s="471"/>
      <c r="H18" s="472"/>
      <c r="I18" s="2"/>
      <c r="J18" s="470" t="s">
        <v>1</v>
      </c>
      <c r="K18" s="471"/>
      <c r="L18" s="471"/>
      <c r="M18" s="471"/>
      <c r="N18" s="472"/>
      <c r="O18" s="1"/>
      <c r="P18" s="491" t="s">
        <v>2</v>
      </c>
      <c r="Q18" s="492"/>
    </row>
    <row r="19" spans="1:22" ht="45.75" thickBot="1" x14ac:dyDescent="0.3">
      <c r="A19" s="490"/>
      <c r="B19" s="579"/>
      <c r="C19" s="43"/>
      <c r="D19" s="131" t="s">
        <v>3</v>
      </c>
      <c r="E19" s="139" t="s">
        <v>4</v>
      </c>
      <c r="F19" s="139" t="s">
        <v>5</v>
      </c>
      <c r="G19" s="139" t="s">
        <v>120</v>
      </c>
      <c r="H19" s="132" t="s">
        <v>137</v>
      </c>
      <c r="I19" s="43"/>
      <c r="J19" s="131" t="s">
        <v>3</v>
      </c>
      <c r="K19" s="139" t="s">
        <v>4</v>
      </c>
      <c r="L19" s="139" t="s">
        <v>5</v>
      </c>
      <c r="M19" s="139" t="s">
        <v>120</v>
      </c>
      <c r="N19" s="132" t="s">
        <v>137</v>
      </c>
      <c r="O19" s="7"/>
      <c r="P19" s="3" t="s">
        <v>7</v>
      </c>
      <c r="Q19" s="8" t="s">
        <v>8</v>
      </c>
      <c r="R19">
        <v>0.6</v>
      </c>
    </row>
    <row r="20" spans="1:22" ht="30" x14ac:dyDescent="0.25">
      <c r="A20" s="504" t="s">
        <v>135</v>
      </c>
      <c r="B20" s="324" t="s">
        <v>356</v>
      </c>
      <c r="C20" s="48"/>
      <c r="D20" s="12">
        <f t="shared" ref="D20:E23" si="12">(R20*$R$5)*0.6</f>
        <v>1392</v>
      </c>
      <c r="E20" s="71">
        <f t="shared" si="12"/>
        <v>2088</v>
      </c>
      <c r="F20" s="71">
        <f>CEILING((T20*$R$5)*0.6,1)</f>
        <v>934</v>
      </c>
      <c r="G20" s="71">
        <f t="shared" ref="G20:G23" si="13">U20*$R$5</f>
        <v>0</v>
      </c>
      <c r="H20" s="13">
        <f t="shared" ref="H20:H23" si="14">V20*$R$5</f>
        <v>576</v>
      </c>
      <c r="I20" s="48"/>
      <c r="J20" s="12">
        <f t="shared" ref="J20:K23" si="15">(R20*$S$5)*0.6</f>
        <v>2088</v>
      </c>
      <c r="K20" s="71">
        <f t="shared" si="15"/>
        <v>3132</v>
      </c>
      <c r="L20" s="71">
        <f>CEILING((T20*$S$5)*0.6,1)</f>
        <v>1401</v>
      </c>
      <c r="M20" s="71">
        <f t="shared" ref="M20:M23" si="16">U20*$S$5</f>
        <v>0</v>
      </c>
      <c r="N20" s="13">
        <f t="shared" ref="N20:N23" si="17">V20*$S$5</f>
        <v>864</v>
      </c>
      <c r="O20" s="48"/>
      <c r="P20" s="15" t="s">
        <v>47</v>
      </c>
      <c r="Q20" s="18" t="s">
        <v>47</v>
      </c>
      <c r="R20">
        <v>580</v>
      </c>
      <c r="S20">
        <v>870</v>
      </c>
      <c r="T20">
        <v>389</v>
      </c>
      <c r="U20">
        <v>0</v>
      </c>
      <c r="V20">
        <v>144</v>
      </c>
    </row>
    <row r="21" spans="1:22" ht="15.75" thickBot="1" x14ac:dyDescent="0.3">
      <c r="A21" s="505"/>
      <c r="B21" s="37" t="s">
        <v>350</v>
      </c>
      <c r="C21" s="11"/>
      <c r="D21" s="20">
        <f>CEILING((R21*$R$5)*0.6,1)</f>
        <v>881</v>
      </c>
      <c r="E21" s="21">
        <f t="shared" si="12"/>
        <v>1320</v>
      </c>
      <c r="F21" s="21">
        <f>CEILING((T21*$R$5)*0.6,1)</f>
        <v>555</v>
      </c>
      <c r="G21" s="21">
        <f t="shared" si="13"/>
        <v>0</v>
      </c>
      <c r="H21" s="19">
        <f t="shared" si="14"/>
        <v>576</v>
      </c>
      <c r="I21" s="11"/>
      <c r="J21" s="20">
        <f>CEILING((R21*$S$5)*0.6,1)</f>
        <v>1322</v>
      </c>
      <c r="K21" s="21">
        <f t="shared" si="15"/>
        <v>1980</v>
      </c>
      <c r="L21" s="21">
        <f>CEILING((T21*$S$5)*0.6,1)</f>
        <v>832</v>
      </c>
      <c r="M21" s="21">
        <f t="shared" si="16"/>
        <v>0</v>
      </c>
      <c r="N21" s="19">
        <f t="shared" si="17"/>
        <v>864</v>
      </c>
      <c r="O21" s="11"/>
      <c r="P21" s="20" t="s">
        <v>47</v>
      </c>
      <c r="Q21" s="19" t="s">
        <v>47</v>
      </c>
      <c r="R21">
        <v>367</v>
      </c>
      <c r="S21">
        <v>550</v>
      </c>
      <c r="T21">
        <v>231</v>
      </c>
      <c r="U21">
        <v>0</v>
      </c>
      <c r="V21">
        <v>144</v>
      </c>
    </row>
    <row r="22" spans="1:22" ht="30" x14ac:dyDescent="0.25">
      <c r="A22" s="504" t="s">
        <v>136</v>
      </c>
      <c r="B22" s="324" t="s">
        <v>356</v>
      </c>
      <c r="C22" s="40"/>
      <c r="D22" s="15">
        <f>CEILING((R22*$R$5)*0.6,1)</f>
        <v>1520</v>
      </c>
      <c r="E22" s="16">
        <f t="shared" si="12"/>
        <v>2280</v>
      </c>
      <c r="F22" s="16">
        <f>CEILING((T22*$R$5)*0.6,1)</f>
        <v>934</v>
      </c>
      <c r="G22" s="16">
        <f t="shared" si="13"/>
        <v>0</v>
      </c>
      <c r="H22" s="18">
        <f t="shared" si="14"/>
        <v>576</v>
      </c>
      <c r="I22" s="48"/>
      <c r="J22" s="15">
        <f>CEILING((R22*$S$5)*0.6,1)</f>
        <v>2279</v>
      </c>
      <c r="K22" s="16">
        <f t="shared" si="15"/>
        <v>3420</v>
      </c>
      <c r="L22" s="16">
        <f>CEILING((T22*$S$5)*0.6,1)</f>
        <v>1401</v>
      </c>
      <c r="M22" s="16">
        <f t="shared" si="16"/>
        <v>0</v>
      </c>
      <c r="N22" s="18">
        <f t="shared" si="17"/>
        <v>864</v>
      </c>
      <c r="O22" s="48"/>
      <c r="P22" s="15" t="s">
        <v>47</v>
      </c>
      <c r="Q22" s="18" t="s">
        <v>47</v>
      </c>
      <c r="R22">
        <v>633</v>
      </c>
      <c r="S22">
        <v>950</v>
      </c>
      <c r="T22">
        <v>389</v>
      </c>
      <c r="U22">
        <v>0</v>
      </c>
      <c r="V22">
        <v>144</v>
      </c>
    </row>
    <row r="23" spans="1:22" ht="15.75" thickBot="1" x14ac:dyDescent="0.3">
      <c r="A23" s="505"/>
      <c r="B23" s="37" t="s">
        <v>350</v>
      </c>
      <c r="C23" s="30"/>
      <c r="D23" s="20">
        <f>CEILING((R23*$R$5)*0.6,1)</f>
        <v>992</v>
      </c>
      <c r="E23" s="21">
        <f t="shared" si="12"/>
        <v>1488</v>
      </c>
      <c r="F23" s="21">
        <f>CEILING((T23*$R$5)*0.6,1)</f>
        <v>555</v>
      </c>
      <c r="G23" s="21">
        <f t="shared" si="13"/>
        <v>0</v>
      </c>
      <c r="H23" s="19">
        <f t="shared" si="14"/>
        <v>576</v>
      </c>
      <c r="I23" s="11"/>
      <c r="J23" s="20">
        <f>CEILING((R23*$S$5)*0.6,1)</f>
        <v>1487</v>
      </c>
      <c r="K23" s="21">
        <f t="shared" si="15"/>
        <v>2232</v>
      </c>
      <c r="L23" s="21">
        <f>CEILING((T23*$S$5)*0.6,1)</f>
        <v>832</v>
      </c>
      <c r="M23" s="21">
        <f t="shared" si="16"/>
        <v>0</v>
      </c>
      <c r="N23" s="19">
        <f t="shared" si="17"/>
        <v>864</v>
      </c>
      <c r="O23" s="11"/>
      <c r="P23" s="20" t="s">
        <v>47</v>
      </c>
      <c r="Q23" s="19" t="s">
        <v>47</v>
      </c>
      <c r="R23">
        <v>413</v>
      </c>
      <c r="S23">
        <v>620</v>
      </c>
      <c r="T23">
        <v>231</v>
      </c>
      <c r="U23">
        <v>0</v>
      </c>
      <c r="V23">
        <v>144</v>
      </c>
    </row>
    <row r="24" spans="1:22" ht="15.75" thickBot="1" x14ac:dyDescent="0.3">
      <c r="A24" s="460" t="s">
        <v>124</v>
      </c>
      <c r="B24" s="461"/>
      <c r="C24" s="461"/>
      <c r="D24" s="461"/>
      <c r="E24" s="461"/>
      <c r="F24" s="461"/>
      <c r="G24" s="461"/>
      <c r="H24" s="461"/>
      <c r="I24" s="461"/>
      <c r="J24" s="461"/>
      <c r="K24" s="461"/>
      <c r="L24" s="461"/>
      <c r="M24" s="461"/>
      <c r="N24" s="461"/>
      <c r="O24" s="461"/>
      <c r="P24" s="461"/>
      <c r="Q24" s="462"/>
    </row>
    <row r="25" spans="1:22" ht="15.75" thickBot="1" x14ac:dyDescent="0.3">
      <c r="A25" s="463" t="s">
        <v>10</v>
      </c>
      <c r="B25" s="465" t="s">
        <v>9</v>
      </c>
      <c r="C25" s="9"/>
      <c r="D25" s="470" t="s">
        <v>0</v>
      </c>
      <c r="E25" s="471"/>
      <c r="F25" s="471"/>
      <c r="G25" s="471"/>
      <c r="H25" s="472"/>
      <c r="I25" s="2"/>
      <c r="J25" s="470" t="s">
        <v>1</v>
      </c>
      <c r="K25" s="471"/>
      <c r="L25" s="471"/>
      <c r="M25" s="471"/>
      <c r="N25" s="472"/>
      <c r="O25" s="1"/>
      <c r="P25" s="491" t="s">
        <v>2</v>
      </c>
      <c r="Q25" s="492"/>
    </row>
    <row r="26" spans="1:22" ht="45.75" thickBot="1" x14ac:dyDescent="0.3">
      <c r="A26" s="490"/>
      <c r="B26" s="579"/>
      <c r="C26" s="43"/>
      <c r="D26" s="131" t="s">
        <v>3</v>
      </c>
      <c r="E26" s="139" t="s">
        <v>4</v>
      </c>
      <c r="F26" s="139" t="s">
        <v>5</v>
      </c>
      <c r="G26" s="139" t="s">
        <v>120</v>
      </c>
      <c r="H26" s="132" t="s">
        <v>137</v>
      </c>
      <c r="I26" s="43"/>
      <c r="J26" s="131" t="s">
        <v>3</v>
      </c>
      <c r="K26" s="139" t="s">
        <v>4</v>
      </c>
      <c r="L26" s="139" t="s">
        <v>5</v>
      </c>
      <c r="M26" s="139" t="s">
        <v>120</v>
      </c>
      <c r="N26" s="132" t="s">
        <v>137</v>
      </c>
      <c r="O26" s="7"/>
      <c r="P26" s="3" t="s">
        <v>7</v>
      </c>
      <c r="Q26" s="8" t="s">
        <v>8</v>
      </c>
      <c r="R26">
        <v>0.7</v>
      </c>
    </row>
    <row r="27" spans="1:22" ht="30" x14ac:dyDescent="0.25">
      <c r="A27" s="504" t="s">
        <v>135</v>
      </c>
      <c r="B27" s="324" t="s">
        <v>356</v>
      </c>
      <c r="C27" s="48"/>
      <c r="D27" s="12">
        <f t="shared" ref="D27:E30" si="18">(R27*$R$5)*0.7</f>
        <v>1624</v>
      </c>
      <c r="E27" s="71">
        <f t="shared" si="18"/>
        <v>2436</v>
      </c>
      <c r="F27" s="71">
        <f>CEILING((T27*$R$5)*0.7,1)</f>
        <v>1090</v>
      </c>
      <c r="G27" s="71">
        <f t="shared" ref="G27:G30" si="19">U27*$R$5</f>
        <v>0</v>
      </c>
      <c r="H27" s="13">
        <f t="shared" ref="H27:H30" si="20">V27*$R$5</f>
        <v>576</v>
      </c>
      <c r="I27" s="48"/>
      <c r="J27" s="12">
        <f t="shared" ref="J27:K30" si="21">(R27*$S$5)*0.7</f>
        <v>2436</v>
      </c>
      <c r="K27" s="71">
        <f t="shared" si="21"/>
        <v>3653.9999999999995</v>
      </c>
      <c r="L27" s="71">
        <f>CEILING((T27*$S$5)*0.7,1)</f>
        <v>1634</v>
      </c>
      <c r="M27" s="71">
        <f t="shared" ref="M27:M30" si="22">U27*$S$5</f>
        <v>0</v>
      </c>
      <c r="N27" s="13">
        <f t="shared" ref="N27:N30" si="23">V27*$S$5</f>
        <v>864</v>
      </c>
      <c r="O27" s="48"/>
      <c r="P27" s="15" t="s">
        <v>47</v>
      </c>
      <c r="Q27" s="18" t="s">
        <v>47</v>
      </c>
      <c r="R27">
        <v>580</v>
      </c>
      <c r="S27">
        <v>870</v>
      </c>
      <c r="T27">
        <v>389</v>
      </c>
      <c r="U27">
        <v>0</v>
      </c>
      <c r="V27">
        <v>144</v>
      </c>
    </row>
    <row r="28" spans="1:22" ht="15.75" thickBot="1" x14ac:dyDescent="0.3">
      <c r="A28" s="505"/>
      <c r="B28" s="37" t="s">
        <v>350</v>
      </c>
      <c r="C28" s="11"/>
      <c r="D28" s="20">
        <f>CEILING((R28*$R$5)*0.7,1)</f>
        <v>1028</v>
      </c>
      <c r="E28" s="21">
        <f t="shared" si="18"/>
        <v>1540</v>
      </c>
      <c r="F28" s="21">
        <f>CEILING((T28*$R$5)*0.7,1)</f>
        <v>647</v>
      </c>
      <c r="G28" s="21">
        <f t="shared" si="19"/>
        <v>0</v>
      </c>
      <c r="H28" s="19">
        <f t="shared" si="20"/>
        <v>576</v>
      </c>
      <c r="I28" s="11"/>
      <c r="J28" s="20">
        <f>CEILING((R28*$S$5)*0.7,1)</f>
        <v>1542</v>
      </c>
      <c r="K28" s="21">
        <f t="shared" si="21"/>
        <v>2310</v>
      </c>
      <c r="L28" s="21">
        <f>CEILING((T28*$S$5)*0.7,1)</f>
        <v>971</v>
      </c>
      <c r="M28" s="21">
        <f t="shared" si="22"/>
        <v>0</v>
      </c>
      <c r="N28" s="19">
        <f t="shared" si="23"/>
        <v>864</v>
      </c>
      <c r="O28" s="11"/>
      <c r="P28" s="20" t="s">
        <v>47</v>
      </c>
      <c r="Q28" s="19" t="s">
        <v>47</v>
      </c>
      <c r="R28">
        <v>367</v>
      </c>
      <c r="S28">
        <v>550</v>
      </c>
      <c r="T28">
        <v>231</v>
      </c>
      <c r="U28">
        <v>0</v>
      </c>
      <c r="V28">
        <v>144</v>
      </c>
    </row>
    <row r="29" spans="1:22" ht="30" x14ac:dyDescent="0.25">
      <c r="A29" s="504" t="s">
        <v>136</v>
      </c>
      <c r="B29" s="324" t="s">
        <v>356</v>
      </c>
      <c r="C29" s="40"/>
      <c r="D29" s="15">
        <f>CEILING((R29*$R$5)*0.7,1)</f>
        <v>1773</v>
      </c>
      <c r="E29" s="16">
        <f t="shared" si="18"/>
        <v>2660</v>
      </c>
      <c r="F29" s="16">
        <f>CEILING((T29*$R$5)*0.7,1)</f>
        <v>1090</v>
      </c>
      <c r="G29" s="16">
        <f t="shared" si="19"/>
        <v>0</v>
      </c>
      <c r="H29" s="18">
        <f t="shared" si="20"/>
        <v>576</v>
      </c>
      <c r="I29" s="48"/>
      <c r="J29" s="15">
        <f>CEILING((R29*$S$5)*0.7,1)</f>
        <v>2659</v>
      </c>
      <c r="K29" s="16">
        <f t="shared" si="21"/>
        <v>3989.9999999999995</v>
      </c>
      <c r="L29" s="16">
        <f>CEILING((T29*$S$5)*0.7,1)</f>
        <v>1634</v>
      </c>
      <c r="M29" s="16">
        <f t="shared" si="22"/>
        <v>0</v>
      </c>
      <c r="N29" s="18">
        <f t="shared" si="23"/>
        <v>864</v>
      </c>
      <c r="O29" s="48"/>
      <c r="P29" s="15" t="s">
        <v>47</v>
      </c>
      <c r="Q29" s="18" t="s">
        <v>47</v>
      </c>
      <c r="R29">
        <v>633</v>
      </c>
      <c r="S29">
        <v>950</v>
      </c>
      <c r="T29">
        <v>389</v>
      </c>
      <c r="U29">
        <v>0</v>
      </c>
      <c r="V29">
        <v>144</v>
      </c>
    </row>
    <row r="30" spans="1:22" ht="15.75" thickBot="1" x14ac:dyDescent="0.3">
      <c r="A30" s="505"/>
      <c r="B30" s="37" t="s">
        <v>350</v>
      </c>
      <c r="C30" s="30"/>
      <c r="D30" s="20">
        <f>CEILING((R30*$R$5)*0.7,1)</f>
        <v>1157</v>
      </c>
      <c r="E30" s="21">
        <f t="shared" si="18"/>
        <v>1736</v>
      </c>
      <c r="F30" s="21">
        <f>CEILING((T30*$R$5)*0.7,1)</f>
        <v>647</v>
      </c>
      <c r="G30" s="21">
        <f t="shared" si="19"/>
        <v>0</v>
      </c>
      <c r="H30" s="19">
        <f t="shared" si="20"/>
        <v>576</v>
      </c>
      <c r="I30" s="11"/>
      <c r="J30" s="20">
        <f>CEILING((R30*$S$5)*0.7,1)</f>
        <v>1735</v>
      </c>
      <c r="K30" s="21">
        <f t="shared" si="21"/>
        <v>2604</v>
      </c>
      <c r="L30" s="21">
        <f>CEILING((T30*$S$5)*0.7,1)</f>
        <v>971</v>
      </c>
      <c r="M30" s="21">
        <f t="shared" si="22"/>
        <v>0</v>
      </c>
      <c r="N30" s="19">
        <f t="shared" si="23"/>
        <v>864</v>
      </c>
      <c r="O30" s="11"/>
      <c r="P30" s="20" t="s">
        <v>47</v>
      </c>
      <c r="Q30" s="19" t="s">
        <v>47</v>
      </c>
      <c r="R30">
        <v>413</v>
      </c>
      <c r="S30">
        <v>620</v>
      </c>
      <c r="T30">
        <v>231</v>
      </c>
      <c r="U30">
        <v>0</v>
      </c>
      <c r="V30">
        <v>144</v>
      </c>
    </row>
    <row r="31" spans="1:22" ht="15.75" thickBot="1" x14ac:dyDescent="0.3">
      <c r="A31" s="115" t="s">
        <v>126</v>
      </c>
      <c r="B31" s="164"/>
      <c r="C31" s="119"/>
      <c r="D31" s="164"/>
      <c r="E31" s="164"/>
      <c r="F31" s="164"/>
      <c r="G31" s="164"/>
      <c r="H31" s="164"/>
      <c r="I31" s="119"/>
      <c r="J31" s="164"/>
      <c r="K31" s="164"/>
      <c r="L31" s="164"/>
      <c r="M31" s="164"/>
      <c r="N31" s="164"/>
      <c r="O31" s="119"/>
      <c r="P31" s="119"/>
      <c r="Q31" s="120"/>
    </row>
    <row r="32" spans="1:22" ht="37.5" customHeight="1" x14ac:dyDescent="0.25">
      <c r="A32" s="572" t="s">
        <v>140</v>
      </c>
      <c r="B32" s="573"/>
      <c r="C32" s="573"/>
      <c r="D32" s="573"/>
      <c r="E32" s="573"/>
      <c r="F32" s="573"/>
      <c r="G32" s="573"/>
      <c r="H32" s="573"/>
      <c r="I32" s="573"/>
      <c r="J32" s="573"/>
      <c r="K32" s="573"/>
      <c r="L32" s="573"/>
      <c r="M32" s="573"/>
      <c r="N32" s="573"/>
      <c r="O32" s="573"/>
      <c r="P32" s="573"/>
      <c r="Q32" s="574"/>
    </row>
    <row r="33" spans="1:17" x14ac:dyDescent="0.25">
      <c r="A33" s="62" t="s">
        <v>29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1"/>
    </row>
    <row r="34" spans="1:17" x14ac:dyDescent="0.25">
      <c r="A34" s="62" t="s">
        <v>30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1"/>
    </row>
    <row r="35" spans="1:17" x14ac:dyDescent="0.25">
      <c r="A35" s="62" t="s">
        <v>130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1"/>
    </row>
    <row r="36" spans="1:17" x14ac:dyDescent="0.25">
      <c r="A36" s="62" t="s">
        <v>141</v>
      </c>
      <c r="B36" s="60" t="s">
        <v>142</v>
      </c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1"/>
    </row>
    <row r="37" spans="1:17" ht="15.75" thickBot="1" x14ac:dyDescent="0.3">
      <c r="A37" s="62" t="s">
        <v>131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1"/>
    </row>
    <row r="38" spans="1:17" ht="15.75" thickBot="1" x14ac:dyDescent="0.3">
      <c r="A38" s="454" t="s">
        <v>16</v>
      </c>
      <c r="B38" s="455"/>
      <c r="C38" s="455"/>
      <c r="D38" s="455"/>
      <c r="E38" s="455"/>
      <c r="F38" s="455"/>
      <c r="G38" s="455"/>
      <c r="H38" s="455"/>
      <c r="I38" s="455"/>
      <c r="J38" s="455"/>
      <c r="K38" s="455"/>
      <c r="L38" s="455"/>
      <c r="M38" s="455"/>
      <c r="N38" s="455"/>
      <c r="O38" s="455"/>
      <c r="P38" s="455"/>
      <c r="Q38" s="456"/>
    </row>
    <row r="39" spans="1:17" x14ac:dyDescent="0.25">
      <c r="A39" s="63" t="s">
        <v>135</v>
      </c>
      <c r="B39" s="64" t="s">
        <v>143</v>
      </c>
      <c r="C39" s="65"/>
      <c r="D39" s="65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1"/>
    </row>
    <row r="40" spans="1:17" ht="15.75" thickBot="1" x14ac:dyDescent="0.3">
      <c r="A40" s="63" t="s">
        <v>136</v>
      </c>
      <c r="B40" s="64" t="s">
        <v>143</v>
      </c>
      <c r="C40" s="65"/>
      <c r="D40" s="65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1"/>
    </row>
    <row r="41" spans="1:17" ht="15.75" thickBot="1" x14ac:dyDescent="0.3">
      <c r="A41" s="454" t="s">
        <v>15</v>
      </c>
      <c r="B41" s="455"/>
      <c r="C41" s="455"/>
      <c r="D41" s="455"/>
      <c r="E41" s="455"/>
      <c r="F41" s="455"/>
      <c r="G41" s="455"/>
      <c r="H41" s="455"/>
      <c r="I41" s="455"/>
      <c r="J41" s="455"/>
      <c r="K41" s="455"/>
      <c r="L41" s="455"/>
      <c r="M41" s="455"/>
      <c r="N41" s="455"/>
      <c r="O41" s="455"/>
      <c r="P41" s="455"/>
      <c r="Q41" s="456"/>
    </row>
    <row r="42" spans="1:17" x14ac:dyDescent="0.25">
      <c r="A42" s="81" t="s">
        <v>32</v>
      </c>
      <c r="B42" s="77" t="s">
        <v>132</v>
      </c>
      <c r="C42" s="82" t="s">
        <v>34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5"/>
    </row>
    <row r="43" spans="1:17" x14ac:dyDescent="0.25">
      <c r="A43" s="62"/>
      <c r="B43" s="29"/>
      <c r="C43" s="64" t="s">
        <v>35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1"/>
    </row>
    <row r="44" spans="1:17" x14ac:dyDescent="0.25">
      <c r="A44" s="62" t="s">
        <v>33</v>
      </c>
      <c r="B44" s="29" t="s">
        <v>19</v>
      </c>
      <c r="C44" s="64" t="s">
        <v>36</v>
      </c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1"/>
    </row>
    <row r="45" spans="1:17" x14ac:dyDescent="0.25">
      <c r="A45" s="59"/>
      <c r="B45" s="29" t="s">
        <v>134</v>
      </c>
      <c r="C45" s="64" t="s">
        <v>37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1"/>
    </row>
    <row r="46" spans="1:17" x14ac:dyDescent="0.25">
      <c r="A46" s="59" t="s">
        <v>38</v>
      </c>
      <c r="B46" s="29" t="s">
        <v>133</v>
      </c>
      <c r="C46" s="64" t="s">
        <v>39</v>
      </c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1"/>
    </row>
    <row r="47" spans="1:17" ht="15.75" thickBot="1" x14ac:dyDescent="0.3">
      <c r="A47" s="66"/>
      <c r="B47" s="88"/>
      <c r="C47" s="67" t="s">
        <v>40</v>
      </c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9"/>
    </row>
    <row r="48" spans="1:17" ht="15.75" thickBot="1" x14ac:dyDescent="0.3">
      <c r="A48" s="460" t="s">
        <v>144</v>
      </c>
      <c r="B48" s="461"/>
      <c r="C48" s="461"/>
      <c r="D48" s="461"/>
      <c r="E48" s="461"/>
      <c r="F48" s="461"/>
      <c r="G48" s="461"/>
      <c r="H48" s="461"/>
      <c r="I48" s="461"/>
      <c r="J48" s="461"/>
      <c r="K48" s="461"/>
      <c r="L48" s="461"/>
      <c r="M48" s="461"/>
      <c r="N48" s="461"/>
      <c r="O48" s="461"/>
      <c r="P48" s="461"/>
      <c r="Q48" s="462"/>
    </row>
    <row r="49" spans="1:17" ht="15.75" thickBot="1" x14ac:dyDescent="0.3">
      <c r="A49" s="157" t="s">
        <v>192</v>
      </c>
      <c r="B49" s="155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6"/>
    </row>
    <row r="56" spans="1:17" x14ac:dyDescent="0.25">
      <c r="F56" s="70"/>
    </row>
  </sheetData>
  <mergeCells count="33">
    <mergeCell ref="A18:A19"/>
    <mergeCell ref="A6:A7"/>
    <mergeCell ref="A48:Q48"/>
    <mergeCell ref="A27:A28"/>
    <mergeCell ref="A29:A30"/>
    <mergeCell ref="A14:Q14"/>
    <mergeCell ref="A32:Q32"/>
    <mergeCell ref="A38:Q38"/>
    <mergeCell ref="A41:Q41"/>
    <mergeCell ref="A20:A21"/>
    <mergeCell ref="A22:A23"/>
    <mergeCell ref="A24:Q24"/>
    <mergeCell ref="A25:A26"/>
    <mergeCell ref="B25:B26"/>
    <mergeCell ref="D25:H25"/>
    <mergeCell ref="J25:N25"/>
    <mergeCell ref="P25:Q25"/>
    <mergeCell ref="B18:B19"/>
    <mergeCell ref="D18:H18"/>
    <mergeCell ref="J18:N18"/>
    <mergeCell ref="P18:Q18"/>
    <mergeCell ref="A8:A9"/>
    <mergeCell ref="A15:Q15"/>
    <mergeCell ref="A16:Q16"/>
    <mergeCell ref="A17:Q17"/>
    <mergeCell ref="A1:Q1"/>
    <mergeCell ref="A2:Q2"/>
    <mergeCell ref="A3:Q3"/>
    <mergeCell ref="A4:A5"/>
    <mergeCell ref="B4:B5"/>
    <mergeCell ref="D4:H4"/>
    <mergeCell ref="J4:N4"/>
    <mergeCell ref="P4:Q4"/>
  </mergeCells>
  <pageMargins left="0.7" right="0.7" top="0.75" bottom="0.75" header="0.3" footer="0.3"/>
  <pageSetup scale="77" fitToHeight="3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8"/>
  <sheetViews>
    <sheetView workbookViewId="0">
      <selection activeCell="A3" sqref="A3:M3"/>
    </sheetView>
  </sheetViews>
  <sheetFormatPr defaultRowHeight="15" x14ac:dyDescent="0.25"/>
  <cols>
    <col min="1" max="1" width="24" customWidth="1"/>
    <col min="2" max="2" width="20" customWidth="1"/>
    <col min="3" max="3" width="1.7109375" customWidth="1"/>
    <col min="7" max="7" width="1.7109375" customWidth="1"/>
    <col min="11" max="11" width="1.5703125" customWidth="1"/>
  </cols>
  <sheetData>
    <row r="1" spans="1:16" ht="15.75" thickBot="1" x14ac:dyDescent="0.3">
      <c r="A1" s="460" t="s">
        <v>310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2"/>
    </row>
    <row r="2" spans="1:16" ht="15.75" customHeight="1" thickBot="1" x14ac:dyDescent="0.3">
      <c r="A2" s="460" t="s">
        <v>21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2"/>
    </row>
    <row r="3" spans="1:16" ht="15.75" thickBot="1" x14ac:dyDescent="0.3">
      <c r="A3" s="460" t="s">
        <v>341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2"/>
      <c r="N3">
        <v>35</v>
      </c>
      <c r="O3">
        <v>30</v>
      </c>
    </row>
    <row r="4" spans="1:16" ht="15.75" customHeight="1" thickBot="1" x14ac:dyDescent="0.3">
      <c r="A4" s="463" t="s">
        <v>10</v>
      </c>
      <c r="B4" s="465" t="s">
        <v>9</v>
      </c>
      <c r="C4" s="9"/>
      <c r="D4" s="470" t="s">
        <v>0</v>
      </c>
      <c r="E4" s="471"/>
      <c r="F4" s="472"/>
      <c r="G4" s="2"/>
      <c r="H4" s="467" t="s">
        <v>1</v>
      </c>
      <c r="I4" s="468"/>
      <c r="J4" s="469"/>
      <c r="K4" s="1"/>
      <c r="L4" s="491" t="s">
        <v>2</v>
      </c>
      <c r="M4" s="492"/>
      <c r="N4">
        <v>4</v>
      </c>
      <c r="O4">
        <v>6</v>
      </c>
    </row>
    <row r="5" spans="1:16" ht="45.75" thickBot="1" x14ac:dyDescent="0.3">
      <c r="A5" s="490"/>
      <c r="B5" s="466"/>
      <c r="C5" s="43"/>
      <c r="D5" s="44" t="s">
        <v>3</v>
      </c>
      <c r="E5" s="45" t="s">
        <v>4</v>
      </c>
      <c r="F5" s="47" t="s">
        <v>120</v>
      </c>
      <c r="G5" s="7"/>
      <c r="H5" s="3" t="s">
        <v>3</v>
      </c>
      <c r="I5" s="4" t="s">
        <v>4</v>
      </c>
      <c r="J5" s="47" t="s">
        <v>120</v>
      </c>
      <c r="K5" s="6"/>
      <c r="L5" s="3" t="s">
        <v>7</v>
      </c>
      <c r="M5" s="8" t="s">
        <v>8</v>
      </c>
      <c r="N5">
        <v>3</v>
      </c>
      <c r="O5">
        <v>5</v>
      </c>
      <c r="P5">
        <v>78</v>
      </c>
    </row>
    <row r="6" spans="1:16" ht="15.75" thickBot="1" x14ac:dyDescent="0.3">
      <c r="A6" s="580" t="s">
        <v>46</v>
      </c>
      <c r="B6" s="36" t="s">
        <v>376</v>
      </c>
      <c r="C6" s="48"/>
      <c r="D6" s="15">
        <f t="shared" ref="D6:E11" si="0">(N6*$N$5)+35</f>
        <v>707</v>
      </c>
      <c r="E6" s="16">
        <f t="shared" si="0"/>
        <v>1178</v>
      </c>
      <c r="F6" s="18">
        <f t="shared" ref="F6:F11" si="1">(P6*$N$4)+30</f>
        <v>170</v>
      </c>
      <c r="G6" s="48"/>
      <c r="H6" s="15">
        <f t="shared" ref="H6:I11" si="2">(N6*$O$5)+35</f>
        <v>1155</v>
      </c>
      <c r="I6" s="16">
        <f t="shared" si="2"/>
        <v>1940</v>
      </c>
      <c r="J6" s="18">
        <f t="shared" ref="J6:J11" si="3">(P6*$O$4)+30</f>
        <v>240</v>
      </c>
      <c r="K6" s="48"/>
      <c r="L6" s="305">
        <f t="shared" ref="L6:L11" si="4">((N6+$P$5)*$N$4)+35</f>
        <v>1243</v>
      </c>
      <c r="M6" s="305">
        <f t="shared" ref="M6:M11" si="5">((N6+$P$5)*$O$4)+35</f>
        <v>1847</v>
      </c>
      <c r="N6">
        <v>224</v>
      </c>
      <c r="O6">
        <f>224+157</f>
        <v>381</v>
      </c>
      <c r="P6">
        <v>35</v>
      </c>
    </row>
    <row r="7" spans="1:16" ht="15.75" thickBot="1" x14ac:dyDescent="0.3">
      <c r="A7" s="581"/>
      <c r="B7" s="37" t="s">
        <v>377</v>
      </c>
      <c r="C7" s="48"/>
      <c r="D7" s="325">
        <f t="shared" si="0"/>
        <v>572</v>
      </c>
      <c r="E7" s="326">
        <f t="shared" si="0"/>
        <v>947</v>
      </c>
      <c r="F7" s="327">
        <f t="shared" si="1"/>
        <v>170</v>
      </c>
      <c r="G7" s="48"/>
      <c r="H7" s="325">
        <f t="shared" si="2"/>
        <v>930</v>
      </c>
      <c r="I7" s="326">
        <f t="shared" si="2"/>
        <v>1555</v>
      </c>
      <c r="J7" s="327">
        <f t="shared" si="3"/>
        <v>240</v>
      </c>
      <c r="K7" s="48"/>
      <c r="L7" s="332">
        <f t="shared" si="4"/>
        <v>1063</v>
      </c>
      <c r="M7" s="332">
        <f t="shared" si="5"/>
        <v>1577</v>
      </c>
      <c r="N7">
        <v>179</v>
      </c>
      <c r="O7">
        <f>179+125</f>
        <v>304</v>
      </c>
      <c r="P7">
        <v>35</v>
      </c>
    </row>
    <row r="8" spans="1:16" ht="15" customHeight="1" thickBot="1" x14ac:dyDescent="0.3">
      <c r="A8" s="581"/>
      <c r="B8" s="37" t="s">
        <v>346</v>
      </c>
      <c r="C8" s="48"/>
      <c r="D8" s="333">
        <f t="shared" si="0"/>
        <v>809</v>
      </c>
      <c r="E8" s="334">
        <f t="shared" si="0"/>
        <v>1352</v>
      </c>
      <c r="F8" s="335">
        <f t="shared" si="1"/>
        <v>170</v>
      </c>
      <c r="G8" s="48"/>
      <c r="H8" s="24">
        <f t="shared" si="2"/>
        <v>1325</v>
      </c>
      <c r="I8" s="328">
        <f t="shared" si="2"/>
        <v>2230</v>
      </c>
      <c r="J8" s="329">
        <f t="shared" si="3"/>
        <v>240</v>
      </c>
      <c r="K8" s="48"/>
      <c r="L8" s="307">
        <f t="shared" si="4"/>
        <v>1379</v>
      </c>
      <c r="M8" s="307">
        <f t="shared" si="5"/>
        <v>2051</v>
      </c>
      <c r="N8">
        <v>258</v>
      </c>
      <c r="O8">
        <f>258+181</f>
        <v>439</v>
      </c>
      <c r="P8">
        <v>35</v>
      </c>
    </row>
    <row r="9" spans="1:16" x14ac:dyDescent="0.25">
      <c r="A9" s="580" t="s">
        <v>145</v>
      </c>
      <c r="B9" s="36" t="s">
        <v>376</v>
      </c>
      <c r="C9" s="10"/>
      <c r="D9" s="15">
        <f t="shared" si="0"/>
        <v>755</v>
      </c>
      <c r="E9" s="16">
        <f t="shared" si="0"/>
        <v>1259</v>
      </c>
      <c r="F9" s="18">
        <f t="shared" si="1"/>
        <v>170</v>
      </c>
      <c r="G9" s="10"/>
      <c r="H9" s="15">
        <f t="shared" si="2"/>
        <v>1235</v>
      </c>
      <c r="I9" s="16">
        <f t="shared" si="2"/>
        <v>2075</v>
      </c>
      <c r="J9" s="18">
        <f t="shared" si="3"/>
        <v>240</v>
      </c>
      <c r="K9" s="10"/>
      <c r="L9" s="305">
        <f t="shared" si="4"/>
        <v>1307</v>
      </c>
      <c r="M9" s="305">
        <f t="shared" si="5"/>
        <v>1943</v>
      </c>
      <c r="N9">
        <v>240</v>
      </c>
      <c r="O9">
        <f>240+168</f>
        <v>408</v>
      </c>
      <c r="P9">
        <v>35</v>
      </c>
    </row>
    <row r="10" spans="1:16" ht="15.75" thickBot="1" x14ac:dyDescent="0.3">
      <c r="A10" s="581"/>
      <c r="B10" s="37" t="s">
        <v>377</v>
      </c>
      <c r="C10" s="10"/>
      <c r="D10" s="325">
        <f t="shared" si="0"/>
        <v>620</v>
      </c>
      <c r="E10" s="326">
        <f t="shared" si="0"/>
        <v>1031</v>
      </c>
      <c r="F10" s="327">
        <f t="shared" si="1"/>
        <v>170</v>
      </c>
      <c r="G10" s="10"/>
      <c r="H10" s="325">
        <f t="shared" si="2"/>
        <v>1010</v>
      </c>
      <c r="I10" s="326">
        <f t="shared" si="2"/>
        <v>1695</v>
      </c>
      <c r="J10" s="327">
        <f t="shared" si="3"/>
        <v>240</v>
      </c>
      <c r="K10" s="10"/>
      <c r="L10" s="332">
        <f t="shared" si="4"/>
        <v>1127</v>
      </c>
      <c r="M10" s="332">
        <f t="shared" si="5"/>
        <v>1673</v>
      </c>
      <c r="N10">
        <v>195</v>
      </c>
      <c r="O10">
        <f>195+137</f>
        <v>332</v>
      </c>
      <c r="P10">
        <v>35</v>
      </c>
    </row>
    <row r="11" spans="1:16" ht="15.75" thickBot="1" x14ac:dyDescent="0.3">
      <c r="A11" s="581"/>
      <c r="B11" s="37" t="s">
        <v>346</v>
      </c>
      <c r="C11" s="40"/>
      <c r="D11" s="24">
        <f t="shared" si="0"/>
        <v>857</v>
      </c>
      <c r="E11" s="328">
        <f t="shared" si="0"/>
        <v>1433</v>
      </c>
      <c r="F11" s="329">
        <f t="shared" si="1"/>
        <v>170</v>
      </c>
      <c r="G11" s="48"/>
      <c r="H11" s="24">
        <f t="shared" si="2"/>
        <v>1405</v>
      </c>
      <c r="I11" s="328">
        <f t="shared" si="2"/>
        <v>2365</v>
      </c>
      <c r="J11" s="329">
        <f t="shared" si="3"/>
        <v>240</v>
      </c>
      <c r="K11" s="48"/>
      <c r="L11" s="307">
        <f t="shared" si="4"/>
        <v>1443</v>
      </c>
      <c r="M11" s="307">
        <f t="shared" si="5"/>
        <v>2147</v>
      </c>
      <c r="N11">
        <v>274</v>
      </c>
      <c r="O11">
        <f>274+192</f>
        <v>466</v>
      </c>
      <c r="P11">
        <v>35</v>
      </c>
    </row>
    <row r="12" spans="1:16" ht="15.75" thickBot="1" x14ac:dyDescent="0.3">
      <c r="A12" s="130" t="s">
        <v>17</v>
      </c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8"/>
    </row>
    <row r="13" spans="1:16" x14ac:dyDescent="0.25">
      <c r="A13" s="59" t="s">
        <v>12</v>
      </c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6"/>
    </row>
    <row r="14" spans="1:16" x14ac:dyDescent="0.25">
      <c r="A14" s="59" t="s">
        <v>13</v>
      </c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6"/>
    </row>
    <row r="15" spans="1:16" x14ac:dyDescent="0.25">
      <c r="A15" s="59" t="s">
        <v>14</v>
      </c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6"/>
    </row>
    <row r="16" spans="1:16" ht="15.75" thickBot="1" x14ac:dyDescent="0.3">
      <c r="A16" s="493" t="s">
        <v>146</v>
      </c>
      <c r="B16" s="494"/>
      <c r="C16" s="494"/>
      <c r="D16" s="494"/>
      <c r="E16" s="494"/>
      <c r="F16" s="494"/>
      <c r="G16" s="494"/>
      <c r="H16" s="494"/>
      <c r="I16" s="494"/>
      <c r="J16" s="494"/>
      <c r="K16" s="494"/>
      <c r="L16" s="494"/>
      <c r="M16" s="495"/>
    </row>
    <row r="17" spans="1:16" ht="15.75" customHeight="1" thickBot="1" x14ac:dyDescent="0.3">
      <c r="A17" s="460" t="s">
        <v>121</v>
      </c>
      <c r="B17" s="461"/>
      <c r="C17" s="461"/>
      <c r="D17" s="461"/>
      <c r="E17" s="461"/>
      <c r="F17" s="461"/>
      <c r="G17" s="461"/>
      <c r="H17" s="540"/>
      <c r="I17" s="540"/>
      <c r="J17" s="461"/>
      <c r="K17" s="461"/>
      <c r="L17" s="461"/>
      <c r="M17" s="462"/>
    </row>
    <row r="18" spans="1:16" ht="15.75" customHeight="1" thickBot="1" x14ac:dyDescent="0.3">
      <c r="A18" s="460" t="s">
        <v>378</v>
      </c>
      <c r="B18" s="461"/>
      <c r="C18" s="461"/>
      <c r="D18" s="461"/>
      <c r="E18" s="461"/>
      <c r="F18" s="461"/>
      <c r="G18" s="461"/>
      <c r="H18" s="540"/>
      <c r="I18" s="540"/>
      <c r="J18" s="461"/>
      <c r="K18" s="461"/>
      <c r="L18" s="461"/>
      <c r="M18" s="462"/>
      <c r="N18">
        <v>0.9</v>
      </c>
    </row>
    <row r="19" spans="1:16" ht="15.75" customHeight="1" thickBot="1" x14ac:dyDescent="0.3">
      <c r="A19" s="463" t="s">
        <v>10</v>
      </c>
      <c r="B19" s="465" t="s">
        <v>9</v>
      </c>
      <c r="C19" s="9"/>
      <c r="D19" s="470" t="s">
        <v>0</v>
      </c>
      <c r="E19" s="471"/>
      <c r="F19" s="472"/>
      <c r="G19" s="2"/>
      <c r="H19" s="467" t="s">
        <v>1</v>
      </c>
      <c r="I19" s="468"/>
      <c r="J19" s="469"/>
      <c r="K19" s="1"/>
      <c r="L19" s="491" t="s">
        <v>2</v>
      </c>
      <c r="M19" s="492"/>
      <c r="N19">
        <v>4</v>
      </c>
      <c r="O19">
        <v>6</v>
      </c>
    </row>
    <row r="20" spans="1:16" ht="45.75" thickBot="1" x14ac:dyDescent="0.3">
      <c r="A20" s="490"/>
      <c r="B20" s="466"/>
      <c r="C20" s="43"/>
      <c r="D20" s="303" t="s">
        <v>3</v>
      </c>
      <c r="E20" s="45" t="s">
        <v>4</v>
      </c>
      <c r="F20" s="304" t="s">
        <v>120</v>
      </c>
      <c r="G20" s="7"/>
      <c r="H20" s="3" t="s">
        <v>3</v>
      </c>
      <c r="I20" s="4" t="s">
        <v>4</v>
      </c>
      <c r="J20" s="304" t="s">
        <v>120</v>
      </c>
      <c r="K20" s="6"/>
      <c r="L20" s="3" t="s">
        <v>7</v>
      </c>
      <c r="M20" s="8" t="s">
        <v>8</v>
      </c>
      <c r="N20">
        <v>3</v>
      </c>
      <c r="O20">
        <v>5</v>
      </c>
      <c r="P20">
        <v>78</v>
      </c>
    </row>
    <row r="21" spans="1:16" ht="15.75" thickBot="1" x14ac:dyDescent="0.3">
      <c r="A21" s="580" t="s">
        <v>46</v>
      </c>
      <c r="B21" s="36" t="s">
        <v>376</v>
      </c>
      <c r="C21" s="48"/>
      <c r="D21" s="15">
        <f t="shared" ref="D21:E23" si="6">(CEILING((N21*$N$5)*0.9,1))+35</f>
        <v>640</v>
      </c>
      <c r="E21" s="16">
        <f t="shared" si="6"/>
        <v>1064</v>
      </c>
      <c r="F21" s="18">
        <f t="shared" ref="F21:F26" si="7">(P21*$N$4)+30</f>
        <v>170</v>
      </c>
      <c r="G21" s="48"/>
      <c r="H21" s="15">
        <f>((N21*$O$5)*0.9)+35</f>
        <v>1043</v>
      </c>
      <c r="I21" s="16">
        <f>(CEILING((O21*$O$5)*0.9,1))+35</f>
        <v>1750</v>
      </c>
      <c r="J21" s="18">
        <f t="shared" ref="J21:J26" si="8">(P21*$O$4)+30</f>
        <v>240</v>
      </c>
      <c r="K21" s="48"/>
      <c r="L21" s="305">
        <f t="shared" ref="L21:L26" si="9">(CEILING(((N21+$P$5)*$N$4)*0.9,1))+35</f>
        <v>1123</v>
      </c>
      <c r="M21" s="305">
        <f t="shared" ref="M21:M26" si="10">(CEILING(((N21+$P$5)*$O$4)*0.9,1))+35</f>
        <v>1666</v>
      </c>
      <c r="N21">
        <v>224</v>
      </c>
      <c r="O21">
        <f>224+157</f>
        <v>381</v>
      </c>
      <c r="P21">
        <v>35</v>
      </c>
    </row>
    <row r="22" spans="1:16" ht="15.75" thickBot="1" x14ac:dyDescent="0.3">
      <c r="A22" s="581"/>
      <c r="B22" s="37" t="s">
        <v>377</v>
      </c>
      <c r="C22" s="48"/>
      <c r="D22" s="325">
        <f t="shared" si="6"/>
        <v>519</v>
      </c>
      <c r="E22" s="326">
        <f t="shared" si="6"/>
        <v>856</v>
      </c>
      <c r="F22" s="327">
        <f t="shared" si="7"/>
        <v>170</v>
      </c>
      <c r="G22" s="48"/>
      <c r="H22" s="325">
        <f>(CEILING((N22*$O$5)*0.9,1))+35</f>
        <v>841</v>
      </c>
      <c r="I22" s="326">
        <f>((O22*$O$5)*0.9)+35</f>
        <v>1403</v>
      </c>
      <c r="J22" s="327">
        <f t="shared" si="8"/>
        <v>240</v>
      </c>
      <c r="K22" s="48"/>
      <c r="L22" s="332">
        <f t="shared" si="9"/>
        <v>961</v>
      </c>
      <c r="M22" s="332">
        <f t="shared" si="10"/>
        <v>1423</v>
      </c>
      <c r="N22">
        <v>179</v>
      </c>
      <c r="O22">
        <f>179+125</f>
        <v>304</v>
      </c>
      <c r="P22">
        <v>35</v>
      </c>
    </row>
    <row r="23" spans="1:16" ht="15" customHeight="1" thickBot="1" x14ac:dyDescent="0.3">
      <c r="A23" s="581"/>
      <c r="B23" s="37" t="s">
        <v>346</v>
      </c>
      <c r="C23" s="48"/>
      <c r="D23" s="333">
        <f t="shared" si="6"/>
        <v>732</v>
      </c>
      <c r="E23" s="334">
        <f t="shared" si="6"/>
        <v>1221</v>
      </c>
      <c r="F23" s="335">
        <f t="shared" si="7"/>
        <v>170</v>
      </c>
      <c r="G23" s="48"/>
      <c r="H23" s="24">
        <f>((N23*$O$5)*0.9)+35</f>
        <v>1196</v>
      </c>
      <c r="I23" s="328">
        <f>(CEILING((O23*$O$5)*0.9,1))+35</f>
        <v>2011</v>
      </c>
      <c r="J23" s="329">
        <f t="shared" si="8"/>
        <v>240</v>
      </c>
      <c r="K23" s="48"/>
      <c r="L23" s="307">
        <f t="shared" si="9"/>
        <v>1245</v>
      </c>
      <c r="M23" s="307">
        <f t="shared" si="10"/>
        <v>1850</v>
      </c>
      <c r="N23">
        <v>258</v>
      </c>
      <c r="O23">
        <f>258+181</f>
        <v>439</v>
      </c>
      <c r="P23">
        <v>35</v>
      </c>
    </row>
    <row r="24" spans="1:16" x14ac:dyDescent="0.25">
      <c r="A24" s="580" t="s">
        <v>145</v>
      </c>
      <c r="B24" s="36" t="s">
        <v>376</v>
      </c>
      <c r="C24" s="10"/>
      <c r="D24" s="15">
        <f>((N24*$N$5)*0.9)+35</f>
        <v>683</v>
      </c>
      <c r="E24" s="16">
        <f>(CEILING((O24*$N$5)*0.9,1))+35</f>
        <v>1137</v>
      </c>
      <c r="F24" s="18">
        <f t="shared" si="7"/>
        <v>170</v>
      </c>
      <c r="G24" s="10"/>
      <c r="H24" s="15">
        <f>((N24*$O$5)*0.9)+35</f>
        <v>1115</v>
      </c>
      <c r="I24" s="16">
        <f>((O24*$O$5)*0.9)+35</f>
        <v>1871</v>
      </c>
      <c r="J24" s="18">
        <f t="shared" si="8"/>
        <v>240</v>
      </c>
      <c r="K24" s="10"/>
      <c r="L24" s="305">
        <f t="shared" si="9"/>
        <v>1180</v>
      </c>
      <c r="M24" s="305">
        <f t="shared" si="10"/>
        <v>1753</v>
      </c>
      <c r="N24">
        <v>240</v>
      </c>
      <c r="O24">
        <f>240+168</f>
        <v>408</v>
      </c>
      <c r="P24">
        <v>35</v>
      </c>
    </row>
    <row r="25" spans="1:16" ht="15.75" thickBot="1" x14ac:dyDescent="0.3">
      <c r="A25" s="581"/>
      <c r="B25" s="37" t="s">
        <v>377</v>
      </c>
      <c r="C25" s="10"/>
      <c r="D25" s="325">
        <f>(CEILING((N25*$N$5)*0.9,1))+35</f>
        <v>562</v>
      </c>
      <c r="E25" s="326">
        <f>(CEILING((O25*$N$5)*0.9,1))+35</f>
        <v>932</v>
      </c>
      <c r="F25" s="327">
        <f t="shared" si="7"/>
        <v>170</v>
      </c>
      <c r="G25" s="10"/>
      <c r="H25" s="325">
        <f>(CEILING((N25*$O$5)*0.9,1))+35</f>
        <v>913</v>
      </c>
      <c r="I25" s="326">
        <f>((O25*$O$5)*0.9)+35</f>
        <v>1529</v>
      </c>
      <c r="J25" s="327">
        <f t="shared" si="8"/>
        <v>240</v>
      </c>
      <c r="K25" s="10"/>
      <c r="L25" s="332">
        <f t="shared" si="9"/>
        <v>1018</v>
      </c>
      <c r="M25" s="332">
        <f t="shared" si="10"/>
        <v>1510</v>
      </c>
      <c r="N25">
        <v>195</v>
      </c>
      <c r="O25">
        <f>195+137</f>
        <v>332</v>
      </c>
      <c r="P25">
        <v>35</v>
      </c>
    </row>
    <row r="26" spans="1:16" ht="15.75" thickBot="1" x14ac:dyDescent="0.3">
      <c r="A26" s="581"/>
      <c r="B26" s="37" t="s">
        <v>346</v>
      </c>
      <c r="C26" s="40"/>
      <c r="D26" s="24">
        <f>(CEILING((N26*$N$5)*0.9,1))+35</f>
        <v>775</v>
      </c>
      <c r="E26" s="328">
        <f>(CEILING((O26*$N$5)*0.9,1))+35</f>
        <v>1294</v>
      </c>
      <c r="F26" s="329">
        <f t="shared" si="7"/>
        <v>170</v>
      </c>
      <c r="G26" s="48"/>
      <c r="H26" s="24">
        <f>((N26*$O$5)*0.9)+35</f>
        <v>1268</v>
      </c>
      <c r="I26" s="328">
        <f>((O26*$O$5)*0.9)+35</f>
        <v>2132</v>
      </c>
      <c r="J26" s="329">
        <f t="shared" si="8"/>
        <v>240</v>
      </c>
      <c r="K26" s="48"/>
      <c r="L26" s="307">
        <f t="shared" si="9"/>
        <v>1303</v>
      </c>
      <c r="M26" s="307">
        <f t="shared" si="10"/>
        <v>1936</v>
      </c>
      <c r="N26">
        <v>274</v>
      </c>
      <c r="O26">
        <f>274+192</f>
        <v>466</v>
      </c>
      <c r="P26">
        <v>35</v>
      </c>
    </row>
    <row r="27" spans="1:16" ht="15.75" thickBot="1" x14ac:dyDescent="0.3">
      <c r="A27" s="121" t="s">
        <v>126</v>
      </c>
      <c r="B27" s="119"/>
      <c r="C27" s="119"/>
      <c r="D27" s="164"/>
      <c r="E27" s="164"/>
      <c r="F27" s="164"/>
      <c r="G27" s="119"/>
      <c r="H27" s="119"/>
      <c r="I27" s="119"/>
      <c r="J27" s="119"/>
      <c r="K27" s="119"/>
      <c r="L27" s="119"/>
      <c r="M27" s="120"/>
    </row>
    <row r="28" spans="1:16" ht="15" customHeight="1" x14ac:dyDescent="0.25">
      <c r="A28" t="s">
        <v>147</v>
      </c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8"/>
    </row>
    <row r="29" spans="1:16" ht="15" customHeight="1" x14ac:dyDescent="0.25">
      <c r="A29" t="s">
        <v>149</v>
      </c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4"/>
    </row>
    <row r="30" spans="1:16" ht="15" customHeight="1" x14ac:dyDescent="0.25">
      <c r="A30" t="s">
        <v>148</v>
      </c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4"/>
    </row>
    <row r="31" spans="1:16" ht="15" customHeight="1" x14ac:dyDescent="0.25">
      <c r="A31" s="136" t="s">
        <v>29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4"/>
    </row>
    <row r="32" spans="1:16" ht="15" customHeight="1" x14ac:dyDescent="0.25">
      <c r="A32" s="135" t="s">
        <v>150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4"/>
    </row>
    <row r="33" spans="1:13" x14ac:dyDescent="0.25">
      <c r="A33" s="135" t="s">
        <v>151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1"/>
    </row>
    <row r="34" spans="1:13" x14ac:dyDescent="0.25">
      <c r="A34" s="62" t="s">
        <v>152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1"/>
    </row>
    <row r="35" spans="1:13" x14ac:dyDescent="0.25">
      <c r="A35" s="62" t="s">
        <v>153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1"/>
    </row>
    <row r="36" spans="1:13" x14ac:dyDescent="0.25">
      <c r="A36" s="62" t="s">
        <v>152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</row>
    <row r="37" spans="1:13" ht="15.75" thickBot="1" x14ac:dyDescent="0.3">
      <c r="A37" s="62" t="s">
        <v>154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1"/>
    </row>
    <row r="38" spans="1:13" ht="15.75" thickBot="1" x14ac:dyDescent="0.3">
      <c r="A38" s="454" t="s">
        <v>16</v>
      </c>
      <c r="B38" s="455"/>
      <c r="C38" s="455"/>
      <c r="D38" s="455"/>
      <c r="E38" s="455"/>
      <c r="F38" s="455"/>
      <c r="G38" s="455"/>
      <c r="H38" s="455"/>
      <c r="I38" s="455"/>
      <c r="J38" s="455"/>
      <c r="K38" s="455"/>
      <c r="L38" s="455"/>
      <c r="M38" s="456"/>
    </row>
    <row r="39" spans="1:13" x14ac:dyDescent="0.25">
      <c r="A39" s="63" t="s">
        <v>65</v>
      </c>
      <c r="B39" s="64" t="s">
        <v>156</v>
      </c>
      <c r="C39" s="65"/>
      <c r="D39" s="65"/>
      <c r="E39" s="60"/>
      <c r="F39" s="60"/>
      <c r="G39" s="60"/>
      <c r="H39" s="60"/>
      <c r="I39" s="60"/>
      <c r="J39" s="60"/>
      <c r="K39" s="60"/>
      <c r="L39" s="60"/>
      <c r="M39" s="61"/>
    </row>
    <row r="40" spans="1:13" ht="15.75" thickBot="1" x14ac:dyDescent="0.3">
      <c r="A40" s="63" t="s">
        <v>155</v>
      </c>
      <c r="B40" s="64" t="s">
        <v>156</v>
      </c>
      <c r="C40" s="65"/>
      <c r="D40" s="65"/>
      <c r="E40" s="60"/>
      <c r="F40" s="60"/>
      <c r="G40" s="60"/>
      <c r="H40" s="60"/>
      <c r="I40" s="60"/>
      <c r="J40" s="60"/>
      <c r="K40" s="60"/>
      <c r="L40" s="60"/>
      <c r="M40" s="61"/>
    </row>
    <row r="41" spans="1:13" ht="15.75" thickBot="1" x14ac:dyDescent="0.3">
      <c r="A41" s="454" t="s">
        <v>15</v>
      </c>
      <c r="B41" s="455"/>
      <c r="C41" s="455"/>
      <c r="D41" s="455"/>
      <c r="E41" s="455"/>
      <c r="F41" s="455"/>
      <c r="G41" s="455"/>
      <c r="H41" s="455"/>
      <c r="I41" s="455"/>
      <c r="J41" s="455"/>
      <c r="K41" s="455"/>
      <c r="L41" s="455"/>
      <c r="M41" s="456"/>
    </row>
    <row r="42" spans="1:13" x14ac:dyDescent="0.25">
      <c r="A42" s="76" t="s">
        <v>157</v>
      </c>
      <c r="B42" s="77" t="s">
        <v>158</v>
      </c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8"/>
    </row>
    <row r="43" spans="1:13" x14ac:dyDescent="0.25">
      <c r="A43" s="114" t="s">
        <v>159</v>
      </c>
      <c r="B43" s="137" t="s">
        <v>170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58"/>
    </row>
    <row r="44" spans="1:13" x14ac:dyDescent="0.25">
      <c r="A44" s="28" t="s">
        <v>160</v>
      </c>
      <c r="B44" s="29" t="s">
        <v>161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58"/>
    </row>
    <row r="45" spans="1:13" x14ac:dyDescent="0.25">
      <c r="A45" s="28" t="s">
        <v>162</v>
      </c>
      <c r="B45" s="29" t="s">
        <v>163</v>
      </c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58"/>
    </row>
    <row r="46" spans="1:13" x14ac:dyDescent="0.25">
      <c r="A46" s="28" t="s">
        <v>164</v>
      </c>
      <c r="B46" s="29" t="s">
        <v>165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58"/>
    </row>
    <row r="47" spans="1:13" x14ac:dyDescent="0.25">
      <c r="A47" s="114" t="s">
        <v>166</v>
      </c>
      <c r="B47" s="137" t="s">
        <v>171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58"/>
    </row>
    <row r="48" spans="1:13" x14ac:dyDescent="0.25">
      <c r="A48" s="28" t="s">
        <v>167</v>
      </c>
      <c r="B48" s="29" t="s">
        <v>161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58"/>
    </row>
    <row r="49" spans="1:13" x14ac:dyDescent="0.25">
      <c r="A49" s="28" t="s">
        <v>162</v>
      </c>
      <c r="B49" s="29" t="s">
        <v>163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58"/>
    </row>
    <row r="50" spans="1:13" x14ac:dyDescent="0.25">
      <c r="A50" s="28" t="s">
        <v>164</v>
      </c>
      <c r="B50" s="29" t="s">
        <v>165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58"/>
    </row>
    <row r="51" spans="1:13" x14ac:dyDescent="0.25">
      <c r="A51" s="114" t="s">
        <v>168</v>
      </c>
      <c r="B51" s="137" t="s">
        <v>172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58"/>
    </row>
    <row r="52" spans="1:13" x14ac:dyDescent="0.25">
      <c r="A52" s="28" t="s">
        <v>167</v>
      </c>
      <c r="B52" s="29" t="s">
        <v>161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58"/>
    </row>
    <row r="53" spans="1:13" x14ac:dyDescent="0.25">
      <c r="A53" s="28" t="s">
        <v>162</v>
      </c>
      <c r="B53" s="29" t="s">
        <v>163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58"/>
    </row>
    <row r="54" spans="1:13" x14ac:dyDescent="0.25">
      <c r="A54" s="28" t="s">
        <v>164</v>
      </c>
      <c r="B54" s="29" t="s">
        <v>165</v>
      </c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58"/>
    </row>
    <row r="55" spans="1:13" x14ac:dyDescent="0.25">
      <c r="A55" s="114" t="s">
        <v>55</v>
      </c>
      <c r="B55" s="137" t="s">
        <v>173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58"/>
    </row>
    <row r="56" spans="1:13" x14ac:dyDescent="0.25">
      <c r="A56" s="28" t="s">
        <v>169</v>
      </c>
      <c r="B56" s="29" t="s">
        <v>163</v>
      </c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58"/>
    </row>
    <row r="57" spans="1:13" x14ac:dyDescent="0.25">
      <c r="A57" s="28" t="s">
        <v>162</v>
      </c>
      <c r="B57" s="29" t="s">
        <v>163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58"/>
    </row>
    <row r="58" spans="1:13" ht="15.75" thickBot="1" x14ac:dyDescent="0.3">
      <c r="A58" s="138" t="s">
        <v>164</v>
      </c>
      <c r="B58" s="88" t="s">
        <v>165</v>
      </c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7"/>
    </row>
  </sheetData>
  <mergeCells count="22">
    <mergeCell ref="A38:M38"/>
    <mergeCell ref="A41:M41"/>
    <mergeCell ref="A21:A23"/>
    <mergeCell ref="A24:A26"/>
    <mergeCell ref="A18:M18"/>
    <mergeCell ref="A19:A20"/>
    <mergeCell ref="B19:B20"/>
    <mergeCell ref="D19:F19"/>
    <mergeCell ref="H19:J19"/>
    <mergeCell ref="L19:M19"/>
    <mergeCell ref="A6:A8"/>
    <mergeCell ref="A9:A11"/>
    <mergeCell ref="A16:M16"/>
    <mergeCell ref="A17:M17"/>
    <mergeCell ref="A1:M1"/>
    <mergeCell ref="A2:M2"/>
    <mergeCell ref="A3:M3"/>
    <mergeCell ref="A4:A5"/>
    <mergeCell ref="B4:B5"/>
    <mergeCell ref="D4:F4"/>
    <mergeCell ref="H4:J4"/>
    <mergeCell ref="L4:M4"/>
  </mergeCells>
  <pageMargins left="0.7" right="0.7" top="0.75" bottom="0.75" header="0.3" footer="0.3"/>
  <pageSetup fitToHeight="4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opLeftCell="B1" workbookViewId="0">
      <selection activeCell="U32" sqref="U32"/>
    </sheetView>
  </sheetViews>
  <sheetFormatPr defaultRowHeight="15" x14ac:dyDescent="0.25"/>
  <cols>
    <col min="1" max="1" width="24" customWidth="1"/>
    <col min="2" max="2" width="20" customWidth="1"/>
    <col min="3" max="3" width="1.7109375" customWidth="1"/>
    <col min="4" max="5" width="9.140625" customWidth="1"/>
    <col min="6" max="7" width="11.5703125" customWidth="1"/>
    <col min="8" max="8" width="9.140625" customWidth="1"/>
    <col min="9" max="9" width="1.7109375" customWidth="1"/>
    <col min="10" max="14" width="9.140625" customWidth="1"/>
    <col min="15" max="15" width="1.5703125" customWidth="1"/>
    <col min="16" max="17" width="9.140625" customWidth="1"/>
  </cols>
  <sheetData>
    <row r="1" spans="1:22" ht="15.75" customHeight="1" thickBot="1" x14ac:dyDescent="0.3">
      <c r="A1" s="460" t="s">
        <v>403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2"/>
    </row>
    <row r="2" spans="1:22" ht="15.75" thickBot="1" x14ac:dyDescent="0.3">
      <c r="A2" s="460" t="s">
        <v>341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2"/>
    </row>
    <row r="3" spans="1:22" ht="15.75" customHeight="1" thickBot="1" x14ac:dyDescent="0.3">
      <c r="A3" s="463" t="s">
        <v>10</v>
      </c>
      <c r="B3" s="465" t="s">
        <v>9</v>
      </c>
      <c r="C3" s="9"/>
      <c r="D3" s="470" t="s">
        <v>0</v>
      </c>
      <c r="E3" s="471"/>
      <c r="F3" s="471"/>
      <c r="G3" s="471"/>
      <c r="H3" s="472"/>
      <c r="I3" s="2"/>
      <c r="J3" s="470" t="s">
        <v>1</v>
      </c>
      <c r="K3" s="471"/>
      <c r="L3" s="471"/>
      <c r="M3" s="471"/>
      <c r="N3" s="472"/>
      <c r="O3" s="1"/>
      <c r="P3" s="491" t="s">
        <v>2</v>
      </c>
      <c r="Q3" s="492"/>
      <c r="R3">
        <v>35</v>
      </c>
      <c r="S3">
        <v>30</v>
      </c>
    </row>
    <row r="4" spans="1:22" ht="30.75" thickBot="1" x14ac:dyDescent="0.3">
      <c r="A4" s="490"/>
      <c r="B4" s="502"/>
      <c r="C4" s="43"/>
      <c r="D4" s="347" t="s">
        <v>3</v>
      </c>
      <c r="E4" s="139" t="s">
        <v>4</v>
      </c>
      <c r="F4" s="139" t="s">
        <v>5</v>
      </c>
      <c r="G4" s="139" t="s">
        <v>404</v>
      </c>
      <c r="H4" s="348" t="s">
        <v>405</v>
      </c>
      <c r="I4" s="43"/>
      <c r="J4" s="347" t="s">
        <v>3</v>
      </c>
      <c r="K4" s="139" t="s">
        <v>4</v>
      </c>
      <c r="L4" s="139" t="s">
        <v>5</v>
      </c>
      <c r="M4" s="139" t="s">
        <v>406</v>
      </c>
      <c r="N4" s="348" t="s">
        <v>405</v>
      </c>
      <c r="O4" s="7"/>
      <c r="P4" s="3" t="s">
        <v>7</v>
      </c>
      <c r="Q4" s="8" t="s">
        <v>8</v>
      </c>
      <c r="R4">
        <v>3</v>
      </c>
      <c r="S4">
        <v>5</v>
      </c>
      <c r="T4">
        <v>1.5</v>
      </c>
      <c r="U4">
        <v>4</v>
      </c>
      <c r="V4">
        <v>6</v>
      </c>
    </row>
    <row r="5" spans="1:22" ht="30" x14ac:dyDescent="0.25">
      <c r="A5" s="504" t="s">
        <v>407</v>
      </c>
      <c r="B5" s="341" t="s">
        <v>423</v>
      </c>
      <c r="C5" s="220"/>
      <c r="D5" s="12">
        <f t="shared" ref="D5:F8" si="0">(R5*$R$4)+35</f>
        <v>482</v>
      </c>
      <c r="E5" s="71">
        <f t="shared" si="0"/>
        <v>704</v>
      </c>
      <c r="F5" s="71">
        <f t="shared" si="0"/>
        <v>437</v>
      </c>
      <c r="G5" s="71">
        <f>(U5*$R$4)+30</f>
        <v>30</v>
      </c>
      <c r="H5" s="13">
        <f>(V5*$R$4)+35</f>
        <v>302</v>
      </c>
      <c r="I5" s="48"/>
      <c r="J5" s="12">
        <f t="shared" ref="J5:L8" si="1">(R5*$S$4)+35</f>
        <v>780</v>
      </c>
      <c r="K5" s="71">
        <f t="shared" si="1"/>
        <v>1150</v>
      </c>
      <c r="L5" s="71">
        <f t="shared" si="1"/>
        <v>705</v>
      </c>
      <c r="M5" s="71">
        <f>(U5*$S$4)+30</f>
        <v>30</v>
      </c>
      <c r="N5" s="13">
        <f>(V5*$S$4)+35</f>
        <v>480</v>
      </c>
      <c r="O5" s="48"/>
      <c r="P5" s="349">
        <f>(CEILING(R5*$T$4*$U$4/2,1))+35</f>
        <v>482</v>
      </c>
      <c r="Q5" s="349">
        <f>(CEILING(R5*$T$4*$V$4/2,1))+35</f>
        <v>706</v>
      </c>
      <c r="R5">
        <v>149</v>
      </c>
      <c r="S5">
        <v>223</v>
      </c>
      <c r="T5">
        <v>134</v>
      </c>
      <c r="U5">
        <v>0</v>
      </c>
      <c r="V5">
        <v>89</v>
      </c>
    </row>
    <row r="6" spans="1:22" ht="15.75" thickBot="1" x14ac:dyDescent="0.3">
      <c r="A6" s="505"/>
      <c r="B6" s="365" t="s">
        <v>424</v>
      </c>
      <c r="C6" s="366"/>
      <c r="D6" s="24">
        <f t="shared" si="0"/>
        <v>440</v>
      </c>
      <c r="E6" s="328">
        <f t="shared" si="0"/>
        <v>644</v>
      </c>
      <c r="F6" s="328">
        <f t="shared" si="0"/>
        <v>401</v>
      </c>
      <c r="G6" s="328">
        <f>(U6*$R$4)+30</f>
        <v>30</v>
      </c>
      <c r="H6" s="329">
        <f>(V6*$R$4)+35</f>
        <v>278</v>
      </c>
      <c r="I6" s="379"/>
      <c r="J6" s="24">
        <f t="shared" si="1"/>
        <v>710</v>
      </c>
      <c r="K6" s="328">
        <f t="shared" si="1"/>
        <v>1050</v>
      </c>
      <c r="L6" s="328">
        <f t="shared" si="1"/>
        <v>645</v>
      </c>
      <c r="M6" s="328">
        <f>(U6*$S$4)+30</f>
        <v>30</v>
      </c>
      <c r="N6" s="329">
        <f>(V6*$S$4)+35</f>
        <v>440</v>
      </c>
      <c r="O6" s="379"/>
      <c r="P6" s="307">
        <f>(CEILING(R6*$T$4*$U$4/2,1))+35</f>
        <v>440</v>
      </c>
      <c r="Q6" s="307">
        <f>(CEILING(R6*$T$4*$V$4/2,1))+35</f>
        <v>643</v>
      </c>
      <c r="R6">
        <v>135</v>
      </c>
      <c r="S6">
        <v>203</v>
      </c>
      <c r="T6">
        <v>122</v>
      </c>
      <c r="U6">
        <v>0</v>
      </c>
      <c r="V6">
        <v>81</v>
      </c>
    </row>
    <row r="7" spans="1:22" ht="30" x14ac:dyDescent="0.25">
      <c r="A7" s="504" t="s">
        <v>408</v>
      </c>
      <c r="B7" s="341" t="s">
        <v>423</v>
      </c>
      <c r="C7" s="221"/>
      <c r="D7" s="15">
        <f t="shared" si="0"/>
        <v>512</v>
      </c>
      <c r="E7" s="16">
        <f t="shared" si="0"/>
        <v>749</v>
      </c>
      <c r="F7" s="16">
        <f t="shared" si="0"/>
        <v>464</v>
      </c>
      <c r="G7" s="16">
        <f>(U7*$R$4)+30</f>
        <v>30</v>
      </c>
      <c r="H7" s="18">
        <f>(V7*$R$4)+35</f>
        <v>320</v>
      </c>
      <c r="I7" s="48"/>
      <c r="J7" s="15">
        <f t="shared" si="1"/>
        <v>830</v>
      </c>
      <c r="K7" s="16">
        <f t="shared" si="1"/>
        <v>1225</v>
      </c>
      <c r="L7" s="16">
        <f t="shared" si="1"/>
        <v>750</v>
      </c>
      <c r="M7" s="16">
        <f>(U7*$S$4)+30</f>
        <v>30</v>
      </c>
      <c r="N7" s="18">
        <f>(V7*$S$4)+35</f>
        <v>510</v>
      </c>
      <c r="O7" s="48"/>
      <c r="P7" s="349">
        <f>(CEILING(R7*$T$4*$U$4/2,1))+35</f>
        <v>512</v>
      </c>
      <c r="Q7" s="349">
        <f>(CEILING(R7*$T$4*$V$4/2,1))+35</f>
        <v>751</v>
      </c>
      <c r="R7">
        <v>159</v>
      </c>
      <c r="S7">
        <v>238</v>
      </c>
      <c r="T7">
        <v>143</v>
      </c>
      <c r="U7">
        <v>0</v>
      </c>
      <c r="V7">
        <v>95</v>
      </c>
    </row>
    <row r="8" spans="1:22" ht="15.75" thickBot="1" x14ac:dyDescent="0.3">
      <c r="A8" s="505"/>
      <c r="B8" s="365" t="s">
        <v>424</v>
      </c>
      <c r="C8" s="367"/>
      <c r="D8" s="24">
        <f t="shared" si="0"/>
        <v>470</v>
      </c>
      <c r="E8" s="328">
        <f t="shared" si="0"/>
        <v>689</v>
      </c>
      <c r="F8" s="328">
        <f t="shared" si="0"/>
        <v>428</v>
      </c>
      <c r="G8" s="328">
        <f>(U8*$R$4)+30</f>
        <v>30</v>
      </c>
      <c r="H8" s="329">
        <f>(V8*$R$4)+35</f>
        <v>296</v>
      </c>
      <c r="I8" s="379"/>
      <c r="J8" s="24">
        <f t="shared" si="1"/>
        <v>760</v>
      </c>
      <c r="K8" s="328">
        <f t="shared" si="1"/>
        <v>1125</v>
      </c>
      <c r="L8" s="328">
        <f t="shared" si="1"/>
        <v>690</v>
      </c>
      <c r="M8" s="328">
        <f>(U8*$S$4)+30</f>
        <v>30</v>
      </c>
      <c r="N8" s="329">
        <f>(V8*$S$4)+35</f>
        <v>470</v>
      </c>
      <c r="O8" s="379"/>
      <c r="P8" s="307">
        <f>(CEILING(R8*$T$4*$U$4/2,1))+35</f>
        <v>470</v>
      </c>
      <c r="Q8" s="307">
        <f>(CEILING(R8*$T$4*$V$4/2,1))+35</f>
        <v>688</v>
      </c>
      <c r="R8">
        <v>145</v>
      </c>
      <c r="S8">
        <v>218</v>
      </c>
      <c r="T8">
        <v>131</v>
      </c>
      <c r="U8">
        <v>0</v>
      </c>
      <c r="V8">
        <v>87</v>
      </c>
    </row>
    <row r="9" spans="1:22" ht="15.75" customHeight="1" thickBot="1" x14ac:dyDescent="0.3">
      <c r="A9" s="34" t="s">
        <v>17</v>
      </c>
      <c r="B9" s="35"/>
      <c r="C9" s="35"/>
      <c r="D9" s="117"/>
      <c r="E9" s="117"/>
      <c r="F9" s="117"/>
      <c r="G9" s="117"/>
      <c r="H9" s="117"/>
      <c r="I9" s="35"/>
      <c r="J9" s="117"/>
      <c r="K9" s="117"/>
      <c r="L9" s="117"/>
      <c r="M9" s="117"/>
      <c r="N9" s="117"/>
      <c r="O9" s="35"/>
      <c r="P9" s="117"/>
      <c r="Q9" s="118"/>
    </row>
    <row r="10" spans="1:22" ht="15.75" customHeight="1" x14ac:dyDescent="0.25">
      <c r="A10" s="177" t="s">
        <v>12</v>
      </c>
      <c r="B10" s="368"/>
      <c r="C10" s="368"/>
      <c r="D10" s="368"/>
      <c r="E10" s="368"/>
      <c r="F10" s="368"/>
      <c r="G10" s="368"/>
      <c r="H10" s="368"/>
      <c r="I10" s="368"/>
      <c r="J10" s="368"/>
      <c r="K10" s="368"/>
      <c r="L10" s="368"/>
      <c r="M10" s="368"/>
      <c r="N10" s="368"/>
      <c r="O10" s="368"/>
      <c r="P10" s="368"/>
      <c r="Q10" s="369"/>
    </row>
    <row r="11" spans="1:22" ht="15.75" customHeight="1" x14ac:dyDescent="0.25">
      <c r="A11" s="177" t="s">
        <v>13</v>
      </c>
      <c r="B11" s="368"/>
      <c r="C11" s="368"/>
      <c r="D11" s="368"/>
      <c r="E11" s="368"/>
      <c r="F11" s="368"/>
      <c r="G11" s="368"/>
      <c r="H11" s="368"/>
      <c r="I11" s="368"/>
      <c r="J11" s="368"/>
      <c r="K11" s="368"/>
      <c r="L11" s="368"/>
      <c r="M11" s="368"/>
      <c r="N11" s="368"/>
      <c r="O11" s="368"/>
      <c r="P11" s="368"/>
      <c r="Q11" s="369"/>
    </row>
    <row r="12" spans="1:22" x14ac:dyDescent="0.25">
      <c r="A12" s="177" t="s">
        <v>14</v>
      </c>
      <c r="B12" s="368"/>
      <c r="C12" s="368"/>
      <c r="D12" s="368"/>
      <c r="E12" s="368"/>
      <c r="F12" s="368"/>
      <c r="G12" s="368"/>
      <c r="H12" s="368"/>
      <c r="I12" s="368"/>
      <c r="J12" s="368"/>
      <c r="K12" s="368"/>
      <c r="L12" s="368"/>
      <c r="M12" s="368"/>
      <c r="N12" s="368"/>
      <c r="O12" s="368"/>
      <c r="P12" s="368"/>
      <c r="Q12" s="369"/>
    </row>
    <row r="13" spans="1:22" ht="15.75" thickBot="1" x14ac:dyDescent="0.3">
      <c r="A13" s="582" t="s">
        <v>409</v>
      </c>
      <c r="B13" s="583"/>
      <c r="C13" s="583"/>
      <c r="D13" s="583"/>
      <c r="E13" s="583"/>
      <c r="F13" s="583"/>
      <c r="G13" s="583"/>
      <c r="H13" s="583"/>
      <c r="I13" s="583"/>
      <c r="J13" s="583"/>
      <c r="K13" s="583"/>
      <c r="L13" s="583"/>
      <c r="M13" s="583"/>
      <c r="N13" s="583"/>
      <c r="O13" s="583"/>
      <c r="P13" s="583"/>
      <c r="Q13" s="584"/>
    </row>
    <row r="14" spans="1:22" ht="15.75" thickBot="1" x14ac:dyDescent="0.3">
      <c r="A14" s="585" t="s">
        <v>24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6"/>
      <c r="N14" s="586"/>
      <c r="O14" s="586"/>
      <c r="P14" s="586"/>
      <c r="Q14" s="587"/>
    </row>
    <row r="15" spans="1:22" ht="15.75" thickBot="1" x14ac:dyDescent="0.3">
      <c r="A15" s="585" t="s">
        <v>425</v>
      </c>
      <c r="B15" s="586"/>
      <c r="C15" s="586"/>
      <c r="D15" s="588"/>
      <c r="E15" s="588"/>
      <c r="F15" s="588"/>
      <c r="G15" s="588"/>
      <c r="H15" s="588"/>
      <c r="I15" s="586"/>
      <c r="J15" s="588"/>
      <c r="K15" s="588"/>
      <c r="L15" s="588"/>
      <c r="M15" s="588"/>
      <c r="N15" s="588"/>
      <c r="O15" s="586"/>
      <c r="P15" s="586"/>
      <c r="Q15" s="587"/>
    </row>
    <row r="16" spans="1:22" ht="15.75" customHeight="1" thickBot="1" x14ac:dyDescent="0.3">
      <c r="A16" s="463" t="s">
        <v>10</v>
      </c>
      <c r="B16" s="465" t="s">
        <v>9</v>
      </c>
      <c r="C16" s="9"/>
      <c r="D16" s="470" t="s">
        <v>0</v>
      </c>
      <c r="E16" s="471"/>
      <c r="F16" s="471"/>
      <c r="G16" s="471"/>
      <c r="H16" s="472"/>
      <c r="I16" s="2"/>
      <c r="J16" s="470" t="s">
        <v>1</v>
      </c>
      <c r="K16" s="471"/>
      <c r="L16" s="471"/>
      <c r="M16" s="471"/>
      <c r="N16" s="472"/>
      <c r="O16" s="1"/>
      <c r="P16" s="491" t="s">
        <v>2</v>
      </c>
      <c r="Q16" s="492"/>
      <c r="R16">
        <v>0.9</v>
      </c>
    </row>
    <row r="17" spans="1:22" ht="30.75" thickBot="1" x14ac:dyDescent="0.3">
      <c r="A17" s="490"/>
      <c r="B17" s="502"/>
      <c r="C17" s="43"/>
      <c r="D17" s="347" t="s">
        <v>3</v>
      </c>
      <c r="E17" s="139" t="s">
        <v>4</v>
      </c>
      <c r="F17" s="139" t="s">
        <v>5</v>
      </c>
      <c r="G17" s="139" t="s">
        <v>404</v>
      </c>
      <c r="H17" s="348" t="s">
        <v>405</v>
      </c>
      <c r="I17" s="43"/>
      <c r="J17" s="347" t="s">
        <v>3</v>
      </c>
      <c r="K17" s="139" t="s">
        <v>4</v>
      </c>
      <c r="L17" s="139" t="s">
        <v>5</v>
      </c>
      <c r="M17" s="139" t="s">
        <v>406</v>
      </c>
      <c r="N17" s="348" t="s">
        <v>405</v>
      </c>
      <c r="O17" s="7"/>
      <c r="P17" s="3" t="s">
        <v>7</v>
      </c>
      <c r="Q17" s="8" t="s">
        <v>8</v>
      </c>
      <c r="R17">
        <v>3</v>
      </c>
      <c r="S17">
        <v>5</v>
      </c>
      <c r="T17">
        <v>1.5</v>
      </c>
      <c r="U17">
        <v>4</v>
      </c>
      <c r="V17">
        <v>6</v>
      </c>
    </row>
    <row r="18" spans="1:22" ht="30" x14ac:dyDescent="0.25">
      <c r="A18" s="504" t="s">
        <v>407</v>
      </c>
      <c r="B18" s="341" t="s">
        <v>423</v>
      </c>
      <c r="C18" s="220"/>
      <c r="D18" s="12">
        <f t="shared" ref="D18:F21" si="2">(CEILING((R18*$R$4)*0.9,1))+35</f>
        <v>438</v>
      </c>
      <c r="E18" s="71">
        <f t="shared" si="2"/>
        <v>638</v>
      </c>
      <c r="F18" s="71">
        <f t="shared" si="2"/>
        <v>397</v>
      </c>
      <c r="G18" s="71">
        <f>((U18*$R$4)*0.9)+30</f>
        <v>30</v>
      </c>
      <c r="H18" s="13">
        <f>(CEILING((V18*$R$4)*0.9,1))+35</f>
        <v>276</v>
      </c>
      <c r="I18" s="48"/>
      <c r="J18" s="12">
        <f>(CEILING((R18*$S$4)*0.9,1))+35</f>
        <v>706</v>
      </c>
      <c r="K18" s="71">
        <f>(CEILING((S18*$S$4)*0.9,1))+35</f>
        <v>1039</v>
      </c>
      <c r="L18" s="71">
        <f>((T18*$S$4)*0.9)+35</f>
        <v>638</v>
      </c>
      <c r="M18" s="71">
        <f>((U18*$S$4)*0.9)+30</f>
        <v>30</v>
      </c>
      <c r="N18" s="13">
        <f>(CEILING((V18*$S$4)*0.9,1))+35</f>
        <v>436</v>
      </c>
      <c r="O18" s="48"/>
      <c r="P18" s="349">
        <f>(CEILING((CEILING(R18*$T$4*$U$4/2,1))*0.9,1))+35</f>
        <v>438</v>
      </c>
      <c r="Q18" s="349">
        <f>(CEILING((CEILING(R18*$T$4*$V$4/2,1))*0.9,1))+35</f>
        <v>639</v>
      </c>
      <c r="R18">
        <v>149</v>
      </c>
      <c r="S18">
        <v>223</v>
      </c>
      <c r="T18">
        <v>134</v>
      </c>
      <c r="U18">
        <v>0</v>
      </c>
      <c r="V18">
        <v>89</v>
      </c>
    </row>
    <row r="19" spans="1:22" ht="15.75" thickBot="1" x14ac:dyDescent="0.3">
      <c r="A19" s="505"/>
      <c r="B19" s="365" t="s">
        <v>424</v>
      </c>
      <c r="C19" s="366"/>
      <c r="D19" s="24">
        <f t="shared" si="2"/>
        <v>400</v>
      </c>
      <c r="E19" s="328">
        <f t="shared" si="2"/>
        <v>584</v>
      </c>
      <c r="F19" s="328">
        <f t="shared" si="2"/>
        <v>365</v>
      </c>
      <c r="G19" s="328">
        <f>((U19*$R$4)*0.9)+30</f>
        <v>30</v>
      </c>
      <c r="H19" s="329">
        <f>(CEILING((V19*$R$4)*0.9,1))+35</f>
        <v>254</v>
      </c>
      <c r="I19" s="379"/>
      <c r="J19" s="24">
        <f>(CEILING((R19*$S$4)*0.9,1))+35</f>
        <v>643</v>
      </c>
      <c r="K19" s="328">
        <f>(CEILING((S19*$S$4)*0.9,1))+35</f>
        <v>949</v>
      </c>
      <c r="L19" s="328">
        <f>((T19*$S$4)*0.9)+35</f>
        <v>584</v>
      </c>
      <c r="M19" s="328">
        <f>((U19*$S$4)*0.9)+30</f>
        <v>30</v>
      </c>
      <c r="N19" s="329">
        <f>(CEILING((V19*$S$4)*0.9,1))+35</f>
        <v>400</v>
      </c>
      <c r="O19" s="379"/>
      <c r="P19" s="307">
        <f>(CEILING((CEILING(R19*$T$4*$U$4/2,1))*0.9,1))+35</f>
        <v>400</v>
      </c>
      <c r="Q19" s="307">
        <f>(CEILING((CEILING(R19*$T$4*$V$4/2,1))*0.9,1))+35</f>
        <v>583</v>
      </c>
      <c r="R19">
        <v>135</v>
      </c>
      <c r="S19">
        <v>203</v>
      </c>
      <c r="T19">
        <v>122</v>
      </c>
      <c r="U19">
        <v>0</v>
      </c>
      <c r="V19">
        <v>81</v>
      </c>
    </row>
    <row r="20" spans="1:22" ht="30" x14ac:dyDescent="0.25">
      <c r="A20" s="504" t="s">
        <v>408</v>
      </c>
      <c r="B20" s="341" t="s">
        <v>423</v>
      </c>
      <c r="C20" s="221"/>
      <c r="D20" s="15">
        <f t="shared" si="2"/>
        <v>465</v>
      </c>
      <c r="E20" s="16">
        <f t="shared" si="2"/>
        <v>678</v>
      </c>
      <c r="F20" s="16">
        <f t="shared" si="2"/>
        <v>422</v>
      </c>
      <c r="G20" s="16">
        <f>((U20*$R$4)*0.9)+30</f>
        <v>30</v>
      </c>
      <c r="H20" s="18">
        <f>(CEILING((V20*$R$4)*0.9,1))+35</f>
        <v>292</v>
      </c>
      <c r="I20" s="48"/>
      <c r="J20" s="15">
        <f>(CEILING((R20*$S$4)*0.9,1))+35</f>
        <v>751</v>
      </c>
      <c r="K20" s="16">
        <f>((S20*$S$4)*0.9)+35</f>
        <v>1106</v>
      </c>
      <c r="L20" s="16">
        <f>(CEILING((T20*$S$4)*0.9,1))+35</f>
        <v>679</v>
      </c>
      <c r="M20" s="16">
        <f>((U20*$S$4)*0.9)+30</f>
        <v>30</v>
      </c>
      <c r="N20" s="18">
        <f>(CEILING((V20*$S$4)*0.9,1))+35</f>
        <v>463</v>
      </c>
      <c r="O20" s="48"/>
      <c r="P20" s="349">
        <f>(CEILING((CEILING(R20*$T$4*$U$4/2,1))*0.9,1))+35</f>
        <v>465</v>
      </c>
      <c r="Q20" s="349">
        <f>(CEILING((CEILING(R20*$T$4*$V$4/2,1))*0.9,1))+35</f>
        <v>680</v>
      </c>
      <c r="R20">
        <v>159</v>
      </c>
      <c r="S20">
        <v>238</v>
      </c>
      <c r="T20">
        <v>143</v>
      </c>
      <c r="U20">
        <v>0</v>
      </c>
      <c r="V20">
        <v>95</v>
      </c>
    </row>
    <row r="21" spans="1:22" ht="15.75" thickBot="1" x14ac:dyDescent="0.3">
      <c r="A21" s="505"/>
      <c r="B21" s="365" t="s">
        <v>424</v>
      </c>
      <c r="C21" s="367"/>
      <c r="D21" s="24">
        <f t="shared" si="2"/>
        <v>427</v>
      </c>
      <c r="E21" s="328">
        <f t="shared" si="2"/>
        <v>624</v>
      </c>
      <c r="F21" s="328">
        <f t="shared" si="2"/>
        <v>389</v>
      </c>
      <c r="G21" s="328">
        <f>((U21*$R$4)*0.9)+30</f>
        <v>30</v>
      </c>
      <c r="H21" s="329">
        <f>(CEILING((V21*$R$4)*0.9,1))+35</f>
        <v>270</v>
      </c>
      <c r="I21" s="379"/>
      <c r="J21" s="24">
        <f>(CEILING((R21*$S$4)*0.9,1))+35</f>
        <v>688</v>
      </c>
      <c r="K21" s="328">
        <f>((S21*$S$4)*0.9)+35</f>
        <v>1016</v>
      </c>
      <c r="L21" s="328">
        <f>(CEILING((T21*$S$4)*0.9,1))+35</f>
        <v>625</v>
      </c>
      <c r="M21" s="328">
        <f>((U21*$S$4)*0.9)+30</f>
        <v>30</v>
      </c>
      <c r="N21" s="329">
        <f>(CEILING((V21*$S$4)*0.9,1))+35</f>
        <v>427</v>
      </c>
      <c r="O21" s="379"/>
      <c r="P21" s="307">
        <f>(CEILING((CEILING(R21*$T$4*$U$4/2,1))*0.9,1))+35</f>
        <v>427</v>
      </c>
      <c r="Q21" s="307">
        <f>(CEILING((CEILING(R21*$T$4*$V$4/2,1))*0.9,1))+35</f>
        <v>623</v>
      </c>
      <c r="R21">
        <v>145</v>
      </c>
      <c r="S21">
        <v>218</v>
      </c>
      <c r="T21">
        <v>131</v>
      </c>
      <c r="U21">
        <v>0</v>
      </c>
      <c r="V21">
        <v>87</v>
      </c>
    </row>
    <row r="22" spans="1:22" ht="15.75" thickBot="1" x14ac:dyDescent="0.3">
      <c r="A22" s="585" t="s">
        <v>426</v>
      </c>
      <c r="B22" s="586"/>
      <c r="C22" s="586"/>
      <c r="D22" s="588"/>
      <c r="E22" s="588"/>
      <c r="F22" s="588"/>
      <c r="G22" s="588"/>
      <c r="H22" s="588"/>
      <c r="I22" s="586"/>
      <c r="J22" s="588"/>
      <c r="K22" s="588"/>
      <c r="L22" s="588"/>
      <c r="M22" s="588"/>
      <c r="N22" s="588"/>
      <c r="O22" s="586"/>
      <c r="P22" s="586"/>
      <c r="Q22" s="587"/>
    </row>
    <row r="23" spans="1:22" ht="15.75" customHeight="1" thickBot="1" x14ac:dyDescent="0.3">
      <c r="A23" s="463" t="s">
        <v>10</v>
      </c>
      <c r="B23" s="465" t="s">
        <v>9</v>
      </c>
      <c r="C23" s="9"/>
      <c r="D23" s="470" t="s">
        <v>0</v>
      </c>
      <c r="E23" s="471"/>
      <c r="F23" s="471"/>
      <c r="G23" s="471"/>
      <c r="H23" s="472"/>
      <c r="I23" s="2"/>
      <c r="J23" s="470" t="s">
        <v>1</v>
      </c>
      <c r="K23" s="471"/>
      <c r="L23" s="471"/>
      <c r="M23" s="471"/>
      <c r="N23" s="472"/>
      <c r="O23" s="1"/>
      <c r="P23" s="491" t="s">
        <v>2</v>
      </c>
      <c r="Q23" s="492"/>
      <c r="R23">
        <v>0.85</v>
      </c>
      <c r="S23">
        <v>35</v>
      </c>
      <c r="T23">
        <v>30</v>
      </c>
    </row>
    <row r="24" spans="1:22" ht="30.75" thickBot="1" x14ac:dyDescent="0.3">
      <c r="A24" s="490"/>
      <c r="B24" s="502"/>
      <c r="C24" s="43"/>
      <c r="D24" s="380" t="s">
        <v>3</v>
      </c>
      <c r="E24" s="45" t="s">
        <v>4</v>
      </c>
      <c r="F24" s="45" t="s">
        <v>5</v>
      </c>
      <c r="G24" s="45" t="s">
        <v>404</v>
      </c>
      <c r="H24" s="381" t="s">
        <v>405</v>
      </c>
      <c r="I24" s="43"/>
      <c r="J24" s="380" t="s">
        <v>3</v>
      </c>
      <c r="K24" s="45" t="s">
        <v>4</v>
      </c>
      <c r="L24" s="45" t="s">
        <v>5</v>
      </c>
      <c r="M24" s="45" t="s">
        <v>406</v>
      </c>
      <c r="N24" s="381" t="s">
        <v>405</v>
      </c>
      <c r="O24" s="7"/>
      <c r="P24" s="3" t="s">
        <v>7</v>
      </c>
      <c r="Q24" s="8" t="s">
        <v>8</v>
      </c>
      <c r="R24">
        <v>3</v>
      </c>
      <c r="S24">
        <v>5</v>
      </c>
      <c r="T24">
        <v>1.5</v>
      </c>
      <c r="U24">
        <v>4</v>
      </c>
      <c r="V24">
        <v>6</v>
      </c>
    </row>
    <row r="25" spans="1:22" ht="30" x14ac:dyDescent="0.25">
      <c r="A25" s="504" t="s">
        <v>407</v>
      </c>
      <c r="B25" s="341" t="s">
        <v>423</v>
      </c>
      <c r="C25" s="220"/>
      <c r="D25" s="15">
        <f t="shared" ref="D25:F28" si="3">(CEILING(R25*$R$24*$R$23,1))+35</f>
        <v>415</v>
      </c>
      <c r="E25" s="16">
        <f t="shared" si="3"/>
        <v>604</v>
      </c>
      <c r="F25" s="16">
        <f t="shared" si="3"/>
        <v>377</v>
      </c>
      <c r="G25" s="16">
        <f>(CEILING(U25*$R$24*$R$23,1))+30</f>
        <v>30</v>
      </c>
      <c r="H25" s="18">
        <f>(CEILING(V25*$R$24*$R$23,1))+35</f>
        <v>262</v>
      </c>
      <c r="I25" s="48"/>
      <c r="J25" s="15">
        <f t="shared" ref="J25:L28" si="4">(CEILING(R25*$S$24*$R$23,1))+35</f>
        <v>669</v>
      </c>
      <c r="K25" s="16">
        <f t="shared" si="4"/>
        <v>983</v>
      </c>
      <c r="L25" s="16">
        <f t="shared" si="4"/>
        <v>605</v>
      </c>
      <c r="M25" s="16">
        <f>(CEILING(U25*$S$24*$R$23,1))+30</f>
        <v>30</v>
      </c>
      <c r="N25" s="18">
        <f>(CEILING(V25*$S$24*$R$23,1))+35</f>
        <v>414</v>
      </c>
      <c r="O25" s="48"/>
      <c r="P25" s="382">
        <f>(CEILING((R25*$T$24*$U$24/2)*$R$23,1))+35</f>
        <v>415</v>
      </c>
      <c r="Q25" s="382">
        <f>(CEILING((R25*$T$24*$V$24*$R$23/2),1))+35</f>
        <v>605</v>
      </c>
      <c r="R25">
        <v>149</v>
      </c>
      <c r="S25">
        <v>223</v>
      </c>
      <c r="T25">
        <v>134</v>
      </c>
      <c r="U25">
        <v>0</v>
      </c>
      <c r="V25">
        <v>89</v>
      </c>
    </row>
    <row r="26" spans="1:22" ht="15.75" thickBot="1" x14ac:dyDescent="0.3">
      <c r="A26" s="505"/>
      <c r="B26" s="365" t="s">
        <v>424</v>
      </c>
      <c r="C26" s="366"/>
      <c r="D26" s="24">
        <f t="shared" si="3"/>
        <v>380</v>
      </c>
      <c r="E26" s="328">
        <f t="shared" si="3"/>
        <v>553</v>
      </c>
      <c r="F26" s="328">
        <f t="shared" si="3"/>
        <v>347</v>
      </c>
      <c r="G26" s="328">
        <f>(CEILING(U26*$R$24*$R$23,1))+30</f>
        <v>30</v>
      </c>
      <c r="H26" s="329">
        <f>(CEILING(V26*$R$24*$R$23,1))+35</f>
        <v>242</v>
      </c>
      <c r="I26" s="383"/>
      <c r="J26" s="24">
        <f t="shared" si="4"/>
        <v>609</v>
      </c>
      <c r="K26" s="328">
        <f t="shared" si="4"/>
        <v>898</v>
      </c>
      <c r="L26" s="328">
        <f t="shared" si="4"/>
        <v>554</v>
      </c>
      <c r="M26" s="328">
        <f>(CEILING(U26*$S$24*$R$23,1))+30</f>
        <v>30</v>
      </c>
      <c r="N26" s="329">
        <f>(CEILING(V26*$S$24*$R$23,1))+35</f>
        <v>380</v>
      </c>
      <c r="O26" s="383"/>
      <c r="P26" s="307">
        <f>(CEILING((R26*$T$24*$U$24/2)*$R$23,1))+35</f>
        <v>380</v>
      </c>
      <c r="Q26" s="307">
        <f>(CEILING((R26*$T$24*$V$24*$R$23/2),1))+35</f>
        <v>552</v>
      </c>
      <c r="R26">
        <v>135</v>
      </c>
      <c r="S26">
        <v>203</v>
      </c>
      <c r="T26">
        <v>122</v>
      </c>
      <c r="U26">
        <v>0</v>
      </c>
      <c r="V26">
        <v>81</v>
      </c>
    </row>
    <row r="27" spans="1:22" ht="30" x14ac:dyDescent="0.25">
      <c r="A27" s="504" t="s">
        <v>408</v>
      </c>
      <c r="B27" s="341" t="s">
        <v>423</v>
      </c>
      <c r="C27" s="221"/>
      <c r="D27" s="15">
        <f t="shared" si="3"/>
        <v>441</v>
      </c>
      <c r="E27" s="16">
        <f t="shared" si="3"/>
        <v>642</v>
      </c>
      <c r="F27" s="16">
        <f t="shared" si="3"/>
        <v>400</v>
      </c>
      <c r="G27" s="16">
        <f>(CEILING(U27*$R$24*$R$23,1))+30</f>
        <v>30</v>
      </c>
      <c r="H27" s="18">
        <f>(CEILING(V27*$R$24*$R$23,1))+35</f>
        <v>278</v>
      </c>
      <c r="I27" s="48"/>
      <c r="J27" s="15">
        <f t="shared" si="4"/>
        <v>711</v>
      </c>
      <c r="K27" s="16">
        <f t="shared" si="4"/>
        <v>1047</v>
      </c>
      <c r="L27" s="16">
        <f t="shared" si="4"/>
        <v>643</v>
      </c>
      <c r="M27" s="16">
        <f>(CEILING(U27*$S$24*$R$23,1))+30</f>
        <v>30</v>
      </c>
      <c r="N27" s="18">
        <f>(CEILING(V27*$S$24*$R$23,1))+35</f>
        <v>439</v>
      </c>
      <c r="O27" s="48"/>
      <c r="P27" s="382">
        <f>(CEILING((R27*$T$24*$U$24/2)*$R$23,1))+35</f>
        <v>441</v>
      </c>
      <c r="Q27" s="382">
        <f>(CEILING((R27*$T$24*$V$24*$R$23/2),1))+35</f>
        <v>644</v>
      </c>
      <c r="R27">
        <v>159</v>
      </c>
      <c r="S27">
        <v>238</v>
      </c>
      <c r="T27">
        <v>143</v>
      </c>
      <c r="U27">
        <v>0</v>
      </c>
      <c r="V27">
        <v>95</v>
      </c>
    </row>
    <row r="28" spans="1:22" ht="15.75" thickBot="1" x14ac:dyDescent="0.3">
      <c r="A28" s="505"/>
      <c r="B28" s="365" t="s">
        <v>424</v>
      </c>
      <c r="C28" s="367"/>
      <c r="D28" s="24">
        <f t="shared" si="3"/>
        <v>405</v>
      </c>
      <c r="E28" s="328">
        <f t="shared" si="3"/>
        <v>591</v>
      </c>
      <c r="F28" s="328">
        <f t="shared" si="3"/>
        <v>370</v>
      </c>
      <c r="G28" s="328">
        <f>(CEILING(U28*$R$24*$R$23,1))+30</f>
        <v>30</v>
      </c>
      <c r="H28" s="329">
        <f>(CEILING(V28*$R$24*$R$23,1))+35</f>
        <v>257</v>
      </c>
      <c r="I28" s="383"/>
      <c r="J28" s="24">
        <f t="shared" si="4"/>
        <v>652</v>
      </c>
      <c r="K28" s="328">
        <f t="shared" si="4"/>
        <v>962</v>
      </c>
      <c r="L28" s="328">
        <f t="shared" si="4"/>
        <v>592</v>
      </c>
      <c r="M28" s="328">
        <f>(CEILING(U28*$S$24*$R$23,1))+30</f>
        <v>30</v>
      </c>
      <c r="N28" s="329">
        <f>(CEILING(V28*$S$24*$R$23,1))+35</f>
        <v>405</v>
      </c>
      <c r="O28" s="383"/>
      <c r="P28" s="307">
        <f>(CEILING((R28*$T$24*$U$24/2)*$R$23,1))+35</f>
        <v>405</v>
      </c>
      <c r="Q28" s="307">
        <f>(CEILING((R28*$T$24*$V$24*$R$23/2),1))+35</f>
        <v>590</v>
      </c>
      <c r="R28">
        <v>145</v>
      </c>
      <c r="S28">
        <v>218</v>
      </c>
      <c r="T28">
        <v>131</v>
      </c>
      <c r="U28">
        <v>0</v>
      </c>
      <c r="V28">
        <v>87</v>
      </c>
    </row>
    <row r="29" spans="1:22" ht="15.75" thickBot="1" x14ac:dyDescent="0.3">
      <c r="A29" s="346" t="s">
        <v>11</v>
      </c>
      <c r="B29" s="455"/>
      <c r="C29" s="455"/>
      <c r="D29" s="458"/>
      <c r="E29" s="458"/>
      <c r="F29" s="458"/>
      <c r="G29" s="458"/>
      <c r="H29" s="458"/>
      <c r="I29" s="455"/>
      <c r="J29" s="458"/>
      <c r="K29" s="458"/>
      <c r="L29" s="458"/>
      <c r="M29" s="458"/>
      <c r="N29" s="458"/>
      <c r="O29" s="455"/>
      <c r="P29" s="458"/>
      <c r="Q29" s="459"/>
    </row>
    <row r="30" spans="1:22" x14ac:dyDescent="0.25">
      <c r="A30" s="59" t="s">
        <v>410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1"/>
    </row>
    <row r="31" spans="1:22" x14ac:dyDescent="0.25">
      <c r="A31" s="62" t="s">
        <v>411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1"/>
    </row>
    <row r="32" spans="1:22" x14ac:dyDescent="0.25">
      <c r="A32" s="62" t="s">
        <v>412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1"/>
    </row>
    <row r="33" spans="1:17" x14ac:dyDescent="0.25">
      <c r="A33" s="62" t="s">
        <v>335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1"/>
    </row>
    <row r="34" spans="1:17" ht="15.75" thickBot="1" x14ac:dyDescent="0.3">
      <c r="A34" s="62" t="s">
        <v>413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1"/>
    </row>
    <row r="35" spans="1:17" ht="15.75" thickBot="1" x14ac:dyDescent="0.3">
      <c r="A35" s="499" t="s">
        <v>16</v>
      </c>
      <c r="B35" s="500"/>
      <c r="C35" s="500"/>
      <c r="D35" s="500"/>
      <c r="E35" s="500"/>
      <c r="F35" s="500"/>
      <c r="G35" s="500"/>
      <c r="H35" s="500"/>
      <c r="I35" s="500"/>
      <c r="J35" s="500"/>
      <c r="K35" s="500"/>
      <c r="L35" s="500"/>
      <c r="M35" s="500"/>
      <c r="N35" s="500"/>
      <c r="O35" s="500"/>
      <c r="P35" s="500"/>
      <c r="Q35" s="501"/>
    </row>
    <row r="36" spans="1:17" x14ac:dyDescent="0.25">
      <c r="A36" s="370" t="s">
        <v>407</v>
      </c>
      <c r="B36" s="82" t="s">
        <v>414</v>
      </c>
      <c r="C36" s="101"/>
      <c r="D36" s="101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5"/>
    </row>
    <row r="37" spans="1:17" ht="15.75" thickBot="1" x14ac:dyDescent="0.3">
      <c r="A37" s="356" t="s">
        <v>408</v>
      </c>
      <c r="B37" s="67" t="s">
        <v>414</v>
      </c>
      <c r="C37" s="103"/>
      <c r="D37" s="103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9"/>
    </row>
    <row r="38" spans="1:17" ht="15.75" thickBot="1" x14ac:dyDescent="0.3">
      <c r="A38" s="457" t="s">
        <v>15</v>
      </c>
      <c r="B38" s="458"/>
      <c r="C38" s="458"/>
      <c r="D38" s="458"/>
      <c r="E38" s="458"/>
      <c r="F38" s="458"/>
      <c r="G38" s="458"/>
      <c r="H38" s="458"/>
      <c r="I38" s="458"/>
      <c r="J38" s="458"/>
      <c r="K38" s="458"/>
      <c r="L38" s="458"/>
      <c r="M38" s="458"/>
      <c r="N38" s="458"/>
      <c r="O38" s="458"/>
      <c r="P38" s="458"/>
      <c r="Q38" s="459"/>
    </row>
    <row r="39" spans="1:17" x14ac:dyDescent="0.25">
      <c r="A39" s="62" t="s">
        <v>55</v>
      </c>
      <c r="B39" s="64" t="s">
        <v>56</v>
      </c>
      <c r="C39" s="60"/>
      <c r="D39" s="60"/>
      <c r="E39" s="180">
        <v>0.8</v>
      </c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1"/>
    </row>
    <row r="40" spans="1:17" x14ac:dyDescent="0.25">
      <c r="A40" s="62" t="s">
        <v>415</v>
      </c>
      <c r="B40" s="64" t="s">
        <v>416</v>
      </c>
      <c r="C40" s="60"/>
      <c r="D40" s="60"/>
      <c r="E40" s="180">
        <v>0.5</v>
      </c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1"/>
    </row>
    <row r="41" spans="1:17" x14ac:dyDescent="0.25">
      <c r="A41" s="62"/>
      <c r="B41" s="64" t="s">
        <v>417</v>
      </c>
      <c r="C41" s="60"/>
      <c r="D41" s="60"/>
      <c r="E41" s="180">
        <v>0.8</v>
      </c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1"/>
    </row>
    <row r="42" spans="1:17" x14ac:dyDescent="0.25">
      <c r="A42" s="59" t="s">
        <v>159</v>
      </c>
      <c r="B42" s="64" t="s">
        <v>418</v>
      </c>
      <c r="C42" s="60"/>
      <c r="D42" s="60"/>
      <c r="E42" s="180">
        <v>0.5</v>
      </c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1"/>
    </row>
    <row r="43" spans="1:17" ht="15.75" thickBot="1" x14ac:dyDescent="0.3">
      <c r="A43" s="59"/>
      <c r="B43" s="64" t="s">
        <v>419</v>
      </c>
      <c r="C43" s="60"/>
      <c r="D43" s="60"/>
      <c r="E43" s="180">
        <v>0.8</v>
      </c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1"/>
    </row>
    <row r="44" spans="1:17" ht="15.75" thickBot="1" x14ac:dyDescent="0.3">
      <c r="A44" s="147" t="s">
        <v>191</v>
      </c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20"/>
    </row>
    <row r="45" spans="1:17" x14ac:dyDescent="0.25">
      <c r="A45" s="589" t="s">
        <v>178</v>
      </c>
      <c r="B45" s="590"/>
      <c r="C45" s="591"/>
      <c r="D45" s="592" t="s">
        <v>185</v>
      </c>
      <c r="E45" s="593"/>
      <c r="F45" s="592" t="s">
        <v>186</v>
      </c>
      <c r="G45" s="592"/>
      <c r="H45" s="592"/>
      <c r="I45" s="592" t="s">
        <v>420</v>
      </c>
      <c r="J45" s="593"/>
      <c r="K45" s="593"/>
      <c r="L45" s="592" t="s">
        <v>421</v>
      </c>
      <c r="M45" s="593"/>
      <c r="N45" s="168"/>
      <c r="O45" s="168"/>
      <c r="P45" s="168"/>
      <c r="Q45" s="170"/>
    </row>
    <row r="46" spans="1:17" x14ac:dyDescent="0.25">
      <c r="A46" s="371" t="s">
        <v>179</v>
      </c>
      <c r="B46" s="372"/>
      <c r="C46" s="373"/>
      <c r="D46" s="596">
        <v>28</v>
      </c>
      <c r="E46" s="596"/>
      <c r="F46" s="596">
        <v>55</v>
      </c>
      <c r="G46" s="596"/>
      <c r="H46" s="597"/>
      <c r="I46" s="596">
        <v>110</v>
      </c>
      <c r="J46" s="597"/>
      <c r="K46" s="597"/>
      <c r="L46" s="596">
        <v>110</v>
      </c>
      <c r="M46" s="597"/>
      <c r="N46" s="125"/>
      <c r="O46" s="125"/>
      <c r="P46" s="125"/>
      <c r="Q46" s="126"/>
    </row>
    <row r="47" spans="1:17" x14ac:dyDescent="0.25">
      <c r="A47" s="371" t="s">
        <v>422</v>
      </c>
      <c r="B47" s="372"/>
      <c r="C47" s="374"/>
      <c r="D47" s="596">
        <v>14</v>
      </c>
      <c r="E47" s="596"/>
      <c r="F47" s="596">
        <v>33</v>
      </c>
      <c r="G47" s="596"/>
      <c r="H47" s="597"/>
      <c r="I47" s="596">
        <v>55</v>
      </c>
      <c r="J47" s="597"/>
      <c r="K47" s="597"/>
      <c r="L47" s="596">
        <v>55</v>
      </c>
      <c r="M47" s="597"/>
      <c r="N47" s="125"/>
      <c r="O47" s="125"/>
      <c r="P47" s="125"/>
      <c r="Q47" s="126"/>
    </row>
    <row r="48" spans="1:17" ht="15.75" thickBot="1" x14ac:dyDescent="0.3">
      <c r="A48" s="375" t="s">
        <v>187</v>
      </c>
      <c r="B48" s="376"/>
      <c r="C48" s="377"/>
      <c r="D48" s="594" t="s">
        <v>175</v>
      </c>
      <c r="E48" s="594"/>
      <c r="F48" s="594" t="s">
        <v>175</v>
      </c>
      <c r="G48" s="594"/>
      <c r="H48" s="595"/>
      <c r="I48" s="594" t="s">
        <v>175</v>
      </c>
      <c r="J48" s="595"/>
      <c r="K48" s="595"/>
      <c r="L48" s="594" t="s">
        <v>175</v>
      </c>
      <c r="M48" s="595"/>
      <c r="N48" s="206"/>
      <c r="O48" s="206"/>
      <c r="P48" s="206"/>
      <c r="Q48" s="207"/>
    </row>
    <row r="49" spans="1:17" x14ac:dyDescent="0.25">
      <c r="A49" s="378"/>
      <c r="B49" s="378"/>
      <c r="C49" s="378"/>
      <c r="D49" s="378"/>
      <c r="E49" s="378"/>
      <c r="F49" s="378"/>
      <c r="G49" s="378"/>
      <c r="H49" s="378"/>
      <c r="I49" s="378"/>
      <c r="J49" s="378"/>
      <c r="K49" s="378"/>
      <c r="L49" s="378"/>
      <c r="M49" s="174"/>
      <c r="N49" s="174"/>
      <c r="O49" s="174"/>
      <c r="P49" s="174"/>
      <c r="Q49" s="378"/>
    </row>
    <row r="50" spans="1:17" x14ac:dyDescent="0.25">
      <c r="M50" s="74"/>
      <c r="N50" s="74"/>
      <c r="O50" s="74"/>
      <c r="P50" s="74"/>
    </row>
  </sheetData>
  <mergeCells count="47">
    <mergeCell ref="D48:E48"/>
    <mergeCell ref="F48:H48"/>
    <mergeCell ref="I48:K48"/>
    <mergeCell ref="L48:M48"/>
    <mergeCell ref="D46:E46"/>
    <mergeCell ref="F46:H46"/>
    <mergeCell ref="I46:K46"/>
    <mergeCell ref="L46:M46"/>
    <mergeCell ref="D47:E47"/>
    <mergeCell ref="F47:H47"/>
    <mergeCell ref="I47:K47"/>
    <mergeCell ref="L47:M47"/>
    <mergeCell ref="A18:A19"/>
    <mergeCell ref="A20:A21"/>
    <mergeCell ref="B29:Q29"/>
    <mergeCell ref="A35:Q35"/>
    <mergeCell ref="A38:Q38"/>
    <mergeCell ref="A22:Q22"/>
    <mergeCell ref="A23:A24"/>
    <mergeCell ref="B23:B24"/>
    <mergeCell ref="D23:H23"/>
    <mergeCell ref="J23:N23"/>
    <mergeCell ref="P23:Q23"/>
    <mergeCell ref="A25:A26"/>
    <mergeCell ref="A27:A28"/>
    <mergeCell ref="A45:C45"/>
    <mergeCell ref="D45:E45"/>
    <mergeCell ref="F45:H45"/>
    <mergeCell ref="I45:K45"/>
    <mergeCell ref="L45:M45"/>
    <mergeCell ref="A15:Q15"/>
    <mergeCell ref="A16:A17"/>
    <mergeCell ref="B16:B17"/>
    <mergeCell ref="D16:H16"/>
    <mergeCell ref="J16:N16"/>
    <mergeCell ref="P16:Q16"/>
    <mergeCell ref="A5:A6"/>
    <mergeCell ref="A7:A8"/>
    <mergeCell ref="A13:Q13"/>
    <mergeCell ref="A14:Q14"/>
    <mergeCell ref="A1:Q1"/>
    <mergeCell ref="A2:Q2"/>
    <mergeCell ref="A3:A4"/>
    <mergeCell ref="B3:B4"/>
    <mergeCell ref="D3:H3"/>
    <mergeCell ref="J3:N3"/>
    <mergeCell ref="P3:Q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7"/>
  <sheetViews>
    <sheetView zoomScaleNormal="100" workbookViewId="0">
      <selection activeCell="A3" sqref="A3:Q3"/>
    </sheetView>
  </sheetViews>
  <sheetFormatPr defaultRowHeight="15" x14ac:dyDescent="0.25"/>
  <cols>
    <col min="1" max="1" width="24" customWidth="1"/>
    <col min="2" max="2" width="20" customWidth="1"/>
    <col min="3" max="3" width="1.7109375" customWidth="1"/>
    <col min="4" max="5" width="10.5703125" customWidth="1"/>
    <col min="6" max="6" width="11.85546875" customWidth="1"/>
    <col min="7" max="7" width="10.5703125" customWidth="1"/>
    <col min="8" max="8" width="9.140625" customWidth="1"/>
    <col min="9" max="9" width="1.7109375" customWidth="1"/>
    <col min="10" max="14" width="9.140625" customWidth="1"/>
    <col min="15" max="15" width="1.5703125" customWidth="1"/>
    <col min="16" max="17" width="9.140625" customWidth="1"/>
  </cols>
  <sheetData>
    <row r="1" spans="1:22" ht="15.75" thickBot="1" x14ac:dyDescent="0.3">
      <c r="A1" s="460" t="s">
        <v>297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2"/>
    </row>
    <row r="2" spans="1:22" ht="15.75" customHeight="1" thickBot="1" x14ac:dyDescent="0.3">
      <c r="A2" s="460" t="s">
        <v>21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2"/>
    </row>
    <row r="3" spans="1:22" ht="15.75" thickBot="1" x14ac:dyDescent="0.3">
      <c r="A3" s="460" t="s">
        <v>341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2"/>
    </row>
    <row r="4" spans="1:22" ht="15.75" customHeight="1" thickBot="1" x14ac:dyDescent="0.3">
      <c r="A4" s="463" t="s">
        <v>10</v>
      </c>
      <c r="B4" s="465" t="s">
        <v>9</v>
      </c>
      <c r="C4" s="9"/>
      <c r="D4" s="470" t="s">
        <v>0</v>
      </c>
      <c r="E4" s="471"/>
      <c r="F4" s="471"/>
      <c r="G4" s="471"/>
      <c r="H4" s="472"/>
      <c r="I4" s="2"/>
      <c r="J4" s="470" t="s">
        <v>1</v>
      </c>
      <c r="K4" s="471"/>
      <c r="L4" s="471"/>
      <c r="M4" s="471"/>
      <c r="N4" s="472"/>
      <c r="O4" s="1"/>
      <c r="P4" s="491" t="s">
        <v>2</v>
      </c>
      <c r="Q4" s="492"/>
      <c r="S4">
        <v>0.75</v>
      </c>
    </row>
    <row r="5" spans="1:22" ht="45.75" thickBot="1" x14ac:dyDescent="0.3">
      <c r="A5" s="490"/>
      <c r="B5" s="466"/>
      <c r="C5" s="43"/>
      <c r="D5" s="44" t="s">
        <v>3</v>
      </c>
      <c r="E5" s="45" t="s">
        <v>4</v>
      </c>
      <c r="F5" s="46" t="s">
        <v>5</v>
      </c>
      <c r="G5" s="47" t="s">
        <v>6</v>
      </c>
      <c r="H5" s="122" t="s">
        <v>174</v>
      </c>
      <c r="I5" s="7"/>
      <c r="J5" s="44" t="s">
        <v>3</v>
      </c>
      <c r="K5" s="45" t="s">
        <v>4</v>
      </c>
      <c r="L5" s="46" t="s">
        <v>5</v>
      </c>
      <c r="M5" s="47" t="s">
        <v>6</v>
      </c>
      <c r="N5" s="122" t="s">
        <v>174</v>
      </c>
      <c r="O5" s="6"/>
      <c r="P5" s="3" t="s">
        <v>7</v>
      </c>
      <c r="Q5" s="8" t="s">
        <v>8</v>
      </c>
      <c r="R5">
        <v>25</v>
      </c>
      <c r="S5">
        <v>20</v>
      </c>
      <c r="T5">
        <v>4</v>
      </c>
      <c r="U5">
        <v>6</v>
      </c>
      <c r="V5">
        <v>0.88</v>
      </c>
    </row>
    <row r="6" spans="1:22" ht="15.75" thickBot="1" x14ac:dyDescent="0.3">
      <c r="A6" s="496" t="s">
        <v>45</v>
      </c>
      <c r="B6" s="36" t="s">
        <v>342</v>
      </c>
      <c r="C6" s="48"/>
      <c r="D6" s="15">
        <f t="shared" ref="D6:D15" si="0">(CEILING((R6*$T$5*$V$5),1))+25</f>
        <v>325</v>
      </c>
      <c r="E6" s="16">
        <f t="shared" ref="E6:E15" si="1">(CEILING((S6*$T$5*$V$5),1))+25</f>
        <v>444</v>
      </c>
      <c r="F6" s="16" t="s">
        <v>47</v>
      </c>
      <c r="G6" s="16">
        <f t="shared" ref="G6:G15" si="2">(CEILING((U6*$T$5*$V$5),1))+20</f>
        <v>94</v>
      </c>
      <c r="H6" s="18">
        <f t="shared" ref="H6:H15" si="3">(CEILING((V6*$T$5*$V$5),1))+25</f>
        <v>177</v>
      </c>
      <c r="I6" s="48"/>
      <c r="J6" s="15">
        <f t="shared" ref="J6:J15" si="4">(CEILING((R6*$U$5*$V$5),1))+25</f>
        <v>474</v>
      </c>
      <c r="K6" s="16">
        <f t="shared" ref="K6:K15" si="5">(CEILING((S6*$U$5*$V$5),1))+25</f>
        <v>654</v>
      </c>
      <c r="L6" s="16" t="s">
        <v>47</v>
      </c>
      <c r="M6" s="16">
        <f t="shared" ref="M6:M15" si="6">(CEILING((U6*$U$5*$V$5),1))+20</f>
        <v>131</v>
      </c>
      <c r="N6" s="18">
        <f t="shared" ref="N6:N14" si="7">(CEILING((V6*$U$5*$V$5),1))+25</f>
        <v>253</v>
      </c>
      <c r="O6" s="48"/>
      <c r="P6" s="17">
        <v>325</v>
      </c>
      <c r="Q6" s="271">
        <f t="shared" ref="Q6:Q15" si="8">(CEILING(((R6*$U$5)+(R6*$U$5*$S$4))/2,1))+25</f>
        <v>472</v>
      </c>
      <c r="R6" s="215">
        <v>85</v>
      </c>
      <c r="S6" s="215">
        <v>119</v>
      </c>
      <c r="T6" s="215">
        <v>0</v>
      </c>
      <c r="U6" s="215">
        <v>21</v>
      </c>
      <c r="V6" s="90">
        <v>43</v>
      </c>
    </row>
    <row r="7" spans="1:22" ht="15.75" thickBot="1" x14ac:dyDescent="0.3">
      <c r="A7" s="496"/>
      <c r="B7" s="37" t="s">
        <v>343</v>
      </c>
      <c r="C7" s="48"/>
      <c r="D7" s="223">
        <f t="shared" si="0"/>
        <v>254</v>
      </c>
      <c r="E7" s="222">
        <f t="shared" si="1"/>
        <v>346</v>
      </c>
      <c r="F7" s="222" t="s">
        <v>47</v>
      </c>
      <c r="G7" s="222">
        <f t="shared" si="2"/>
        <v>77</v>
      </c>
      <c r="H7" s="224">
        <f t="shared" si="3"/>
        <v>142</v>
      </c>
      <c r="I7" s="48"/>
      <c r="J7" s="223">
        <f t="shared" si="4"/>
        <v>369</v>
      </c>
      <c r="K7" s="222">
        <f t="shared" si="5"/>
        <v>506</v>
      </c>
      <c r="L7" s="222" t="s">
        <v>47</v>
      </c>
      <c r="M7" s="222">
        <f t="shared" si="6"/>
        <v>105</v>
      </c>
      <c r="N7" s="224">
        <f t="shared" si="7"/>
        <v>200</v>
      </c>
      <c r="O7" s="48"/>
      <c r="P7" s="283">
        <v>254</v>
      </c>
      <c r="Q7" s="274">
        <f t="shared" si="8"/>
        <v>367</v>
      </c>
      <c r="R7" s="215">
        <v>65</v>
      </c>
      <c r="S7" s="215">
        <v>91</v>
      </c>
      <c r="T7" s="215">
        <v>0</v>
      </c>
      <c r="U7" s="215">
        <v>16</v>
      </c>
      <c r="V7" s="215">
        <v>33</v>
      </c>
    </row>
    <row r="8" spans="1:22" ht="15" customHeight="1" x14ac:dyDescent="0.25">
      <c r="A8" s="496"/>
      <c r="B8" s="37" t="s">
        <v>344</v>
      </c>
      <c r="C8" s="48"/>
      <c r="D8" s="223">
        <f t="shared" si="0"/>
        <v>230</v>
      </c>
      <c r="E8" s="222">
        <f t="shared" si="1"/>
        <v>311</v>
      </c>
      <c r="F8" s="222" t="s">
        <v>47</v>
      </c>
      <c r="G8" s="222">
        <f t="shared" si="2"/>
        <v>73</v>
      </c>
      <c r="H8" s="224">
        <f t="shared" si="3"/>
        <v>128</v>
      </c>
      <c r="I8" s="48"/>
      <c r="J8" s="223">
        <f t="shared" si="4"/>
        <v>332</v>
      </c>
      <c r="K8" s="222">
        <f t="shared" si="5"/>
        <v>453</v>
      </c>
      <c r="L8" s="222" t="s">
        <v>47</v>
      </c>
      <c r="M8" s="222">
        <f t="shared" si="6"/>
        <v>100</v>
      </c>
      <c r="N8" s="224">
        <f t="shared" si="7"/>
        <v>179</v>
      </c>
      <c r="O8" s="48"/>
      <c r="P8" s="283">
        <v>230</v>
      </c>
      <c r="Q8" s="274">
        <f t="shared" si="8"/>
        <v>330</v>
      </c>
      <c r="R8" s="215">
        <v>58</v>
      </c>
      <c r="S8" s="215">
        <v>81</v>
      </c>
      <c r="T8" s="215">
        <v>0</v>
      </c>
      <c r="U8" s="215">
        <v>15</v>
      </c>
      <c r="V8" s="90">
        <v>29</v>
      </c>
    </row>
    <row r="9" spans="1:22" x14ac:dyDescent="0.25">
      <c r="A9" s="496"/>
      <c r="B9" s="37" t="s">
        <v>345</v>
      </c>
      <c r="C9" s="11"/>
      <c r="D9" s="223">
        <f t="shared" si="0"/>
        <v>254</v>
      </c>
      <c r="E9" s="222">
        <f t="shared" si="1"/>
        <v>346</v>
      </c>
      <c r="F9" s="222" t="s">
        <v>47</v>
      </c>
      <c r="G9" s="222">
        <f t="shared" si="2"/>
        <v>77</v>
      </c>
      <c r="H9" s="224">
        <f t="shared" si="3"/>
        <v>142</v>
      </c>
      <c r="I9" s="11"/>
      <c r="J9" s="223">
        <f t="shared" si="4"/>
        <v>369</v>
      </c>
      <c r="K9" s="222">
        <f t="shared" si="5"/>
        <v>506</v>
      </c>
      <c r="L9" s="222" t="s">
        <v>47</v>
      </c>
      <c r="M9" s="222">
        <f t="shared" si="6"/>
        <v>105</v>
      </c>
      <c r="N9" s="224">
        <f t="shared" si="7"/>
        <v>200</v>
      </c>
      <c r="O9" s="11"/>
      <c r="P9" s="283">
        <v>254</v>
      </c>
      <c r="Q9" s="274">
        <f t="shared" si="8"/>
        <v>367</v>
      </c>
      <c r="R9" s="215">
        <v>65</v>
      </c>
      <c r="S9" s="215">
        <v>91</v>
      </c>
      <c r="T9" s="215">
        <v>0</v>
      </c>
      <c r="U9" s="215">
        <v>16</v>
      </c>
      <c r="V9" s="215">
        <v>33</v>
      </c>
    </row>
    <row r="10" spans="1:22" ht="15.75" thickBot="1" x14ac:dyDescent="0.3">
      <c r="A10" s="497"/>
      <c r="B10" s="107" t="s">
        <v>346</v>
      </c>
      <c r="C10" s="11"/>
      <c r="D10" s="24">
        <f t="shared" si="0"/>
        <v>289</v>
      </c>
      <c r="E10" s="25">
        <f t="shared" si="1"/>
        <v>395</v>
      </c>
      <c r="F10" s="222" t="s">
        <v>47</v>
      </c>
      <c r="G10" s="25">
        <f t="shared" si="2"/>
        <v>87</v>
      </c>
      <c r="H10" s="22">
        <f t="shared" si="3"/>
        <v>159</v>
      </c>
      <c r="I10" s="39"/>
      <c r="J10" s="24">
        <f t="shared" si="4"/>
        <v>421</v>
      </c>
      <c r="K10" s="25">
        <f t="shared" si="5"/>
        <v>580</v>
      </c>
      <c r="L10" s="222" t="s">
        <v>47</v>
      </c>
      <c r="M10" s="25">
        <f t="shared" si="6"/>
        <v>121</v>
      </c>
      <c r="N10" s="22">
        <f t="shared" si="7"/>
        <v>226</v>
      </c>
      <c r="O10" s="11"/>
      <c r="P10" s="283">
        <v>289</v>
      </c>
      <c r="Q10" s="272">
        <f t="shared" si="8"/>
        <v>419</v>
      </c>
      <c r="R10" s="215">
        <v>75</v>
      </c>
      <c r="S10" s="215">
        <v>105</v>
      </c>
      <c r="T10" s="215">
        <v>0</v>
      </c>
      <c r="U10" s="215">
        <v>19</v>
      </c>
      <c r="V10" s="90">
        <v>38</v>
      </c>
    </row>
    <row r="11" spans="1:22" ht="15.75" thickBot="1" x14ac:dyDescent="0.3">
      <c r="A11" s="498" t="s">
        <v>46</v>
      </c>
      <c r="B11" s="36" t="s">
        <v>342</v>
      </c>
      <c r="C11" s="48"/>
      <c r="D11" s="15">
        <f t="shared" si="0"/>
        <v>385</v>
      </c>
      <c r="E11" s="16">
        <f t="shared" si="1"/>
        <v>529</v>
      </c>
      <c r="F11" s="16">
        <f>(CEILING((T11*$T$5*$V$5),1))+25</f>
        <v>349</v>
      </c>
      <c r="G11" s="16">
        <f t="shared" si="2"/>
        <v>112</v>
      </c>
      <c r="H11" s="18">
        <f t="shared" si="3"/>
        <v>205</v>
      </c>
      <c r="I11" s="48"/>
      <c r="J11" s="15">
        <f t="shared" si="4"/>
        <v>564</v>
      </c>
      <c r="K11" s="16">
        <f t="shared" si="5"/>
        <v>781</v>
      </c>
      <c r="L11" s="16">
        <f>(CEILING((T11*$U$5*$V$5),1))+25</f>
        <v>511</v>
      </c>
      <c r="M11" s="16">
        <f t="shared" si="6"/>
        <v>158</v>
      </c>
      <c r="N11" s="18">
        <f t="shared" si="7"/>
        <v>295</v>
      </c>
      <c r="O11" s="48"/>
      <c r="P11" s="17">
        <v>385</v>
      </c>
      <c r="Q11" s="271">
        <f t="shared" si="8"/>
        <v>561</v>
      </c>
      <c r="R11" s="215">
        <v>102</v>
      </c>
      <c r="S11" s="215">
        <v>143</v>
      </c>
      <c r="T11" s="215">
        <v>92</v>
      </c>
      <c r="U11" s="215">
        <v>26</v>
      </c>
      <c r="V11" s="90">
        <v>51</v>
      </c>
    </row>
    <row r="12" spans="1:22" ht="15.75" thickBot="1" x14ac:dyDescent="0.3">
      <c r="A12" s="496"/>
      <c r="B12" s="37" t="s">
        <v>343</v>
      </c>
      <c r="C12" s="48"/>
      <c r="D12" s="223">
        <f t="shared" si="0"/>
        <v>300</v>
      </c>
      <c r="E12" s="222">
        <f t="shared" si="1"/>
        <v>409</v>
      </c>
      <c r="F12" s="222">
        <f>(CEILING((T12*$T$5*$V$5),1))+25</f>
        <v>272</v>
      </c>
      <c r="G12" s="222">
        <f t="shared" si="2"/>
        <v>91</v>
      </c>
      <c r="H12" s="224">
        <f t="shared" si="3"/>
        <v>163</v>
      </c>
      <c r="I12" s="48"/>
      <c r="J12" s="223">
        <f t="shared" si="4"/>
        <v>437</v>
      </c>
      <c r="K12" s="222">
        <f t="shared" si="5"/>
        <v>601</v>
      </c>
      <c r="L12" s="222">
        <f>(CEILING((T12*$U$5*$V$5),1))+25</f>
        <v>395</v>
      </c>
      <c r="M12" s="222">
        <f t="shared" si="6"/>
        <v>126</v>
      </c>
      <c r="N12" s="224">
        <f t="shared" si="7"/>
        <v>231</v>
      </c>
      <c r="O12" s="48"/>
      <c r="P12" s="283">
        <v>300</v>
      </c>
      <c r="Q12" s="274">
        <f t="shared" si="8"/>
        <v>435</v>
      </c>
      <c r="R12" s="215">
        <v>78</v>
      </c>
      <c r="S12" s="215">
        <v>109</v>
      </c>
      <c r="T12" s="215">
        <v>70</v>
      </c>
      <c r="U12" s="90">
        <v>20</v>
      </c>
      <c r="V12" s="90">
        <v>39</v>
      </c>
    </row>
    <row r="13" spans="1:22" x14ac:dyDescent="0.25">
      <c r="A13" s="496"/>
      <c r="B13" s="37" t="s">
        <v>344</v>
      </c>
      <c r="C13" s="40"/>
      <c r="D13" s="223">
        <f t="shared" si="0"/>
        <v>272</v>
      </c>
      <c r="E13" s="222">
        <f t="shared" si="1"/>
        <v>367</v>
      </c>
      <c r="F13" s="222">
        <f>(CEILING((T13*$T$5*$V$5),1))+25</f>
        <v>247</v>
      </c>
      <c r="G13" s="222">
        <f t="shared" si="2"/>
        <v>80</v>
      </c>
      <c r="H13" s="224">
        <f t="shared" si="3"/>
        <v>149</v>
      </c>
      <c r="I13" s="48"/>
      <c r="J13" s="223">
        <f t="shared" si="4"/>
        <v>395</v>
      </c>
      <c r="K13" s="222">
        <f t="shared" si="5"/>
        <v>538</v>
      </c>
      <c r="L13" s="222">
        <f>(CEILING((T13*$U$5*$V$5),1))+25</f>
        <v>358</v>
      </c>
      <c r="M13" s="222">
        <f t="shared" si="6"/>
        <v>110</v>
      </c>
      <c r="N13" s="224">
        <f t="shared" si="7"/>
        <v>210</v>
      </c>
      <c r="O13" s="48"/>
      <c r="P13" s="283">
        <v>272</v>
      </c>
      <c r="Q13" s="274">
        <f t="shared" si="8"/>
        <v>393</v>
      </c>
      <c r="R13" s="215">
        <v>70</v>
      </c>
      <c r="S13" s="215">
        <v>97</v>
      </c>
      <c r="T13" s="215">
        <v>63</v>
      </c>
      <c r="U13" s="90">
        <v>17</v>
      </c>
      <c r="V13" s="90">
        <v>35</v>
      </c>
    </row>
    <row r="14" spans="1:22" x14ac:dyDescent="0.25">
      <c r="A14" s="496"/>
      <c r="B14" s="37" t="s">
        <v>345</v>
      </c>
      <c r="C14" s="30"/>
      <c r="D14" s="223">
        <f t="shared" si="0"/>
        <v>300</v>
      </c>
      <c r="E14" s="222">
        <f t="shared" si="1"/>
        <v>409</v>
      </c>
      <c r="F14" s="222">
        <f>(CEILING((T14*$T$5*$V$5),1))+25</f>
        <v>272</v>
      </c>
      <c r="G14" s="222">
        <f t="shared" si="2"/>
        <v>91</v>
      </c>
      <c r="H14" s="224">
        <f t="shared" si="3"/>
        <v>163</v>
      </c>
      <c r="I14" s="11"/>
      <c r="J14" s="223">
        <f t="shared" si="4"/>
        <v>437</v>
      </c>
      <c r="K14" s="222">
        <f t="shared" si="5"/>
        <v>601</v>
      </c>
      <c r="L14" s="222">
        <f>(CEILING((T14*$U$5*$V$5),1))+25</f>
        <v>395</v>
      </c>
      <c r="M14" s="222">
        <f t="shared" si="6"/>
        <v>126</v>
      </c>
      <c r="N14" s="224">
        <f t="shared" si="7"/>
        <v>231</v>
      </c>
      <c r="O14" s="11"/>
      <c r="P14" s="283">
        <v>300</v>
      </c>
      <c r="Q14" s="274">
        <f t="shared" si="8"/>
        <v>435</v>
      </c>
      <c r="R14" s="215">
        <v>78</v>
      </c>
      <c r="S14" s="215">
        <v>109</v>
      </c>
      <c r="T14" s="215">
        <v>70</v>
      </c>
      <c r="U14" s="90">
        <v>20</v>
      </c>
      <c r="V14" s="90">
        <v>39</v>
      </c>
    </row>
    <row r="15" spans="1:22" ht="15.75" thickBot="1" x14ac:dyDescent="0.3">
      <c r="A15" s="496"/>
      <c r="B15" s="107" t="s">
        <v>346</v>
      </c>
      <c r="C15" s="75"/>
      <c r="D15" s="24">
        <f t="shared" si="0"/>
        <v>342</v>
      </c>
      <c r="E15" s="25">
        <f t="shared" si="1"/>
        <v>469</v>
      </c>
      <c r="F15" s="25">
        <f>(CEILING((T15*$T$5*$V$5),1))+25</f>
        <v>311</v>
      </c>
      <c r="G15" s="25">
        <f t="shared" si="2"/>
        <v>101</v>
      </c>
      <c r="H15" s="22">
        <f t="shared" si="3"/>
        <v>184</v>
      </c>
      <c r="I15" s="39"/>
      <c r="J15" s="24">
        <f t="shared" si="4"/>
        <v>501</v>
      </c>
      <c r="K15" s="25">
        <f t="shared" si="5"/>
        <v>691</v>
      </c>
      <c r="L15" s="25">
        <f>(CEILING((T15*$U$5*$V$5),1))+25</f>
        <v>453</v>
      </c>
      <c r="M15" s="25">
        <f t="shared" si="6"/>
        <v>142</v>
      </c>
      <c r="N15" s="22">
        <f>CEILING((V15*$U$5*$V$5),1)+25</f>
        <v>263</v>
      </c>
      <c r="O15" s="39"/>
      <c r="P15" s="283">
        <v>342</v>
      </c>
      <c r="Q15" s="272">
        <f t="shared" si="8"/>
        <v>498</v>
      </c>
      <c r="R15" s="215">
        <v>90</v>
      </c>
      <c r="S15" s="215">
        <v>126</v>
      </c>
      <c r="T15" s="215">
        <v>81</v>
      </c>
      <c r="U15" s="90">
        <v>23</v>
      </c>
      <c r="V15" s="90">
        <v>45</v>
      </c>
    </row>
    <row r="16" spans="1:22" ht="15.75" thickBot="1" x14ac:dyDescent="0.3">
      <c r="A16" s="34" t="s">
        <v>17</v>
      </c>
      <c r="B16" s="35"/>
      <c r="C16" s="35"/>
      <c r="D16" s="117"/>
      <c r="E16" s="117"/>
      <c r="F16" s="117"/>
      <c r="G16" s="117"/>
      <c r="H16" s="117"/>
      <c r="I16" s="35"/>
      <c r="J16" s="117"/>
      <c r="K16" s="117"/>
      <c r="L16" s="117"/>
      <c r="M16" s="117"/>
      <c r="N16" s="117"/>
      <c r="O16" s="35"/>
      <c r="P16" s="35"/>
      <c r="Q16" s="118"/>
    </row>
    <row r="17" spans="1:19" x14ac:dyDescent="0.25">
      <c r="A17" s="59" t="s">
        <v>12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1"/>
    </row>
    <row r="18" spans="1:19" x14ac:dyDescent="0.25">
      <c r="A18" s="59" t="s">
        <v>54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1"/>
    </row>
    <row r="19" spans="1:19" x14ac:dyDescent="0.25">
      <c r="A19" s="59" t="s">
        <v>14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1"/>
    </row>
    <row r="20" spans="1:19" ht="15.75" thickBot="1" x14ac:dyDescent="0.3">
      <c r="A20" s="493" t="s">
        <v>63</v>
      </c>
      <c r="B20" s="494"/>
      <c r="C20" s="494"/>
      <c r="D20" s="494"/>
      <c r="E20" s="494"/>
      <c r="F20" s="494"/>
      <c r="G20" s="494"/>
      <c r="H20" s="494"/>
      <c r="I20" s="494"/>
      <c r="J20" s="494"/>
      <c r="K20" s="494"/>
      <c r="L20" s="494"/>
      <c r="M20" s="494"/>
      <c r="N20" s="494"/>
      <c r="O20" s="494"/>
      <c r="P20" s="494"/>
      <c r="Q20" s="495"/>
    </row>
    <row r="21" spans="1:19" ht="15.75" thickBot="1" x14ac:dyDescent="0.3">
      <c r="A21" s="460" t="s">
        <v>347</v>
      </c>
      <c r="B21" s="461"/>
      <c r="C21" s="461"/>
      <c r="D21" s="461"/>
      <c r="E21" s="461"/>
      <c r="F21" s="461"/>
      <c r="G21" s="461"/>
      <c r="H21" s="461"/>
      <c r="I21" s="461"/>
      <c r="J21" s="461"/>
      <c r="K21" s="461"/>
      <c r="L21" s="461"/>
      <c r="M21" s="461"/>
      <c r="N21" s="461"/>
      <c r="O21" s="461"/>
      <c r="P21" s="461"/>
      <c r="Q21" s="462"/>
      <c r="S21" s="53"/>
    </row>
    <row r="22" spans="1:19" x14ac:dyDescent="0.25">
      <c r="A22" s="28" t="s">
        <v>48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3"/>
      <c r="S22" s="53"/>
    </row>
    <row r="23" spans="1:19" x14ac:dyDescent="0.25">
      <c r="A23" s="28" t="s">
        <v>49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S23" s="53"/>
    </row>
    <row r="24" spans="1:19" x14ac:dyDescent="0.25">
      <c r="A24" s="28" t="s">
        <v>50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3"/>
      <c r="S24" s="53"/>
    </row>
    <row r="25" spans="1:19" x14ac:dyDescent="0.25">
      <c r="A25" s="28" t="s">
        <v>51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3"/>
      <c r="S25" s="53"/>
    </row>
    <row r="26" spans="1:19" x14ac:dyDescent="0.25">
      <c r="A26" s="28" t="s">
        <v>52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14"/>
      <c r="S26" s="53"/>
    </row>
    <row r="27" spans="1:19" ht="15.75" thickBot="1" x14ac:dyDescent="0.3">
      <c r="A27" s="28" t="s">
        <v>53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14"/>
      <c r="S27" s="53"/>
    </row>
    <row r="28" spans="1:19" ht="15.75" thickBot="1" x14ac:dyDescent="0.3">
      <c r="A28" s="454" t="s">
        <v>16</v>
      </c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6"/>
    </row>
    <row r="29" spans="1:19" x14ac:dyDescent="0.25">
      <c r="A29" s="63" t="s">
        <v>64</v>
      </c>
      <c r="B29" s="64" t="s">
        <v>66</v>
      </c>
      <c r="C29" s="65"/>
      <c r="D29" s="65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1"/>
    </row>
    <row r="30" spans="1:19" ht="15.75" thickBot="1" x14ac:dyDescent="0.3">
      <c r="A30" s="63" t="s">
        <v>65</v>
      </c>
      <c r="B30" s="64" t="s">
        <v>67</v>
      </c>
      <c r="C30" s="65"/>
      <c r="D30" s="65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1"/>
    </row>
    <row r="31" spans="1:19" ht="15.75" thickBot="1" x14ac:dyDescent="0.3">
      <c r="A31" s="454" t="s">
        <v>15</v>
      </c>
      <c r="B31" s="455"/>
      <c r="C31" s="455"/>
      <c r="D31" s="455"/>
      <c r="E31" s="455"/>
      <c r="F31" s="455"/>
      <c r="G31" s="455"/>
      <c r="H31" s="455"/>
      <c r="I31" s="455"/>
      <c r="J31" s="455"/>
      <c r="K31" s="455"/>
      <c r="L31" s="455"/>
      <c r="M31" s="455"/>
      <c r="N31" s="455"/>
      <c r="O31" s="455"/>
      <c r="P31" s="455"/>
      <c r="Q31" s="456"/>
    </row>
    <row r="32" spans="1:19" x14ac:dyDescent="0.25">
      <c r="A32" s="81" t="s">
        <v>55</v>
      </c>
      <c r="B32" s="82" t="s">
        <v>56</v>
      </c>
      <c r="C32" s="83"/>
      <c r="D32" s="83"/>
      <c r="E32" s="84">
        <v>1</v>
      </c>
      <c r="F32" s="84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5"/>
    </row>
    <row r="33" spans="1:17" x14ac:dyDescent="0.25">
      <c r="A33" s="62" t="s">
        <v>57</v>
      </c>
      <c r="B33" s="64" t="s">
        <v>58</v>
      </c>
      <c r="C33" s="60"/>
      <c r="D33" s="60"/>
      <c r="E33" s="79" t="s">
        <v>60</v>
      </c>
      <c r="F33" s="79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1"/>
    </row>
    <row r="34" spans="1:17" x14ac:dyDescent="0.25">
      <c r="A34" s="62"/>
      <c r="B34" s="64" t="s">
        <v>59</v>
      </c>
      <c r="C34" s="60"/>
      <c r="D34" s="60"/>
      <c r="E34" s="79" t="s">
        <v>61</v>
      </c>
      <c r="F34" s="79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1"/>
    </row>
    <row r="35" spans="1:17" ht="15.75" thickBot="1" x14ac:dyDescent="0.3">
      <c r="A35" s="66"/>
      <c r="B35" s="67" t="s">
        <v>62</v>
      </c>
      <c r="C35" s="68"/>
      <c r="D35" s="68"/>
      <c r="E35" s="86">
        <v>1</v>
      </c>
      <c r="F35" s="86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9"/>
    </row>
    <row r="36" spans="1:17" ht="15.75" thickBot="1" x14ac:dyDescent="0.3">
      <c r="A36" s="499" t="s">
        <v>191</v>
      </c>
      <c r="B36" s="500"/>
      <c r="C36" s="500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  <c r="P36" s="500"/>
      <c r="Q36" s="501"/>
    </row>
    <row r="37" spans="1:17" ht="77.25" customHeight="1" x14ac:dyDescent="0.25">
      <c r="A37" s="488" t="s">
        <v>178</v>
      </c>
      <c r="B37" s="489"/>
      <c r="C37" s="489"/>
      <c r="D37" s="473" t="s">
        <v>176</v>
      </c>
      <c r="E37" s="474"/>
      <c r="F37" s="474"/>
      <c r="G37" s="475"/>
      <c r="H37" s="480" t="s">
        <v>177</v>
      </c>
      <c r="I37" s="480"/>
      <c r="J37" s="480"/>
      <c r="K37" s="480"/>
      <c r="L37" s="481"/>
      <c r="M37" s="77"/>
      <c r="N37" s="77"/>
      <c r="O37" s="77"/>
      <c r="P37" s="77"/>
      <c r="Q37" s="78"/>
    </row>
    <row r="38" spans="1:17" x14ac:dyDescent="0.25">
      <c r="A38" s="140" t="s">
        <v>179</v>
      </c>
      <c r="B38" s="145"/>
      <c r="C38" s="357"/>
      <c r="D38" s="485">
        <v>60</v>
      </c>
      <c r="E38" s="486"/>
      <c r="F38" s="486"/>
      <c r="G38" s="487"/>
      <c r="H38" s="478">
        <v>20</v>
      </c>
      <c r="I38" s="478"/>
      <c r="J38" s="478"/>
      <c r="K38" s="478"/>
      <c r="L38" s="479"/>
      <c r="M38" s="29"/>
      <c r="N38" s="29"/>
      <c r="O38" s="29"/>
      <c r="P38" s="29"/>
      <c r="Q38" s="58"/>
    </row>
    <row r="39" spans="1:17" x14ac:dyDescent="0.25">
      <c r="A39" s="140" t="s">
        <v>180</v>
      </c>
      <c r="B39" s="145"/>
      <c r="C39" s="357"/>
      <c r="D39" s="485">
        <v>30</v>
      </c>
      <c r="E39" s="486"/>
      <c r="F39" s="486"/>
      <c r="G39" s="487"/>
      <c r="H39" s="478">
        <v>10</v>
      </c>
      <c r="I39" s="478"/>
      <c r="J39" s="478"/>
      <c r="K39" s="478"/>
      <c r="L39" s="479"/>
      <c r="M39" s="29"/>
      <c r="N39" s="29"/>
      <c r="O39" s="29"/>
      <c r="P39" s="29"/>
      <c r="Q39" s="58"/>
    </row>
    <row r="40" spans="1:17" x14ac:dyDescent="0.25">
      <c r="A40" s="140" t="s">
        <v>181</v>
      </c>
      <c r="B40" s="145"/>
      <c r="C40" s="358"/>
      <c r="D40" s="485">
        <v>15</v>
      </c>
      <c r="E40" s="486"/>
      <c r="F40" s="486"/>
      <c r="G40" s="487"/>
      <c r="H40" s="478">
        <v>5</v>
      </c>
      <c r="I40" s="478"/>
      <c r="J40" s="478"/>
      <c r="K40" s="478"/>
      <c r="L40" s="479"/>
      <c r="M40" s="29"/>
      <c r="N40" s="29"/>
      <c r="O40" s="29"/>
      <c r="P40" s="29"/>
      <c r="Q40" s="58"/>
    </row>
    <row r="41" spans="1:17" ht="15.75" thickBot="1" x14ac:dyDescent="0.3">
      <c r="A41" s="141" t="s">
        <v>182</v>
      </c>
      <c r="B41" s="146"/>
      <c r="C41" s="359"/>
      <c r="D41" s="482" t="s">
        <v>175</v>
      </c>
      <c r="E41" s="483"/>
      <c r="F41" s="483"/>
      <c r="G41" s="484"/>
      <c r="H41" s="476" t="s">
        <v>175</v>
      </c>
      <c r="I41" s="476"/>
      <c r="J41" s="476"/>
      <c r="K41" s="476"/>
      <c r="L41" s="477"/>
      <c r="M41" s="88"/>
      <c r="N41" s="88"/>
      <c r="O41" s="88"/>
      <c r="P41" s="88"/>
      <c r="Q41" s="87"/>
    </row>
    <row r="47" spans="1:17" x14ac:dyDescent="0.25">
      <c r="J47" s="70"/>
    </row>
  </sheetData>
  <mergeCells count="26">
    <mergeCell ref="A37:C37"/>
    <mergeCell ref="A1:Q1"/>
    <mergeCell ref="A2:Q2"/>
    <mergeCell ref="A3:Q3"/>
    <mergeCell ref="D4:H4"/>
    <mergeCell ref="J4:N4"/>
    <mergeCell ref="A4:A5"/>
    <mergeCell ref="B4:B5"/>
    <mergeCell ref="A28:Q28"/>
    <mergeCell ref="A31:Q31"/>
    <mergeCell ref="P4:Q4"/>
    <mergeCell ref="A20:Q20"/>
    <mergeCell ref="A6:A10"/>
    <mergeCell ref="A11:A15"/>
    <mergeCell ref="A36:Q36"/>
    <mergeCell ref="A21:Q21"/>
    <mergeCell ref="D37:G37"/>
    <mergeCell ref="H41:L41"/>
    <mergeCell ref="H40:L40"/>
    <mergeCell ref="H39:L39"/>
    <mergeCell ref="H38:L38"/>
    <mergeCell ref="H37:L37"/>
    <mergeCell ref="D41:G41"/>
    <mergeCell ref="D40:G40"/>
    <mergeCell ref="D39:G39"/>
    <mergeCell ref="D38:G38"/>
  </mergeCells>
  <pageMargins left="0.7" right="0.7" top="0.75" bottom="0.75" header="0.3" footer="0.3"/>
  <pageSetup scale="73" fitToHeight="3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1"/>
  <sheetViews>
    <sheetView topLeftCell="A34" zoomScaleNormal="100" workbookViewId="0">
      <selection activeCell="L47" sqref="L47"/>
    </sheetView>
  </sheetViews>
  <sheetFormatPr defaultRowHeight="15" x14ac:dyDescent="0.25"/>
  <cols>
    <col min="1" max="1" width="24" customWidth="1"/>
    <col min="2" max="2" width="20" customWidth="1"/>
    <col min="3" max="3" width="1.7109375" customWidth="1"/>
    <col min="8" max="8" width="1.7109375" customWidth="1"/>
    <col min="13" max="13" width="1.5703125" customWidth="1"/>
  </cols>
  <sheetData>
    <row r="1" spans="1:20" ht="15.75" thickBot="1" x14ac:dyDescent="0.3">
      <c r="A1" s="460" t="s">
        <v>311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2"/>
    </row>
    <row r="2" spans="1:20" ht="15.75" thickBot="1" x14ac:dyDescent="0.3">
      <c r="A2" s="460" t="s">
        <v>21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2"/>
    </row>
    <row r="3" spans="1:20" ht="15.75" thickBot="1" x14ac:dyDescent="0.3">
      <c r="A3" s="460" t="s">
        <v>341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2"/>
    </row>
    <row r="4" spans="1:20" ht="15.75" thickBot="1" x14ac:dyDescent="0.3">
      <c r="A4" s="463" t="s">
        <v>10</v>
      </c>
      <c r="B4" s="465" t="s">
        <v>9</v>
      </c>
      <c r="C4" s="9"/>
      <c r="D4" s="470" t="s">
        <v>0</v>
      </c>
      <c r="E4" s="471"/>
      <c r="F4" s="471"/>
      <c r="G4" s="472"/>
      <c r="H4" s="2"/>
      <c r="I4" s="467" t="s">
        <v>1</v>
      </c>
      <c r="J4" s="468"/>
      <c r="K4" s="468"/>
      <c r="L4" s="469"/>
      <c r="M4" s="1"/>
      <c r="N4" s="491" t="s">
        <v>2</v>
      </c>
      <c r="O4" s="492"/>
      <c r="P4">
        <v>35</v>
      </c>
      <c r="Q4">
        <v>30</v>
      </c>
    </row>
    <row r="5" spans="1:20" ht="45.75" thickBot="1" x14ac:dyDescent="0.3">
      <c r="A5" s="490"/>
      <c r="B5" s="466"/>
      <c r="C5" s="43"/>
      <c r="D5" s="44" t="s">
        <v>3</v>
      </c>
      <c r="E5" s="45" t="s">
        <v>4</v>
      </c>
      <c r="F5" s="46" t="s">
        <v>5</v>
      </c>
      <c r="G5" s="47" t="s">
        <v>271</v>
      </c>
      <c r="H5" s="7"/>
      <c r="I5" s="3" t="s">
        <v>3</v>
      </c>
      <c r="J5" s="4" t="s">
        <v>4</v>
      </c>
      <c r="K5" s="5" t="s">
        <v>5</v>
      </c>
      <c r="L5" s="47" t="s">
        <v>120</v>
      </c>
      <c r="M5" s="6"/>
      <c r="N5" s="3" t="s">
        <v>7</v>
      </c>
      <c r="O5" s="8" t="s">
        <v>8</v>
      </c>
      <c r="P5">
        <v>4</v>
      </c>
      <c r="Q5">
        <v>6</v>
      </c>
      <c r="R5">
        <v>0.6</v>
      </c>
      <c r="S5" s="315">
        <v>0.7</v>
      </c>
      <c r="T5">
        <v>0.5</v>
      </c>
    </row>
    <row r="6" spans="1:20" ht="45" x14ac:dyDescent="0.25">
      <c r="A6" s="580" t="s">
        <v>264</v>
      </c>
      <c r="B6" s="163" t="s">
        <v>382</v>
      </c>
      <c r="C6" s="291"/>
      <c r="D6" s="159">
        <f>(CEILING(P6*$P$5*$R$5,1))+35</f>
        <v>1199</v>
      </c>
      <c r="E6" s="16">
        <f>(CEILING(Q6*$P$5*$R$5,1))+35</f>
        <v>2363</v>
      </c>
      <c r="F6" s="16">
        <f>(CEILING(R6*$P$5*$R$5,1))+35</f>
        <v>1084</v>
      </c>
      <c r="G6" s="17">
        <f>(CEILING(S6*$P$5*$R$5,1))+30</f>
        <v>30</v>
      </c>
      <c r="H6" s="291"/>
      <c r="I6" s="159">
        <f>(CEILING(P6*$Q$5*$R$5,1))+35</f>
        <v>1781</v>
      </c>
      <c r="J6" s="16">
        <f>(CEILING(Q6*$Q$5*$R$5,1))+35</f>
        <v>3527</v>
      </c>
      <c r="K6" s="16">
        <f>(CEILING(R6*$Q$5*$R$5,1))+35</f>
        <v>1609</v>
      </c>
      <c r="L6" s="17">
        <f>(CEILING(S6*$Q$5*$R$5,1))+30</f>
        <v>30</v>
      </c>
      <c r="M6" s="291"/>
      <c r="N6" s="341" t="s">
        <v>47</v>
      </c>
      <c r="O6" s="305">
        <f t="shared" ref="O6:O13" si="0">(CEILING((P6*$Q$5)/2,1))+35</f>
        <v>1490</v>
      </c>
      <c r="P6">
        <f>970/2</f>
        <v>485</v>
      </c>
      <c r="Q6">
        <v>970</v>
      </c>
      <c r="R6">
        <f>CEILING((Q6+T6)/3,1)</f>
        <v>437</v>
      </c>
      <c r="S6">
        <v>0</v>
      </c>
      <c r="T6">
        <v>340</v>
      </c>
    </row>
    <row r="7" spans="1:20" x14ac:dyDescent="0.25">
      <c r="A7" s="605"/>
      <c r="B7" s="337" t="s">
        <v>381</v>
      </c>
      <c r="C7" s="292"/>
      <c r="D7" s="331">
        <f>(CEILING(P7*$P$5*$S$5,1))+35</f>
        <v>1393</v>
      </c>
      <c r="E7" s="326">
        <f>(CEILING(Q7*$P$5*$S$5,1))+35</f>
        <v>2751</v>
      </c>
      <c r="F7" s="326">
        <f>(CEILING(R7*$P$5*$S$5,1))+35</f>
        <v>1259</v>
      </c>
      <c r="G7" s="330">
        <f>(CEILING(S7*$P$5*$S$5,1))+30</f>
        <v>30</v>
      </c>
      <c r="H7" s="292"/>
      <c r="I7" s="331">
        <f>(CEILING(P7*$Q$5*$S$5,1))+35</f>
        <v>2072</v>
      </c>
      <c r="J7" s="326">
        <f>(CEILING(Q7*$Q$5*$S$5,1))+35</f>
        <v>4109</v>
      </c>
      <c r="K7" s="326">
        <f>(CEILING(R7*$Q$5*$S$5,1))+35</f>
        <v>1871</v>
      </c>
      <c r="L7" s="330">
        <f>(CEILING(S7*$Q$5*$S$5,1))+30</f>
        <v>30</v>
      </c>
      <c r="M7" s="292"/>
      <c r="N7" s="342" t="s">
        <v>47</v>
      </c>
      <c r="O7" s="332">
        <f t="shared" si="0"/>
        <v>1490</v>
      </c>
      <c r="P7">
        <f>970/2</f>
        <v>485</v>
      </c>
      <c r="Q7">
        <v>970</v>
      </c>
      <c r="R7">
        <f>CEILING((Q7+T7)/3,1)</f>
        <v>437</v>
      </c>
      <c r="S7">
        <v>0</v>
      </c>
      <c r="T7">
        <v>340</v>
      </c>
    </row>
    <row r="8" spans="1:20" ht="30" x14ac:dyDescent="0.25">
      <c r="A8" s="581"/>
      <c r="B8" s="336" t="s">
        <v>379</v>
      </c>
      <c r="C8" s="292"/>
      <c r="D8" s="331">
        <f t="shared" ref="D8:F10" si="1">(CEILING(P8*$P$5*$R$5,1))+35</f>
        <v>919</v>
      </c>
      <c r="E8" s="326">
        <f t="shared" si="1"/>
        <v>1799</v>
      </c>
      <c r="F8" s="326">
        <f t="shared" si="1"/>
        <v>827</v>
      </c>
      <c r="G8" s="330">
        <f>(CEILING(S8*$P$5*$R$5,1))+30</f>
        <v>30</v>
      </c>
      <c r="H8" s="292"/>
      <c r="I8" s="331">
        <f t="shared" ref="I8:K10" si="2">(CEILING(P8*$Q$5*$R$5,1))+35</f>
        <v>1360</v>
      </c>
      <c r="J8" s="326">
        <f t="shared" si="2"/>
        <v>2681</v>
      </c>
      <c r="K8" s="326">
        <f t="shared" si="2"/>
        <v>1223</v>
      </c>
      <c r="L8" s="330">
        <f>(CEILING(S8*$Q$5*$R$5,1))+30</f>
        <v>30</v>
      </c>
      <c r="M8" s="292"/>
      <c r="N8" s="342" t="s">
        <v>47</v>
      </c>
      <c r="O8" s="332">
        <f t="shared" si="0"/>
        <v>1139</v>
      </c>
      <c r="P8">
        <f>CEILING(735/2,1)</f>
        <v>368</v>
      </c>
      <c r="Q8">
        <v>735</v>
      </c>
      <c r="R8">
        <f t="shared" ref="R8:R13" si="3">CEILING((Q8+T8)/3,1)</f>
        <v>330</v>
      </c>
      <c r="S8">
        <v>0</v>
      </c>
      <c r="T8">
        <v>255</v>
      </c>
    </row>
    <row r="9" spans="1:20" ht="15.75" thickBot="1" x14ac:dyDescent="0.3">
      <c r="A9" s="581"/>
      <c r="B9" s="338" t="s">
        <v>380</v>
      </c>
      <c r="C9" s="292"/>
      <c r="D9" s="340">
        <f t="shared" si="1"/>
        <v>743</v>
      </c>
      <c r="E9" s="328">
        <f t="shared" si="1"/>
        <v>1451</v>
      </c>
      <c r="F9" s="328">
        <f t="shared" si="1"/>
        <v>671</v>
      </c>
      <c r="G9" s="339">
        <f>(CEILING(S9*$P$5*$R$5,1))+30</f>
        <v>30</v>
      </c>
      <c r="H9" s="292"/>
      <c r="I9" s="340">
        <f t="shared" si="2"/>
        <v>1097</v>
      </c>
      <c r="J9" s="328">
        <f t="shared" si="2"/>
        <v>2159</v>
      </c>
      <c r="K9" s="328">
        <f t="shared" si="2"/>
        <v>989</v>
      </c>
      <c r="L9" s="339">
        <f>(CEILING(S9*$Q$5*$R$5,1))+30</f>
        <v>30</v>
      </c>
      <c r="M9" s="292"/>
      <c r="N9" s="343" t="s">
        <v>47</v>
      </c>
      <c r="O9" s="307">
        <f t="shared" si="0"/>
        <v>920</v>
      </c>
      <c r="P9">
        <f>590/2</f>
        <v>295</v>
      </c>
      <c r="Q9">
        <v>590</v>
      </c>
      <c r="R9">
        <f t="shared" si="3"/>
        <v>265</v>
      </c>
      <c r="S9">
        <v>0</v>
      </c>
      <c r="T9">
        <v>205</v>
      </c>
    </row>
    <row r="10" spans="1:20" ht="45" x14ac:dyDescent="0.25">
      <c r="A10" s="580" t="s">
        <v>265</v>
      </c>
      <c r="B10" s="163" t="s">
        <v>382</v>
      </c>
      <c r="C10" s="292"/>
      <c r="D10" s="159">
        <f t="shared" si="1"/>
        <v>1367</v>
      </c>
      <c r="E10" s="16">
        <f t="shared" si="1"/>
        <v>2699</v>
      </c>
      <c r="F10" s="16">
        <f t="shared" si="1"/>
        <v>1235</v>
      </c>
      <c r="G10" s="17">
        <f>(CEILING(S10*$P$5*$R$5,1))+30</f>
        <v>30</v>
      </c>
      <c r="H10" s="292"/>
      <c r="I10" s="159">
        <f t="shared" si="2"/>
        <v>2033</v>
      </c>
      <c r="J10" s="16">
        <f t="shared" si="2"/>
        <v>4031</v>
      </c>
      <c r="K10" s="16">
        <f t="shared" si="2"/>
        <v>1835</v>
      </c>
      <c r="L10" s="17">
        <f>(CEILING(S10*$Q$5*$R$5,1))+30</f>
        <v>30</v>
      </c>
      <c r="M10" s="292"/>
      <c r="N10" s="341" t="s">
        <v>47</v>
      </c>
      <c r="O10" s="305">
        <f t="shared" si="0"/>
        <v>1700</v>
      </c>
      <c r="P10">
        <f>1110/2</f>
        <v>555</v>
      </c>
      <c r="Q10">
        <v>1110</v>
      </c>
      <c r="R10">
        <f t="shared" si="3"/>
        <v>500</v>
      </c>
      <c r="S10">
        <v>0</v>
      </c>
      <c r="T10">
        <v>390</v>
      </c>
    </row>
    <row r="11" spans="1:20" x14ac:dyDescent="0.25">
      <c r="A11" s="605"/>
      <c r="B11" s="337" t="s">
        <v>381</v>
      </c>
      <c r="C11" s="292"/>
      <c r="D11" s="331">
        <f>(CEILING(P11*$P$5*$S$5,1))+35</f>
        <v>1589</v>
      </c>
      <c r="E11" s="326">
        <f>(CEILING(Q11*$P$5*$S$5,1))+35</f>
        <v>3143</v>
      </c>
      <c r="F11" s="326">
        <f>(CEILING(R11*$P$5*$S$5,1))+35</f>
        <v>1435</v>
      </c>
      <c r="G11" s="330">
        <f>(CEILING(S11*$P$5*$S$5,1))+30</f>
        <v>30</v>
      </c>
      <c r="H11" s="292"/>
      <c r="I11" s="331">
        <f>(CEILING(P11*$Q$5*$S$5,1))+35</f>
        <v>2366</v>
      </c>
      <c r="J11" s="326">
        <f>(CEILING(Q11*$Q$5*$S$5,1))+35</f>
        <v>4697</v>
      </c>
      <c r="K11" s="326">
        <f>(CEILING(R11*$Q$5*$S$5,1))+35</f>
        <v>2135</v>
      </c>
      <c r="L11" s="330">
        <f>(CEILING(S11*$Q$5*$S$5,1))+30</f>
        <v>30</v>
      </c>
      <c r="M11" s="292"/>
      <c r="N11" s="342" t="s">
        <v>47</v>
      </c>
      <c r="O11" s="332">
        <f t="shared" si="0"/>
        <v>1700</v>
      </c>
      <c r="P11">
        <f>1110/2</f>
        <v>555</v>
      </c>
      <c r="Q11">
        <v>1110</v>
      </c>
      <c r="R11">
        <f t="shared" ref="R11" si="4">CEILING((Q11+T11)/3,1)</f>
        <v>500</v>
      </c>
      <c r="S11">
        <v>0</v>
      </c>
      <c r="T11">
        <v>390</v>
      </c>
    </row>
    <row r="12" spans="1:20" ht="30" x14ac:dyDescent="0.25">
      <c r="A12" s="581"/>
      <c r="B12" s="336" t="s">
        <v>379</v>
      </c>
      <c r="C12" s="292"/>
      <c r="D12" s="331">
        <f t="shared" ref="D12:F13" si="5">(CEILING(P12*$P$5*$R$5,1))+35</f>
        <v>1051</v>
      </c>
      <c r="E12" s="326">
        <f t="shared" si="5"/>
        <v>2063</v>
      </c>
      <c r="F12" s="326">
        <f t="shared" si="5"/>
        <v>947</v>
      </c>
      <c r="G12" s="330">
        <f>(CEILING(S12*$P$5*$R$5,1))+30</f>
        <v>30</v>
      </c>
      <c r="H12" s="292"/>
      <c r="I12" s="331">
        <f t="shared" ref="I12:K13" si="6">(CEILING(P12*$Q$5*$R$5,1))+35</f>
        <v>1558</v>
      </c>
      <c r="J12" s="326">
        <f t="shared" si="6"/>
        <v>3077</v>
      </c>
      <c r="K12" s="326">
        <f t="shared" si="6"/>
        <v>1403</v>
      </c>
      <c r="L12" s="330">
        <f>(CEILING(S12*$Q$5*$R$5,1))+30</f>
        <v>30</v>
      </c>
      <c r="M12" s="292"/>
      <c r="N12" s="342" t="s">
        <v>47</v>
      </c>
      <c r="O12" s="332">
        <f t="shared" si="0"/>
        <v>1304</v>
      </c>
      <c r="P12">
        <f>CEILING(845/2,1)</f>
        <v>423</v>
      </c>
      <c r="Q12">
        <v>845</v>
      </c>
      <c r="R12">
        <f t="shared" si="3"/>
        <v>380</v>
      </c>
      <c r="S12">
        <v>0</v>
      </c>
      <c r="T12">
        <v>295</v>
      </c>
    </row>
    <row r="13" spans="1:20" ht="15.75" thickBot="1" x14ac:dyDescent="0.3">
      <c r="A13" s="581"/>
      <c r="B13" s="338" t="s">
        <v>380</v>
      </c>
      <c r="C13" s="344"/>
      <c r="D13" s="340">
        <f t="shared" si="5"/>
        <v>847</v>
      </c>
      <c r="E13" s="328">
        <f t="shared" si="5"/>
        <v>1655</v>
      </c>
      <c r="F13" s="328">
        <f t="shared" si="5"/>
        <v>765</v>
      </c>
      <c r="G13" s="339">
        <f>(CEILING(S13*$P$5*$R$5,1))+30</f>
        <v>30</v>
      </c>
      <c r="H13" s="270"/>
      <c r="I13" s="340">
        <f t="shared" si="6"/>
        <v>1252</v>
      </c>
      <c r="J13" s="328">
        <f t="shared" si="6"/>
        <v>2465</v>
      </c>
      <c r="K13" s="328">
        <f t="shared" si="6"/>
        <v>1130</v>
      </c>
      <c r="L13" s="339">
        <f>(CEILING(S13*$Q$5*$R$5,1))+30</f>
        <v>30</v>
      </c>
      <c r="M13" s="270"/>
      <c r="N13" s="343" t="s">
        <v>47</v>
      </c>
      <c r="O13" s="307">
        <f t="shared" si="0"/>
        <v>1049</v>
      </c>
      <c r="P13">
        <f>CEILING(675/2,1)</f>
        <v>338</v>
      </c>
      <c r="Q13">
        <v>675</v>
      </c>
      <c r="R13">
        <f t="shared" si="3"/>
        <v>304</v>
      </c>
      <c r="S13">
        <v>0</v>
      </c>
      <c r="T13">
        <v>235</v>
      </c>
    </row>
    <row r="14" spans="1:20" ht="15.75" thickBot="1" x14ac:dyDescent="0.3">
      <c r="A14" s="130" t="s">
        <v>17</v>
      </c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8"/>
    </row>
    <row r="15" spans="1:20" x14ac:dyDescent="0.25">
      <c r="A15" s="59" t="s">
        <v>12</v>
      </c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6"/>
    </row>
    <row r="16" spans="1:20" x14ac:dyDescent="0.25">
      <c r="A16" s="59" t="s">
        <v>269</v>
      </c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6"/>
    </row>
    <row r="17" spans="1:15" x14ac:dyDescent="0.25">
      <c r="A17" s="59" t="s">
        <v>14</v>
      </c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6"/>
    </row>
    <row r="18" spans="1:15" ht="15.75" thickBot="1" x14ac:dyDescent="0.3">
      <c r="A18" s="493" t="s">
        <v>270</v>
      </c>
      <c r="B18" s="494"/>
      <c r="C18" s="494"/>
      <c r="D18" s="494"/>
      <c r="E18" s="494"/>
      <c r="F18" s="494"/>
      <c r="G18" s="494"/>
      <c r="H18" s="494"/>
      <c r="I18" s="494"/>
      <c r="J18" s="494"/>
      <c r="K18" s="494"/>
      <c r="L18" s="494"/>
      <c r="M18" s="494"/>
      <c r="N18" s="494"/>
      <c r="O18" s="495"/>
    </row>
    <row r="19" spans="1:15" ht="15.75" customHeight="1" thickBot="1" x14ac:dyDescent="0.3">
      <c r="A19" s="460" t="s">
        <v>121</v>
      </c>
      <c r="B19" s="461"/>
      <c r="C19" s="461"/>
      <c r="D19" s="461"/>
      <c r="E19" s="461"/>
      <c r="F19" s="461"/>
      <c r="G19" s="461"/>
      <c r="H19" s="461"/>
      <c r="I19" s="540"/>
      <c r="J19" s="540"/>
      <c r="K19" s="540"/>
      <c r="L19" s="461"/>
      <c r="M19" s="461"/>
      <c r="N19" s="461"/>
      <c r="O19" s="462"/>
    </row>
    <row r="20" spans="1:15" ht="15.75" thickBot="1" x14ac:dyDescent="0.3">
      <c r="A20" s="226" t="s">
        <v>280</v>
      </c>
      <c r="B20" s="152"/>
      <c r="C20" s="152"/>
      <c r="D20" s="228"/>
      <c r="E20" s="228"/>
      <c r="F20" s="228"/>
      <c r="G20" s="228"/>
      <c r="H20" s="152"/>
      <c r="I20" s="228"/>
      <c r="J20" s="228"/>
      <c r="K20" s="228"/>
      <c r="L20" s="228"/>
      <c r="M20" s="152"/>
      <c r="N20" s="152"/>
      <c r="O20" s="153"/>
    </row>
    <row r="21" spans="1:15" ht="15" customHeight="1" x14ac:dyDescent="0.25">
      <c r="A21" s="76" t="s">
        <v>272</v>
      </c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8"/>
    </row>
    <row r="22" spans="1:15" ht="15" customHeight="1" x14ac:dyDescent="0.25">
      <c r="A22" s="28" t="s">
        <v>273</v>
      </c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4"/>
    </row>
    <row r="23" spans="1:15" ht="15" customHeight="1" x14ac:dyDescent="0.25">
      <c r="A23" s="28" t="s">
        <v>274</v>
      </c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4"/>
    </row>
    <row r="24" spans="1:15" ht="15" customHeight="1" x14ac:dyDescent="0.25">
      <c r="A24" s="62" t="s">
        <v>275</v>
      </c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4"/>
    </row>
    <row r="25" spans="1:15" ht="15" customHeight="1" x14ac:dyDescent="0.25">
      <c r="A25" s="59" t="s">
        <v>276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4"/>
    </row>
    <row r="26" spans="1:15" x14ac:dyDescent="0.25">
      <c r="A26" s="59" t="s">
        <v>277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/>
    </row>
    <row r="27" spans="1:15" ht="33" customHeight="1" x14ac:dyDescent="0.25">
      <c r="A27" s="606" t="s">
        <v>278</v>
      </c>
      <c r="B27" s="541"/>
      <c r="C27" s="541"/>
      <c r="D27" s="541"/>
      <c r="E27" s="541"/>
      <c r="F27" s="541"/>
      <c r="G27" s="541"/>
      <c r="H27" s="541"/>
      <c r="I27" s="541"/>
      <c r="J27" s="541"/>
      <c r="K27" s="541"/>
      <c r="L27" s="541"/>
      <c r="M27" s="541"/>
      <c r="N27" s="541"/>
      <c r="O27" s="607"/>
    </row>
    <row r="28" spans="1:15" x14ac:dyDescent="0.25">
      <c r="A28" s="136" t="s">
        <v>279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/>
    </row>
    <row r="29" spans="1:15" ht="47.25" customHeight="1" x14ac:dyDescent="0.25">
      <c r="A29" s="606" t="s">
        <v>281</v>
      </c>
      <c r="B29" s="541"/>
      <c r="C29" s="541"/>
      <c r="D29" s="541"/>
      <c r="E29" s="541"/>
      <c r="F29" s="541"/>
      <c r="G29" s="541"/>
      <c r="H29" s="541"/>
      <c r="I29" s="541"/>
      <c r="J29" s="541"/>
      <c r="K29" s="541"/>
      <c r="L29" s="541"/>
      <c r="M29" s="541"/>
      <c r="N29" s="541"/>
      <c r="O29" s="607"/>
    </row>
    <row r="30" spans="1:15" ht="29.25" customHeight="1" x14ac:dyDescent="0.25">
      <c r="A30" s="606" t="s">
        <v>282</v>
      </c>
      <c r="B30" s="541"/>
      <c r="C30" s="541"/>
      <c r="D30" s="541"/>
      <c r="E30" s="541"/>
      <c r="F30" s="541"/>
      <c r="G30" s="541"/>
      <c r="H30" s="541"/>
      <c r="I30" s="541"/>
      <c r="J30" s="541"/>
      <c r="K30" s="541"/>
      <c r="L30" s="541"/>
      <c r="M30" s="541"/>
      <c r="N30" s="541"/>
      <c r="O30" s="607"/>
    </row>
    <row r="31" spans="1:15" ht="51" customHeight="1" thickBot="1" x14ac:dyDescent="0.3">
      <c r="A31" s="493" t="s">
        <v>283</v>
      </c>
      <c r="B31" s="494"/>
      <c r="C31" s="494"/>
      <c r="D31" s="494"/>
      <c r="E31" s="494"/>
      <c r="F31" s="494"/>
      <c r="G31" s="494"/>
      <c r="H31" s="494"/>
      <c r="I31" s="494"/>
      <c r="J31" s="494"/>
      <c r="K31" s="494"/>
      <c r="L31" s="494"/>
      <c r="M31" s="494"/>
      <c r="N31" s="494"/>
      <c r="O31" s="495"/>
    </row>
    <row r="32" spans="1:15" ht="15.75" thickBot="1" x14ac:dyDescent="0.3">
      <c r="A32" s="457" t="s">
        <v>284</v>
      </c>
      <c r="B32" s="458"/>
      <c r="C32" s="458"/>
      <c r="D32" s="458"/>
      <c r="E32" s="458"/>
      <c r="F32" s="458"/>
      <c r="G32" s="458"/>
      <c r="H32" s="458"/>
      <c r="I32" s="458"/>
      <c r="J32" s="458"/>
      <c r="K32" s="458"/>
      <c r="L32" s="458"/>
      <c r="M32" s="458"/>
      <c r="N32" s="458"/>
      <c r="O32" s="459"/>
    </row>
    <row r="33" spans="1:15" ht="130.5" customHeight="1" thickBot="1" x14ac:dyDescent="0.3">
      <c r="A33" s="229" t="s">
        <v>286</v>
      </c>
      <c r="B33" s="608" t="s">
        <v>285</v>
      </c>
      <c r="C33" s="608"/>
      <c r="D33" s="608"/>
      <c r="E33" s="608"/>
      <c r="F33" s="608"/>
      <c r="G33" s="608"/>
      <c r="H33" s="608"/>
      <c r="I33" s="608"/>
      <c r="J33" s="608"/>
      <c r="K33" s="608"/>
      <c r="L33" s="608"/>
      <c r="M33" s="608"/>
      <c r="N33" s="608"/>
      <c r="O33" s="609"/>
    </row>
    <row r="34" spans="1:15" ht="15.75" thickBot="1" x14ac:dyDescent="0.3">
      <c r="A34" s="457" t="s">
        <v>16</v>
      </c>
      <c r="B34" s="458"/>
      <c r="C34" s="458"/>
      <c r="D34" s="458"/>
      <c r="E34" s="458"/>
      <c r="F34" s="458"/>
      <c r="G34" s="458"/>
      <c r="H34" s="458"/>
      <c r="I34" s="458"/>
      <c r="J34" s="458"/>
      <c r="K34" s="458"/>
      <c r="L34" s="458"/>
      <c r="M34" s="458"/>
      <c r="N34" s="458"/>
      <c r="O34" s="459"/>
    </row>
    <row r="35" spans="1:15" x14ac:dyDescent="0.25">
      <c r="A35" s="63" t="s">
        <v>135</v>
      </c>
      <c r="B35" s="560" t="s">
        <v>287</v>
      </c>
      <c r="C35" s="560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1"/>
    </row>
    <row r="36" spans="1:15" ht="15.75" thickBot="1" x14ac:dyDescent="0.3">
      <c r="A36" s="63" t="s">
        <v>288</v>
      </c>
      <c r="B36" s="64" t="s">
        <v>287</v>
      </c>
      <c r="C36" s="65"/>
      <c r="D36" s="65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/>
    </row>
    <row r="37" spans="1:15" ht="15.75" thickBot="1" x14ac:dyDescent="0.3">
      <c r="A37" s="499" t="s">
        <v>15</v>
      </c>
      <c r="B37" s="500"/>
      <c r="C37" s="500"/>
      <c r="D37" s="500"/>
      <c r="E37" s="500"/>
      <c r="F37" s="500"/>
      <c r="G37" s="500"/>
      <c r="H37" s="500"/>
      <c r="I37" s="500"/>
      <c r="J37" s="500"/>
      <c r="K37" s="500"/>
      <c r="L37" s="500"/>
      <c r="M37" s="500"/>
      <c r="N37" s="500"/>
      <c r="O37" s="501"/>
    </row>
    <row r="38" spans="1:15" ht="40.5" customHeight="1" thickBot="1" x14ac:dyDescent="0.3">
      <c r="A38" s="230" t="s">
        <v>266</v>
      </c>
      <c r="B38" s="603" t="s">
        <v>289</v>
      </c>
      <c r="C38" s="603"/>
      <c r="D38" s="603"/>
      <c r="E38" s="603"/>
      <c r="F38" s="603"/>
      <c r="G38" s="603"/>
      <c r="H38" s="603"/>
      <c r="I38" s="603"/>
      <c r="J38" s="603"/>
      <c r="K38" s="603"/>
      <c r="L38" s="603"/>
      <c r="M38" s="603"/>
      <c r="N38" s="603"/>
      <c r="O38" s="604"/>
    </row>
    <row r="39" spans="1:15" x14ac:dyDescent="0.25">
      <c r="A39" s="232" t="s">
        <v>267</v>
      </c>
      <c r="B39" s="598" t="s">
        <v>291</v>
      </c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600"/>
    </row>
    <row r="40" spans="1:15" ht="15.75" thickBot="1" x14ac:dyDescent="0.3">
      <c r="A40" s="231" t="s">
        <v>263</v>
      </c>
      <c r="B40" s="601"/>
      <c r="C40" s="601"/>
      <c r="D40" s="601"/>
      <c r="E40" s="601"/>
      <c r="F40" s="601"/>
      <c r="G40" s="601"/>
      <c r="H40" s="601"/>
      <c r="I40" s="601"/>
      <c r="J40" s="601"/>
      <c r="K40" s="601"/>
      <c r="L40" s="601"/>
      <c r="M40" s="601"/>
      <c r="N40" s="601"/>
      <c r="O40" s="602"/>
    </row>
    <row r="41" spans="1:15" ht="58.5" customHeight="1" thickBot="1" x14ac:dyDescent="0.3">
      <c r="A41" s="230" t="s">
        <v>268</v>
      </c>
      <c r="B41" s="603" t="s">
        <v>290</v>
      </c>
      <c r="C41" s="603"/>
      <c r="D41" s="603"/>
      <c r="E41" s="603"/>
      <c r="F41" s="603"/>
      <c r="G41" s="603"/>
      <c r="H41" s="603"/>
      <c r="I41" s="603"/>
      <c r="J41" s="603"/>
      <c r="K41" s="603"/>
      <c r="L41" s="603"/>
      <c r="M41" s="603"/>
      <c r="N41" s="603"/>
      <c r="O41" s="604"/>
    </row>
  </sheetData>
  <mergeCells count="24">
    <mergeCell ref="A1:O1"/>
    <mergeCell ref="A2:O2"/>
    <mergeCell ref="A3:O3"/>
    <mergeCell ref="A4:A5"/>
    <mergeCell ref="B4:B5"/>
    <mergeCell ref="D4:G4"/>
    <mergeCell ref="I4:L4"/>
    <mergeCell ref="N4:O4"/>
    <mergeCell ref="B39:O40"/>
    <mergeCell ref="B41:O41"/>
    <mergeCell ref="A6:A9"/>
    <mergeCell ref="A10:A13"/>
    <mergeCell ref="A18:O18"/>
    <mergeCell ref="A19:O19"/>
    <mergeCell ref="A34:O34"/>
    <mergeCell ref="A29:O29"/>
    <mergeCell ref="A27:O27"/>
    <mergeCell ref="A30:O30"/>
    <mergeCell ref="B35:O35"/>
    <mergeCell ref="B38:O38"/>
    <mergeCell ref="A31:O31"/>
    <mergeCell ref="A32:O32"/>
    <mergeCell ref="B33:O33"/>
    <mergeCell ref="A37:O37"/>
  </mergeCells>
  <pageMargins left="0.7" right="0.7" top="0.75" bottom="0.75" header="0.3" footer="0.3"/>
  <pageSetup scale="87" fitToHeight="3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A47" workbookViewId="0">
      <selection activeCell="J67" sqref="J67"/>
    </sheetView>
  </sheetViews>
  <sheetFormatPr defaultRowHeight="15" x14ac:dyDescent="0.25"/>
  <cols>
    <col min="1" max="1" width="24" customWidth="1"/>
    <col min="2" max="2" width="20" customWidth="1"/>
    <col min="3" max="3" width="1.7109375" customWidth="1"/>
    <col min="7" max="7" width="1.7109375" customWidth="1"/>
    <col min="11" max="11" width="1.5703125" customWidth="1"/>
  </cols>
  <sheetData>
    <row r="1" spans="1:17" ht="15.75" thickBot="1" x14ac:dyDescent="0.3">
      <c r="A1" s="460" t="s">
        <v>312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2"/>
    </row>
    <row r="2" spans="1:17" ht="15.75" customHeight="1" thickBot="1" x14ac:dyDescent="0.3">
      <c r="A2" s="460" t="s">
        <v>21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2"/>
    </row>
    <row r="3" spans="1:17" ht="15.75" thickBot="1" x14ac:dyDescent="0.3">
      <c r="A3" s="460" t="s">
        <v>341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2"/>
    </row>
    <row r="4" spans="1:17" ht="15.75" customHeight="1" thickBot="1" x14ac:dyDescent="0.3">
      <c r="A4" s="463" t="s">
        <v>10</v>
      </c>
      <c r="B4" s="465" t="s">
        <v>9</v>
      </c>
      <c r="C4" s="9"/>
      <c r="D4" s="470" t="s">
        <v>0</v>
      </c>
      <c r="E4" s="471"/>
      <c r="F4" s="472"/>
      <c r="G4" s="2"/>
      <c r="H4" s="467" t="s">
        <v>1</v>
      </c>
      <c r="I4" s="468"/>
      <c r="J4" s="469"/>
      <c r="K4" s="1"/>
      <c r="L4" s="491" t="s">
        <v>2</v>
      </c>
      <c r="M4" s="492"/>
      <c r="N4">
        <v>65</v>
      </c>
      <c r="O4">
        <v>35</v>
      </c>
    </row>
    <row r="5" spans="1:17" ht="45.75" thickBot="1" x14ac:dyDescent="0.3">
      <c r="A5" s="490"/>
      <c r="B5" s="466"/>
      <c r="C5" s="43"/>
      <c r="D5" s="303" t="s">
        <v>3</v>
      </c>
      <c r="E5" s="45" t="s">
        <v>4</v>
      </c>
      <c r="F5" s="304" t="s">
        <v>6</v>
      </c>
      <c r="G5" s="7"/>
      <c r="H5" s="3" t="s">
        <v>3</v>
      </c>
      <c r="I5" s="4" t="s">
        <v>4</v>
      </c>
      <c r="J5" s="304" t="s">
        <v>6</v>
      </c>
      <c r="K5" s="6"/>
      <c r="L5" s="3" t="s">
        <v>7</v>
      </c>
      <c r="M5" s="8" t="s">
        <v>8</v>
      </c>
      <c r="N5">
        <v>4</v>
      </c>
      <c r="O5">
        <v>6</v>
      </c>
      <c r="Q5">
        <v>0.75</v>
      </c>
    </row>
    <row r="6" spans="1:17" ht="15.75" thickBot="1" x14ac:dyDescent="0.3">
      <c r="A6" s="580" t="s">
        <v>313</v>
      </c>
      <c r="B6" s="36" t="s">
        <v>376</v>
      </c>
      <c r="C6" s="48"/>
      <c r="D6" s="15">
        <f t="shared" ref="D6:E11" si="0">(CEILING(N6*$N$5*$Q$5,1))+65</f>
        <v>953</v>
      </c>
      <c r="E6" s="16">
        <f t="shared" si="0"/>
        <v>1574</v>
      </c>
      <c r="F6" s="18">
        <f t="shared" ref="F6:F11" si="1">(CEILING(P6*$N$5*$Q$5,1))+35</f>
        <v>35</v>
      </c>
      <c r="G6" s="48"/>
      <c r="H6" s="15">
        <f t="shared" ref="H6:I11" si="2">(CEILING(N6*$O$5*$Q$5,1))+65</f>
        <v>1397</v>
      </c>
      <c r="I6" s="16">
        <f t="shared" si="2"/>
        <v>2329</v>
      </c>
      <c r="J6" s="18">
        <f t="shared" ref="J6:J11" si="3">(CEILING(P6*$O$5*$Q$5,1))+35</f>
        <v>35</v>
      </c>
      <c r="K6" s="48"/>
      <c r="L6" s="305" t="s">
        <v>47</v>
      </c>
      <c r="M6" s="305">
        <f t="shared" ref="M6:M11" si="4">(CEILING((N6*$O$5)/2,1))+65</f>
        <v>953</v>
      </c>
      <c r="N6">
        <v>296</v>
      </c>
      <c r="O6">
        <f>N6+207</f>
        <v>503</v>
      </c>
      <c r="P6">
        <v>0</v>
      </c>
    </row>
    <row r="7" spans="1:17" ht="15.75" thickBot="1" x14ac:dyDescent="0.3">
      <c r="A7" s="581"/>
      <c r="B7" s="37" t="s">
        <v>377</v>
      </c>
      <c r="C7" s="48"/>
      <c r="D7" s="325">
        <f t="shared" si="0"/>
        <v>698</v>
      </c>
      <c r="E7" s="326">
        <f t="shared" si="0"/>
        <v>1142</v>
      </c>
      <c r="F7" s="327">
        <f t="shared" si="1"/>
        <v>35</v>
      </c>
      <c r="G7" s="48"/>
      <c r="H7" s="325">
        <f t="shared" si="2"/>
        <v>1015</v>
      </c>
      <c r="I7" s="326">
        <f t="shared" si="2"/>
        <v>1681</v>
      </c>
      <c r="J7" s="327">
        <f t="shared" si="3"/>
        <v>35</v>
      </c>
      <c r="K7" s="48"/>
      <c r="L7" s="332" t="s">
        <v>47</v>
      </c>
      <c r="M7" s="332">
        <f t="shared" si="4"/>
        <v>698</v>
      </c>
      <c r="N7">
        <v>211</v>
      </c>
      <c r="O7">
        <f>N7+148</f>
        <v>359</v>
      </c>
      <c r="P7">
        <v>0</v>
      </c>
    </row>
    <row r="8" spans="1:17" ht="15" customHeight="1" thickBot="1" x14ac:dyDescent="0.3">
      <c r="A8" s="581"/>
      <c r="B8" s="37" t="s">
        <v>346</v>
      </c>
      <c r="C8" s="48"/>
      <c r="D8" s="24">
        <f t="shared" si="0"/>
        <v>1073</v>
      </c>
      <c r="E8" s="328">
        <f t="shared" si="0"/>
        <v>1781</v>
      </c>
      <c r="F8" s="329">
        <f t="shared" si="1"/>
        <v>35</v>
      </c>
      <c r="G8" s="48"/>
      <c r="H8" s="24">
        <f t="shared" si="2"/>
        <v>1577</v>
      </c>
      <c r="I8" s="328">
        <f t="shared" si="2"/>
        <v>2639</v>
      </c>
      <c r="J8" s="329">
        <f t="shared" si="3"/>
        <v>35</v>
      </c>
      <c r="K8" s="48"/>
      <c r="L8" s="307" t="s">
        <v>47</v>
      </c>
      <c r="M8" s="307">
        <f t="shared" si="4"/>
        <v>1073</v>
      </c>
      <c r="N8">
        <v>336</v>
      </c>
      <c r="O8">
        <f>N8+236</f>
        <v>572</v>
      </c>
      <c r="P8">
        <v>0</v>
      </c>
    </row>
    <row r="9" spans="1:17" x14ac:dyDescent="0.25">
      <c r="A9" s="580" t="s">
        <v>383</v>
      </c>
      <c r="B9" s="36" t="s">
        <v>376</v>
      </c>
      <c r="C9" s="10"/>
      <c r="D9" s="15">
        <f t="shared" si="0"/>
        <v>1508</v>
      </c>
      <c r="E9" s="16">
        <f t="shared" si="0"/>
        <v>2519</v>
      </c>
      <c r="F9" s="18">
        <f t="shared" si="1"/>
        <v>35</v>
      </c>
      <c r="G9" s="10"/>
      <c r="H9" s="15">
        <f t="shared" si="2"/>
        <v>2230</v>
      </c>
      <c r="I9" s="16">
        <f t="shared" si="2"/>
        <v>3746</v>
      </c>
      <c r="J9" s="18">
        <f t="shared" si="3"/>
        <v>35</v>
      </c>
      <c r="K9" s="10"/>
      <c r="L9" s="305" t="s">
        <v>47</v>
      </c>
      <c r="M9" s="305">
        <f t="shared" si="4"/>
        <v>1508</v>
      </c>
      <c r="N9">
        <v>481</v>
      </c>
      <c r="O9">
        <f>N9+337</f>
        <v>818</v>
      </c>
      <c r="P9">
        <v>0</v>
      </c>
    </row>
    <row r="10" spans="1:17" ht="15.75" thickBot="1" x14ac:dyDescent="0.3">
      <c r="A10" s="581"/>
      <c r="B10" s="37" t="s">
        <v>377</v>
      </c>
      <c r="C10" s="10"/>
      <c r="D10" s="325">
        <f t="shared" si="0"/>
        <v>1253</v>
      </c>
      <c r="E10" s="326">
        <f t="shared" si="0"/>
        <v>2084</v>
      </c>
      <c r="F10" s="327">
        <f t="shared" si="1"/>
        <v>35</v>
      </c>
      <c r="G10" s="10"/>
      <c r="H10" s="325">
        <f t="shared" si="2"/>
        <v>1847</v>
      </c>
      <c r="I10" s="326">
        <f t="shared" si="2"/>
        <v>3094</v>
      </c>
      <c r="J10" s="327">
        <f t="shared" si="3"/>
        <v>35</v>
      </c>
      <c r="K10" s="10"/>
      <c r="L10" s="332" t="s">
        <v>47</v>
      </c>
      <c r="M10" s="332">
        <f t="shared" si="4"/>
        <v>1253</v>
      </c>
      <c r="N10">
        <v>396</v>
      </c>
      <c r="O10">
        <f>N10+277</f>
        <v>673</v>
      </c>
      <c r="P10">
        <v>0</v>
      </c>
    </row>
    <row r="11" spans="1:17" ht="15.75" thickBot="1" x14ac:dyDescent="0.3">
      <c r="A11" s="581"/>
      <c r="B11" s="37" t="s">
        <v>346</v>
      </c>
      <c r="C11" s="40"/>
      <c r="D11" s="24">
        <f t="shared" si="0"/>
        <v>1628</v>
      </c>
      <c r="E11" s="328">
        <f t="shared" si="0"/>
        <v>2723</v>
      </c>
      <c r="F11" s="329">
        <f t="shared" si="1"/>
        <v>35</v>
      </c>
      <c r="G11" s="48"/>
      <c r="H11" s="24">
        <f t="shared" si="2"/>
        <v>2410</v>
      </c>
      <c r="I11" s="328">
        <f t="shared" si="2"/>
        <v>4052</v>
      </c>
      <c r="J11" s="329">
        <f t="shared" si="3"/>
        <v>35</v>
      </c>
      <c r="K11" s="48"/>
      <c r="L11" s="307" t="s">
        <v>47</v>
      </c>
      <c r="M11" s="307">
        <f t="shared" si="4"/>
        <v>1628</v>
      </c>
      <c r="N11">
        <v>521</v>
      </c>
      <c r="O11">
        <f>N11+365</f>
        <v>886</v>
      </c>
      <c r="P11">
        <v>0</v>
      </c>
    </row>
    <row r="12" spans="1:17" ht="15.75" thickBot="1" x14ac:dyDescent="0.3">
      <c r="A12" s="130" t="s">
        <v>17</v>
      </c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8"/>
    </row>
    <row r="13" spans="1:17" x14ac:dyDescent="0.25">
      <c r="A13" s="59" t="s">
        <v>12</v>
      </c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6"/>
    </row>
    <row r="14" spans="1:17" x14ac:dyDescent="0.25">
      <c r="A14" s="59" t="s">
        <v>269</v>
      </c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6"/>
    </row>
    <row r="15" spans="1:17" x14ac:dyDescent="0.25">
      <c r="A15" s="59" t="s">
        <v>14</v>
      </c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6"/>
    </row>
    <row r="16" spans="1:17" ht="15.75" thickBot="1" x14ac:dyDescent="0.3">
      <c r="A16" s="493" t="s">
        <v>385</v>
      </c>
      <c r="B16" s="494"/>
      <c r="C16" s="494"/>
      <c r="D16" s="494"/>
      <c r="E16" s="494"/>
      <c r="F16" s="494"/>
      <c r="G16" s="494"/>
      <c r="H16" s="494"/>
      <c r="I16" s="494"/>
      <c r="J16" s="494"/>
      <c r="K16" s="494"/>
      <c r="L16" s="494"/>
      <c r="M16" s="495"/>
    </row>
    <row r="17" spans="1:17" ht="15.75" customHeight="1" thickBot="1" x14ac:dyDescent="0.3">
      <c r="A17" s="460" t="s">
        <v>121</v>
      </c>
      <c r="B17" s="461"/>
      <c r="C17" s="461"/>
      <c r="D17" s="461"/>
      <c r="E17" s="461"/>
      <c r="F17" s="461"/>
      <c r="G17" s="461"/>
      <c r="H17" s="540"/>
      <c r="I17" s="540"/>
      <c r="J17" s="461"/>
      <c r="K17" s="461"/>
      <c r="L17" s="461"/>
      <c r="M17" s="462"/>
    </row>
    <row r="18" spans="1:17" ht="15.75" customHeight="1" thickBot="1" x14ac:dyDescent="0.3">
      <c r="A18" s="460" t="s">
        <v>384</v>
      </c>
      <c r="B18" s="461"/>
      <c r="C18" s="461"/>
      <c r="D18" s="461"/>
      <c r="E18" s="461"/>
      <c r="F18" s="461"/>
      <c r="G18" s="461"/>
      <c r="H18" s="540"/>
      <c r="I18" s="540"/>
      <c r="J18" s="461"/>
      <c r="K18" s="461"/>
      <c r="L18" s="461"/>
      <c r="M18" s="462"/>
    </row>
    <row r="19" spans="1:17" ht="15.75" customHeight="1" thickBot="1" x14ac:dyDescent="0.3">
      <c r="A19" s="463" t="s">
        <v>10</v>
      </c>
      <c r="B19" s="465" t="s">
        <v>9</v>
      </c>
      <c r="C19" s="9"/>
      <c r="D19" s="470" t="s">
        <v>0</v>
      </c>
      <c r="E19" s="471"/>
      <c r="F19" s="472"/>
      <c r="G19" s="2"/>
      <c r="H19" s="467" t="s">
        <v>1</v>
      </c>
      <c r="I19" s="468"/>
      <c r="J19" s="469"/>
      <c r="K19" s="1"/>
      <c r="L19" s="491" t="s">
        <v>2</v>
      </c>
      <c r="M19" s="492"/>
      <c r="N19">
        <v>65</v>
      </c>
      <c r="O19">
        <v>35</v>
      </c>
      <c r="P19">
        <v>0.9</v>
      </c>
    </row>
    <row r="20" spans="1:17" ht="45.75" thickBot="1" x14ac:dyDescent="0.3">
      <c r="A20" s="490"/>
      <c r="B20" s="466"/>
      <c r="C20" s="43"/>
      <c r="D20" s="303" t="s">
        <v>3</v>
      </c>
      <c r="E20" s="45" t="s">
        <v>4</v>
      </c>
      <c r="F20" s="304" t="s">
        <v>6</v>
      </c>
      <c r="G20" s="7"/>
      <c r="H20" s="3" t="s">
        <v>3</v>
      </c>
      <c r="I20" s="4" t="s">
        <v>4</v>
      </c>
      <c r="J20" s="304" t="s">
        <v>6</v>
      </c>
      <c r="K20" s="6"/>
      <c r="L20" s="3" t="s">
        <v>7</v>
      </c>
      <c r="M20" s="8" t="s">
        <v>8</v>
      </c>
      <c r="N20">
        <v>4</v>
      </c>
      <c r="O20">
        <v>6</v>
      </c>
      <c r="Q20">
        <v>0.75</v>
      </c>
    </row>
    <row r="21" spans="1:17" ht="15.75" thickBot="1" x14ac:dyDescent="0.3">
      <c r="A21" s="580" t="s">
        <v>313</v>
      </c>
      <c r="B21" s="36" t="s">
        <v>376</v>
      </c>
      <c r="C21" s="48"/>
      <c r="D21" s="15">
        <f t="shared" ref="D21:E26" si="5">(CEILING((CEILING(N21*$N$5*$Q$5,1))*0.9,1))+65</f>
        <v>865</v>
      </c>
      <c r="E21" s="16">
        <f t="shared" si="5"/>
        <v>1424</v>
      </c>
      <c r="F21" s="18">
        <f t="shared" ref="F21:F26" si="6">(CEILING(P21*$N$5*$Q$5,1))+35</f>
        <v>35</v>
      </c>
      <c r="G21" s="48"/>
      <c r="H21" s="15">
        <f>(CEILING((CEILING(N21*$O$5*$Q$5,1))*0.9,1))+65</f>
        <v>1264</v>
      </c>
      <c r="I21" s="16">
        <f>(CEILING((CEILING(O21*$O$5*$Q$5,1))*0.9,1))+65</f>
        <v>2103</v>
      </c>
      <c r="J21" s="18">
        <f t="shared" ref="J21:J26" si="7">(CEILING(P21*$O$5*$Q$5,1))+35</f>
        <v>35</v>
      </c>
      <c r="K21" s="48"/>
      <c r="L21" s="305" t="s">
        <v>47</v>
      </c>
      <c r="M21" s="305">
        <f t="shared" ref="M21:M26" si="8">(CEILING((CEILING((N21*$O$5)/2,1))*0.9,1))+65</f>
        <v>865</v>
      </c>
      <c r="N21">
        <v>296</v>
      </c>
      <c r="O21">
        <f>N21+207</f>
        <v>503</v>
      </c>
      <c r="P21">
        <v>0</v>
      </c>
    </row>
    <row r="22" spans="1:17" ht="15.75" thickBot="1" x14ac:dyDescent="0.3">
      <c r="A22" s="581"/>
      <c r="B22" s="37" t="s">
        <v>377</v>
      </c>
      <c r="C22" s="48"/>
      <c r="D22" s="325">
        <f t="shared" si="5"/>
        <v>635</v>
      </c>
      <c r="E22" s="326">
        <f t="shared" si="5"/>
        <v>1035</v>
      </c>
      <c r="F22" s="327">
        <f t="shared" si="6"/>
        <v>35</v>
      </c>
      <c r="G22" s="48"/>
      <c r="H22" s="325">
        <f>((CEILING(N22*$O$5*$Q$5,1))*0.9)+65</f>
        <v>920</v>
      </c>
      <c r="I22" s="326">
        <f>(CEILING((CEILING(O22*$O$5*$Q$5,1))*0.9,1))+65</f>
        <v>1520</v>
      </c>
      <c r="J22" s="327">
        <f t="shared" si="7"/>
        <v>35</v>
      </c>
      <c r="K22" s="48"/>
      <c r="L22" s="332" t="s">
        <v>47</v>
      </c>
      <c r="M22" s="332">
        <f t="shared" si="8"/>
        <v>635</v>
      </c>
      <c r="N22">
        <v>211</v>
      </c>
      <c r="O22">
        <f>N22+148</f>
        <v>359</v>
      </c>
      <c r="P22">
        <v>0</v>
      </c>
    </row>
    <row r="23" spans="1:17" ht="15" customHeight="1" thickBot="1" x14ac:dyDescent="0.3">
      <c r="A23" s="581"/>
      <c r="B23" s="37" t="s">
        <v>346</v>
      </c>
      <c r="C23" s="48"/>
      <c r="D23" s="24">
        <f t="shared" si="5"/>
        <v>973</v>
      </c>
      <c r="E23" s="328">
        <f t="shared" si="5"/>
        <v>1610</v>
      </c>
      <c r="F23" s="329">
        <f t="shared" si="6"/>
        <v>35</v>
      </c>
      <c r="G23" s="48"/>
      <c r="H23" s="24">
        <f>(CEILING((CEILING(N23*$O$5*$Q$5,1))*0.9,1))+65</f>
        <v>1426</v>
      </c>
      <c r="I23" s="328">
        <f>(CEILING((CEILING(O23*$O$5*$Q$5,1))*0.9,1))+65</f>
        <v>2382</v>
      </c>
      <c r="J23" s="329">
        <f t="shared" si="7"/>
        <v>35</v>
      </c>
      <c r="K23" s="48"/>
      <c r="L23" s="307" t="s">
        <v>47</v>
      </c>
      <c r="M23" s="307">
        <f t="shared" si="8"/>
        <v>973</v>
      </c>
      <c r="N23">
        <v>336</v>
      </c>
      <c r="O23">
        <f>N23+236</f>
        <v>572</v>
      </c>
      <c r="P23">
        <v>0</v>
      </c>
    </row>
    <row r="24" spans="1:17" x14ac:dyDescent="0.25">
      <c r="A24" s="580" t="s">
        <v>383</v>
      </c>
      <c r="B24" s="36" t="s">
        <v>376</v>
      </c>
      <c r="C24" s="10"/>
      <c r="D24" s="15">
        <f t="shared" si="5"/>
        <v>1364</v>
      </c>
      <c r="E24" s="16">
        <f t="shared" si="5"/>
        <v>2274</v>
      </c>
      <c r="F24" s="18">
        <f t="shared" si="6"/>
        <v>35</v>
      </c>
      <c r="G24" s="10"/>
      <c r="H24" s="15">
        <f>(CEILING((CEILING(N24*$O$5*$Q$5,1))*0.9,1))+65</f>
        <v>2014</v>
      </c>
      <c r="I24" s="16">
        <f>(CEILING((CEILING(O24*$O$5*$Q$5,1))*0.9,1))+65</f>
        <v>3378</v>
      </c>
      <c r="J24" s="18">
        <f t="shared" si="7"/>
        <v>35</v>
      </c>
      <c r="K24" s="10"/>
      <c r="L24" s="305" t="s">
        <v>47</v>
      </c>
      <c r="M24" s="305">
        <f t="shared" si="8"/>
        <v>1364</v>
      </c>
      <c r="N24">
        <v>481</v>
      </c>
      <c r="O24">
        <f>N24+337</f>
        <v>818</v>
      </c>
      <c r="P24">
        <v>0</v>
      </c>
    </row>
    <row r="25" spans="1:17" ht="15.75" thickBot="1" x14ac:dyDescent="0.3">
      <c r="A25" s="581"/>
      <c r="B25" s="37" t="s">
        <v>377</v>
      </c>
      <c r="C25" s="10"/>
      <c r="D25" s="325">
        <f t="shared" si="5"/>
        <v>1135</v>
      </c>
      <c r="E25" s="326">
        <f t="shared" si="5"/>
        <v>1883</v>
      </c>
      <c r="F25" s="327">
        <f t="shared" si="6"/>
        <v>35</v>
      </c>
      <c r="G25" s="10"/>
      <c r="H25" s="325">
        <f>(CEILING((CEILING(N25*$O$5*$Q$5,1))*0.9,1))+65</f>
        <v>1669</v>
      </c>
      <c r="I25" s="326">
        <f>(CEILING((CEILING(O25*$O$5*$Q$5,1))*0.9,1))+65</f>
        <v>2792</v>
      </c>
      <c r="J25" s="327">
        <f t="shared" si="7"/>
        <v>35</v>
      </c>
      <c r="K25" s="10"/>
      <c r="L25" s="332" t="s">
        <v>47</v>
      </c>
      <c r="M25" s="332">
        <f t="shared" si="8"/>
        <v>1135</v>
      </c>
      <c r="N25">
        <v>396</v>
      </c>
      <c r="O25">
        <f>N25+277</f>
        <v>673</v>
      </c>
      <c r="P25">
        <v>0</v>
      </c>
    </row>
    <row r="26" spans="1:17" ht="15.75" thickBot="1" x14ac:dyDescent="0.3">
      <c r="A26" s="581"/>
      <c r="B26" s="37" t="s">
        <v>346</v>
      </c>
      <c r="C26" s="40"/>
      <c r="D26" s="24">
        <f t="shared" si="5"/>
        <v>1472</v>
      </c>
      <c r="E26" s="328">
        <f t="shared" si="5"/>
        <v>2458</v>
      </c>
      <c r="F26" s="329">
        <f t="shared" si="6"/>
        <v>35</v>
      </c>
      <c r="G26" s="48"/>
      <c r="H26" s="24">
        <f>(CEILING((CEILING(N26*$O$5*$Q$5,1))*0.9,1))+65</f>
        <v>2176</v>
      </c>
      <c r="I26" s="328">
        <f>(CEILING((CEILING(O26*$O$5*$Q$5,1))*0.9,1))+65</f>
        <v>3654</v>
      </c>
      <c r="J26" s="329">
        <f t="shared" si="7"/>
        <v>35</v>
      </c>
      <c r="K26" s="48"/>
      <c r="L26" s="307" t="s">
        <v>47</v>
      </c>
      <c r="M26" s="307">
        <f t="shared" si="8"/>
        <v>1472</v>
      </c>
      <c r="N26">
        <v>521</v>
      </c>
      <c r="O26">
        <f>N26+365</f>
        <v>886</v>
      </c>
      <c r="P26">
        <v>0</v>
      </c>
    </row>
    <row r="27" spans="1:17" ht="15.75" thickBot="1" x14ac:dyDescent="0.3">
      <c r="A27" s="300" t="s">
        <v>126</v>
      </c>
      <c r="B27" s="119"/>
      <c r="C27" s="119"/>
      <c r="D27" s="164"/>
      <c r="E27" s="164"/>
      <c r="F27" s="164"/>
      <c r="G27" s="119"/>
      <c r="H27" s="164"/>
      <c r="I27" s="164"/>
      <c r="J27" s="164"/>
      <c r="K27" s="119"/>
      <c r="L27" s="164"/>
      <c r="M27" s="225"/>
    </row>
    <row r="28" spans="1:17" ht="15" customHeight="1" x14ac:dyDescent="0.25">
      <c r="A28" t="s">
        <v>386</v>
      </c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4"/>
    </row>
    <row r="29" spans="1:17" ht="15" customHeight="1" x14ac:dyDescent="0.25">
      <c r="A29" t="s">
        <v>389</v>
      </c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4"/>
      <c r="O29" t="s">
        <v>398</v>
      </c>
    </row>
    <row r="30" spans="1:17" ht="15" customHeight="1" x14ac:dyDescent="0.25">
      <c r="A30" t="s">
        <v>388</v>
      </c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4"/>
    </row>
    <row r="31" spans="1:17" ht="15" customHeight="1" x14ac:dyDescent="0.25">
      <c r="A31" t="s">
        <v>387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4"/>
    </row>
    <row r="32" spans="1:17" ht="15" customHeight="1" x14ac:dyDescent="0.25">
      <c r="A32" s="136" t="s">
        <v>29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4"/>
    </row>
    <row r="33" spans="1:16" ht="15" customHeight="1" x14ac:dyDescent="0.25">
      <c r="A33" s="135" t="s">
        <v>390</v>
      </c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4"/>
    </row>
    <row r="34" spans="1:16" x14ac:dyDescent="0.25">
      <c r="A34" s="135" t="s">
        <v>391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1"/>
    </row>
    <row r="35" spans="1:16" x14ac:dyDescent="0.25">
      <c r="A35" s="62" t="s">
        <v>392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1"/>
      <c r="P35" s="345"/>
    </row>
    <row r="36" spans="1:16" x14ac:dyDescent="0.25">
      <c r="A36" s="62" t="s">
        <v>393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</row>
    <row r="37" spans="1:16" ht="15.75" thickBot="1" x14ac:dyDescent="0.3">
      <c r="A37" s="62" t="s">
        <v>394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1"/>
    </row>
    <row r="38" spans="1:16" ht="15.75" thickBot="1" x14ac:dyDescent="0.3">
      <c r="A38" s="454" t="s">
        <v>16</v>
      </c>
      <c r="B38" s="455"/>
      <c r="C38" s="455"/>
      <c r="D38" s="455"/>
      <c r="E38" s="455"/>
      <c r="F38" s="455"/>
      <c r="G38" s="455"/>
      <c r="H38" s="455"/>
      <c r="I38" s="455"/>
      <c r="J38" s="455"/>
      <c r="K38" s="455"/>
      <c r="L38" s="455"/>
      <c r="M38" s="456"/>
    </row>
    <row r="39" spans="1:16" x14ac:dyDescent="0.25">
      <c r="A39" s="63" t="s">
        <v>396</v>
      </c>
      <c r="B39" s="64" t="s">
        <v>395</v>
      </c>
      <c r="C39" s="65"/>
      <c r="D39" s="65"/>
      <c r="E39" s="60"/>
      <c r="F39" s="60"/>
      <c r="G39" s="60"/>
      <c r="H39" s="60"/>
      <c r="I39" s="60"/>
      <c r="J39" s="60"/>
      <c r="K39" s="60"/>
      <c r="L39" s="60"/>
      <c r="M39" s="61"/>
    </row>
    <row r="40" spans="1:16" ht="15.75" thickBot="1" x14ac:dyDescent="0.3">
      <c r="A40" s="63" t="s">
        <v>397</v>
      </c>
      <c r="B40" s="64" t="s">
        <v>395</v>
      </c>
      <c r="C40" s="65"/>
      <c r="D40" s="65"/>
      <c r="E40" s="60"/>
      <c r="F40" s="60"/>
      <c r="G40" s="60"/>
      <c r="H40" s="60"/>
      <c r="I40" s="60"/>
      <c r="J40" s="60"/>
      <c r="K40" s="60"/>
      <c r="L40" s="60"/>
      <c r="M40" s="61"/>
    </row>
    <row r="41" spans="1:16" ht="15.75" thickBot="1" x14ac:dyDescent="0.3">
      <c r="A41" s="454" t="s">
        <v>15</v>
      </c>
      <c r="B41" s="455"/>
      <c r="C41" s="455"/>
      <c r="D41" s="455"/>
      <c r="E41" s="455"/>
      <c r="F41" s="455"/>
      <c r="G41" s="455"/>
      <c r="H41" s="455"/>
      <c r="I41" s="455"/>
      <c r="J41" s="455"/>
      <c r="K41" s="455"/>
      <c r="L41" s="455"/>
      <c r="M41" s="456"/>
    </row>
    <row r="42" spans="1:16" x14ac:dyDescent="0.25">
      <c r="A42" s="76" t="s">
        <v>157</v>
      </c>
      <c r="B42" s="77" t="s">
        <v>158</v>
      </c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8"/>
    </row>
    <row r="43" spans="1:16" x14ac:dyDescent="0.25">
      <c r="A43" s="114" t="s">
        <v>159</v>
      </c>
      <c r="B43" s="137" t="s">
        <v>170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58"/>
    </row>
    <row r="44" spans="1:16" x14ac:dyDescent="0.25">
      <c r="A44" s="28" t="s">
        <v>160</v>
      </c>
      <c r="B44" s="29" t="s">
        <v>161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58"/>
    </row>
    <row r="45" spans="1:16" x14ac:dyDescent="0.25">
      <c r="A45" s="28" t="s">
        <v>162</v>
      </c>
      <c r="B45" s="29" t="s">
        <v>163</v>
      </c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58"/>
    </row>
    <row r="46" spans="1:16" x14ac:dyDescent="0.25">
      <c r="A46" s="28" t="s">
        <v>164</v>
      </c>
      <c r="B46" s="29" t="s">
        <v>165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58"/>
    </row>
    <row r="47" spans="1:16" x14ac:dyDescent="0.25">
      <c r="A47" s="114" t="s">
        <v>166</v>
      </c>
      <c r="B47" s="137" t="s">
        <v>171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58"/>
    </row>
    <row r="48" spans="1:16" x14ac:dyDescent="0.25">
      <c r="A48" s="28" t="s">
        <v>167</v>
      </c>
      <c r="B48" s="29" t="s">
        <v>161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58"/>
    </row>
    <row r="49" spans="1:13" x14ac:dyDescent="0.25">
      <c r="A49" s="28" t="s">
        <v>162</v>
      </c>
      <c r="B49" s="29" t="s">
        <v>163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58"/>
    </row>
    <row r="50" spans="1:13" x14ac:dyDescent="0.25">
      <c r="A50" s="28" t="s">
        <v>164</v>
      </c>
      <c r="B50" s="29" t="s">
        <v>165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58"/>
    </row>
    <row r="51" spans="1:13" x14ac:dyDescent="0.25">
      <c r="A51" s="114" t="s">
        <v>168</v>
      </c>
      <c r="B51" s="137" t="s">
        <v>172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58"/>
    </row>
    <row r="52" spans="1:13" x14ac:dyDescent="0.25">
      <c r="A52" s="28" t="s">
        <v>167</v>
      </c>
      <c r="B52" s="29" t="s">
        <v>161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58"/>
    </row>
    <row r="53" spans="1:13" x14ac:dyDescent="0.25">
      <c r="A53" s="28" t="s">
        <v>162</v>
      </c>
      <c r="B53" s="29" t="s">
        <v>163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58"/>
    </row>
    <row r="54" spans="1:13" x14ac:dyDescent="0.25">
      <c r="A54" s="28" t="s">
        <v>164</v>
      </c>
      <c r="B54" s="29" t="s">
        <v>165</v>
      </c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58"/>
    </row>
    <row r="55" spans="1:13" x14ac:dyDescent="0.25">
      <c r="A55" s="114" t="s">
        <v>55</v>
      </c>
      <c r="B55" s="137" t="s">
        <v>173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58"/>
    </row>
    <row r="56" spans="1:13" x14ac:dyDescent="0.25">
      <c r="A56" s="28" t="s">
        <v>169</v>
      </c>
      <c r="B56" s="29" t="s">
        <v>163</v>
      </c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58"/>
    </row>
    <row r="57" spans="1:13" x14ac:dyDescent="0.25">
      <c r="A57" s="28" t="s">
        <v>162</v>
      </c>
      <c r="B57" s="29" t="s">
        <v>163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58"/>
    </row>
    <row r="58" spans="1:13" ht="15.75" thickBot="1" x14ac:dyDescent="0.3">
      <c r="A58" s="138" t="s">
        <v>164</v>
      </c>
      <c r="B58" s="88" t="s">
        <v>165</v>
      </c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7"/>
    </row>
  </sheetData>
  <mergeCells count="22">
    <mergeCell ref="A21:A23"/>
    <mergeCell ref="A24:A26"/>
    <mergeCell ref="A38:M38"/>
    <mergeCell ref="A41:M41"/>
    <mergeCell ref="A19:A20"/>
    <mergeCell ref="B19:B20"/>
    <mergeCell ref="D19:F19"/>
    <mergeCell ref="H19:J19"/>
    <mergeCell ref="L19:M19"/>
    <mergeCell ref="A16:M16"/>
    <mergeCell ref="A17:M17"/>
    <mergeCell ref="A18:M18"/>
    <mergeCell ref="A1:M1"/>
    <mergeCell ref="A2:M2"/>
    <mergeCell ref="A3:M3"/>
    <mergeCell ref="A4:A5"/>
    <mergeCell ref="B4:B5"/>
    <mergeCell ref="D4:F4"/>
    <mergeCell ref="H4:J4"/>
    <mergeCell ref="L4:M4"/>
    <mergeCell ref="A6:A8"/>
    <mergeCell ref="A9:A1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E40" sqref="E40"/>
    </sheetView>
  </sheetViews>
  <sheetFormatPr defaultRowHeight="15" x14ac:dyDescent="0.25"/>
  <cols>
    <col min="1" max="1" width="24" customWidth="1"/>
    <col min="2" max="2" width="20" customWidth="1"/>
    <col min="3" max="3" width="1.7109375" customWidth="1"/>
    <col min="9" max="9" width="1.7109375" customWidth="1"/>
    <col min="15" max="15" width="1.5703125" customWidth="1"/>
  </cols>
  <sheetData>
    <row r="1" spans="1:22" ht="15.75" thickBot="1" x14ac:dyDescent="0.3">
      <c r="A1" s="460" t="s">
        <v>317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2"/>
    </row>
    <row r="2" spans="1:22" ht="15.75" thickBot="1" x14ac:dyDescent="0.3">
      <c r="A2" s="460" t="s">
        <v>21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2"/>
    </row>
    <row r="3" spans="1:22" ht="15.75" thickBot="1" x14ac:dyDescent="0.3">
      <c r="A3" s="460" t="s">
        <v>341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2"/>
      <c r="S3">
        <v>6</v>
      </c>
    </row>
    <row r="4" spans="1:22" ht="15.75" customHeight="1" thickBot="1" x14ac:dyDescent="0.3">
      <c r="A4" s="463" t="s">
        <v>10</v>
      </c>
      <c r="B4" s="465" t="s">
        <v>9</v>
      </c>
      <c r="C4" s="9"/>
      <c r="D4" s="467" t="s">
        <v>0</v>
      </c>
      <c r="E4" s="468"/>
      <c r="F4" s="468"/>
      <c r="G4" s="468"/>
      <c r="H4" s="469"/>
      <c r="I4" s="2"/>
      <c r="J4" s="467" t="s">
        <v>1</v>
      </c>
      <c r="K4" s="468"/>
      <c r="L4" s="468"/>
      <c r="M4" s="468"/>
      <c r="N4" s="469"/>
      <c r="O4" s="1"/>
      <c r="P4" s="558" t="s">
        <v>2</v>
      </c>
      <c r="Q4" s="559"/>
      <c r="R4" t="s">
        <v>324</v>
      </c>
      <c r="S4">
        <v>25</v>
      </c>
      <c r="T4">
        <v>20</v>
      </c>
    </row>
    <row r="5" spans="1:22" ht="60.75" thickBot="1" x14ac:dyDescent="0.3">
      <c r="A5" s="490"/>
      <c r="B5" s="502"/>
      <c r="C5" s="43"/>
      <c r="D5" s="44" t="s">
        <v>3</v>
      </c>
      <c r="E5" s="45" t="s">
        <v>4</v>
      </c>
      <c r="F5" s="45" t="s">
        <v>5</v>
      </c>
      <c r="G5" s="45" t="s">
        <v>316</v>
      </c>
      <c r="H5" s="47" t="s">
        <v>314</v>
      </c>
      <c r="I5" s="43"/>
      <c r="J5" s="44" t="s">
        <v>3</v>
      </c>
      <c r="K5" s="45" t="s">
        <v>4</v>
      </c>
      <c r="L5" s="45" t="s">
        <v>5</v>
      </c>
      <c r="M5" s="45" t="s">
        <v>316</v>
      </c>
      <c r="N5" s="47" t="s">
        <v>314</v>
      </c>
      <c r="O5" s="43"/>
      <c r="P5" s="44" t="s">
        <v>7</v>
      </c>
      <c r="Q5" s="47" t="s">
        <v>8</v>
      </c>
      <c r="R5">
        <v>4</v>
      </c>
      <c r="S5">
        <v>5</v>
      </c>
      <c r="T5">
        <v>1.5</v>
      </c>
    </row>
    <row r="6" spans="1:22" ht="30.75" thickBot="1" x14ac:dyDescent="0.3">
      <c r="A6" s="581" t="s">
        <v>89</v>
      </c>
      <c r="B6" s="323" t="s">
        <v>356</v>
      </c>
      <c r="C6" s="48"/>
      <c r="D6" s="15">
        <f>(R6*$R$5)+25</f>
        <v>745</v>
      </c>
      <c r="E6" s="16">
        <f>(S6*$R$5)+25</f>
        <v>1033</v>
      </c>
      <c r="F6" s="16" t="s">
        <v>47</v>
      </c>
      <c r="G6" s="16">
        <f>(U6*$R$5)+20</f>
        <v>380</v>
      </c>
      <c r="H6" s="18">
        <f>(V6*$R$5)+25</f>
        <v>457</v>
      </c>
      <c r="I6" s="48"/>
      <c r="J6" s="15">
        <f t="shared" ref="J6:K9" si="0">(R6*$S$5)+25</f>
        <v>925</v>
      </c>
      <c r="K6" s="16">
        <f t="shared" si="0"/>
        <v>1285</v>
      </c>
      <c r="L6" s="16" t="s">
        <v>47</v>
      </c>
      <c r="M6" s="16">
        <f t="shared" ref="M6:M9" si="1">(U6*$S$5)+20</f>
        <v>470</v>
      </c>
      <c r="N6" s="18">
        <f t="shared" ref="N6:N9" si="2">(V6*$S$5)+25</f>
        <v>565</v>
      </c>
      <c r="O6" s="48"/>
      <c r="P6" s="163">
        <f>((R6*$T$5*$R$5)/2)+25</f>
        <v>565</v>
      </c>
      <c r="Q6" s="322">
        <f>((R6*$T$5*$S$3)/2)+25</f>
        <v>835</v>
      </c>
      <c r="R6">
        <v>180</v>
      </c>
      <c r="S6">
        <v>252</v>
      </c>
      <c r="T6">
        <v>0</v>
      </c>
      <c r="U6">
        <v>90</v>
      </c>
      <c r="V6">
        <v>108</v>
      </c>
    </row>
    <row r="7" spans="1:22" ht="15.75" thickBot="1" x14ac:dyDescent="0.3">
      <c r="A7" s="581"/>
      <c r="B7" s="37" t="s">
        <v>350</v>
      </c>
      <c r="C7" s="48"/>
      <c r="D7" s="20">
        <f>(R7*$R$5)+25</f>
        <v>625</v>
      </c>
      <c r="E7" s="222">
        <f>(S7*$R$5)+25</f>
        <v>865</v>
      </c>
      <c r="F7" s="222" t="s">
        <v>47</v>
      </c>
      <c r="G7" s="222">
        <f>(U7*$R$5)+20</f>
        <v>320</v>
      </c>
      <c r="H7" s="224">
        <f>(V7*$R$5)+25</f>
        <v>385</v>
      </c>
      <c r="I7" s="48"/>
      <c r="J7" s="20">
        <f t="shared" si="0"/>
        <v>775</v>
      </c>
      <c r="K7" s="222">
        <f t="shared" si="0"/>
        <v>1075</v>
      </c>
      <c r="L7" s="222" t="s">
        <v>47</v>
      </c>
      <c r="M7" s="222">
        <f t="shared" si="1"/>
        <v>395</v>
      </c>
      <c r="N7" s="224">
        <f t="shared" si="2"/>
        <v>475</v>
      </c>
      <c r="O7" s="48"/>
      <c r="P7" s="336">
        <f>((R7*$T$5*$R$5)/2)+25</f>
        <v>475</v>
      </c>
      <c r="Q7" s="307">
        <f t="shared" ref="Q7" si="3">((R7*$T$5*$S$3)/2)+25</f>
        <v>700</v>
      </c>
      <c r="R7">
        <v>150</v>
      </c>
      <c r="S7">
        <v>210</v>
      </c>
      <c r="T7">
        <v>0</v>
      </c>
      <c r="U7">
        <v>75</v>
      </c>
      <c r="V7">
        <v>90</v>
      </c>
    </row>
    <row r="8" spans="1:22" ht="30.75" thickBot="1" x14ac:dyDescent="0.3">
      <c r="A8" s="581" t="s">
        <v>193</v>
      </c>
      <c r="B8" s="323" t="s">
        <v>356</v>
      </c>
      <c r="C8" s="10"/>
      <c r="D8" s="15">
        <f t="shared" ref="D8:F9" si="4">(R8*$R$5)+25</f>
        <v>845</v>
      </c>
      <c r="E8" s="16">
        <f t="shared" si="4"/>
        <v>1173</v>
      </c>
      <c r="F8" s="16">
        <f t="shared" si="4"/>
        <v>765</v>
      </c>
      <c r="G8" s="16">
        <f>(U8*$R$5)+20</f>
        <v>432</v>
      </c>
      <c r="H8" s="18">
        <f>(V8*$R$5)+25</f>
        <v>517</v>
      </c>
      <c r="I8" s="10"/>
      <c r="J8" s="15">
        <f t="shared" si="0"/>
        <v>1050</v>
      </c>
      <c r="K8" s="16">
        <f t="shared" si="0"/>
        <v>1460</v>
      </c>
      <c r="L8" s="16">
        <f>(T8*$S$5)+25</f>
        <v>950</v>
      </c>
      <c r="M8" s="16">
        <f t="shared" si="1"/>
        <v>535</v>
      </c>
      <c r="N8" s="18">
        <f t="shared" si="2"/>
        <v>640</v>
      </c>
      <c r="O8" s="10"/>
      <c r="P8" s="322">
        <f>((R8*$T$5*$R$5)/2)+25</f>
        <v>640</v>
      </c>
      <c r="Q8" s="322">
        <f>CEILING(((R8*$T$5*$S$3)/2)+25,1)</f>
        <v>948</v>
      </c>
      <c r="R8">
        <v>205</v>
      </c>
      <c r="S8">
        <v>287</v>
      </c>
      <c r="T8">
        <v>185</v>
      </c>
      <c r="U8">
        <v>103</v>
      </c>
      <c r="V8">
        <v>123</v>
      </c>
    </row>
    <row r="9" spans="1:22" ht="15.75" thickBot="1" x14ac:dyDescent="0.3">
      <c r="A9" s="581"/>
      <c r="B9" s="37" t="s">
        <v>350</v>
      </c>
      <c r="C9" s="40"/>
      <c r="D9" s="20">
        <f t="shared" si="4"/>
        <v>725</v>
      </c>
      <c r="E9" s="222">
        <f t="shared" si="4"/>
        <v>1005</v>
      </c>
      <c r="F9" s="222">
        <f t="shared" si="4"/>
        <v>657</v>
      </c>
      <c r="G9" s="222">
        <f>(U9*$R$5)+20</f>
        <v>372</v>
      </c>
      <c r="H9" s="224">
        <f>(V9*$R$5)+25</f>
        <v>445</v>
      </c>
      <c r="I9" s="48"/>
      <c r="J9" s="20">
        <f t="shared" si="0"/>
        <v>900</v>
      </c>
      <c r="K9" s="222">
        <f t="shared" si="0"/>
        <v>1250</v>
      </c>
      <c r="L9" s="222">
        <f>(T9*$S$5)+25</f>
        <v>815</v>
      </c>
      <c r="M9" s="222">
        <f t="shared" si="1"/>
        <v>460</v>
      </c>
      <c r="N9" s="224">
        <f t="shared" si="2"/>
        <v>550</v>
      </c>
      <c r="O9" s="48"/>
      <c r="P9" s="307">
        <f>((R9*$T$5*$R$5)/2)+25</f>
        <v>550</v>
      </c>
      <c r="Q9" s="307">
        <f>CEILING(((R9*$T$5*$S$3)/2)+25,1)</f>
        <v>813</v>
      </c>
      <c r="R9">
        <v>175</v>
      </c>
      <c r="S9">
        <v>245</v>
      </c>
      <c r="T9">
        <v>158</v>
      </c>
      <c r="U9">
        <v>88</v>
      </c>
      <c r="V9">
        <v>105</v>
      </c>
    </row>
    <row r="10" spans="1:22" ht="15.75" thickBot="1" x14ac:dyDescent="0.3">
      <c r="A10" s="130" t="s">
        <v>17</v>
      </c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8"/>
    </row>
    <row r="11" spans="1:22" x14ac:dyDescent="0.25">
      <c r="A11" s="59" t="s">
        <v>12</v>
      </c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6"/>
    </row>
    <row r="12" spans="1:22" x14ac:dyDescent="0.25">
      <c r="A12" s="59" t="s">
        <v>72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6"/>
    </row>
    <row r="13" spans="1:22" x14ac:dyDescent="0.25">
      <c r="A13" s="59" t="s">
        <v>14</v>
      </c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6"/>
    </row>
    <row r="14" spans="1:22" ht="15.75" thickBot="1" x14ac:dyDescent="0.3">
      <c r="A14" s="493" t="s">
        <v>315</v>
      </c>
      <c r="B14" s="494"/>
      <c r="C14" s="494"/>
      <c r="D14" s="494"/>
      <c r="E14" s="494"/>
      <c r="F14" s="494"/>
      <c r="G14" s="494"/>
      <c r="H14" s="494"/>
      <c r="I14" s="494"/>
      <c r="J14" s="494"/>
      <c r="K14" s="494"/>
      <c r="L14" s="494"/>
      <c r="M14" s="494"/>
      <c r="N14" s="494"/>
      <c r="O14" s="494"/>
      <c r="P14" s="494"/>
      <c r="Q14" s="495"/>
    </row>
    <row r="15" spans="1:22" ht="15.75" thickBot="1" x14ac:dyDescent="0.3">
      <c r="A15" s="460" t="s">
        <v>330</v>
      </c>
      <c r="B15" s="461"/>
      <c r="C15" s="461"/>
      <c r="D15" s="461"/>
      <c r="E15" s="461"/>
      <c r="F15" s="461"/>
      <c r="G15" s="461"/>
      <c r="H15" s="461"/>
      <c r="I15" s="461"/>
      <c r="J15" s="461"/>
      <c r="K15" s="461"/>
      <c r="L15" s="461"/>
      <c r="M15" s="461"/>
      <c r="N15" s="461"/>
      <c r="O15" s="461"/>
      <c r="P15" s="461"/>
      <c r="Q15" s="462"/>
      <c r="R15">
        <v>0.9</v>
      </c>
    </row>
    <row r="16" spans="1:22" ht="15.75" customHeight="1" thickBot="1" x14ac:dyDescent="0.3">
      <c r="A16" s="463" t="s">
        <v>10</v>
      </c>
      <c r="B16" s="465" t="s">
        <v>9</v>
      </c>
      <c r="C16" s="9"/>
      <c r="D16" s="467" t="s">
        <v>0</v>
      </c>
      <c r="E16" s="468"/>
      <c r="F16" s="468"/>
      <c r="G16" s="468"/>
      <c r="H16" s="469"/>
      <c r="I16" s="2"/>
      <c r="J16" s="467" t="s">
        <v>1</v>
      </c>
      <c r="K16" s="468"/>
      <c r="L16" s="468"/>
      <c r="M16" s="468"/>
      <c r="N16" s="469"/>
      <c r="O16" s="1"/>
      <c r="P16" s="558" t="s">
        <v>2</v>
      </c>
      <c r="Q16" s="559"/>
      <c r="R16" t="s">
        <v>324</v>
      </c>
      <c r="S16">
        <v>25</v>
      </c>
      <c r="T16">
        <v>20</v>
      </c>
    </row>
    <row r="17" spans="1:22" ht="60.75" thickBot="1" x14ac:dyDescent="0.3">
      <c r="A17" s="490"/>
      <c r="B17" s="502"/>
      <c r="C17" s="43"/>
      <c r="D17" s="320" t="s">
        <v>3</v>
      </c>
      <c r="E17" s="45" t="s">
        <v>4</v>
      </c>
      <c r="F17" s="45" t="s">
        <v>5</v>
      </c>
      <c r="G17" s="45" t="s">
        <v>316</v>
      </c>
      <c r="H17" s="321" t="s">
        <v>314</v>
      </c>
      <c r="I17" s="43"/>
      <c r="J17" s="320" t="s">
        <v>3</v>
      </c>
      <c r="K17" s="45" t="s">
        <v>4</v>
      </c>
      <c r="L17" s="45" t="s">
        <v>5</v>
      </c>
      <c r="M17" s="45" t="s">
        <v>316</v>
      </c>
      <c r="N17" s="321" t="s">
        <v>314</v>
      </c>
      <c r="O17" s="43"/>
      <c r="P17" s="320" t="s">
        <v>7</v>
      </c>
      <c r="Q17" s="321" t="s">
        <v>8</v>
      </c>
      <c r="R17">
        <v>4</v>
      </c>
      <c r="S17">
        <v>5</v>
      </c>
      <c r="T17">
        <v>1.5</v>
      </c>
    </row>
    <row r="18" spans="1:22" ht="30.75" thickBot="1" x14ac:dyDescent="0.3">
      <c r="A18" s="581" t="s">
        <v>89</v>
      </c>
      <c r="B18" s="323" t="s">
        <v>356</v>
      </c>
      <c r="C18" s="48"/>
      <c r="D18" s="15">
        <f>((((R18*$R$5)+25)-25)*0.9)+25</f>
        <v>673</v>
      </c>
      <c r="E18" s="16">
        <f>CEILING(((((S18*$R$5)+25)-25)*0.9)+25,1)</f>
        <v>933</v>
      </c>
      <c r="F18" s="16" t="s">
        <v>47</v>
      </c>
      <c r="G18" s="16">
        <f>(U18*$R$5)+20</f>
        <v>380</v>
      </c>
      <c r="H18" s="18">
        <f>CEILING(((((V18*$R$5)+25)-25)*0.9)+25,1)</f>
        <v>414</v>
      </c>
      <c r="I18" s="48"/>
      <c r="J18" s="15">
        <f>((((R18*$S$5)+25)-25)*0.9)+25</f>
        <v>835</v>
      </c>
      <c r="K18" s="16">
        <f>((((S18*$S$5)+25)-25)*0.9)+25</f>
        <v>1159</v>
      </c>
      <c r="L18" s="16" t="s">
        <v>47</v>
      </c>
      <c r="M18" s="16">
        <f t="shared" ref="M18:M21" si="5">(U18*$S$5)+20</f>
        <v>470</v>
      </c>
      <c r="N18" s="18">
        <f>((((V18*$S$5)+25)-25)*0.9)+25</f>
        <v>511</v>
      </c>
      <c r="O18" s="48"/>
      <c r="P18" s="163">
        <f>(((((R18*$T$5*$R$5)/2)+25)-25)*0.9)+25</f>
        <v>511</v>
      </c>
      <c r="Q18" s="322">
        <f>(((((R18*$T$5*$S$3)/2)+25)-25)*0.9)+25</f>
        <v>754</v>
      </c>
      <c r="R18">
        <v>180</v>
      </c>
      <c r="S18">
        <v>252</v>
      </c>
      <c r="T18">
        <v>0</v>
      </c>
      <c r="U18">
        <v>90</v>
      </c>
      <c r="V18">
        <v>108</v>
      </c>
    </row>
    <row r="19" spans="1:22" ht="15.75" thickBot="1" x14ac:dyDescent="0.3">
      <c r="A19" s="581"/>
      <c r="B19" s="37" t="s">
        <v>350</v>
      </c>
      <c r="C19" s="48"/>
      <c r="D19" s="20">
        <f>((((R19*$R$5)+25)-25)*0.9)+25</f>
        <v>565</v>
      </c>
      <c r="E19" s="222">
        <f>((((S19*$R$5)+25)-25)*0.9)+25</f>
        <v>781</v>
      </c>
      <c r="F19" s="222" t="s">
        <v>47</v>
      </c>
      <c r="G19" s="222">
        <f>(U19*$R$5)+20</f>
        <v>320</v>
      </c>
      <c r="H19" s="224">
        <f>((((V19*$R$5)+25)-25)*0.9)+25</f>
        <v>349</v>
      </c>
      <c r="I19" s="48"/>
      <c r="J19" s="20">
        <f>((((R19*$S$5)+25)-25)*0.9)+25</f>
        <v>700</v>
      </c>
      <c r="K19" s="222">
        <f>((((S19*$S$5)+25)-25)*0.9)+25</f>
        <v>970</v>
      </c>
      <c r="L19" s="222" t="s">
        <v>47</v>
      </c>
      <c r="M19" s="222">
        <f t="shared" si="5"/>
        <v>395</v>
      </c>
      <c r="N19" s="224">
        <f>((((V19*$S$5)+25)-25)*0.9)+25</f>
        <v>430</v>
      </c>
      <c r="O19" s="48"/>
      <c r="P19" s="336">
        <f>(((((R19*$T$5*$R$5)/2)+25)-25)*0.9)+25</f>
        <v>430</v>
      </c>
      <c r="Q19" s="307">
        <f>CEILING((((((R19*$T$5*$S$3)/2)+25)-25)*0.9)+25,1)</f>
        <v>633</v>
      </c>
      <c r="R19">
        <v>150</v>
      </c>
      <c r="S19">
        <v>210</v>
      </c>
      <c r="T19">
        <v>0</v>
      </c>
      <c r="U19">
        <v>75</v>
      </c>
      <c r="V19">
        <v>90</v>
      </c>
    </row>
    <row r="20" spans="1:22" ht="30.75" thickBot="1" x14ac:dyDescent="0.3">
      <c r="A20" s="581" t="s">
        <v>193</v>
      </c>
      <c r="B20" s="323" t="s">
        <v>356</v>
      </c>
      <c r="C20" s="10"/>
      <c r="D20" s="15">
        <f>((((R20*$R$5)+25)-25)*0.9)+25</f>
        <v>763</v>
      </c>
      <c r="E20" s="16">
        <f>CEILING(((((S20*$R$5)+25)-25)*0.9)+25,1)</f>
        <v>1059</v>
      </c>
      <c r="F20" s="16">
        <f>(((T20*$R$5)+25)-25)+25</f>
        <v>765</v>
      </c>
      <c r="G20" s="16">
        <f>(U20*$R$5)+20</f>
        <v>432</v>
      </c>
      <c r="H20" s="18">
        <f>CEILING(((((V20*$R$5)+25)-25)*0.9)+25,1)</f>
        <v>468</v>
      </c>
      <c r="I20" s="10"/>
      <c r="J20" s="15">
        <f>CEILING(((((R20*$S$5)+25)-25)*0.9)+25,1)</f>
        <v>948</v>
      </c>
      <c r="K20" s="16">
        <f>CEILING(((((S20*$S$5)+25)-25)*0.9)+25,1)</f>
        <v>1317</v>
      </c>
      <c r="L20" s="16">
        <f>CEILING(((((T20*$S$5)+25)-25)*0.9)+25,1)</f>
        <v>858</v>
      </c>
      <c r="M20" s="16">
        <f t="shared" si="5"/>
        <v>535</v>
      </c>
      <c r="N20" s="18">
        <f>CEILING(((((V20*$S$5)+25)-25)*0.9)+25,1)</f>
        <v>579</v>
      </c>
      <c r="O20" s="10"/>
      <c r="P20" s="163">
        <f>CEILING((((((R20*$T$5*$R$5)/2)+25)-25)*0.9)+25,1)</f>
        <v>579</v>
      </c>
      <c r="Q20" s="322">
        <f>CEILING((((CEILING(((R20*$T$5*$S$3)/2)+25,1))-25)*0.9)+25,1)</f>
        <v>856</v>
      </c>
      <c r="R20">
        <v>205</v>
      </c>
      <c r="S20">
        <v>287</v>
      </c>
      <c r="T20">
        <v>185</v>
      </c>
      <c r="U20">
        <v>103</v>
      </c>
      <c r="V20">
        <v>123</v>
      </c>
    </row>
    <row r="21" spans="1:22" ht="15.75" thickBot="1" x14ac:dyDescent="0.3">
      <c r="A21" s="581"/>
      <c r="B21" s="37" t="s">
        <v>350</v>
      </c>
      <c r="C21" s="40"/>
      <c r="D21" s="20">
        <f>((((R21*$R$5)+25)-25)*0.9)+25</f>
        <v>655</v>
      </c>
      <c r="E21" s="222">
        <f>((((S21*$R$5)+25)-25)*0.9)+25</f>
        <v>907</v>
      </c>
      <c r="F21" s="222">
        <f>(((T21*$R$5)+25)-25)+25</f>
        <v>657</v>
      </c>
      <c r="G21" s="222">
        <f>(U21*$R$5)+20</f>
        <v>372</v>
      </c>
      <c r="H21" s="224">
        <f>((((V21*$R$5)+25)-25)*0.9)+25</f>
        <v>403</v>
      </c>
      <c r="I21" s="48"/>
      <c r="J21" s="20">
        <f>CEILING(((((R21*$S$5)+25)-25)*0.9)+25,1)</f>
        <v>813</v>
      </c>
      <c r="K21" s="222">
        <f>CEILING(((((S21*$S$5)+25)-25)*0.9)+25,1)</f>
        <v>1128</v>
      </c>
      <c r="L21" s="222">
        <f>((((T21*$S$5)+25)-25)*0.9)+25</f>
        <v>736</v>
      </c>
      <c r="M21" s="222">
        <f t="shared" si="5"/>
        <v>460</v>
      </c>
      <c r="N21" s="224">
        <f>CEILING(((((V21*$S$5)+25)-25)*0.9)+25,1)</f>
        <v>498</v>
      </c>
      <c r="O21" s="48"/>
      <c r="P21" s="336">
        <f>CEILING((((((R21*$T$5*$R$5)/2)+25)-25)*0.9)+25,1)</f>
        <v>498</v>
      </c>
      <c r="Q21" s="307">
        <f>CEILING((((CEILING(((R21*$T$5*$S$3)/2)+25,1))-25)*0.9)+25,1)</f>
        <v>735</v>
      </c>
      <c r="R21">
        <v>175</v>
      </c>
      <c r="S21">
        <v>245</v>
      </c>
      <c r="T21">
        <v>158</v>
      </c>
      <c r="U21">
        <v>88</v>
      </c>
      <c r="V21">
        <v>105</v>
      </c>
    </row>
    <row r="22" spans="1:22" ht="15.75" thickBot="1" x14ac:dyDescent="0.3">
      <c r="A22" s="248" t="s">
        <v>280</v>
      </c>
      <c r="B22" s="152"/>
      <c r="C22" s="152"/>
      <c r="D22" s="228"/>
      <c r="E22" s="228"/>
      <c r="F22" s="228"/>
      <c r="G22" s="228"/>
      <c r="H22" s="228"/>
      <c r="I22" s="152"/>
      <c r="J22" s="228"/>
      <c r="K22" s="228"/>
      <c r="L22" s="228"/>
      <c r="M22" s="228"/>
      <c r="N22" s="228"/>
      <c r="O22" s="152"/>
      <c r="P22" s="228"/>
      <c r="Q22" s="263"/>
    </row>
    <row r="23" spans="1:22" x14ac:dyDescent="0.25">
      <c r="A23" s="76" t="s">
        <v>318</v>
      </c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8"/>
    </row>
    <row r="24" spans="1:22" x14ac:dyDescent="0.25">
      <c r="A24" s="28" t="s">
        <v>319</v>
      </c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4"/>
    </row>
    <row r="25" spans="1:22" x14ac:dyDescent="0.25">
      <c r="A25" s="28" t="s">
        <v>320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4"/>
    </row>
    <row r="26" spans="1:22" x14ac:dyDescent="0.25">
      <c r="A26" s="62" t="s">
        <v>321</v>
      </c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4"/>
    </row>
    <row r="27" spans="1:22" x14ac:dyDescent="0.25">
      <c r="A27" s="59" t="s">
        <v>322</v>
      </c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4"/>
    </row>
    <row r="28" spans="1:22" ht="15.75" thickBot="1" x14ac:dyDescent="0.3">
      <c r="A28" s="59" t="s">
        <v>323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1"/>
    </row>
    <row r="29" spans="1:22" ht="15.75" thickBot="1" x14ac:dyDescent="0.3">
      <c r="A29" s="454" t="s">
        <v>16</v>
      </c>
      <c r="B29" s="455"/>
      <c r="C29" s="455"/>
      <c r="D29" s="455"/>
      <c r="E29" s="455"/>
      <c r="F29" s="455"/>
      <c r="G29" s="455"/>
      <c r="H29" s="455"/>
      <c r="I29" s="455"/>
      <c r="J29" s="455"/>
      <c r="K29" s="455"/>
      <c r="L29" s="455"/>
      <c r="M29" s="455"/>
      <c r="N29" s="455"/>
      <c r="O29" s="455"/>
      <c r="P29" s="455"/>
      <c r="Q29" s="456"/>
    </row>
    <row r="30" spans="1:22" x14ac:dyDescent="0.25">
      <c r="A30" s="63" t="s">
        <v>89</v>
      </c>
      <c r="B30" s="560" t="s">
        <v>325</v>
      </c>
      <c r="C30" s="560"/>
      <c r="D30" s="560"/>
      <c r="E30" s="560"/>
      <c r="F30" s="560"/>
      <c r="G30" s="560"/>
      <c r="H30" s="560"/>
      <c r="I30" s="560"/>
      <c r="J30" s="560"/>
      <c r="K30" s="560"/>
      <c r="L30" s="560"/>
      <c r="M30" s="560"/>
      <c r="N30" s="560"/>
      <c r="O30" s="560"/>
      <c r="P30" s="560"/>
      <c r="Q30" s="561"/>
    </row>
    <row r="31" spans="1:22" ht="15.75" thickBot="1" x14ac:dyDescent="0.3">
      <c r="A31" s="63" t="s">
        <v>193</v>
      </c>
      <c r="B31" s="64" t="s">
        <v>326</v>
      </c>
      <c r="C31" s="65"/>
      <c r="D31" s="65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1"/>
    </row>
    <row r="32" spans="1:22" ht="15.75" thickBot="1" x14ac:dyDescent="0.3">
      <c r="A32" s="499" t="s">
        <v>15</v>
      </c>
      <c r="B32" s="500"/>
      <c r="C32" s="500"/>
      <c r="D32" s="500"/>
      <c r="E32" s="500"/>
      <c r="F32" s="500"/>
      <c r="G32" s="500"/>
      <c r="H32" s="500"/>
      <c r="I32" s="500"/>
      <c r="J32" s="500"/>
      <c r="K32" s="500"/>
      <c r="L32" s="500"/>
      <c r="M32" s="500"/>
      <c r="N32" s="500"/>
      <c r="O32" s="500"/>
      <c r="P32" s="500"/>
      <c r="Q32" s="501"/>
    </row>
    <row r="33" spans="1:17" x14ac:dyDescent="0.25">
      <c r="A33" s="562" t="s">
        <v>327</v>
      </c>
      <c r="B33" s="77" t="s">
        <v>58</v>
      </c>
      <c r="C33" s="256"/>
      <c r="D33" s="77"/>
      <c r="E33" s="256"/>
      <c r="F33" s="256"/>
      <c r="G33" s="259" t="s">
        <v>60</v>
      </c>
      <c r="H33" s="256"/>
      <c r="I33" s="256"/>
      <c r="J33" s="256"/>
      <c r="K33" s="256"/>
      <c r="L33" s="256"/>
      <c r="M33" s="256"/>
      <c r="N33" s="256"/>
      <c r="O33" s="256"/>
      <c r="P33" s="256"/>
      <c r="Q33" s="257"/>
    </row>
    <row r="34" spans="1:17" x14ac:dyDescent="0.25">
      <c r="A34" s="563"/>
      <c r="B34" s="29" t="s">
        <v>59</v>
      </c>
      <c r="C34" s="29"/>
      <c r="D34" s="29"/>
      <c r="E34" s="29"/>
      <c r="F34" s="29"/>
      <c r="G34" s="260" t="s">
        <v>61</v>
      </c>
      <c r="H34" s="29"/>
      <c r="I34" s="250"/>
      <c r="J34" s="250"/>
      <c r="K34" s="250"/>
      <c r="L34" s="250"/>
      <c r="M34" s="250"/>
      <c r="N34" s="250"/>
      <c r="O34" s="250"/>
      <c r="P34" s="250"/>
      <c r="Q34" s="258"/>
    </row>
    <row r="35" spans="1:17" x14ac:dyDescent="0.25">
      <c r="A35" s="563"/>
      <c r="B35" s="29" t="s">
        <v>329</v>
      </c>
      <c r="C35" s="29"/>
      <c r="D35" s="29"/>
      <c r="E35" s="29"/>
      <c r="F35" s="29"/>
      <c r="G35" s="261">
        <v>1</v>
      </c>
      <c r="H35" s="29"/>
      <c r="I35" s="29"/>
      <c r="J35" s="29"/>
      <c r="K35" s="29"/>
      <c r="L35" s="29"/>
      <c r="M35" s="29"/>
      <c r="N35" s="29"/>
      <c r="O35" s="29"/>
      <c r="P35" s="29"/>
      <c r="Q35" s="58"/>
    </row>
    <row r="36" spans="1:17" ht="15.75" thickBot="1" x14ac:dyDescent="0.3">
      <c r="A36" s="251" t="s">
        <v>133</v>
      </c>
      <c r="B36" s="252" t="s">
        <v>328</v>
      </c>
      <c r="C36" s="253"/>
      <c r="D36" s="253"/>
      <c r="E36" s="253"/>
      <c r="F36" s="253"/>
      <c r="G36" s="262">
        <v>1</v>
      </c>
      <c r="H36" s="253"/>
      <c r="I36" s="88"/>
      <c r="J36" s="88"/>
      <c r="K36" s="88"/>
      <c r="L36" s="88"/>
      <c r="M36" s="88"/>
      <c r="N36" s="88"/>
      <c r="O36" s="88"/>
      <c r="P36" s="88"/>
      <c r="Q36" s="87"/>
    </row>
  </sheetData>
  <mergeCells count="23">
    <mergeCell ref="A20:A21"/>
    <mergeCell ref="A33:A35"/>
    <mergeCell ref="A29:Q29"/>
    <mergeCell ref="B30:Q30"/>
    <mergeCell ref="A32:Q32"/>
    <mergeCell ref="A6:A7"/>
    <mergeCell ref="A8:A9"/>
    <mergeCell ref="A14:Q14"/>
    <mergeCell ref="A15:Q15"/>
    <mergeCell ref="A18:A19"/>
    <mergeCell ref="A16:A17"/>
    <mergeCell ref="B16:B17"/>
    <mergeCell ref="D16:H16"/>
    <mergeCell ref="J16:N16"/>
    <mergeCell ref="P16:Q16"/>
    <mergeCell ref="A1:Q1"/>
    <mergeCell ref="A2:Q2"/>
    <mergeCell ref="A3:Q3"/>
    <mergeCell ref="A4:A5"/>
    <mergeCell ref="B4:B5"/>
    <mergeCell ref="D4:H4"/>
    <mergeCell ref="J4:N4"/>
    <mergeCell ref="P4: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Normal="100" workbookViewId="0">
      <selection activeCell="R5" sqref="R5"/>
    </sheetView>
  </sheetViews>
  <sheetFormatPr defaultRowHeight="15" x14ac:dyDescent="0.25"/>
  <cols>
    <col min="1" max="1" width="24" customWidth="1"/>
    <col min="2" max="2" width="18.28515625" bestFit="1" customWidth="1"/>
    <col min="3" max="3" width="1.7109375" customWidth="1"/>
    <col min="8" max="8" width="1.7109375" customWidth="1"/>
    <col min="13" max="13" width="1.5703125" customWidth="1"/>
  </cols>
  <sheetData>
    <row r="1" spans="1:19" ht="15.75" thickBot="1" x14ac:dyDescent="0.3">
      <c r="A1" s="460" t="s">
        <v>458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2"/>
    </row>
    <row r="2" spans="1:19" ht="15.75" thickBot="1" x14ac:dyDescent="0.3">
      <c r="A2" s="460" t="s">
        <v>21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2"/>
    </row>
    <row r="3" spans="1:19" ht="15.75" thickBot="1" x14ac:dyDescent="0.3">
      <c r="A3" s="460" t="s">
        <v>471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2"/>
    </row>
    <row r="4" spans="1:19" ht="15.75" thickBot="1" x14ac:dyDescent="0.3">
      <c r="A4" s="463" t="s">
        <v>10</v>
      </c>
      <c r="B4" s="465" t="s">
        <v>9</v>
      </c>
      <c r="C4" s="9"/>
      <c r="D4" s="470" t="s">
        <v>0</v>
      </c>
      <c r="E4" s="471"/>
      <c r="F4" s="471"/>
      <c r="G4" s="472"/>
      <c r="H4" s="2"/>
      <c r="I4" s="467" t="s">
        <v>1</v>
      </c>
      <c r="J4" s="468"/>
      <c r="K4" s="468"/>
      <c r="L4" s="469"/>
      <c r="M4" s="1"/>
      <c r="N4" s="491" t="s">
        <v>2</v>
      </c>
      <c r="O4" s="492"/>
    </row>
    <row r="5" spans="1:19" ht="45.75" thickBot="1" x14ac:dyDescent="0.3">
      <c r="A5" s="464"/>
      <c r="B5" s="502"/>
      <c r="C5" s="96"/>
      <c r="D5" s="395" t="s">
        <v>3</v>
      </c>
      <c r="E5" s="45" t="s">
        <v>4</v>
      </c>
      <c r="F5" s="46" t="s">
        <v>5</v>
      </c>
      <c r="G5" s="396" t="s">
        <v>90</v>
      </c>
      <c r="H5" s="7"/>
      <c r="I5" s="3" t="s">
        <v>3</v>
      </c>
      <c r="J5" s="4" t="s">
        <v>4</v>
      </c>
      <c r="K5" s="5" t="s">
        <v>5</v>
      </c>
      <c r="L5" s="8" t="s">
        <v>6</v>
      </c>
      <c r="M5" s="6"/>
      <c r="N5" s="3" t="s">
        <v>7</v>
      </c>
      <c r="O5" s="8" t="s">
        <v>8</v>
      </c>
      <c r="P5">
        <v>4</v>
      </c>
      <c r="Q5">
        <v>6</v>
      </c>
      <c r="R5">
        <v>25</v>
      </c>
      <c r="S5">
        <v>20</v>
      </c>
    </row>
    <row r="6" spans="1:19" x14ac:dyDescent="0.25">
      <c r="A6" s="504" t="s">
        <v>89</v>
      </c>
      <c r="B6" s="36" t="s">
        <v>342</v>
      </c>
      <c r="C6" s="10"/>
      <c r="D6" s="406">
        <f t="shared" ref="D6:D15" si="0">(P6*$P$5)+25</f>
        <v>265</v>
      </c>
      <c r="E6" s="394">
        <f t="shared" ref="E6:E15" si="1">(Q6*$P$5)+25</f>
        <v>385</v>
      </c>
      <c r="F6" s="394">
        <f t="shared" ref="F6:F15" si="2">(R6*$P$5)+25</f>
        <v>245</v>
      </c>
      <c r="G6" s="407">
        <f t="shared" ref="G6:G15" si="3">(S6*$P$5)+20</f>
        <v>100</v>
      </c>
      <c r="H6" s="10"/>
      <c r="I6" s="406">
        <f t="shared" ref="I6:I15" si="4">(P6*$Q$5)+25</f>
        <v>385</v>
      </c>
      <c r="J6" s="394">
        <f t="shared" ref="J6:J15" si="5">(Q6*$Q$5)+25</f>
        <v>565</v>
      </c>
      <c r="K6" s="394">
        <f t="shared" ref="K6:K15" si="6">(R6*$Q$5)+25</f>
        <v>355</v>
      </c>
      <c r="L6" s="407">
        <f t="shared" ref="L6:L15" si="7">(S6*$Q$5)+20</f>
        <v>140</v>
      </c>
      <c r="M6" s="10"/>
      <c r="N6" s="408">
        <f t="shared" ref="N6:N15" si="8">(P6*$P$5)+25</f>
        <v>265</v>
      </c>
      <c r="O6" s="408">
        <f t="shared" ref="O6:O15" si="9">(P6*$Q$5)+25</f>
        <v>385</v>
      </c>
      <c r="P6" s="409">
        <v>60</v>
      </c>
      <c r="Q6" s="409">
        <f>60+30</f>
        <v>90</v>
      </c>
      <c r="R6" s="238">
        <f>CEILING(((60*2)+45)/3,1)</f>
        <v>55</v>
      </c>
      <c r="S6" s="409">
        <v>20</v>
      </c>
    </row>
    <row r="7" spans="1:19" x14ac:dyDescent="0.25">
      <c r="A7" s="505"/>
      <c r="B7" s="410" t="s">
        <v>472</v>
      </c>
      <c r="C7" s="10"/>
      <c r="D7" s="411">
        <f t="shared" si="0"/>
        <v>225</v>
      </c>
      <c r="E7" s="412">
        <f t="shared" si="1"/>
        <v>325</v>
      </c>
      <c r="F7" s="412">
        <f t="shared" si="2"/>
        <v>209</v>
      </c>
      <c r="G7" s="413">
        <f t="shared" si="3"/>
        <v>100</v>
      </c>
      <c r="H7" s="10"/>
      <c r="I7" s="411">
        <f t="shared" si="4"/>
        <v>325</v>
      </c>
      <c r="J7" s="412">
        <f t="shared" si="5"/>
        <v>475</v>
      </c>
      <c r="K7" s="412">
        <f t="shared" si="6"/>
        <v>301</v>
      </c>
      <c r="L7" s="413">
        <f t="shared" si="7"/>
        <v>140</v>
      </c>
      <c r="M7" s="10"/>
      <c r="N7" s="414">
        <f t="shared" si="8"/>
        <v>225</v>
      </c>
      <c r="O7" s="414">
        <f t="shared" si="9"/>
        <v>325</v>
      </c>
      <c r="P7" s="409">
        <v>50</v>
      </c>
      <c r="Q7" s="409">
        <f>50+25</f>
        <v>75</v>
      </c>
      <c r="R7" s="238">
        <f>CEILING(((50*2)+38)/3,1)</f>
        <v>46</v>
      </c>
      <c r="S7" s="409">
        <v>20</v>
      </c>
    </row>
    <row r="8" spans="1:19" x14ac:dyDescent="0.25">
      <c r="A8" s="505"/>
      <c r="B8" s="410" t="s">
        <v>473</v>
      </c>
      <c r="C8" s="10"/>
      <c r="D8" s="411">
        <f t="shared" si="0"/>
        <v>265</v>
      </c>
      <c r="E8" s="412">
        <f t="shared" si="1"/>
        <v>385</v>
      </c>
      <c r="F8" s="412">
        <f t="shared" si="2"/>
        <v>245</v>
      </c>
      <c r="G8" s="413">
        <f t="shared" si="3"/>
        <v>100</v>
      </c>
      <c r="H8" s="10"/>
      <c r="I8" s="411">
        <f t="shared" si="4"/>
        <v>385</v>
      </c>
      <c r="J8" s="412">
        <f t="shared" si="5"/>
        <v>565</v>
      </c>
      <c r="K8" s="412">
        <f t="shared" si="6"/>
        <v>355</v>
      </c>
      <c r="L8" s="413">
        <f t="shared" si="7"/>
        <v>140</v>
      </c>
      <c r="M8" s="10"/>
      <c r="N8" s="414">
        <f t="shared" si="8"/>
        <v>265</v>
      </c>
      <c r="O8" s="414">
        <f t="shared" si="9"/>
        <v>385</v>
      </c>
      <c r="P8">
        <v>60</v>
      </c>
      <c r="Q8">
        <f>60+30</f>
        <v>90</v>
      </c>
      <c r="R8">
        <f>CEILING(((60*2)+45)/3,1)</f>
        <v>55</v>
      </c>
      <c r="S8">
        <v>20</v>
      </c>
    </row>
    <row r="9" spans="1:19" x14ac:dyDescent="0.25">
      <c r="A9" s="505"/>
      <c r="B9" s="432" t="s">
        <v>474</v>
      </c>
      <c r="C9" s="10"/>
      <c r="D9" s="411">
        <f t="shared" si="0"/>
        <v>225</v>
      </c>
      <c r="E9" s="412">
        <f t="shared" si="1"/>
        <v>325</v>
      </c>
      <c r="F9" s="412">
        <f t="shared" si="2"/>
        <v>209</v>
      </c>
      <c r="G9" s="413">
        <f t="shared" si="3"/>
        <v>100</v>
      </c>
      <c r="H9" s="10"/>
      <c r="I9" s="411">
        <f t="shared" si="4"/>
        <v>325</v>
      </c>
      <c r="J9" s="412">
        <f t="shared" si="5"/>
        <v>475</v>
      </c>
      <c r="K9" s="412">
        <f t="shared" si="6"/>
        <v>301</v>
      </c>
      <c r="L9" s="413">
        <f t="shared" si="7"/>
        <v>140</v>
      </c>
      <c r="M9" s="10"/>
      <c r="N9" s="414">
        <f t="shared" si="8"/>
        <v>225</v>
      </c>
      <c r="O9" s="414">
        <f t="shared" si="9"/>
        <v>325</v>
      </c>
      <c r="P9">
        <v>50</v>
      </c>
      <c r="Q9">
        <f>50+25</f>
        <v>75</v>
      </c>
      <c r="R9">
        <f>CEILING(((50*2)+38)/3,1)</f>
        <v>46</v>
      </c>
      <c r="S9">
        <v>20</v>
      </c>
    </row>
    <row r="10" spans="1:19" ht="15.75" thickBot="1" x14ac:dyDescent="0.3">
      <c r="A10" s="506"/>
      <c r="B10" s="432" t="s">
        <v>346</v>
      </c>
      <c r="C10" s="10"/>
      <c r="D10" s="415">
        <f t="shared" si="0"/>
        <v>285</v>
      </c>
      <c r="E10" s="416">
        <f t="shared" si="1"/>
        <v>417</v>
      </c>
      <c r="F10" s="416">
        <f t="shared" si="2"/>
        <v>265</v>
      </c>
      <c r="G10" s="417">
        <f t="shared" si="3"/>
        <v>100</v>
      </c>
      <c r="H10" s="10"/>
      <c r="I10" s="415">
        <f t="shared" si="4"/>
        <v>415</v>
      </c>
      <c r="J10" s="416">
        <f t="shared" si="5"/>
        <v>613</v>
      </c>
      <c r="K10" s="416">
        <f t="shared" si="6"/>
        <v>385</v>
      </c>
      <c r="L10" s="417">
        <f t="shared" si="7"/>
        <v>140</v>
      </c>
      <c r="M10" s="10"/>
      <c r="N10" s="418">
        <f t="shared" si="8"/>
        <v>285</v>
      </c>
      <c r="O10" s="418">
        <f t="shared" si="9"/>
        <v>415</v>
      </c>
      <c r="P10">
        <v>65</v>
      </c>
      <c r="Q10">
        <f>65+33</f>
        <v>98</v>
      </c>
      <c r="R10">
        <f>CEILING(((65*2)+49)/3,1)</f>
        <v>60</v>
      </c>
      <c r="S10">
        <v>20</v>
      </c>
    </row>
    <row r="11" spans="1:19" ht="15" customHeight="1" x14ac:dyDescent="0.25">
      <c r="A11" s="504" t="s">
        <v>459</v>
      </c>
      <c r="B11" s="36" t="s">
        <v>342</v>
      </c>
      <c r="C11" s="10"/>
      <c r="D11" s="406">
        <f t="shared" si="0"/>
        <v>325</v>
      </c>
      <c r="E11" s="394">
        <f t="shared" si="1"/>
        <v>477</v>
      </c>
      <c r="F11" s="394">
        <f t="shared" si="2"/>
        <v>301</v>
      </c>
      <c r="G11" s="407">
        <f t="shared" si="3"/>
        <v>100</v>
      </c>
      <c r="H11" s="10"/>
      <c r="I11" s="406">
        <f t="shared" si="4"/>
        <v>475</v>
      </c>
      <c r="J11" s="394">
        <f t="shared" si="5"/>
        <v>703</v>
      </c>
      <c r="K11" s="394">
        <f t="shared" si="6"/>
        <v>439</v>
      </c>
      <c r="L11" s="407">
        <f t="shared" si="7"/>
        <v>140</v>
      </c>
      <c r="M11" s="10"/>
      <c r="N11" s="408">
        <f t="shared" si="8"/>
        <v>325</v>
      </c>
      <c r="O11" s="408">
        <f t="shared" si="9"/>
        <v>475</v>
      </c>
      <c r="P11" s="409">
        <v>75</v>
      </c>
      <c r="Q11" s="409">
        <f>75+38</f>
        <v>113</v>
      </c>
      <c r="R11" s="238">
        <f>CEILING(((75*2)+56)/3,1)</f>
        <v>69</v>
      </c>
      <c r="S11" s="409">
        <v>20</v>
      </c>
    </row>
    <row r="12" spans="1:19" x14ac:dyDescent="0.25">
      <c r="A12" s="505"/>
      <c r="B12" s="410" t="s">
        <v>472</v>
      </c>
      <c r="C12" s="10"/>
      <c r="D12" s="411">
        <f t="shared" si="0"/>
        <v>285</v>
      </c>
      <c r="E12" s="412">
        <f t="shared" si="1"/>
        <v>417</v>
      </c>
      <c r="F12" s="412">
        <f t="shared" si="2"/>
        <v>265</v>
      </c>
      <c r="G12" s="413">
        <f t="shared" si="3"/>
        <v>100</v>
      </c>
      <c r="H12" s="10"/>
      <c r="I12" s="411">
        <f t="shared" si="4"/>
        <v>415</v>
      </c>
      <c r="J12" s="412">
        <f t="shared" si="5"/>
        <v>613</v>
      </c>
      <c r="K12" s="412">
        <f t="shared" si="6"/>
        <v>385</v>
      </c>
      <c r="L12" s="413">
        <f t="shared" si="7"/>
        <v>140</v>
      </c>
      <c r="M12" s="10"/>
      <c r="N12" s="414">
        <f t="shared" si="8"/>
        <v>285</v>
      </c>
      <c r="O12" s="414">
        <f t="shared" si="9"/>
        <v>415</v>
      </c>
      <c r="P12" s="409">
        <v>65</v>
      </c>
      <c r="Q12" s="409">
        <f>65+33</f>
        <v>98</v>
      </c>
      <c r="R12" s="238">
        <f>CEILING(((65*2)+49)/3,1)</f>
        <v>60</v>
      </c>
      <c r="S12" s="238">
        <v>20</v>
      </c>
    </row>
    <row r="13" spans="1:19" x14ac:dyDescent="0.25">
      <c r="A13" s="505"/>
      <c r="B13" s="410" t="s">
        <v>473</v>
      </c>
      <c r="C13" s="419"/>
      <c r="D13" s="411">
        <f t="shared" si="0"/>
        <v>325</v>
      </c>
      <c r="E13" s="412">
        <f t="shared" si="1"/>
        <v>477</v>
      </c>
      <c r="F13" s="412">
        <f t="shared" si="2"/>
        <v>301</v>
      </c>
      <c r="G13" s="413">
        <f t="shared" si="3"/>
        <v>100</v>
      </c>
      <c r="H13" s="383"/>
      <c r="I13" s="411">
        <f t="shared" si="4"/>
        <v>475</v>
      </c>
      <c r="J13" s="412">
        <f t="shared" si="5"/>
        <v>703</v>
      </c>
      <c r="K13" s="412">
        <f t="shared" si="6"/>
        <v>439</v>
      </c>
      <c r="L13" s="413">
        <f t="shared" si="7"/>
        <v>140</v>
      </c>
      <c r="M13" s="383"/>
      <c r="N13" s="414">
        <f t="shared" si="8"/>
        <v>325</v>
      </c>
      <c r="O13" s="414">
        <f t="shared" si="9"/>
        <v>475</v>
      </c>
      <c r="P13" s="409">
        <v>75</v>
      </c>
      <c r="Q13">
        <f>75+38</f>
        <v>113</v>
      </c>
      <c r="R13" s="238">
        <f>CEILING(((75*2)+56)/3,1)</f>
        <v>69</v>
      </c>
      <c r="S13" s="409">
        <v>20</v>
      </c>
    </row>
    <row r="14" spans="1:19" x14ac:dyDescent="0.25">
      <c r="A14" s="505"/>
      <c r="B14" s="432" t="s">
        <v>474</v>
      </c>
      <c r="C14" s="433"/>
      <c r="D14" s="411">
        <f t="shared" si="0"/>
        <v>285</v>
      </c>
      <c r="E14" s="412">
        <f t="shared" si="1"/>
        <v>417</v>
      </c>
      <c r="F14" s="412">
        <f t="shared" si="2"/>
        <v>265</v>
      </c>
      <c r="G14" s="413">
        <f t="shared" si="3"/>
        <v>100</v>
      </c>
      <c r="H14" s="123"/>
      <c r="I14" s="411">
        <f t="shared" si="4"/>
        <v>415</v>
      </c>
      <c r="J14" s="412">
        <f t="shared" si="5"/>
        <v>613</v>
      </c>
      <c r="K14" s="412">
        <f t="shared" si="6"/>
        <v>385</v>
      </c>
      <c r="L14" s="413">
        <f t="shared" si="7"/>
        <v>140</v>
      </c>
      <c r="M14" s="123"/>
      <c r="N14" s="414">
        <f t="shared" si="8"/>
        <v>285</v>
      </c>
      <c r="O14" s="414">
        <f t="shared" si="9"/>
        <v>415</v>
      </c>
      <c r="P14" s="409">
        <v>65</v>
      </c>
      <c r="Q14">
        <f>65+33</f>
        <v>98</v>
      </c>
      <c r="R14" s="238">
        <f>CEILING(((65*2)+49)/3,1)</f>
        <v>60</v>
      </c>
      <c r="S14" s="409">
        <v>20</v>
      </c>
    </row>
    <row r="15" spans="1:19" ht="15.75" thickBot="1" x14ac:dyDescent="0.3">
      <c r="A15" s="506"/>
      <c r="B15" s="432" t="s">
        <v>346</v>
      </c>
      <c r="C15" s="433"/>
      <c r="D15" s="415">
        <f t="shared" si="0"/>
        <v>345</v>
      </c>
      <c r="E15" s="416">
        <f t="shared" si="1"/>
        <v>505</v>
      </c>
      <c r="F15" s="416">
        <f t="shared" si="2"/>
        <v>321</v>
      </c>
      <c r="G15" s="417">
        <f t="shared" si="3"/>
        <v>100</v>
      </c>
      <c r="H15" s="123"/>
      <c r="I15" s="415">
        <f t="shared" si="4"/>
        <v>505</v>
      </c>
      <c r="J15" s="416">
        <f t="shared" si="5"/>
        <v>745</v>
      </c>
      <c r="K15" s="416">
        <f t="shared" si="6"/>
        <v>469</v>
      </c>
      <c r="L15" s="417">
        <f t="shared" si="7"/>
        <v>140</v>
      </c>
      <c r="M15" s="123"/>
      <c r="N15" s="418">
        <f t="shared" si="8"/>
        <v>345</v>
      </c>
      <c r="O15" s="418">
        <f t="shared" si="9"/>
        <v>505</v>
      </c>
      <c r="P15" s="409">
        <v>80</v>
      </c>
      <c r="Q15">
        <f>80+40</f>
        <v>120</v>
      </c>
      <c r="R15" s="238">
        <f>CEILING(((80*2)+60)/3,1)</f>
        <v>74</v>
      </c>
      <c r="S15" s="409">
        <v>20</v>
      </c>
    </row>
    <row r="16" spans="1:19" ht="15.75" thickBot="1" x14ac:dyDescent="0.3">
      <c r="A16" s="93" t="s">
        <v>17</v>
      </c>
      <c r="B16" s="92"/>
      <c r="C16" s="92"/>
      <c r="D16" s="97"/>
      <c r="E16" s="97"/>
      <c r="F16" s="97"/>
      <c r="G16" s="97"/>
      <c r="H16" s="92"/>
      <c r="I16" s="97"/>
      <c r="J16" s="97"/>
      <c r="K16" s="97"/>
      <c r="L16" s="97"/>
      <c r="M16" s="92"/>
      <c r="N16" s="97"/>
      <c r="O16" s="98"/>
    </row>
    <row r="17" spans="1:15" x14ac:dyDescent="0.25">
      <c r="A17" s="28" t="s">
        <v>12</v>
      </c>
      <c r="B17" s="393"/>
      <c r="C17" s="393"/>
      <c r="D17" s="393"/>
      <c r="E17" s="393"/>
      <c r="F17" s="393"/>
      <c r="G17" s="393"/>
      <c r="H17" s="393"/>
      <c r="I17" s="393"/>
      <c r="J17" s="393"/>
      <c r="K17" s="393"/>
      <c r="L17" s="393"/>
      <c r="M17" s="393"/>
      <c r="N17" s="393"/>
      <c r="O17" s="58"/>
    </row>
    <row r="18" spans="1:15" x14ac:dyDescent="0.25">
      <c r="A18" s="28" t="s">
        <v>13</v>
      </c>
      <c r="B18" s="393"/>
      <c r="C18" s="393"/>
      <c r="D18" s="393"/>
      <c r="E18" s="393"/>
      <c r="F18" s="393"/>
      <c r="G18" s="393"/>
      <c r="H18" s="393"/>
      <c r="I18" s="393"/>
      <c r="J18" s="393"/>
      <c r="K18" s="393"/>
      <c r="L18" s="393"/>
      <c r="M18" s="393"/>
      <c r="N18" s="393"/>
      <c r="O18" s="58"/>
    </row>
    <row r="19" spans="1:15" ht="15.75" thickBot="1" x14ac:dyDescent="0.3">
      <c r="A19" s="28" t="s">
        <v>14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58"/>
    </row>
    <row r="20" spans="1:15" ht="15.75" thickBot="1" x14ac:dyDescent="0.3">
      <c r="A20" s="93" t="s">
        <v>11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1"/>
    </row>
    <row r="21" spans="1:15" x14ac:dyDescent="0.25">
      <c r="A21" s="62" t="s">
        <v>460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58"/>
    </row>
    <row r="22" spans="1:15" ht="15.75" thickBot="1" x14ac:dyDescent="0.3">
      <c r="A22" s="28" t="s">
        <v>461</v>
      </c>
      <c r="B22" s="393"/>
      <c r="C22" s="393"/>
      <c r="D22" s="393"/>
      <c r="E22" s="393"/>
      <c r="F22" s="393"/>
      <c r="G22" s="393"/>
      <c r="H22" s="393"/>
      <c r="I22" s="393"/>
      <c r="J22" s="393"/>
      <c r="K22" s="393"/>
      <c r="L22" s="393"/>
      <c r="M22" s="393"/>
      <c r="N22" s="393"/>
      <c r="O22" s="58"/>
    </row>
    <row r="23" spans="1:15" ht="15.75" thickBot="1" x14ac:dyDescent="0.3">
      <c r="A23" s="454" t="s">
        <v>16</v>
      </c>
      <c r="B23" s="455"/>
      <c r="C23" s="455"/>
      <c r="D23" s="455"/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6"/>
    </row>
    <row r="24" spans="1:15" x14ac:dyDescent="0.25">
      <c r="A24" s="100" t="s">
        <v>91</v>
      </c>
      <c r="B24" s="82" t="s">
        <v>462</v>
      </c>
      <c r="C24" s="101"/>
      <c r="D24" s="101"/>
      <c r="E24" s="83"/>
      <c r="F24" s="83"/>
      <c r="G24" s="83"/>
      <c r="H24" s="83"/>
      <c r="I24" s="83"/>
      <c r="J24" s="83"/>
      <c r="K24" s="83"/>
      <c r="L24" s="83"/>
      <c r="M24" s="83"/>
      <c r="N24" s="391"/>
      <c r="O24" s="78"/>
    </row>
    <row r="25" spans="1:15" ht="15.75" thickBot="1" x14ac:dyDescent="0.3">
      <c r="A25" s="102" t="s">
        <v>463</v>
      </c>
      <c r="B25" s="67" t="s">
        <v>462</v>
      </c>
      <c r="C25" s="103"/>
      <c r="D25" s="103"/>
      <c r="E25" s="68"/>
      <c r="F25" s="68"/>
      <c r="G25" s="68"/>
      <c r="H25" s="68"/>
      <c r="I25" s="68"/>
      <c r="J25" s="68"/>
      <c r="K25" s="68"/>
      <c r="L25" s="68"/>
      <c r="M25" s="68"/>
      <c r="N25" s="392"/>
      <c r="O25" s="87"/>
    </row>
    <row r="26" spans="1:15" ht="15.75" thickBot="1" x14ac:dyDescent="0.3">
      <c r="A26" s="420" t="s">
        <v>15</v>
      </c>
      <c r="B26" s="421"/>
      <c r="C26" s="421"/>
      <c r="D26" s="421"/>
      <c r="E26" s="421"/>
      <c r="F26" s="421"/>
      <c r="G26" s="421"/>
      <c r="H26" s="421"/>
      <c r="I26" s="421"/>
      <c r="J26" s="421"/>
      <c r="K26" s="421"/>
      <c r="L26" s="421"/>
      <c r="M26" s="421"/>
      <c r="N26" s="421"/>
      <c r="O26" s="422"/>
    </row>
    <row r="27" spans="1:15" x14ac:dyDescent="0.25">
      <c r="A27" s="81" t="s">
        <v>464</v>
      </c>
      <c r="B27" s="423" t="s">
        <v>465</v>
      </c>
      <c r="C27" s="423"/>
      <c r="D27" s="423"/>
      <c r="E27" s="423"/>
      <c r="F27" s="423"/>
      <c r="G27" s="423"/>
      <c r="H27" s="423"/>
      <c r="I27" s="391"/>
      <c r="J27" s="391"/>
      <c r="K27" s="391"/>
      <c r="L27" s="391"/>
      <c r="M27" s="391"/>
      <c r="N27" s="391"/>
      <c r="O27" s="78"/>
    </row>
    <row r="28" spans="1:15" x14ac:dyDescent="0.25">
      <c r="A28" s="62"/>
      <c r="B28" s="424" t="s">
        <v>466</v>
      </c>
      <c r="C28" s="424"/>
      <c r="D28" s="424"/>
      <c r="E28" s="424"/>
      <c r="F28" s="424"/>
      <c r="G28" s="424"/>
      <c r="H28" s="424"/>
      <c r="I28" s="393"/>
      <c r="J28" s="393"/>
      <c r="K28" s="393"/>
      <c r="L28" s="393"/>
      <c r="M28" s="393"/>
      <c r="N28" s="393"/>
      <c r="O28" s="58"/>
    </row>
    <row r="29" spans="1:15" x14ac:dyDescent="0.25">
      <c r="A29" s="62" t="s">
        <v>467</v>
      </c>
      <c r="B29" s="424" t="s">
        <v>468</v>
      </c>
      <c r="C29" s="424"/>
      <c r="D29" s="424"/>
      <c r="E29" s="424"/>
      <c r="F29" s="424"/>
      <c r="G29" s="424"/>
      <c r="H29" s="424"/>
      <c r="I29" s="393"/>
      <c r="J29" s="393"/>
      <c r="K29" s="393"/>
      <c r="L29" s="393"/>
      <c r="M29" s="393"/>
      <c r="N29" s="393"/>
      <c r="O29" s="58"/>
    </row>
    <row r="30" spans="1:15" ht="15.75" thickBot="1" x14ac:dyDescent="0.3">
      <c r="A30" s="425" t="s">
        <v>469</v>
      </c>
      <c r="B30" s="426" t="s">
        <v>470</v>
      </c>
      <c r="C30" s="426"/>
      <c r="D30" s="426"/>
      <c r="E30" s="426"/>
      <c r="F30" s="426"/>
      <c r="G30" s="426"/>
      <c r="H30" s="426"/>
      <c r="I30" s="392"/>
      <c r="J30" s="392"/>
      <c r="K30" s="392"/>
      <c r="L30" s="392"/>
      <c r="M30" s="392"/>
      <c r="N30" s="392"/>
      <c r="O30" s="87"/>
    </row>
    <row r="31" spans="1:15" ht="15.75" thickBot="1" x14ac:dyDescent="0.3">
      <c r="A31" s="386" t="s">
        <v>191</v>
      </c>
      <c r="B31" s="164"/>
      <c r="C31" s="164"/>
      <c r="D31" s="164"/>
      <c r="E31" s="164"/>
      <c r="F31" s="228"/>
      <c r="G31" s="228"/>
      <c r="H31" s="228"/>
      <c r="I31" s="228"/>
      <c r="J31" s="228"/>
      <c r="K31" s="228"/>
      <c r="L31" s="228"/>
      <c r="M31" s="228"/>
      <c r="N31" s="228"/>
      <c r="O31" s="263"/>
    </row>
    <row r="32" spans="1:15" ht="15" customHeight="1" x14ac:dyDescent="0.25">
      <c r="A32" s="488" t="s">
        <v>178</v>
      </c>
      <c r="B32" s="489"/>
      <c r="C32" s="508"/>
      <c r="D32" s="474" t="s">
        <v>185</v>
      </c>
      <c r="E32" s="509"/>
      <c r="F32" s="473" t="s">
        <v>420</v>
      </c>
      <c r="G32" s="474"/>
      <c r="H32" s="474"/>
      <c r="I32" s="474"/>
      <c r="J32" s="475"/>
      <c r="K32" s="473" t="s">
        <v>421</v>
      </c>
      <c r="L32" s="474"/>
      <c r="M32" s="474"/>
      <c r="N32" s="474"/>
      <c r="O32" s="475"/>
    </row>
    <row r="33" spans="1:15" x14ac:dyDescent="0.25">
      <c r="A33" s="427" t="s">
        <v>179</v>
      </c>
      <c r="B33" s="428"/>
      <c r="C33" s="429"/>
      <c r="D33" s="486">
        <v>20</v>
      </c>
      <c r="E33" s="507"/>
      <c r="F33" s="485">
        <v>35</v>
      </c>
      <c r="G33" s="486"/>
      <c r="H33" s="486"/>
      <c r="I33" s="486"/>
      <c r="J33" s="487"/>
      <c r="K33" s="485">
        <v>63</v>
      </c>
      <c r="L33" s="486"/>
      <c r="M33" s="486"/>
      <c r="N33" s="486"/>
      <c r="O33" s="487"/>
    </row>
    <row r="34" spans="1:15" x14ac:dyDescent="0.25">
      <c r="A34" s="427" t="s">
        <v>184</v>
      </c>
      <c r="B34" s="428"/>
      <c r="C34" s="144"/>
      <c r="D34" s="486">
        <v>10</v>
      </c>
      <c r="E34" s="507"/>
      <c r="F34" s="485">
        <v>18</v>
      </c>
      <c r="G34" s="486"/>
      <c r="H34" s="486"/>
      <c r="I34" s="486"/>
      <c r="J34" s="487"/>
      <c r="K34" s="485">
        <v>32</v>
      </c>
      <c r="L34" s="486"/>
      <c r="M34" s="486"/>
      <c r="N34" s="486"/>
      <c r="O34" s="487"/>
    </row>
    <row r="35" spans="1:15" ht="15.75" thickBot="1" x14ac:dyDescent="0.3">
      <c r="A35" s="430" t="s">
        <v>187</v>
      </c>
      <c r="B35" s="359"/>
      <c r="C35" s="431"/>
      <c r="D35" s="483" t="s">
        <v>175</v>
      </c>
      <c r="E35" s="503"/>
      <c r="F35" s="482" t="s">
        <v>175</v>
      </c>
      <c r="G35" s="483"/>
      <c r="H35" s="483"/>
      <c r="I35" s="483"/>
      <c r="J35" s="484"/>
      <c r="K35" s="482" t="s">
        <v>175</v>
      </c>
      <c r="L35" s="483"/>
      <c r="M35" s="483"/>
      <c r="N35" s="483"/>
      <c r="O35" s="484"/>
    </row>
  </sheetData>
  <mergeCells count="24">
    <mergeCell ref="D35:E35"/>
    <mergeCell ref="F35:J35"/>
    <mergeCell ref="K35:O35"/>
    <mergeCell ref="A6:A10"/>
    <mergeCell ref="A11:A15"/>
    <mergeCell ref="D33:E33"/>
    <mergeCell ref="F33:J33"/>
    <mergeCell ref="K33:O33"/>
    <mergeCell ref="D34:E34"/>
    <mergeCell ref="F34:J34"/>
    <mergeCell ref="K34:O34"/>
    <mergeCell ref="A23:O23"/>
    <mergeCell ref="A32:C32"/>
    <mergeCell ref="D32:E32"/>
    <mergeCell ref="F32:J32"/>
    <mergeCell ref="K32:O32"/>
    <mergeCell ref="A1:O1"/>
    <mergeCell ref="A2:O2"/>
    <mergeCell ref="A3:O3"/>
    <mergeCell ref="A4:A5"/>
    <mergeCell ref="B4:B5"/>
    <mergeCell ref="D4:G4"/>
    <mergeCell ref="I4:L4"/>
    <mergeCell ref="N4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topLeftCell="A34" workbookViewId="0">
      <selection activeCell="H47" sqref="H47"/>
    </sheetView>
  </sheetViews>
  <sheetFormatPr defaultRowHeight="15" x14ac:dyDescent="0.25"/>
  <cols>
    <col min="1" max="1" width="24" customWidth="1"/>
    <col min="2" max="2" width="20" customWidth="1"/>
    <col min="3" max="3" width="1.7109375" customWidth="1"/>
    <col min="6" max="6" width="11.5703125" bestFit="1" customWidth="1"/>
    <col min="7" max="7" width="1.7109375" customWidth="1"/>
    <col min="8" max="8" width="13.42578125" bestFit="1" customWidth="1"/>
    <col min="11" max="11" width="1.5703125" customWidth="1"/>
  </cols>
  <sheetData>
    <row r="1" spans="1:17" ht="15.75" thickBot="1" x14ac:dyDescent="0.3">
      <c r="A1" s="460" t="s">
        <v>298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2"/>
    </row>
    <row r="2" spans="1:17" ht="15.75" customHeight="1" thickBot="1" x14ac:dyDescent="0.3">
      <c r="A2" s="460" t="s">
        <v>21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2"/>
    </row>
    <row r="3" spans="1:17" ht="15.75" thickBot="1" x14ac:dyDescent="0.3">
      <c r="A3" s="460" t="s">
        <v>341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2"/>
    </row>
    <row r="4" spans="1:17" ht="15.75" customHeight="1" thickBot="1" x14ac:dyDescent="0.3">
      <c r="A4" s="463" t="s">
        <v>10</v>
      </c>
      <c r="B4" s="465" t="s">
        <v>9</v>
      </c>
      <c r="C4" s="9"/>
      <c r="D4" s="470" t="s">
        <v>0</v>
      </c>
      <c r="E4" s="471"/>
      <c r="F4" s="471"/>
      <c r="G4" s="1"/>
      <c r="H4" s="468" t="s">
        <v>1</v>
      </c>
      <c r="I4" s="468"/>
      <c r="J4" s="468"/>
      <c r="K4" s="1"/>
      <c r="L4" s="491" t="s">
        <v>2</v>
      </c>
      <c r="M4" s="492"/>
      <c r="N4">
        <v>25</v>
      </c>
      <c r="P4" t="s">
        <v>348</v>
      </c>
      <c r="Q4" t="s">
        <v>349</v>
      </c>
    </row>
    <row r="5" spans="1:17" ht="30.75" thickBot="1" x14ac:dyDescent="0.3">
      <c r="A5" s="490"/>
      <c r="B5" s="466"/>
      <c r="C5" s="43"/>
      <c r="D5" s="44" t="s">
        <v>3</v>
      </c>
      <c r="E5" s="45" t="s">
        <v>4</v>
      </c>
      <c r="F5" s="46" t="s">
        <v>5</v>
      </c>
      <c r="G5" s="293"/>
      <c r="H5" s="216" t="s">
        <v>3</v>
      </c>
      <c r="I5" s="4" t="s">
        <v>4</v>
      </c>
      <c r="J5" s="5" t="s">
        <v>5</v>
      </c>
      <c r="K5" s="6"/>
      <c r="L5" s="3" t="s">
        <v>7</v>
      </c>
      <c r="M5" s="8" t="s">
        <v>8</v>
      </c>
      <c r="N5">
        <v>4</v>
      </c>
      <c r="O5">
        <v>6</v>
      </c>
      <c r="P5">
        <v>0.75</v>
      </c>
      <c r="Q5">
        <v>0.6</v>
      </c>
    </row>
    <row r="6" spans="1:17" ht="15" customHeight="1" thickBot="1" x14ac:dyDescent="0.3">
      <c r="A6" s="498" t="s">
        <v>45</v>
      </c>
      <c r="B6" s="36" t="s">
        <v>342</v>
      </c>
      <c r="C6" s="48"/>
      <c r="D6" s="15">
        <f>(CEILING((N6*$N$5*$P$5),1))+25</f>
        <v>340</v>
      </c>
      <c r="E6" s="16">
        <f>(CEILING((O6*$N$5*$P$5),1))+25</f>
        <v>388</v>
      </c>
      <c r="F6" s="18" t="s">
        <v>47</v>
      </c>
      <c r="G6" s="291"/>
      <c r="H6" s="15">
        <f>(CEILING((N6*$O$5*$P$5),1))+25</f>
        <v>498</v>
      </c>
      <c r="I6" s="16">
        <f>(CEILING((O6*$O$5*$P$5),1))+25</f>
        <v>570</v>
      </c>
      <c r="J6" s="17" t="s">
        <v>47</v>
      </c>
      <c r="K6" s="291"/>
      <c r="L6" s="50" t="s">
        <v>47</v>
      </c>
      <c r="M6" s="18" t="s">
        <v>47</v>
      </c>
      <c r="N6" s="135">
        <v>105</v>
      </c>
      <c r="O6" s="135">
        <v>121</v>
      </c>
      <c r="P6" s="135">
        <v>0</v>
      </c>
    </row>
    <row r="7" spans="1:17" ht="15" customHeight="1" thickBot="1" x14ac:dyDescent="0.3">
      <c r="A7" s="496"/>
      <c r="B7" s="37" t="s">
        <v>343</v>
      </c>
      <c r="C7" s="48"/>
      <c r="D7" s="20">
        <f t="shared" ref="D7:E9" si="0">(CEILING((N7*$N$5*$Q$5),1))+25</f>
        <v>265</v>
      </c>
      <c r="E7" s="222">
        <f t="shared" si="0"/>
        <v>301</v>
      </c>
      <c r="F7" s="224" t="s">
        <v>47</v>
      </c>
      <c r="G7" s="292"/>
      <c r="H7" s="20">
        <f t="shared" ref="H7:I9" si="1">(CEILING((N7*$O$5*$Q$5),1))+25</f>
        <v>385</v>
      </c>
      <c r="I7" s="222">
        <f t="shared" si="1"/>
        <v>439</v>
      </c>
      <c r="J7" s="283" t="s">
        <v>47</v>
      </c>
      <c r="K7" s="292"/>
      <c r="L7" s="264" t="s">
        <v>47</v>
      </c>
      <c r="M7" s="224" t="s">
        <v>47</v>
      </c>
      <c r="N7" s="135">
        <v>100</v>
      </c>
      <c r="O7" s="135">
        <v>115</v>
      </c>
      <c r="P7" s="135">
        <v>0</v>
      </c>
    </row>
    <row r="8" spans="1:17" ht="15" customHeight="1" x14ac:dyDescent="0.25">
      <c r="A8" s="496"/>
      <c r="B8" s="37" t="s">
        <v>344</v>
      </c>
      <c r="C8" s="48"/>
      <c r="D8" s="20">
        <f t="shared" si="0"/>
        <v>229</v>
      </c>
      <c r="E8" s="222">
        <f t="shared" si="0"/>
        <v>261</v>
      </c>
      <c r="F8" s="224" t="s">
        <v>47</v>
      </c>
      <c r="G8" s="292"/>
      <c r="H8" s="20">
        <f t="shared" si="1"/>
        <v>331</v>
      </c>
      <c r="I8" s="222">
        <f t="shared" si="1"/>
        <v>378</v>
      </c>
      <c r="J8" s="283" t="s">
        <v>47</v>
      </c>
      <c r="K8" s="292"/>
      <c r="L8" s="264" t="s">
        <v>47</v>
      </c>
      <c r="M8" s="224" t="s">
        <v>47</v>
      </c>
      <c r="N8" s="135">
        <v>85</v>
      </c>
      <c r="O8" s="135">
        <v>98</v>
      </c>
      <c r="P8" s="135">
        <v>0</v>
      </c>
    </row>
    <row r="9" spans="1:17" x14ac:dyDescent="0.25">
      <c r="A9" s="496"/>
      <c r="B9" s="37" t="s">
        <v>345</v>
      </c>
      <c r="C9" s="239"/>
      <c r="D9" s="20">
        <f t="shared" si="0"/>
        <v>265</v>
      </c>
      <c r="E9" s="222">
        <f t="shared" si="0"/>
        <v>301</v>
      </c>
      <c r="F9" s="224" t="s">
        <v>47</v>
      </c>
      <c r="G9" s="292"/>
      <c r="H9" s="20">
        <f t="shared" si="1"/>
        <v>385</v>
      </c>
      <c r="I9" s="222">
        <f t="shared" si="1"/>
        <v>439</v>
      </c>
      <c r="J9" s="283" t="s">
        <v>47</v>
      </c>
      <c r="K9" s="292"/>
      <c r="L9" s="264" t="s">
        <v>47</v>
      </c>
      <c r="M9" s="224" t="s">
        <v>47</v>
      </c>
      <c r="N9" s="135">
        <v>100</v>
      </c>
      <c r="O9" s="135">
        <v>115</v>
      </c>
      <c r="P9" s="135">
        <v>0</v>
      </c>
    </row>
    <row r="10" spans="1:17" ht="15.75" thickBot="1" x14ac:dyDescent="0.3">
      <c r="A10" s="496"/>
      <c r="B10" s="107" t="s">
        <v>346</v>
      </c>
      <c r="C10" s="239"/>
      <c r="D10" s="24">
        <f>(CEILING((N10*$N$5*$P$5),1))+25</f>
        <v>340</v>
      </c>
      <c r="E10" s="25">
        <f>(CEILING((O10*$N$5*$P$5),1))+25</f>
        <v>388</v>
      </c>
      <c r="F10" s="22" t="s">
        <v>47</v>
      </c>
      <c r="G10" s="270"/>
      <c r="H10" s="24">
        <f>(CEILING((N10*$O$5*$P$5),1))+25</f>
        <v>498</v>
      </c>
      <c r="I10" s="25">
        <f>(CEILING((O10*$O$5*$P$5),1))+25</f>
        <v>570</v>
      </c>
      <c r="J10" s="26" t="s">
        <v>47</v>
      </c>
      <c r="K10" s="292"/>
      <c r="L10" s="265" t="s">
        <v>47</v>
      </c>
      <c r="M10" s="241" t="s">
        <v>47</v>
      </c>
      <c r="N10" s="135">
        <v>105</v>
      </c>
      <c r="O10" s="135">
        <v>121</v>
      </c>
      <c r="P10" s="135">
        <v>0</v>
      </c>
    </row>
    <row r="11" spans="1:17" ht="15" customHeight="1" thickBot="1" x14ac:dyDescent="0.3">
      <c r="A11" s="504" t="s">
        <v>46</v>
      </c>
      <c r="B11" s="36" t="s">
        <v>342</v>
      </c>
      <c r="C11" s="48"/>
      <c r="D11" s="15">
        <f>(CEILING((N11*$N$5*$P$5),1))+25</f>
        <v>379</v>
      </c>
      <c r="E11" s="16">
        <f>(CEILING((O11*$N$5*$P$5),1))+25</f>
        <v>430</v>
      </c>
      <c r="F11" s="18">
        <f>(CEILING((P11*$N$5*$P$5),1))+25</f>
        <v>343</v>
      </c>
      <c r="G11" s="123"/>
      <c r="H11" s="15">
        <f>(CEILING((N11*$O$5*$P$5),1))+25</f>
        <v>556</v>
      </c>
      <c r="I11" s="16">
        <f>(CEILING((O11*$O$5*$P$5),1))+25</f>
        <v>633</v>
      </c>
      <c r="J11" s="17">
        <f>(CEILING((P11*$O$5*$P$5),1))+25</f>
        <v>502</v>
      </c>
      <c r="K11" s="291"/>
      <c r="L11" s="288">
        <v>379</v>
      </c>
      <c r="M11" s="285">
        <f>(CEILING(((N11*$Q$5)+(N11))/2*$O$5,1))+25</f>
        <v>592</v>
      </c>
      <c r="N11" s="242">
        <v>118</v>
      </c>
      <c r="O11" s="242">
        <v>135</v>
      </c>
      <c r="P11" s="242">
        <v>106</v>
      </c>
    </row>
    <row r="12" spans="1:17" ht="15" customHeight="1" thickBot="1" x14ac:dyDescent="0.3">
      <c r="A12" s="505"/>
      <c r="B12" s="37" t="s">
        <v>343</v>
      </c>
      <c r="C12" s="48"/>
      <c r="D12" s="20">
        <f t="shared" ref="D12:F14" si="2">(CEILING((N12*$N$5*$Q$5),1))+25</f>
        <v>294</v>
      </c>
      <c r="E12" s="222">
        <f t="shared" si="2"/>
        <v>335</v>
      </c>
      <c r="F12" s="224">
        <f t="shared" si="2"/>
        <v>268</v>
      </c>
      <c r="G12" s="123"/>
      <c r="H12" s="20">
        <f t="shared" ref="H12:J14" si="3">(CEILING((N12*$O$5*$Q$5),1))+25</f>
        <v>429</v>
      </c>
      <c r="I12" s="222">
        <f t="shared" si="3"/>
        <v>490</v>
      </c>
      <c r="J12" s="283">
        <f t="shared" si="3"/>
        <v>389</v>
      </c>
      <c r="K12" s="292"/>
      <c r="L12" s="289">
        <v>294</v>
      </c>
      <c r="M12" s="286">
        <f>(N12*$O$5)+25</f>
        <v>697</v>
      </c>
      <c r="N12" s="243">
        <v>112</v>
      </c>
      <c r="O12" s="243">
        <v>129</v>
      </c>
      <c r="P12" s="243">
        <v>101</v>
      </c>
    </row>
    <row r="13" spans="1:17" x14ac:dyDescent="0.25">
      <c r="A13" s="505"/>
      <c r="B13" s="37" t="s">
        <v>344</v>
      </c>
      <c r="C13" s="40"/>
      <c r="D13" s="20">
        <f t="shared" si="2"/>
        <v>253</v>
      </c>
      <c r="E13" s="222">
        <f t="shared" si="2"/>
        <v>287</v>
      </c>
      <c r="F13" s="224">
        <f t="shared" si="2"/>
        <v>232</v>
      </c>
      <c r="G13" s="123"/>
      <c r="H13" s="20">
        <f t="shared" si="3"/>
        <v>367</v>
      </c>
      <c r="I13" s="222">
        <f t="shared" si="3"/>
        <v>418</v>
      </c>
      <c r="J13" s="283">
        <f t="shared" si="3"/>
        <v>335</v>
      </c>
      <c r="K13" s="292"/>
      <c r="L13" s="284">
        <v>253</v>
      </c>
      <c r="M13" s="286">
        <f>(N13*$O$5)+25</f>
        <v>595</v>
      </c>
      <c r="N13" s="135">
        <v>95</v>
      </c>
      <c r="O13" s="135">
        <v>109</v>
      </c>
      <c r="P13" s="135">
        <v>86</v>
      </c>
    </row>
    <row r="14" spans="1:17" x14ac:dyDescent="0.25">
      <c r="A14" s="505"/>
      <c r="B14" s="37" t="s">
        <v>345</v>
      </c>
      <c r="C14" s="240"/>
      <c r="D14" s="20">
        <f t="shared" si="2"/>
        <v>294</v>
      </c>
      <c r="E14" s="222">
        <f t="shared" si="2"/>
        <v>335</v>
      </c>
      <c r="F14" s="224">
        <f t="shared" si="2"/>
        <v>268</v>
      </c>
      <c r="G14" s="123"/>
      <c r="H14" s="20">
        <f t="shared" si="3"/>
        <v>429</v>
      </c>
      <c r="I14" s="222">
        <f t="shared" si="3"/>
        <v>490</v>
      </c>
      <c r="J14" s="283">
        <f t="shared" si="3"/>
        <v>389</v>
      </c>
      <c r="K14" s="292"/>
      <c r="L14" s="284">
        <v>294</v>
      </c>
      <c r="M14" s="286">
        <f>(N14*$O$5)+25</f>
        <v>697</v>
      </c>
      <c r="N14" s="135">
        <v>112</v>
      </c>
      <c r="O14" s="135">
        <v>129</v>
      </c>
      <c r="P14" s="135">
        <v>101</v>
      </c>
    </row>
    <row r="15" spans="1:17" ht="15.75" thickBot="1" x14ac:dyDescent="0.3">
      <c r="A15" s="506"/>
      <c r="B15" s="107" t="s">
        <v>346</v>
      </c>
      <c r="C15" s="240"/>
      <c r="D15" s="24">
        <f>(CEILING((N15*$N$5*$P$5),1))+25</f>
        <v>379</v>
      </c>
      <c r="E15" s="25">
        <f>(CEILING((O15*$N$5*$P$5),1))+25</f>
        <v>430</v>
      </c>
      <c r="F15" s="22">
        <f>(CEILING((P15*$N$5*$P$5),1))+25</f>
        <v>343</v>
      </c>
      <c r="G15" s="124"/>
      <c r="H15" s="24">
        <f>(CEILING((N15*$O$5*$P$5),1))+25</f>
        <v>556</v>
      </c>
      <c r="I15" s="25">
        <f>(CEILING((O15*$O$5*$P$5),1))+25</f>
        <v>633</v>
      </c>
      <c r="J15" s="26">
        <f>(CEILING((P15*$O$5*$P$5),1))+25</f>
        <v>502</v>
      </c>
      <c r="K15" s="270"/>
      <c r="L15" s="290">
        <v>379</v>
      </c>
      <c r="M15" s="287">
        <f>(CEILING(((N15*$Q$5)+(N15))/2*$O$5,1))+25</f>
        <v>592</v>
      </c>
      <c r="N15" s="135">
        <v>118</v>
      </c>
      <c r="O15" s="135">
        <v>135</v>
      </c>
      <c r="P15" s="135">
        <v>106</v>
      </c>
    </row>
    <row r="16" spans="1:17" ht="15.75" thickBot="1" x14ac:dyDescent="0.3">
      <c r="A16" s="34" t="s">
        <v>17</v>
      </c>
      <c r="B16" s="35"/>
      <c r="C16" s="35"/>
      <c r="D16" s="117"/>
      <c r="E16" s="117"/>
      <c r="F16" s="117"/>
      <c r="G16" s="117"/>
      <c r="H16" s="117"/>
      <c r="I16" s="117"/>
      <c r="J16" s="117"/>
      <c r="K16" s="117"/>
      <c r="L16" s="117"/>
      <c r="M16" s="118"/>
    </row>
    <row r="17" spans="1:13" x14ac:dyDescent="0.25">
      <c r="A17" s="59" t="s">
        <v>12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</row>
    <row r="18" spans="1:13" x14ac:dyDescent="0.25">
      <c r="A18" s="59" t="s">
        <v>72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1"/>
    </row>
    <row r="19" spans="1:13" x14ac:dyDescent="0.25">
      <c r="A19" s="59" t="s">
        <v>14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1"/>
    </row>
    <row r="20" spans="1:13" ht="15.75" thickBot="1" x14ac:dyDescent="0.3">
      <c r="A20" s="493" t="s">
        <v>73</v>
      </c>
      <c r="B20" s="494"/>
      <c r="C20" s="494"/>
      <c r="D20" s="494"/>
      <c r="E20" s="494"/>
      <c r="F20" s="494"/>
      <c r="G20" s="494"/>
      <c r="H20" s="494"/>
      <c r="I20" s="494"/>
      <c r="J20" s="494"/>
      <c r="K20" s="494"/>
      <c r="L20" s="494"/>
      <c r="M20" s="495"/>
    </row>
    <row r="21" spans="1:13" ht="15.75" thickBot="1" x14ac:dyDescent="0.3">
      <c r="A21" s="460" t="s">
        <v>347</v>
      </c>
      <c r="B21" s="461"/>
      <c r="C21" s="461"/>
      <c r="D21" s="461"/>
      <c r="E21" s="461"/>
      <c r="F21" s="461"/>
      <c r="G21" s="461"/>
      <c r="H21" s="461"/>
      <c r="I21" s="461"/>
      <c r="J21" s="461"/>
      <c r="K21" s="461"/>
      <c r="L21" s="461"/>
      <c r="M21" s="462"/>
    </row>
    <row r="22" spans="1:13" x14ac:dyDescent="0.25">
      <c r="A22" t="s">
        <v>69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3"/>
    </row>
    <row r="23" spans="1:13" x14ac:dyDescent="0.25">
      <c r="A23" t="s">
        <v>48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3"/>
    </row>
    <row r="24" spans="1:13" x14ac:dyDescent="0.25">
      <c r="A24" t="s">
        <v>49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3"/>
    </row>
    <row r="25" spans="1:13" x14ac:dyDescent="0.25">
      <c r="A25" t="s">
        <v>50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3"/>
    </row>
    <row r="26" spans="1:13" ht="30.75" customHeight="1" x14ac:dyDescent="0.25">
      <c r="A26" s="517" t="s">
        <v>51</v>
      </c>
      <c r="B26" s="517"/>
      <c r="C26" s="517"/>
      <c r="D26" s="517"/>
      <c r="E26" s="517"/>
      <c r="F26" s="517"/>
      <c r="G26" s="517"/>
      <c r="H26" s="517"/>
      <c r="I26" s="517"/>
      <c r="J26" s="517"/>
      <c r="K26" s="517"/>
      <c r="L26" s="517"/>
      <c r="M26" s="518"/>
    </row>
    <row r="27" spans="1:13" x14ac:dyDescent="0.25">
      <c r="A27" s="74" t="s">
        <v>70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14"/>
    </row>
    <row r="28" spans="1:13" x14ac:dyDescent="0.25">
      <c r="A28" s="29" t="s">
        <v>68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14"/>
    </row>
    <row r="29" spans="1:13" ht="15.75" thickBot="1" x14ac:dyDescent="0.3">
      <c r="A29" s="29" t="s">
        <v>71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14"/>
    </row>
    <row r="30" spans="1:13" ht="15.75" thickBot="1" x14ac:dyDescent="0.3">
      <c r="A30" s="454" t="s">
        <v>16</v>
      </c>
      <c r="B30" s="455"/>
      <c r="C30" s="455"/>
      <c r="D30" s="455"/>
      <c r="E30" s="455"/>
      <c r="F30" s="455"/>
      <c r="G30" s="455"/>
      <c r="H30" s="455"/>
      <c r="I30" s="455"/>
      <c r="J30" s="455"/>
      <c r="K30" s="455"/>
      <c r="L30" s="455"/>
      <c r="M30" s="456"/>
    </row>
    <row r="31" spans="1:13" x14ac:dyDescent="0.25">
      <c r="A31" s="63" t="s">
        <v>64</v>
      </c>
      <c r="B31" s="64" t="s">
        <v>74</v>
      </c>
      <c r="C31" s="65"/>
      <c r="D31" s="65"/>
      <c r="E31" s="60"/>
      <c r="F31" s="60"/>
      <c r="G31" s="60"/>
      <c r="H31" s="60"/>
      <c r="I31" s="60"/>
      <c r="J31" s="60"/>
      <c r="K31" s="60"/>
      <c r="L31" s="60"/>
      <c r="M31" s="61"/>
    </row>
    <row r="32" spans="1:13" ht="15.75" thickBot="1" x14ac:dyDescent="0.3">
      <c r="A32" s="63" t="s">
        <v>65</v>
      </c>
      <c r="B32" s="80" t="s">
        <v>75</v>
      </c>
      <c r="C32" s="65"/>
      <c r="D32" s="65"/>
      <c r="E32" s="60"/>
      <c r="F32" s="60"/>
      <c r="G32" s="60"/>
      <c r="H32" s="60"/>
      <c r="I32" s="60"/>
      <c r="J32" s="60"/>
      <c r="K32" s="60"/>
      <c r="L32" s="60"/>
      <c r="M32" s="61"/>
    </row>
    <row r="33" spans="1:17" ht="15.75" thickBot="1" x14ac:dyDescent="0.3">
      <c r="A33" s="454" t="s">
        <v>15</v>
      </c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6"/>
    </row>
    <row r="34" spans="1:17" x14ac:dyDescent="0.25">
      <c r="A34" s="81" t="s">
        <v>55</v>
      </c>
      <c r="B34" s="82" t="s">
        <v>56</v>
      </c>
      <c r="C34" s="83"/>
      <c r="D34" s="83"/>
      <c r="E34" s="84">
        <v>1</v>
      </c>
      <c r="F34" s="84"/>
      <c r="G34" s="83"/>
      <c r="H34" s="83"/>
      <c r="I34" s="83"/>
      <c r="J34" s="83"/>
      <c r="K34" s="83"/>
      <c r="L34" s="83"/>
      <c r="M34" s="85"/>
    </row>
    <row r="35" spans="1:17" x14ac:dyDescent="0.25">
      <c r="A35" s="62" t="s">
        <v>57</v>
      </c>
      <c r="B35" s="64" t="s">
        <v>58</v>
      </c>
      <c r="C35" s="60"/>
      <c r="D35" s="60"/>
      <c r="E35" s="79" t="s">
        <v>60</v>
      </c>
      <c r="F35" s="79"/>
      <c r="G35" s="60"/>
      <c r="H35" s="60"/>
      <c r="I35" s="60"/>
      <c r="J35" s="60"/>
      <c r="K35" s="60"/>
      <c r="L35" s="60"/>
      <c r="M35" s="61"/>
    </row>
    <row r="36" spans="1:17" x14ac:dyDescent="0.25">
      <c r="A36" s="62"/>
      <c r="B36" s="64" t="s">
        <v>59</v>
      </c>
      <c r="C36" s="60"/>
      <c r="D36" s="60"/>
      <c r="E36" s="79" t="s">
        <v>61</v>
      </c>
      <c r="F36" s="79"/>
      <c r="G36" s="60"/>
      <c r="H36" s="60"/>
      <c r="I36" s="60"/>
      <c r="J36" s="60"/>
      <c r="K36" s="60"/>
      <c r="L36" s="60"/>
      <c r="M36" s="61"/>
    </row>
    <row r="37" spans="1:17" ht="15.75" thickBot="1" x14ac:dyDescent="0.3">
      <c r="A37" s="59"/>
      <c r="B37" s="64" t="s">
        <v>62</v>
      </c>
      <c r="C37" s="60"/>
      <c r="D37" s="60"/>
      <c r="E37" s="149">
        <v>1</v>
      </c>
      <c r="F37" s="149"/>
      <c r="G37" s="60"/>
      <c r="H37" s="60"/>
      <c r="I37" s="60"/>
      <c r="J37" s="60"/>
      <c r="K37" s="60"/>
      <c r="L37" s="60"/>
      <c r="M37" s="61"/>
    </row>
    <row r="38" spans="1:17" ht="15.75" thickBot="1" x14ac:dyDescent="0.3">
      <c r="A38" s="499" t="s">
        <v>191</v>
      </c>
      <c r="B38" s="500"/>
      <c r="C38" s="500"/>
      <c r="D38" s="500"/>
      <c r="E38" s="500"/>
      <c r="F38" s="500"/>
      <c r="G38" s="500"/>
      <c r="H38" s="500"/>
      <c r="I38" s="500"/>
      <c r="J38" s="500"/>
      <c r="K38" s="500"/>
      <c r="L38" s="500"/>
      <c r="M38" s="501"/>
      <c r="N38" s="148"/>
      <c r="O38" s="148"/>
      <c r="P38" s="148"/>
      <c r="Q38" s="148"/>
    </row>
    <row r="39" spans="1:17" ht="78" customHeight="1" x14ac:dyDescent="0.25">
      <c r="A39" s="488" t="s">
        <v>178</v>
      </c>
      <c r="B39" s="489"/>
      <c r="C39" s="508"/>
      <c r="D39" s="513" t="s">
        <v>183</v>
      </c>
      <c r="E39" s="480"/>
      <c r="F39" s="480"/>
      <c r="G39" s="480"/>
      <c r="H39" s="480"/>
      <c r="I39" s="480"/>
      <c r="J39" s="480"/>
      <c r="K39" s="480"/>
      <c r="L39" s="480"/>
      <c r="M39" s="514"/>
      <c r="N39" s="74"/>
      <c r="O39" s="74"/>
      <c r="P39" s="74"/>
      <c r="Q39" s="74"/>
    </row>
    <row r="40" spans="1:17" ht="15.75" thickBot="1" x14ac:dyDescent="0.3">
      <c r="A40" s="515" t="s">
        <v>179</v>
      </c>
      <c r="B40" s="516"/>
      <c r="C40" s="516"/>
      <c r="D40" s="510">
        <v>40</v>
      </c>
      <c r="E40" s="511"/>
      <c r="F40" s="511"/>
      <c r="G40" s="511"/>
      <c r="H40" s="511"/>
      <c r="I40" s="511"/>
      <c r="J40" s="511"/>
      <c r="K40" s="511"/>
      <c r="L40" s="511"/>
      <c r="M40" s="512"/>
      <c r="N40" s="74"/>
      <c r="O40" s="74"/>
      <c r="P40" s="74"/>
      <c r="Q40" s="74"/>
    </row>
  </sheetData>
  <mergeCells count="20">
    <mergeCell ref="A1:M1"/>
    <mergeCell ref="A2:M2"/>
    <mergeCell ref="A3:M3"/>
    <mergeCell ref="A4:A5"/>
    <mergeCell ref="B4:B5"/>
    <mergeCell ref="D4:F4"/>
    <mergeCell ref="H4:J4"/>
    <mergeCell ref="L4:M4"/>
    <mergeCell ref="D40:M40"/>
    <mergeCell ref="D39:M39"/>
    <mergeCell ref="A6:A10"/>
    <mergeCell ref="A40:C40"/>
    <mergeCell ref="A39:C39"/>
    <mergeCell ref="A38:M38"/>
    <mergeCell ref="A11:A15"/>
    <mergeCell ref="A20:M20"/>
    <mergeCell ref="A21:M21"/>
    <mergeCell ref="A30:M30"/>
    <mergeCell ref="A33:M33"/>
    <mergeCell ref="A26:M26"/>
  </mergeCells>
  <pageMargins left="0.7" right="0.7" top="0.75" bottom="0.75" header="0.3" footer="0.3"/>
  <pageSetup scale="91" fitToHeight="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workbookViewId="0">
      <selection activeCell="Q17" sqref="Q17"/>
    </sheetView>
  </sheetViews>
  <sheetFormatPr defaultRowHeight="15" x14ac:dyDescent="0.25"/>
  <cols>
    <col min="1" max="1" width="24" customWidth="1"/>
    <col min="2" max="2" width="20" customWidth="1"/>
    <col min="3" max="3" width="1.7109375" customWidth="1"/>
    <col min="6" max="6" width="11.5703125" bestFit="1" customWidth="1"/>
    <col min="7" max="7" width="11.5703125" customWidth="1"/>
    <col min="8" max="8" width="1.7109375" customWidth="1"/>
    <col min="13" max="13" width="1.5703125" customWidth="1"/>
  </cols>
  <sheetData>
    <row r="1" spans="1:19" ht="15.75" thickBot="1" x14ac:dyDescent="0.3">
      <c r="A1" s="460" t="s">
        <v>299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2"/>
    </row>
    <row r="2" spans="1:19" ht="15.75" thickBot="1" x14ac:dyDescent="0.3">
      <c r="A2" s="460" t="s">
        <v>21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2"/>
    </row>
    <row r="3" spans="1:19" ht="15.75" thickBot="1" x14ac:dyDescent="0.3">
      <c r="A3" s="460" t="s">
        <v>341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2"/>
    </row>
    <row r="4" spans="1:19" ht="15.75" customHeight="1" thickBot="1" x14ac:dyDescent="0.3">
      <c r="A4" s="463" t="s">
        <v>10</v>
      </c>
      <c r="B4" s="465" t="s">
        <v>9</v>
      </c>
      <c r="C4" s="9"/>
      <c r="D4" s="467" t="s">
        <v>0</v>
      </c>
      <c r="E4" s="468"/>
      <c r="F4" s="468"/>
      <c r="G4" s="469"/>
      <c r="H4" s="2"/>
      <c r="I4" s="467" t="s">
        <v>1</v>
      </c>
      <c r="J4" s="468"/>
      <c r="K4" s="468"/>
      <c r="L4" s="469"/>
      <c r="M4" s="1"/>
      <c r="N4" s="491" t="s">
        <v>2</v>
      </c>
      <c r="O4" s="492"/>
    </row>
    <row r="5" spans="1:19" ht="45.75" thickBot="1" x14ac:dyDescent="0.3">
      <c r="A5" s="490"/>
      <c r="B5" s="466"/>
      <c r="C5" s="43"/>
      <c r="D5" s="44" t="s">
        <v>3</v>
      </c>
      <c r="E5" s="45" t="s">
        <v>4</v>
      </c>
      <c r="F5" s="45" t="s">
        <v>5</v>
      </c>
      <c r="G5" s="47" t="s">
        <v>120</v>
      </c>
      <c r="H5" s="43"/>
      <c r="I5" s="44" t="s">
        <v>3</v>
      </c>
      <c r="J5" s="45" t="s">
        <v>4</v>
      </c>
      <c r="K5" s="45" t="s">
        <v>5</v>
      </c>
      <c r="L5" s="47" t="s">
        <v>120</v>
      </c>
      <c r="M5" s="7"/>
      <c r="N5" s="3" t="s">
        <v>7</v>
      </c>
      <c r="O5" s="8" t="s">
        <v>8</v>
      </c>
      <c r="P5">
        <v>4</v>
      </c>
      <c r="Q5">
        <v>6</v>
      </c>
      <c r="R5">
        <v>20</v>
      </c>
      <c r="S5">
        <v>25</v>
      </c>
    </row>
    <row r="6" spans="1:19" ht="30.75" thickBot="1" x14ac:dyDescent="0.3">
      <c r="A6" s="498" t="s">
        <v>93</v>
      </c>
      <c r="B6" s="194" t="s">
        <v>351</v>
      </c>
      <c r="C6" s="48"/>
      <c r="D6" s="186">
        <f t="shared" ref="D6:F9" si="0">(P6*$P$5)+25</f>
        <v>385</v>
      </c>
      <c r="E6" s="187">
        <f t="shared" si="0"/>
        <v>565</v>
      </c>
      <c r="F6" s="187">
        <f t="shared" si="0"/>
        <v>357</v>
      </c>
      <c r="G6" s="188">
        <f>(S6*$P$5)+20</f>
        <v>200</v>
      </c>
      <c r="H6" s="189"/>
      <c r="I6" s="186">
        <f t="shared" ref="I6:K9" si="1">(P6*$Q$5)+25</f>
        <v>565</v>
      </c>
      <c r="J6" s="187">
        <f t="shared" si="1"/>
        <v>835</v>
      </c>
      <c r="K6" s="187">
        <f t="shared" si="1"/>
        <v>523</v>
      </c>
      <c r="L6" s="188">
        <f>(S6*$Q$5)+20</f>
        <v>290</v>
      </c>
      <c r="M6" s="181"/>
      <c r="N6" s="244">
        <v>385</v>
      </c>
      <c r="O6" s="194">
        <v>565</v>
      </c>
      <c r="P6">
        <v>90</v>
      </c>
      <c r="Q6">
        <v>135</v>
      </c>
      <c r="R6">
        <f>CEILING(((P6*2)+68)/3,1)</f>
        <v>83</v>
      </c>
      <c r="S6">
        <v>45</v>
      </c>
    </row>
    <row r="7" spans="1:19" ht="15.75" thickBot="1" x14ac:dyDescent="0.3">
      <c r="A7" s="496"/>
      <c r="B7" s="185" t="s">
        <v>350</v>
      </c>
      <c r="C7" s="10"/>
      <c r="D7" s="190">
        <f t="shared" si="0"/>
        <v>365</v>
      </c>
      <c r="E7" s="191">
        <f t="shared" si="0"/>
        <v>537</v>
      </c>
      <c r="F7" s="191">
        <f t="shared" si="0"/>
        <v>337</v>
      </c>
      <c r="G7" s="192">
        <f>(S7*$P$5)+20</f>
        <v>20</v>
      </c>
      <c r="H7" s="189"/>
      <c r="I7" s="190">
        <f t="shared" si="1"/>
        <v>535</v>
      </c>
      <c r="J7" s="191">
        <f t="shared" si="1"/>
        <v>793</v>
      </c>
      <c r="K7" s="191">
        <f t="shared" si="1"/>
        <v>493</v>
      </c>
      <c r="L7" s="192">
        <f>(S7*$Q$5)+20</f>
        <v>20</v>
      </c>
      <c r="M7" s="181"/>
      <c r="N7" s="245">
        <v>365</v>
      </c>
      <c r="O7" s="246">
        <v>535</v>
      </c>
      <c r="P7" s="242">
        <v>85</v>
      </c>
      <c r="Q7" s="242">
        <v>128</v>
      </c>
      <c r="R7" s="238">
        <f>CEILING(((P7*2)+64)/3,1)</f>
        <v>78</v>
      </c>
      <c r="S7" s="242">
        <v>0</v>
      </c>
    </row>
    <row r="8" spans="1:19" ht="30" x14ac:dyDescent="0.25">
      <c r="A8" s="498" t="s">
        <v>193</v>
      </c>
      <c r="B8" s="194" t="s">
        <v>351</v>
      </c>
      <c r="C8" s="40"/>
      <c r="D8" s="186">
        <f t="shared" si="0"/>
        <v>365</v>
      </c>
      <c r="E8" s="187">
        <f t="shared" si="0"/>
        <v>537</v>
      </c>
      <c r="F8" s="187">
        <f t="shared" si="0"/>
        <v>337</v>
      </c>
      <c r="G8" s="188">
        <f>(S8*$P$5)+20</f>
        <v>192</v>
      </c>
      <c r="H8" s="189"/>
      <c r="I8" s="186">
        <f t="shared" si="1"/>
        <v>535</v>
      </c>
      <c r="J8" s="187">
        <f t="shared" si="1"/>
        <v>793</v>
      </c>
      <c r="K8" s="187">
        <f t="shared" si="1"/>
        <v>493</v>
      </c>
      <c r="L8" s="188">
        <f>(S8*$Q$5)+20</f>
        <v>278</v>
      </c>
      <c r="M8" s="181"/>
      <c r="N8" s="244">
        <v>365</v>
      </c>
      <c r="O8" s="194">
        <v>535</v>
      </c>
      <c r="P8">
        <v>85</v>
      </c>
      <c r="Q8">
        <v>128</v>
      </c>
      <c r="R8">
        <f>CEILING(((P8*2)+64)/3,1)</f>
        <v>78</v>
      </c>
      <c r="S8">
        <v>43</v>
      </c>
    </row>
    <row r="9" spans="1:19" ht="15.75" thickBot="1" x14ac:dyDescent="0.3">
      <c r="A9" s="496"/>
      <c r="B9" s="185" t="s">
        <v>262</v>
      </c>
      <c r="C9" s="217"/>
      <c r="D9" s="190">
        <f t="shared" si="0"/>
        <v>345</v>
      </c>
      <c r="E9" s="191">
        <f t="shared" si="0"/>
        <v>505</v>
      </c>
      <c r="F9" s="191">
        <f t="shared" si="0"/>
        <v>321</v>
      </c>
      <c r="G9" s="192">
        <f>(S9*$P$5)+20</f>
        <v>20</v>
      </c>
      <c r="H9" s="204"/>
      <c r="I9" s="190">
        <f t="shared" si="1"/>
        <v>505</v>
      </c>
      <c r="J9" s="191">
        <f t="shared" si="1"/>
        <v>745</v>
      </c>
      <c r="K9" s="191">
        <f t="shared" si="1"/>
        <v>469</v>
      </c>
      <c r="L9" s="192">
        <f>(S9*$Q$5)+20</f>
        <v>20</v>
      </c>
      <c r="M9" s="205"/>
      <c r="N9" s="245">
        <v>345</v>
      </c>
      <c r="O9" s="246">
        <v>505</v>
      </c>
      <c r="P9" s="242">
        <v>80</v>
      </c>
      <c r="Q9" s="242">
        <v>120</v>
      </c>
      <c r="R9" s="238">
        <f>CEILING(((P9*2)+60)/3,1)</f>
        <v>74</v>
      </c>
      <c r="S9" s="238">
        <v>0</v>
      </c>
    </row>
    <row r="10" spans="1:19" ht="15.75" thickBot="1" x14ac:dyDescent="0.3">
      <c r="A10" s="34" t="s">
        <v>17</v>
      </c>
      <c r="B10" s="117"/>
      <c r="C10" s="35"/>
      <c r="D10" s="117"/>
      <c r="E10" s="117"/>
      <c r="F10" s="117"/>
      <c r="G10" s="117"/>
      <c r="H10" s="35"/>
      <c r="I10" s="117"/>
      <c r="J10" s="117"/>
      <c r="K10" s="117"/>
      <c r="L10" s="117"/>
      <c r="M10" s="35"/>
      <c r="N10" s="117"/>
      <c r="O10" s="118"/>
    </row>
    <row r="11" spans="1:19" x14ac:dyDescent="0.25">
      <c r="A11" s="59" t="s">
        <v>12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1"/>
    </row>
    <row r="12" spans="1:19" x14ac:dyDescent="0.25">
      <c r="A12" s="59" t="s">
        <v>72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1"/>
    </row>
    <row r="13" spans="1:19" x14ac:dyDescent="0.25">
      <c r="A13" s="59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1"/>
    </row>
    <row r="14" spans="1:19" ht="15.75" thickBot="1" x14ac:dyDescent="0.3">
      <c r="A14" s="493" t="s">
        <v>194</v>
      </c>
      <c r="B14" s="494"/>
      <c r="C14" s="494"/>
      <c r="D14" s="494"/>
      <c r="E14" s="494"/>
      <c r="F14" s="494"/>
      <c r="G14" s="494"/>
      <c r="H14" s="494"/>
      <c r="I14" s="494"/>
      <c r="J14" s="494"/>
      <c r="K14" s="494"/>
      <c r="L14" s="494"/>
      <c r="M14" s="494"/>
      <c r="N14" s="494"/>
      <c r="O14" s="495"/>
    </row>
    <row r="15" spans="1:19" ht="15.75" thickBot="1" x14ac:dyDescent="0.3">
      <c r="A15" s="165" t="s">
        <v>11</v>
      </c>
      <c r="B15" s="519"/>
      <c r="C15" s="519"/>
      <c r="D15" s="519"/>
      <c r="E15" s="519"/>
      <c r="F15" s="519"/>
      <c r="G15" s="519"/>
      <c r="H15" s="519"/>
      <c r="I15" s="519"/>
      <c r="J15" s="519"/>
      <c r="K15" s="519"/>
      <c r="L15" s="519"/>
      <c r="M15" s="519"/>
      <c r="N15" s="519"/>
      <c r="O15" s="520"/>
    </row>
    <row r="16" spans="1:19" s="151" customFormat="1" x14ac:dyDescent="0.25">
      <c r="A16" s="176" t="s">
        <v>195</v>
      </c>
      <c r="B16" s="172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3"/>
    </row>
    <row r="17" spans="1:15" s="151" customFormat="1" x14ac:dyDescent="0.25">
      <c r="A17" s="176" t="s">
        <v>196</v>
      </c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3"/>
    </row>
    <row r="18" spans="1:15" s="151" customFormat="1" x14ac:dyDescent="0.25">
      <c r="A18" s="176" t="s">
        <v>197</v>
      </c>
      <c r="B18" s="172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3"/>
    </row>
    <row r="19" spans="1:15" s="151" customFormat="1" x14ac:dyDescent="0.25">
      <c r="A19" s="176" t="s">
        <v>198</v>
      </c>
      <c r="B19" s="172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3"/>
    </row>
    <row r="20" spans="1:15" s="151" customFormat="1" x14ac:dyDescent="0.25">
      <c r="A20" s="178" t="s">
        <v>199</v>
      </c>
      <c r="B20" s="172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3"/>
    </row>
    <row r="21" spans="1:15" s="151" customFormat="1" x14ac:dyDescent="0.25">
      <c r="A21" s="176" t="s">
        <v>200</v>
      </c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3"/>
    </row>
    <row r="22" spans="1:15" s="151" customFormat="1" x14ac:dyDescent="0.25">
      <c r="A22" s="176" t="s">
        <v>201</v>
      </c>
      <c r="B22" s="172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3"/>
    </row>
    <row r="23" spans="1:15" s="151" customFormat="1" x14ac:dyDescent="0.25">
      <c r="A23" s="176" t="s">
        <v>202</v>
      </c>
      <c r="B23" s="172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3"/>
    </row>
    <row r="24" spans="1:15" s="151" customFormat="1" x14ac:dyDescent="0.25">
      <c r="A24" s="176" t="s">
        <v>203</v>
      </c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3"/>
    </row>
    <row r="25" spans="1:15" s="151" customFormat="1" ht="15.75" thickBot="1" x14ac:dyDescent="0.3">
      <c r="A25" s="177" t="s">
        <v>204</v>
      </c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5"/>
    </row>
    <row r="26" spans="1:15" ht="15.75" thickBot="1" x14ac:dyDescent="0.3">
      <c r="A26" s="454" t="s">
        <v>16</v>
      </c>
      <c r="B26" s="455"/>
      <c r="C26" s="455"/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6"/>
    </row>
    <row r="27" spans="1:15" x14ac:dyDescent="0.25">
      <c r="A27" s="63" t="s">
        <v>18</v>
      </c>
      <c r="B27" s="64" t="s">
        <v>206</v>
      </c>
      <c r="C27" s="65"/>
      <c r="D27" s="65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/>
    </row>
    <row r="28" spans="1:15" ht="15.75" thickBot="1" x14ac:dyDescent="0.3">
      <c r="A28" s="63" t="s">
        <v>205</v>
      </c>
      <c r="B28" s="64" t="s">
        <v>206</v>
      </c>
      <c r="C28" s="65"/>
      <c r="D28" s="65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/>
    </row>
    <row r="29" spans="1:15" ht="15.75" thickBot="1" x14ac:dyDescent="0.3">
      <c r="A29" s="454" t="s">
        <v>15</v>
      </c>
      <c r="B29" s="455"/>
      <c r="C29" s="455"/>
      <c r="D29" s="455"/>
      <c r="E29" s="455"/>
      <c r="F29" s="455"/>
      <c r="G29" s="455"/>
      <c r="H29" s="455"/>
      <c r="I29" s="455"/>
      <c r="J29" s="455"/>
      <c r="K29" s="455"/>
      <c r="L29" s="455"/>
      <c r="M29" s="455"/>
      <c r="N29" s="455"/>
      <c r="O29" s="456"/>
    </row>
    <row r="30" spans="1:15" x14ac:dyDescent="0.25">
      <c r="A30" s="76" t="s">
        <v>207</v>
      </c>
      <c r="B30" s="167"/>
      <c r="C30" s="168"/>
      <c r="D30" s="179">
        <v>0.25</v>
      </c>
      <c r="E30" s="169"/>
      <c r="F30" s="169"/>
      <c r="G30" s="169"/>
      <c r="H30" s="168"/>
      <c r="I30" s="168"/>
      <c r="J30" s="168"/>
      <c r="K30" s="168"/>
      <c r="L30" s="168"/>
      <c r="M30" s="168"/>
      <c r="N30" s="168"/>
      <c r="O30" s="170"/>
    </row>
    <row r="31" spans="1:15" x14ac:dyDescent="0.25">
      <c r="A31" s="28" t="s">
        <v>208</v>
      </c>
      <c r="B31" s="166"/>
      <c r="C31" s="125"/>
      <c r="D31" s="180">
        <v>0.5</v>
      </c>
      <c r="E31" s="171"/>
      <c r="F31" s="171"/>
      <c r="G31" s="171"/>
      <c r="H31" s="125"/>
      <c r="I31" s="125"/>
      <c r="J31" s="125"/>
      <c r="K31" s="125"/>
      <c r="L31" s="125"/>
      <c r="M31" s="125"/>
      <c r="N31" s="125"/>
      <c r="O31" s="126"/>
    </row>
    <row r="32" spans="1:15" x14ac:dyDescent="0.25">
      <c r="A32" s="28" t="s">
        <v>209</v>
      </c>
      <c r="B32" s="166"/>
      <c r="C32" s="125"/>
      <c r="D32" s="180">
        <v>0.75</v>
      </c>
      <c r="E32" s="171"/>
      <c r="F32" s="171"/>
      <c r="G32" s="171"/>
      <c r="H32" s="125"/>
      <c r="I32" s="125"/>
      <c r="J32" s="125"/>
      <c r="K32" s="125"/>
      <c r="L32" s="125"/>
      <c r="M32" s="125"/>
      <c r="N32" s="125"/>
      <c r="O32" s="126"/>
    </row>
    <row r="33" spans="1:15" x14ac:dyDescent="0.25">
      <c r="A33" s="28" t="s">
        <v>210</v>
      </c>
      <c r="B33" s="166"/>
      <c r="C33" s="125"/>
      <c r="D33" s="180">
        <v>0.9</v>
      </c>
      <c r="E33" s="171"/>
      <c r="F33" s="171"/>
      <c r="G33" s="171"/>
      <c r="H33" s="125"/>
      <c r="I33" s="125"/>
      <c r="J33" s="125"/>
      <c r="K33" s="125"/>
      <c r="L33" s="125"/>
      <c r="M33" s="125"/>
      <c r="N33" s="125"/>
      <c r="O33" s="126"/>
    </row>
    <row r="34" spans="1:15" ht="15.75" thickBot="1" x14ac:dyDescent="0.3">
      <c r="A34" s="138" t="s">
        <v>211</v>
      </c>
      <c r="B34" s="360"/>
      <c r="C34" s="206"/>
      <c r="D34" s="361">
        <v>1</v>
      </c>
      <c r="E34" s="362"/>
      <c r="F34" s="362"/>
      <c r="G34" s="362"/>
      <c r="H34" s="206"/>
      <c r="I34" s="206"/>
      <c r="J34" s="206"/>
      <c r="K34" s="206"/>
      <c r="L34" s="206"/>
      <c r="M34" s="206"/>
      <c r="N34" s="206"/>
      <c r="O34" s="207"/>
    </row>
  </sheetData>
  <mergeCells count="14">
    <mergeCell ref="B15:O15"/>
    <mergeCell ref="A26:O26"/>
    <mergeCell ref="A29:O29"/>
    <mergeCell ref="A6:A7"/>
    <mergeCell ref="A8:A9"/>
    <mergeCell ref="A14:O14"/>
    <mergeCell ref="A1:O1"/>
    <mergeCell ref="A2:O2"/>
    <mergeCell ref="A3:O3"/>
    <mergeCell ref="A4:A5"/>
    <mergeCell ref="B4:B5"/>
    <mergeCell ref="N4:O4"/>
    <mergeCell ref="D4:G4"/>
    <mergeCell ref="I4:L4"/>
  </mergeCells>
  <pageMargins left="0.7" right="0.7" top="0.75" bottom="0.75" header="0.3" footer="0.3"/>
  <pageSetup scale="84" fitToHeight="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workbookViewId="0">
      <selection activeCell="S13" sqref="S13"/>
    </sheetView>
  </sheetViews>
  <sheetFormatPr defaultRowHeight="15" x14ac:dyDescent="0.25"/>
  <cols>
    <col min="1" max="1" width="24" customWidth="1"/>
    <col min="2" max="2" width="20" customWidth="1"/>
    <col min="3" max="3" width="1.7109375" customWidth="1"/>
    <col min="7" max="7" width="11.5703125" customWidth="1"/>
    <col min="8" max="8" width="1.7109375" customWidth="1"/>
    <col min="9" max="12" width="9.140625" customWidth="1"/>
    <col min="13" max="13" width="1.5703125" customWidth="1"/>
    <col min="14" max="15" width="9.140625" customWidth="1"/>
  </cols>
  <sheetData>
    <row r="1" spans="1:19" ht="15.75" thickBot="1" x14ac:dyDescent="0.3">
      <c r="A1" s="460" t="s">
        <v>300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2"/>
    </row>
    <row r="2" spans="1:19" ht="15.75" thickBot="1" x14ac:dyDescent="0.3">
      <c r="A2" s="460" t="s">
        <v>21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2"/>
    </row>
    <row r="3" spans="1:19" ht="15.75" thickBot="1" x14ac:dyDescent="0.3">
      <c r="A3" s="460" t="s">
        <v>402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2"/>
    </row>
    <row r="4" spans="1:19" ht="15.75" customHeight="1" thickBot="1" x14ac:dyDescent="0.3">
      <c r="A4" s="463" t="s">
        <v>10</v>
      </c>
      <c r="B4" s="465" t="s">
        <v>9</v>
      </c>
      <c r="C4" s="9"/>
      <c r="D4" s="467" t="s">
        <v>0</v>
      </c>
      <c r="E4" s="468"/>
      <c r="F4" s="468"/>
      <c r="G4" s="469"/>
      <c r="H4" s="2"/>
      <c r="I4" s="467" t="s">
        <v>1</v>
      </c>
      <c r="J4" s="468"/>
      <c r="K4" s="468"/>
      <c r="L4" s="469"/>
      <c r="M4" s="1"/>
      <c r="N4" s="491" t="s">
        <v>2</v>
      </c>
      <c r="O4" s="492"/>
    </row>
    <row r="5" spans="1:19" ht="45.75" thickBot="1" x14ac:dyDescent="0.3">
      <c r="A5" s="490"/>
      <c r="B5" s="466"/>
      <c r="C5" s="43"/>
      <c r="D5" s="44" t="s">
        <v>3</v>
      </c>
      <c r="E5" s="45" t="s">
        <v>4</v>
      </c>
      <c r="F5" s="46" t="s">
        <v>5</v>
      </c>
      <c r="G5" s="47" t="s">
        <v>120</v>
      </c>
      <c r="H5" s="43"/>
      <c r="I5" s="44" t="s">
        <v>3</v>
      </c>
      <c r="J5" s="45" t="s">
        <v>4</v>
      </c>
      <c r="K5" s="46" t="s">
        <v>5</v>
      </c>
      <c r="L5" s="47" t="s">
        <v>120</v>
      </c>
      <c r="M5" s="7"/>
      <c r="N5" s="3" t="s">
        <v>7</v>
      </c>
      <c r="O5" s="8" t="s">
        <v>8</v>
      </c>
      <c r="P5">
        <v>4</v>
      </c>
      <c r="Q5">
        <v>6</v>
      </c>
      <c r="R5">
        <v>30</v>
      </c>
      <c r="S5">
        <v>35</v>
      </c>
    </row>
    <row r="6" spans="1:19" ht="15.75" thickBot="1" x14ac:dyDescent="0.3">
      <c r="A6" s="504" t="s">
        <v>89</v>
      </c>
      <c r="B6" s="184" t="s">
        <v>399</v>
      </c>
      <c r="C6" s="11"/>
      <c r="D6" s="190">
        <f t="shared" ref="D6:F6" si="0">(P6*$P$5)+35</f>
        <v>267</v>
      </c>
      <c r="E6" s="191">
        <f t="shared" si="0"/>
        <v>455</v>
      </c>
      <c r="F6" s="191">
        <f t="shared" si="0"/>
        <v>243</v>
      </c>
      <c r="G6" s="192">
        <f>(S6*$P$5)+30</f>
        <v>110</v>
      </c>
      <c r="H6" s="193"/>
      <c r="I6" s="190">
        <f t="shared" ref="I6:K6" si="1">(P6*$Q$5)+35</f>
        <v>383</v>
      </c>
      <c r="J6" s="191">
        <f t="shared" si="1"/>
        <v>665</v>
      </c>
      <c r="K6" s="191">
        <f t="shared" si="1"/>
        <v>347</v>
      </c>
      <c r="L6" s="192">
        <f>(S6*$Q$5)+30</f>
        <v>150</v>
      </c>
      <c r="M6" s="182"/>
      <c r="N6" s="354">
        <v>267</v>
      </c>
      <c r="O6" s="355">
        <v>383</v>
      </c>
      <c r="P6">
        <v>58</v>
      </c>
      <c r="Q6">
        <v>105</v>
      </c>
      <c r="R6">
        <v>52</v>
      </c>
      <c r="S6">
        <v>20</v>
      </c>
    </row>
    <row r="7" spans="1:19" ht="15.75" thickBot="1" x14ac:dyDescent="0.3">
      <c r="A7" s="506"/>
      <c r="B7" s="353" t="s">
        <v>400</v>
      </c>
      <c r="C7" s="123"/>
      <c r="D7" s="190">
        <f t="shared" ref="D7" si="2">(P7*$P$5)+35</f>
        <v>235</v>
      </c>
      <c r="E7" s="191">
        <f t="shared" ref="E7" si="3">(Q7*$P$5)+35</f>
        <v>395</v>
      </c>
      <c r="F7" s="191">
        <f t="shared" ref="F7" si="4">(R7*$P$5)+35</f>
        <v>223</v>
      </c>
      <c r="G7" s="192">
        <f>(S7*$P$5)+30</f>
        <v>110</v>
      </c>
      <c r="H7" s="350"/>
      <c r="I7" s="190">
        <f t="shared" ref="I7" si="5">(P7*$Q$5)+35</f>
        <v>335</v>
      </c>
      <c r="J7" s="191">
        <f t="shared" ref="J7" si="6">(Q7*$Q$5)+35</f>
        <v>575</v>
      </c>
      <c r="K7" s="191">
        <f t="shared" ref="K7" si="7">(R7*$Q$5)+35</f>
        <v>317</v>
      </c>
      <c r="L7" s="192">
        <f>(S7*$Q$5)+30</f>
        <v>150</v>
      </c>
      <c r="M7" s="351"/>
      <c r="N7" s="356">
        <v>235</v>
      </c>
      <c r="O7" s="352">
        <v>335</v>
      </c>
      <c r="P7">
        <v>50</v>
      </c>
      <c r="Q7">
        <v>90</v>
      </c>
      <c r="R7">
        <v>47</v>
      </c>
      <c r="S7">
        <v>20</v>
      </c>
    </row>
    <row r="8" spans="1:19" ht="15.75" thickBot="1" x14ac:dyDescent="0.3">
      <c r="A8" s="34" t="s">
        <v>17</v>
      </c>
      <c r="B8" s="35"/>
      <c r="C8" s="35"/>
      <c r="D8" s="117"/>
      <c r="E8" s="117"/>
      <c r="F8" s="117"/>
      <c r="G8" s="117"/>
      <c r="H8" s="35"/>
      <c r="I8" s="117"/>
      <c r="J8" s="117"/>
      <c r="K8" s="117"/>
      <c r="L8" s="117"/>
      <c r="M8" s="35"/>
      <c r="N8" s="35"/>
      <c r="O8" s="57"/>
    </row>
    <row r="9" spans="1:19" x14ac:dyDescent="0.25">
      <c r="A9" s="59" t="s">
        <v>12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1"/>
    </row>
    <row r="10" spans="1:19" x14ac:dyDescent="0.25">
      <c r="A10" s="59" t="s">
        <v>72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1"/>
    </row>
    <row r="11" spans="1:19" ht="15.75" thickBot="1" x14ac:dyDescent="0.3">
      <c r="A11" s="59" t="s">
        <v>14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1"/>
    </row>
    <row r="12" spans="1:19" ht="15.75" thickBot="1" x14ac:dyDescent="0.3">
      <c r="A12" s="183" t="s">
        <v>11</v>
      </c>
      <c r="B12" s="519"/>
      <c r="C12" s="519"/>
      <c r="D12" s="519"/>
      <c r="E12" s="519"/>
      <c r="F12" s="519"/>
      <c r="G12" s="519"/>
      <c r="H12" s="519"/>
      <c r="I12" s="519"/>
      <c r="J12" s="519"/>
      <c r="K12" s="519"/>
      <c r="L12" s="519"/>
      <c r="M12" s="519"/>
      <c r="N12" s="519"/>
      <c r="O12" s="520"/>
    </row>
    <row r="13" spans="1:19" s="151" customFormat="1" x14ac:dyDescent="0.25">
      <c r="A13" s="176" t="s">
        <v>217</v>
      </c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3"/>
    </row>
    <row r="14" spans="1:19" s="151" customFormat="1" x14ac:dyDescent="0.25">
      <c r="A14" s="176" t="s">
        <v>218</v>
      </c>
      <c r="B14" s="172"/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3"/>
    </row>
    <row r="15" spans="1:19" s="151" customFormat="1" x14ac:dyDescent="0.25">
      <c r="A15" s="176" t="s">
        <v>219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3"/>
    </row>
    <row r="16" spans="1:19" s="151" customFormat="1" x14ac:dyDescent="0.25">
      <c r="A16" s="176" t="s">
        <v>220</v>
      </c>
      <c r="B16" s="172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3"/>
    </row>
    <row r="17" spans="1:15" s="151" customFormat="1" ht="15.75" thickBot="1" x14ac:dyDescent="0.3">
      <c r="A17" s="176" t="s">
        <v>221</v>
      </c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3"/>
    </row>
    <row r="18" spans="1:15" ht="15.75" thickBot="1" x14ac:dyDescent="0.3">
      <c r="A18" s="454" t="s">
        <v>16</v>
      </c>
      <c r="B18" s="455"/>
      <c r="C18" s="455"/>
      <c r="D18" s="455"/>
      <c r="E18" s="455"/>
      <c r="F18" s="455"/>
      <c r="G18" s="455"/>
      <c r="H18" s="455"/>
      <c r="I18" s="455"/>
      <c r="J18" s="455"/>
      <c r="K18" s="455"/>
      <c r="L18" s="455"/>
      <c r="M18" s="455"/>
      <c r="N18" s="455"/>
      <c r="O18" s="456"/>
    </row>
    <row r="19" spans="1:15" x14ac:dyDescent="0.25">
      <c r="A19" s="63" t="s">
        <v>91</v>
      </c>
      <c r="B19" s="64" t="s">
        <v>223</v>
      </c>
      <c r="C19" s="65"/>
      <c r="D19" s="65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1"/>
    </row>
    <row r="20" spans="1:15" ht="15.75" thickBot="1" x14ac:dyDescent="0.3">
      <c r="A20" s="63" t="s">
        <v>65</v>
      </c>
      <c r="B20" s="64" t="s">
        <v>222</v>
      </c>
      <c r="C20" s="65"/>
      <c r="D20" s="65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1"/>
    </row>
    <row r="21" spans="1:15" ht="15.75" thickBot="1" x14ac:dyDescent="0.3">
      <c r="A21" s="454" t="s">
        <v>15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6"/>
    </row>
    <row r="22" spans="1:15" x14ac:dyDescent="0.25">
      <c r="A22" s="76" t="s">
        <v>224</v>
      </c>
      <c r="B22" s="208">
        <v>0.5</v>
      </c>
      <c r="C22" s="168"/>
      <c r="D22" s="179"/>
      <c r="E22" s="169"/>
      <c r="F22" s="169"/>
      <c r="G22" s="169"/>
      <c r="H22" s="168"/>
      <c r="I22" s="168"/>
      <c r="J22" s="168"/>
      <c r="K22" s="168"/>
      <c r="L22" s="168"/>
      <c r="M22" s="168"/>
      <c r="N22" s="168"/>
      <c r="O22" s="170"/>
    </row>
    <row r="23" spans="1:15" ht="15.75" thickBot="1" x14ac:dyDescent="0.3">
      <c r="A23" s="138" t="s">
        <v>225</v>
      </c>
      <c r="B23" s="363">
        <v>1</v>
      </c>
      <c r="C23" s="206"/>
      <c r="D23" s="361"/>
      <c r="E23" s="364"/>
      <c r="F23" s="364"/>
      <c r="G23" s="364"/>
      <c r="H23" s="206"/>
      <c r="I23" s="206"/>
      <c r="J23" s="206"/>
      <c r="K23" s="206"/>
      <c r="L23" s="206"/>
      <c r="M23" s="206"/>
      <c r="N23" s="206"/>
      <c r="O23" s="207"/>
    </row>
  </sheetData>
  <mergeCells count="12">
    <mergeCell ref="B12:O12"/>
    <mergeCell ref="A18:O18"/>
    <mergeCell ref="A21:O21"/>
    <mergeCell ref="A6:A7"/>
    <mergeCell ref="A1:O1"/>
    <mergeCell ref="A2:O2"/>
    <mergeCell ref="A3:O3"/>
    <mergeCell ref="A4:A5"/>
    <mergeCell ref="B4:B5"/>
    <mergeCell ref="D4:G4"/>
    <mergeCell ref="I4:L4"/>
    <mergeCell ref="N4:O4"/>
  </mergeCells>
  <pageMargins left="0.7" right="0.7" top="0.75" bottom="0.75" header="0.3" footer="0.3"/>
  <pageSetup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topLeftCell="A13" workbookViewId="0">
      <selection activeCell="N47" sqref="N47:O47"/>
    </sheetView>
  </sheetViews>
  <sheetFormatPr defaultRowHeight="15" x14ac:dyDescent="0.25"/>
  <cols>
    <col min="1" max="1" width="24" customWidth="1"/>
    <col min="2" max="2" width="18.28515625" bestFit="1" customWidth="1"/>
    <col min="3" max="3" width="1.7109375" customWidth="1"/>
    <col min="8" max="8" width="1.7109375" customWidth="1"/>
    <col min="13" max="13" width="1.5703125" customWidth="1"/>
    <col min="16" max="16" width="3.5703125" customWidth="1"/>
    <col min="19" max="19" width="11.5703125" bestFit="1" customWidth="1"/>
  </cols>
  <sheetData>
    <row r="1" spans="1:28" ht="15.75" thickBot="1" x14ac:dyDescent="0.3">
      <c r="A1" s="460" t="s">
        <v>301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2"/>
    </row>
    <row r="2" spans="1:28" ht="15.75" thickBot="1" x14ac:dyDescent="0.3">
      <c r="A2" s="460" t="s">
        <v>21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2"/>
    </row>
    <row r="3" spans="1:28" ht="15.75" thickBot="1" x14ac:dyDescent="0.3">
      <c r="A3" s="460" t="s">
        <v>341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2"/>
    </row>
    <row r="4" spans="1:28" ht="15.75" customHeight="1" thickBot="1" x14ac:dyDescent="0.3">
      <c r="A4" s="463" t="s">
        <v>10</v>
      </c>
      <c r="B4" s="465" t="s">
        <v>9</v>
      </c>
      <c r="C4" s="9"/>
      <c r="D4" s="470" t="s">
        <v>0</v>
      </c>
      <c r="E4" s="471"/>
      <c r="F4" s="471"/>
      <c r="G4" s="472"/>
      <c r="H4" s="2"/>
      <c r="I4" s="467" t="s">
        <v>1</v>
      </c>
      <c r="J4" s="468"/>
      <c r="K4" s="468"/>
      <c r="L4" s="469"/>
      <c r="M4" s="1"/>
      <c r="N4" s="491" t="s">
        <v>2</v>
      </c>
      <c r="O4" s="492"/>
      <c r="R4">
        <v>6</v>
      </c>
    </row>
    <row r="5" spans="1:28" ht="45.75" thickBot="1" x14ac:dyDescent="0.3">
      <c r="A5" s="464"/>
      <c r="B5" s="466"/>
      <c r="C5" s="96"/>
      <c r="D5" s="44" t="s">
        <v>3</v>
      </c>
      <c r="E5" s="45" t="s">
        <v>4</v>
      </c>
      <c r="F5" s="46" t="s">
        <v>5</v>
      </c>
      <c r="G5" s="47" t="s">
        <v>90</v>
      </c>
      <c r="H5" s="7"/>
      <c r="I5" s="3" t="s">
        <v>3</v>
      </c>
      <c r="J5" s="4" t="s">
        <v>4</v>
      </c>
      <c r="K5" s="5" t="s">
        <v>5</v>
      </c>
      <c r="L5" s="273" t="s">
        <v>90</v>
      </c>
      <c r="M5" s="6"/>
      <c r="N5" s="3" t="s">
        <v>7</v>
      </c>
      <c r="O5" s="8" t="s">
        <v>8</v>
      </c>
      <c r="Q5" s="29">
        <v>4</v>
      </c>
      <c r="R5" s="29">
        <v>5</v>
      </c>
      <c r="S5" s="29">
        <v>25</v>
      </c>
      <c r="T5" s="74">
        <v>20</v>
      </c>
      <c r="U5" s="74">
        <v>0.6</v>
      </c>
      <c r="V5" s="29"/>
      <c r="W5" s="29"/>
      <c r="X5" s="29"/>
      <c r="Y5" s="29"/>
      <c r="Z5" s="29"/>
      <c r="AA5" s="29"/>
      <c r="AB5" s="29"/>
    </row>
    <row r="6" spans="1:28" ht="30" x14ac:dyDescent="0.25">
      <c r="A6" s="498" t="s">
        <v>89</v>
      </c>
      <c r="B6" s="271" t="s">
        <v>352</v>
      </c>
      <c r="C6" s="10"/>
      <c r="D6" s="15">
        <f t="shared" ref="D6:F9" si="0">(Q6*$Q$5)+25</f>
        <v>321</v>
      </c>
      <c r="E6" s="16">
        <f t="shared" si="0"/>
        <v>469</v>
      </c>
      <c r="F6" s="16">
        <f t="shared" si="0"/>
        <v>293</v>
      </c>
      <c r="G6" s="18">
        <f>(T6*$Q$5)+20</f>
        <v>144</v>
      </c>
      <c r="H6" s="10"/>
      <c r="I6" s="15">
        <f t="shared" ref="I6:K9" si="1">(Q6*$R$5)+25</f>
        <v>395</v>
      </c>
      <c r="J6" s="16">
        <f t="shared" si="1"/>
        <v>580</v>
      </c>
      <c r="K6" s="16">
        <f t="shared" si="1"/>
        <v>360</v>
      </c>
      <c r="L6" s="18">
        <f>(T6*$R$5)+20</f>
        <v>175</v>
      </c>
      <c r="M6" s="10"/>
      <c r="N6" s="296">
        <f>(CEILING((((Q6*$U$5)+Q6)/2)*$Q$5,1))+25</f>
        <v>262</v>
      </c>
      <c r="O6" s="298">
        <f>(CEILING(((Q6*$U$5)+Q6)/2*$R$4,1))+25</f>
        <v>381</v>
      </c>
      <c r="Q6" s="295">
        <v>74</v>
      </c>
      <c r="R6" s="295">
        <f>Q6+37</f>
        <v>111</v>
      </c>
      <c r="S6" s="295">
        <f>((Q6*2)+53)/3</f>
        <v>67</v>
      </c>
      <c r="T6" s="295">
        <v>31</v>
      </c>
      <c r="U6" s="29"/>
      <c r="V6" s="29"/>
      <c r="W6" s="29"/>
      <c r="X6" s="29"/>
      <c r="Y6" s="29"/>
      <c r="Z6" s="29"/>
      <c r="AA6" s="29"/>
      <c r="AB6" s="29"/>
    </row>
    <row r="7" spans="1:28" ht="15.75" thickBot="1" x14ac:dyDescent="0.3">
      <c r="A7" s="496"/>
      <c r="B7" s="37" t="s">
        <v>353</v>
      </c>
      <c r="C7" s="10"/>
      <c r="D7" s="24">
        <f t="shared" si="0"/>
        <v>285</v>
      </c>
      <c r="E7" s="25">
        <f t="shared" si="0"/>
        <v>433</v>
      </c>
      <c r="F7" s="25">
        <f t="shared" si="0"/>
        <v>269</v>
      </c>
      <c r="G7" s="22">
        <f>(T7*$Q$5)+20</f>
        <v>144</v>
      </c>
      <c r="H7" s="10"/>
      <c r="I7" s="24">
        <f t="shared" si="1"/>
        <v>350</v>
      </c>
      <c r="J7" s="25">
        <f t="shared" si="1"/>
        <v>535</v>
      </c>
      <c r="K7" s="25">
        <f t="shared" si="1"/>
        <v>330</v>
      </c>
      <c r="L7" s="22">
        <f>(T7*$R$5)+20</f>
        <v>175</v>
      </c>
      <c r="M7" s="10"/>
      <c r="N7" s="297">
        <f>(CEILING((((Q7*$U$5)+Q7)/2)*$Q$5,1))+25</f>
        <v>233</v>
      </c>
      <c r="O7" s="299">
        <f>(CEILING(((Q7*$U$5)+Q7)/2*$R$4,1))+25</f>
        <v>337</v>
      </c>
      <c r="Q7" s="27">
        <v>65</v>
      </c>
      <c r="R7" s="27">
        <f>Q7+37</f>
        <v>102</v>
      </c>
      <c r="S7" s="27">
        <f>((Q7*2)+53)/3</f>
        <v>61</v>
      </c>
      <c r="T7" s="27">
        <v>31</v>
      </c>
      <c r="U7" s="29"/>
      <c r="V7" s="29"/>
      <c r="W7" s="29"/>
      <c r="X7" s="29"/>
      <c r="Y7" s="29"/>
      <c r="Z7" s="29"/>
      <c r="AA7" s="29"/>
      <c r="AB7" s="29"/>
    </row>
    <row r="8" spans="1:28" ht="30" x14ac:dyDescent="0.25">
      <c r="A8" s="498" t="s">
        <v>46</v>
      </c>
      <c r="B8" s="271" t="s">
        <v>352</v>
      </c>
      <c r="C8" s="10"/>
      <c r="D8" s="15">
        <f t="shared" si="0"/>
        <v>349</v>
      </c>
      <c r="E8" s="16">
        <f t="shared" si="0"/>
        <v>497</v>
      </c>
      <c r="F8" s="16">
        <f t="shared" si="0"/>
        <v>313</v>
      </c>
      <c r="G8" s="18">
        <f>(T8*$Q$5)+20</f>
        <v>144</v>
      </c>
      <c r="H8" s="10"/>
      <c r="I8" s="15">
        <f t="shared" si="1"/>
        <v>430</v>
      </c>
      <c r="J8" s="16">
        <f t="shared" si="1"/>
        <v>615</v>
      </c>
      <c r="K8" s="16">
        <f t="shared" si="1"/>
        <v>385</v>
      </c>
      <c r="L8" s="18">
        <f>(T8*$R$5)+20</f>
        <v>175</v>
      </c>
      <c r="M8" s="10"/>
      <c r="N8" s="296">
        <f>(CEILING((((Q8*$U$5)+Q8)/2)*$Q$5,1))+25</f>
        <v>285</v>
      </c>
      <c r="O8" s="298">
        <f>(CEILING(((Q8*$U$5)+Q8)/2*$R$4,1))+25</f>
        <v>414</v>
      </c>
      <c r="Q8" s="27">
        <v>81</v>
      </c>
      <c r="R8" s="27">
        <f>Q8+37</f>
        <v>118</v>
      </c>
      <c r="S8" s="27">
        <f>CEILING(((Q8*2)+53)/3,1)</f>
        <v>72</v>
      </c>
      <c r="T8" s="27">
        <v>31</v>
      </c>
      <c r="U8" s="29"/>
      <c r="V8" s="29"/>
      <c r="W8" s="29"/>
      <c r="X8" s="29"/>
      <c r="Y8" s="29"/>
      <c r="Z8" s="29"/>
      <c r="AA8" s="29"/>
      <c r="AB8" s="29"/>
    </row>
    <row r="9" spans="1:28" ht="15.75" thickBot="1" x14ac:dyDescent="0.3">
      <c r="A9" s="496"/>
      <c r="B9" s="294" t="s">
        <v>353</v>
      </c>
      <c r="C9" s="123"/>
      <c r="D9" s="24">
        <f t="shared" si="0"/>
        <v>313</v>
      </c>
      <c r="E9" s="25">
        <f t="shared" si="0"/>
        <v>461</v>
      </c>
      <c r="F9" s="25">
        <f t="shared" si="0"/>
        <v>289</v>
      </c>
      <c r="G9" s="22">
        <f>(T9*$Q$5)+20</f>
        <v>144</v>
      </c>
      <c r="H9" s="123"/>
      <c r="I9" s="24">
        <f t="shared" si="1"/>
        <v>385</v>
      </c>
      <c r="J9" s="25">
        <f t="shared" si="1"/>
        <v>570</v>
      </c>
      <c r="K9" s="25">
        <f t="shared" si="1"/>
        <v>355</v>
      </c>
      <c r="L9" s="22">
        <f>(T9*$R$5)+20</f>
        <v>175</v>
      </c>
      <c r="M9" s="123"/>
      <c r="N9" s="297">
        <f>(CEILING((((Q9*$U$5)+Q9)/2)*$Q$5,1))+25</f>
        <v>256</v>
      </c>
      <c r="O9" s="299">
        <f>(CEILING(((Q9*$U$5)+Q9)/2*$R$4,1))+25</f>
        <v>371</v>
      </c>
      <c r="Q9" s="27">
        <v>72</v>
      </c>
      <c r="R9" s="27">
        <f>Q9+37</f>
        <v>109</v>
      </c>
      <c r="S9" s="27">
        <f>CEILING(((Q9*2)+53)/3,1)</f>
        <v>66</v>
      </c>
      <c r="T9" s="27">
        <v>31</v>
      </c>
      <c r="U9" s="29"/>
      <c r="V9" s="29"/>
      <c r="W9" s="29"/>
      <c r="X9" s="29"/>
      <c r="Y9" s="29"/>
      <c r="Z9" s="29"/>
      <c r="AA9" s="29"/>
      <c r="AB9" s="29"/>
    </row>
    <row r="10" spans="1:28" ht="15.75" thickBot="1" x14ac:dyDescent="0.3">
      <c r="A10" s="93" t="s">
        <v>17</v>
      </c>
      <c r="B10" s="92"/>
      <c r="C10" s="92"/>
      <c r="D10" s="97"/>
      <c r="E10" s="97"/>
      <c r="F10" s="97"/>
      <c r="G10" s="97"/>
      <c r="H10" s="92"/>
      <c r="I10" s="97"/>
      <c r="J10" s="97"/>
      <c r="K10" s="97"/>
      <c r="L10" s="97"/>
      <c r="M10" s="92"/>
      <c r="N10" s="97"/>
      <c r="O10" s="98"/>
      <c r="P10" s="90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5">
      <c r="A11" s="28" t="s">
        <v>12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58"/>
      <c r="P11" s="74"/>
    </row>
    <row r="12" spans="1:28" x14ac:dyDescent="0.25">
      <c r="A12" s="28" t="s">
        <v>13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58"/>
      <c r="P12" s="74"/>
    </row>
    <row r="13" spans="1:28" x14ac:dyDescent="0.25">
      <c r="A13" s="28" t="s">
        <v>14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58"/>
      <c r="P13" s="74"/>
    </row>
    <row r="14" spans="1:28" ht="15.75" thickBot="1" x14ac:dyDescent="0.3">
      <c r="A14" s="28" t="s">
        <v>88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58"/>
      <c r="P14" s="74"/>
    </row>
    <row r="15" spans="1:28" ht="15.75" thickBot="1" x14ac:dyDescent="0.3">
      <c r="A15" s="460" t="s">
        <v>24</v>
      </c>
      <c r="B15" s="461"/>
      <c r="C15" s="461"/>
      <c r="D15" s="461"/>
      <c r="E15" s="461"/>
      <c r="F15" s="461"/>
      <c r="G15" s="461"/>
      <c r="H15" s="461"/>
      <c r="I15" s="461"/>
      <c r="J15" s="461"/>
      <c r="K15" s="461"/>
      <c r="L15" s="461"/>
      <c r="M15" s="461"/>
      <c r="N15" s="461"/>
      <c r="O15" s="462"/>
    </row>
    <row r="16" spans="1:28" ht="15.75" thickBot="1" x14ac:dyDescent="0.3">
      <c r="A16" s="93" t="s">
        <v>11</v>
      </c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1"/>
      <c r="P16" s="90"/>
    </row>
    <row r="17" spans="1:17" x14ac:dyDescent="0.25">
      <c r="A17" s="62" t="s">
        <v>87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58"/>
      <c r="P17" s="74"/>
    </row>
    <row r="18" spans="1:17" x14ac:dyDescent="0.25">
      <c r="A18" s="62" t="s">
        <v>86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58"/>
      <c r="P18" s="74"/>
    </row>
    <row r="19" spans="1:17" x14ac:dyDescent="0.25">
      <c r="A19" s="62" t="s">
        <v>85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58"/>
      <c r="P19" s="74"/>
    </row>
    <row r="20" spans="1:17" x14ac:dyDescent="0.25">
      <c r="A20" s="62" t="s">
        <v>84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58"/>
      <c r="P20" s="74"/>
    </row>
    <row r="21" spans="1:17" ht="15.75" thickBot="1" x14ac:dyDescent="0.3">
      <c r="A21" s="28" t="s">
        <v>83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58"/>
      <c r="P21" s="74"/>
    </row>
    <row r="22" spans="1:17" ht="15.75" thickBot="1" x14ac:dyDescent="0.3">
      <c r="A22" s="454" t="s">
        <v>16</v>
      </c>
      <c r="B22" s="455"/>
      <c r="C22" s="455"/>
      <c r="D22" s="455"/>
      <c r="E22" s="455"/>
      <c r="F22" s="455"/>
      <c r="G22" s="455"/>
      <c r="H22" s="455"/>
      <c r="I22" s="455"/>
      <c r="J22" s="455"/>
      <c r="K22" s="455"/>
      <c r="L22" s="455"/>
      <c r="M22" s="455"/>
      <c r="N22" s="455"/>
      <c r="O22" s="456"/>
    </row>
    <row r="23" spans="1:17" x14ac:dyDescent="0.25">
      <c r="A23" s="100" t="s">
        <v>91</v>
      </c>
      <c r="B23" s="82" t="s">
        <v>92</v>
      </c>
      <c r="C23" s="101"/>
      <c r="D23" s="101"/>
      <c r="E23" s="83"/>
      <c r="F23" s="83"/>
      <c r="G23" s="83"/>
      <c r="H23" s="83"/>
      <c r="I23" s="83"/>
      <c r="J23" s="83"/>
      <c r="K23" s="83"/>
      <c r="L23" s="83"/>
      <c r="M23" s="83"/>
      <c r="N23" s="77"/>
      <c r="O23" s="78"/>
    </row>
    <row r="24" spans="1:17" ht="15.75" thickBot="1" x14ac:dyDescent="0.3">
      <c r="A24" s="102" t="s">
        <v>65</v>
      </c>
      <c r="B24" s="67" t="s">
        <v>92</v>
      </c>
      <c r="C24" s="103"/>
      <c r="D24" s="103"/>
      <c r="E24" s="68"/>
      <c r="F24" s="68"/>
      <c r="G24" s="68"/>
      <c r="H24" s="68"/>
      <c r="I24" s="68"/>
      <c r="J24" s="68"/>
      <c r="K24" s="68"/>
      <c r="L24" s="68"/>
      <c r="M24" s="68"/>
      <c r="N24" s="88"/>
      <c r="O24" s="87"/>
    </row>
    <row r="25" spans="1:17" ht="15.75" thickBot="1" x14ac:dyDescent="0.3">
      <c r="A25" s="99" t="s">
        <v>15</v>
      </c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8"/>
      <c r="P25" s="90"/>
    </row>
    <row r="26" spans="1:17" x14ac:dyDescent="0.25">
      <c r="A26" s="104" t="s">
        <v>82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58"/>
      <c r="P26" s="74"/>
    </row>
    <row r="27" spans="1:17" x14ac:dyDescent="0.25">
      <c r="A27" s="105" t="s">
        <v>58</v>
      </c>
      <c r="B27" s="29"/>
      <c r="C27" s="29" t="s">
        <v>81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58"/>
    </row>
    <row r="28" spans="1:17" x14ac:dyDescent="0.25">
      <c r="A28" s="105" t="s">
        <v>59</v>
      </c>
      <c r="B28" s="29"/>
      <c r="C28" s="29" t="s">
        <v>80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58"/>
    </row>
    <row r="29" spans="1:17" x14ac:dyDescent="0.25">
      <c r="A29" s="105" t="s">
        <v>79</v>
      </c>
      <c r="B29" s="29"/>
      <c r="C29" s="29" t="s">
        <v>78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58"/>
    </row>
    <row r="30" spans="1:17" x14ac:dyDescent="0.25">
      <c r="A30" s="104" t="s">
        <v>77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58"/>
    </row>
    <row r="31" spans="1:17" ht="15.75" thickBot="1" x14ac:dyDescent="0.3">
      <c r="A31" s="106" t="s">
        <v>56</v>
      </c>
      <c r="B31" s="88"/>
      <c r="C31" s="89" t="s">
        <v>76</v>
      </c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7"/>
    </row>
    <row r="32" spans="1:17" ht="15.75" thickBot="1" x14ac:dyDescent="0.3">
      <c r="A32" s="147" t="s">
        <v>191</v>
      </c>
      <c r="B32" s="119"/>
      <c r="C32" s="119"/>
      <c r="D32" s="119"/>
      <c r="E32" s="119"/>
      <c r="F32" s="119"/>
      <c r="G32" s="119"/>
      <c r="H32" s="152"/>
      <c r="I32" s="152"/>
      <c r="J32" s="152"/>
      <c r="K32" s="152"/>
      <c r="L32" s="152"/>
      <c r="M32" s="152"/>
      <c r="N32" s="152"/>
      <c r="O32" s="153"/>
      <c r="P32" s="148"/>
      <c r="Q32" s="148"/>
    </row>
    <row r="33" spans="1:17" ht="77.25" customHeight="1" x14ac:dyDescent="0.25">
      <c r="A33" s="488" t="s">
        <v>178</v>
      </c>
      <c r="B33" s="489"/>
      <c r="C33" s="508"/>
      <c r="D33" s="474" t="s">
        <v>185</v>
      </c>
      <c r="E33" s="531"/>
      <c r="F33" s="474" t="s">
        <v>186</v>
      </c>
      <c r="G33" s="513"/>
      <c r="H33" s="532"/>
      <c r="I33" s="533"/>
      <c r="J33" s="533"/>
      <c r="K33" s="534"/>
      <c r="L33" s="533"/>
      <c r="M33" s="77"/>
      <c r="N33" s="77"/>
      <c r="O33" s="78"/>
      <c r="P33" s="74"/>
      <c r="Q33" s="74"/>
    </row>
    <row r="34" spans="1:17" x14ac:dyDescent="0.25">
      <c r="A34" s="140" t="s">
        <v>179</v>
      </c>
      <c r="B34" s="145"/>
      <c r="C34" s="142"/>
      <c r="D34" s="526">
        <v>17</v>
      </c>
      <c r="E34" s="526"/>
      <c r="F34" s="526">
        <v>33</v>
      </c>
      <c r="G34" s="527"/>
      <c r="H34" s="528"/>
      <c r="I34" s="529"/>
      <c r="J34" s="529"/>
      <c r="K34" s="530"/>
      <c r="L34" s="529"/>
      <c r="M34" s="29"/>
      <c r="N34" s="29"/>
      <c r="O34" s="58"/>
      <c r="P34" s="74"/>
      <c r="Q34" s="74"/>
    </row>
    <row r="35" spans="1:17" x14ac:dyDescent="0.25">
      <c r="A35" s="140" t="s">
        <v>184</v>
      </c>
      <c r="B35" s="145"/>
      <c r="C35" s="144"/>
      <c r="D35" s="526">
        <v>11</v>
      </c>
      <c r="E35" s="526"/>
      <c r="F35" s="526">
        <v>20</v>
      </c>
      <c r="G35" s="527"/>
      <c r="H35" s="528"/>
      <c r="I35" s="529"/>
      <c r="J35" s="529"/>
      <c r="K35" s="530"/>
      <c r="L35" s="529"/>
      <c r="M35" s="29"/>
      <c r="N35" s="29"/>
      <c r="O35" s="58"/>
      <c r="P35" s="74"/>
      <c r="Q35" s="74"/>
    </row>
    <row r="36" spans="1:17" ht="15.75" thickBot="1" x14ac:dyDescent="0.3">
      <c r="A36" s="141" t="s">
        <v>187</v>
      </c>
      <c r="B36" s="146"/>
      <c r="C36" s="143"/>
      <c r="D36" s="521" t="s">
        <v>175</v>
      </c>
      <c r="E36" s="521"/>
      <c r="F36" s="521" t="s">
        <v>175</v>
      </c>
      <c r="G36" s="522"/>
      <c r="H36" s="523"/>
      <c r="I36" s="524"/>
      <c r="J36" s="524"/>
      <c r="K36" s="525"/>
      <c r="L36" s="524"/>
      <c r="M36" s="88"/>
      <c r="N36" s="88"/>
      <c r="O36" s="87"/>
      <c r="P36" s="74"/>
      <c r="Q36" s="74"/>
    </row>
  </sheetData>
  <mergeCells count="29">
    <mergeCell ref="A15:O15"/>
    <mergeCell ref="H33:J33"/>
    <mergeCell ref="K33:L33"/>
    <mergeCell ref="A1:O1"/>
    <mergeCell ref="A2:O2"/>
    <mergeCell ref="A4:A5"/>
    <mergeCell ref="B4:B5"/>
    <mergeCell ref="D4:G4"/>
    <mergeCell ref="I4:L4"/>
    <mergeCell ref="N4:O4"/>
    <mergeCell ref="A3:O3"/>
    <mergeCell ref="A6:A7"/>
    <mergeCell ref="A8:A9"/>
    <mergeCell ref="D36:E36"/>
    <mergeCell ref="F36:G36"/>
    <mergeCell ref="H36:J36"/>
    <mergeCell ref="K36:L36"/>
    <mergeCell ref="A22:O22"/>
    <mergeCell ref="D35:E35"/>
    <mergeCell ref="F35:G35"/>
    <mergeCell ref="H35:J35"/>
    <mergeCell ref="K35:L35"/>
    <mergeCell ref="D34:E34"/>
    <mergeCell ref="F34:G34"/>
    <mergeCell ref="H34:J34"/>
    <mergeCell ref="K34:L34"/>
    <mergeCell ref="A33:C33"/>
    <mergeCell ref="F33:G33"/>
    <mergeCell ref="D33:E33"/>
  </mergeCells>
  <pageMargins left="0.7" right="0.7" top="0.75" bottom="0.75" header="0.3" footer="0.3"/>
  <pageSetup scale="88" fitToHeight="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workbookViewId="0">
      <selection activeCell="Q13" sqref="Q13"/>
    </sheetView>
  </sheetViews>
  <sheetFormatPr defaultRowHeight="15" x14ac:dyDescent="0.25"/>
  <cols>
    <col min="1" max="1" width="24" customWidth="1"/>
    <col min="2" max="2" width="18.28515625" bestFit="1" customWidth="1"/>
    <col min="3" max="3" width="1.7109375" customWidth="1"/>
    <col min="8" max="8" width="1.7109375" customWidth="1"/>
    <col min="9" max="12" width="9.140625" customWidth="1"/>
    <col min="13" max="13" width="1.5703125" customWidth="1"/>
    <col min="14" max="15" width="9.140625" customWidth="1"/>
  </cols>
  <sheetData>
    <row r="1" spans="1:21" ht="15.75" thickBot="1" x14ac:dyDescent="0.3">
      <c r="A1" s="460" t="s">
        <v>302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2"/>
    </row>
    <row r="2" spans="1:21" ht="15.75" thickBot="1" x14ac:dyDescent="0.3">
      <c r="A2" s="460" t="s">
        <v>21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2"/>
    </row>
    <row r="3" spans="1:21" ht="15.75" thickBot="1" x14ac:dyDescent="0.3">
      <c r="A3" s="460" t="s">
        <v>341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2"/>
    </row>
    <row r="4" spans="1:21" ht="15.75" customHeight="1" thickBot="1" x14ac:dyDescent="0.3">
      <c r="A4" s="463" t="s">
        <v>10</v>
      </c>
      <c r="B4" s="465" t="s">
        <v>9</v>
      </c>
      <c r="C4" s="9"/>
      <c r="D4" s="470" t="s">
        <v>0</v>
      </c>
      <c r="E4" s="471"/>
      <c r="F4" s="471"/>
      <c r="G4" s="472"/>
      <c r="H4" s="2"/>
      <c r="I4" s="467" t="s">
        <v>1</v>
      </c>
      <c r="J4" s="468"/>
      <c r="K4" s="468"/>
      <c r="L4" s="469"/>
      <c r="M4" s="1"/>
      <c r="N4" s="491" t="s">
        <v>2</v>
      </c>
      <c r="O4" s="492"/>
    </row>
    <row r="5" spans="1:21" ht="45.75" thickBot="1" x14ac:dyDescent="0.3">
      <c r="A5" s="464"/>
      <c r="B5" s="466"/>
      <c r="C5" s="96"/>
      <c r="D5" s="44" t="s">
        <v>3</v>
      </c>
      <c r="E5" s="45" t="s">
        <v>4</v>
      </c>
      <c r="F5" s="46" t="s">
        <v>5</v>
      </c>
      <c r="G5" s="47" t="s">
        <v>245</v>
      </c>
      <c r="H5" s="7"/>
      <c r="I5" s="3" t="s">
        <v>3</v>
      </c>
      <c r="J5" s="4" t="s">
        <v>4</v>
      </c>
      <c r="K5" s="5" t="s">
        <v>5</v>
      </c>
      <c r="L5" s="8" t="s">
        <v>246</v>
      </c>
      <c r="M5" s="6"/>
      <c r="N5" s="3" t="s">
        <v>7</v>
      </c>
      <c r="O5" s="8" t="s">
        <v>8</v>
      </c>
      <c r="P5">
        <v>4</v>
      </c>
      <c r="Q5">
        <v>6</v>
      </c>
      <c r="R5">
        <v>35</v>
      </c>
      <c r="S5">
        <v>30</v>
      </c>
      <c r="T5">
        <v>0.88</v>
      </c>
      <c r="U5">
        <v>1.95</v>
      </c>
    </row>
    <row r="6" spans="1:21" ht="30" x14ac:dyDescent="0.25">
      <c r="A6" s="498" t="s">
        <v>89</v>
      </c>
      <c r="B6" s="271" t="s">
        <v>354</v>
      </c>
      <c r="C6" s="10"/>
      <c r="D6" s="15">
        <f t="shared" ref="D6:F7" si="0">(CEILING((P6*$P$5*$T$5),1))+35</f>
        <v>299</v>
      </c>
      <c r="E6" s="16">
        <f t="shared" si="0"/>
        <v>458</v>
      </c>
      <c r="F6" s="16">
        <f t="shared" si="0"/>
        <v>275</v>
      </c>
      <c r="G6" s="18">
        <f>(CEILING((S6*$P$5*$T$5),1))+30</f>
        <v>217</v>
      </c>
      <c r="H6" s="10"/>
      <c r="I6" s="15">
        <f t="shared" ref="I6:K7" si="1">(CEILING((P6*$Q$5*$T$5),1))+35</f>
        <v>431</v>
      </c>
      <c r="J6" s="16">
        <f t="shared" si="1"/>
        <v>669</v>
      </c>
      <c r="K6" s="16">
        <f t="shared" si="1"/>
        <v>395</v>
      </c>
      <c r="L6" s="18">
        <f>(CEILING((S6*$Q$5*$T$5),1))+30</f>
        <v>310</v>
      </c>
      <c r="M6" s="10"/>
      <c r="N6" s="271">
        <f>(CEILING((CEILING(((P6*$U$5)/2*$P$5),1))*0.88,1))+35</f>
        <v>293</v>
      </c>
      <c r="O6" s="271">
        <f>(CEILING((CEILING(((P6*$U$5)/2*$Q$5),1))*0.88,1))+35</f>
        <v>422</v>
      </c>
      <c r="P6" s="151">
        <v>75</v>
      </c>
      <c r="Q6" s="151">
        <v>120</v>
      </c>
      <c r="R6" s="151">
        <f>CEILING(((75*2)+53)/3,1)</f>
        <v>68</v>
      </c>
      <c r="S6" s="151">
        <v>53</v>
      </c>
    </row>
    <row r="7" spans="1:21" ht="15.75" thickBot="1" x14ac:dyDescent="0.3">
      <c r="A7" s="496"/>
      <c r="B7" s="37" t="s">
        <v>355</v>
      </c>
      <c r="C7" s="10"/>
      <c r="D7" s="237">
        <f t="shared" si="0"/>
        <v>275</v>
      </c>
      <c r="E7" s="236">
        <f t="shared" si="0"/>
        <v>419</v>
      </c>
      <c r="F7" s="236">
        <f t="shared" si="0"/>
        <v>254</v>
      </c>
      <c r="G7" s="241">
        <f>(CEILING((S7*$P$5*$T$5),1))+30</f>
        <v>199</v>
      </c>
      <c r="H7" s="10"/>
      <c r="I7" s="237">
        <f t="shared" si="1"/>
        <v>395</v>
      </c>
      <c r="J7" s="236">
        <f t="shared" si="1"/>
        <v>611</v>
      </c>
      <c r="K7" s="236">
        <f t="shared" si="1"/>
        <v>363</v>
      </c>
      <c r="L7" s="241">
        <f>(CEILING((S7*$Q$5*$T$5),1))+30</f>
        <v>284</v>
      </c>
      <c r="M7" s="10"/>
      <c r="N7" s="272">
        <f>(CEILING((CEILING(((P7*$U$5)/2*$P$5),1))*0.88,1))+35</f>
        <v>270</v>
      </c>
      <c r="O7" s="272">
        <f>(CEILING((CEILING(((P7*$U$5)/2*$Q$5),1))*0.88,1))+35</f>
        <v>386</v>
      </c>
      <c r="P7" s="151">
        <v>68</v>
      </c>
      <c r="Q7" s="151">
        <v>109</v>
      </c>
      <c r="R7" s="151">
        <f>CEILING(((68*2)+48)/3,1)</f>
        <v>62</v>
      </c>
      <c r="S7" s="151">
        <v>48</v>
      </c>
    </row>
    <row r="8" spans="1:21" ht="30" x14ac:dyDescent="0.25">
      <c r="A8" s="535" t="s">
        <v>46</v>
      </c>
      <c r="B8" s="271" t="s">
        <v>354</v>
      </c>
      <c r="C8" s="240"/>
      <c r="D8" s="15">
        <f>(CEILING((P8*$P$5*$T$5),1))+35</f>
        <v>335</v>
      </c>
      <c r="E8" s="16">
        <f>(CEILING((Q8*$P$5*$T$5),1))+35</f>
        <v>514</v>
      </c>
      <c r="F8" s="16" t="s">
        <v>47</v>
      </c>
      <c r="G8" s="18" t="s">
        <v>47</v>
      </c>
      <c r="H8" s="239"/>
      <c r="I8" s="15">
        <f>(CEILING((P8*$Q$5*$T$5),1))+35</f>
        <v>484</v>
      </c>
      <c r="J8" s="16">
        <f>(CEILING((Q8*$Q$5*$T$5),1))+35</f>
        <v>754</v>
      </c>
      <c r="K8" s="16" t="s">
        <v>47</v>
      </c>
      <c r="L8" s="18" t="s">
        <v>47</v>
      </c>
      <c r="M8" s="239"/>
      <c r="N8" s="271">
        <f>(CEILING((CEILING(((P8*$U$5)/2*$P$5),1))*0.88,1))+35</f>
        <v>328</v>
      </c>
      <c r="O8" s="271">
        <f>(CEILING((CEILING(((P8*$U$5)/2*$Q$5),1))*0.88,1))+35</f>
        <v>474</v>
      </c>
      <c r="P8" s="151">
        <v>85</v>
      </c>
      <c r="Q8" s="151">
        <v>136</v>
      </c>
      <c r="R8">
        <v>0</v>
      </c>
    </row>
    <row r="9" spans="1:21" ht="15.75" thickBot="1" x14ac:dyDescent="0.3">
      <c r="A9" s="496"/>
      <c r="B9" s="37" t="s">
        <v>355</v>
      </c>
      <c r="C9" s="240"/>
      <c r="D9" s="24">
        <f>(CEILING((P9*$P$5*$T$5),1))+35</f>
        <v>307</v>
      </c>
      <c r="E9" s="25">
        <f>(CEILING((Q9*$P$5*$T$5),1))+35</f>
        <v>472</v>
      </c>
      <c r="F9" s="25" t="s">
        <v>47</v>
      </c>
      <c r="G9" s="22" t="s">
        <v>47</v>
      </c>
      <c r="H9" s="239"/>
      <c r="I9" s="24">
        <f>(CEILING((P9*$Q$5*$T$5),1))+35</f>
        <v>442</v>
      </c>
      <c r="J9" s="25">
        <f>(CEILING((Q9*$Q$5*$T$5),1))+35</f>
        <v>690</v>
      </c>
      <c r="K9" s="25" t="s">
        <v>47</v>
      </c>
      <c r="L9" s="22" t="s">
        <v>47</v>
      </c>
      <c r="M9" s="239"/>
      <c r="N9" s="272">
        <f>(CEILING((CEILING(((P9*$U$5)/2*$P$5),1))*0.88,1))+35</f>
        <v>300</v>
      </c>
      <c r="O9" s="272">
        <f>(CEILING((CEILING(((P9*$U$5)/2*$Q$5),1))*0.88,1))+35</f>
        <v>432</v>
      </c>
      <c r="P9" s="151">
        <v>77</v>
      </c>
      <c r="Q9" s="151">
        <v>124</v>
      </c>
      <c r="R9">
        <v>0</v>
      </c>
    </row>
    <row r="10" spans="1:21" ht="15.75" thickBot="1" x14ac:dyDescent="0.3">
      <c r="A10" s="93" t="s">
        <v>17</v>
      </c>
      <c r="B10" s="92"/>
      <c r="C10" s="92"/>
      <c r="D10" s="97"/>
      <c r="E10" s="97"/>
      <c r="F10" s="97"/>
      <c r="G10" s="97"/>
      <c r="H10" s="92"/>
      <c r="I10" s="97"/>
      <c r="J10" s="97"/>
      <c r="K10" s="97"/>
      <c r="L10" s="97"/>
      <c r="M10" s="92"/>
      <c r="N10" s="97"/>
      <c r="O10" s="98"/>
    </row>
    <row r="11" spans="1:21" x14ac:dyDescent="0.25">
      <c r="A11" s="28" t="s">
        <v>12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58"/>
    </row>
    <row r="12" spans="1:21" x14ac:dyDescent="0.25">
      <c r="A12" s="28" t="s">
        <v>13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58"/>
    </row>
    <row r="13" spans="1:21" x14ac:dyDescent="0.25">
      <c r="A13" s="28" t="s">
        <v>14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58"/>
    </row>
    <row r="14" spans="1:21" ht="15.75" thickBot="1" x14ac:dyDescent="0.3">
      <c r="A14" s="28" t="s">
        <v>261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58"/>
    </row>
    <row r="15" spans="1:21" ht="15.75" thickBot="1" x14ac:dyDescent="0.3">
      <c r="A15" s="93" t="s">
        <v>11</v>
      </c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1"/>
    </row>
    <row r="16" spans="1:21" x14ac:dyDescent="0.25">
      <c r="A16" s="62" t="s">
        <v>247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58"/>
    </row>
    <row r="17" spans="1:15" x14ac:dyDescent="0.25">
      <c r="A17" s="62" t="s">
        <v>260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58"/>
    </row>
    <row r="18" spans="1:15" x14ac:dyDescent="0.25">
      <c r="A18" s="62" t="s">
        <v>248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58"/>
    </row>
    <row r="19" spans="1:15" ht="15.75" thickBot="1" x14ac:dyDescent="0.3">
      <c r="A19" s="62" t="s">
        <v>249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58"/>
    </row>
    <row r="20" spans="1:15" ht="15.75" thickBot="1" x14ac:dyDescent="0.3">
      <c r="A20" s="454" t="s">
        <v>16</v>
      </c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6"/>
    </row>
    <row r="21" spans="1:15" x14ac:dyDescent="0.25">
      <c r="A21" s="100" t="s">
        <v>91</v>
      </c>
      <c r="B21" s="82" t="s">
        <v>250</v>
      </c>
      <c r="C21" s="101"/>
      <c r="D21" s="101"/>
      <c r="E21" s="83"/>
      <c r="F21" s="83"/>
      <c r="G21" s="83"/>
      <c r="H21" s="83"/>
      <c r="I21" s="83"/>
      <c r="J21" s="83"/>
      <c r="K21" s="83"/>
      <c r="L21" s="83"/>
      <c r="M21" s="83"/>
      <c r="N21" s="77"/>
      <c r="O21" s="78"/>
    </row>
    <row r="22" spans="1:15" ht="15.75" thickBot="1" x14ac:dyDescent="0.3">
      <c r="A22" s="102" t="s">
        <v>65</v>
      </c>
      <c r="B22" s="67" t="s">
        <v>251</v>
      </c>
      <c r="C22" s="103"/>
      <c r="D22" s="103"/>
      <c r="E22" s="68"/>
      <c r="F22" s="68"/>
      <c r="G22" s="68"/>
      <c r="H22" s="68"/>
      <c r="I22" s="68"/>
      <c r="J22" s="68"/>
      <c r="K22" s="68"/>
      <c r="L22" s="68"/>
      <c r="M22" s="68"/>
      <c r="N22" s="88"/>
      <c r="O22" s="87"/>
    </row>
    <row r="23" spans="1:15" ht="15.75" thickBot="1" x14ac:dyDescent="0.3">
      <c r="A23" s="99" t="s">
        <v>259</v>
      </c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8"/>
    </row>
    <row r="24" spans="1:15" x14ac:dyDescent="0.25">
      <c r="A24" s="213" t="s">
        <v>252</v>
      </c>
      <c r="B24" s="77" t="s">
        <v>253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8"/>
    </row>
    <row r="25" spans="1:15" x14ac:dyDescent="0.25">
      <c r="A25" s="105" t="s">
        <v>254</v>
      </c>
      <c r="B25" s="29" t="s">
        <v>255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58"/>
    </row>
    <row r="26" spans="1:15" x14ac:dyDescent="0.25">
      <c r="A26" s="105" t="s">
        <v>256</v>
      </c>
      <c r="B26" s="29" t="s">
        <v>257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58"/>
    </row>
    <row r="27" spans="1:15" ht="15.75" thickBot="1" x14ac:dyDescent="0.3">
      <c r="A27" s="106" t="s">
        <v>162</v>
      </c>
      <c r="B27" s="150" t="s">
        <v>258</v>
      </c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7"/>
    </row>
  </sheetData>
  <mergeCells count="11">
    <mergeCell ref="A20:O20"/>
    <mergeCell ref="A6:A7"/>
    <mergeCell ref="A8:A9"/>
    <mergeCell ref="A1:O1"/>
    <mergeCell ref="A2:O2"/>
    <mergeCell ref="A3:O3"/>
    <mergeCell ref="A4:A5"/>
    <mergeCell ref="B4:B5"/>
    <mergeCell ref="D4:G4"/>
    <mergeCell ref="I4:L4"/>
    <mergeCell ref="N4:O4"/>
  </mergeCells>
  <pageMargins left="0.7" right="0.7" top="0.75" bottom="0.75" header="0.3" footer="0.3"/>
  <pageSetup scale="88" fitToHeight="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5"/>
  <sheetViews>
    <sheetView topLeftCell="A82" zoomScaleNormal="100" workbookViewId="0">
      <selection activeCell="R62" sqref="R62"/>
    </sheetView>
  </sheetViews>
  <sheetFormatPr defaultRowHeight="15" x14ac:dyDescent="0.25"/>
  <cols>
    <col min="1" max="1" width="24" customWidth="1"/>
    <col min="2" max="2" width="20" customWidth="1"/>
    <col min="3" max="3" width="1.7109375" customWidth="1"/>
    <col min="6" max="6" width="11.5703125" bestFit="1" customWidth="1"/>
    <col min="7" max="7" width="9.140625" customWidth="1"/>
    <col min="8" max="8" width="1.7109375" customWidth="1"/>
    <col min="9" max="12" width="9.140625" customWidth="1"/>
    <col min="13" max="13" width="1.5703125" customWidth="1"/>
    <col min="14" max="15" width="9.140625" customWidth="1"/>
    <col min="16" max="16" width="18.28515625" customWidth="1"/>
  </cols>
  <sheetData>
    <row r="1" spans="1:19" ht="15.75" thickBot="1" x14ac:dyDescent="0.3">
      <c r="A1" s="542" t="s">
        <v>303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544"/>
    </row>
    <row r="2" spans="1:19" s="218" customFormat="1" ht="15.75" customHeight="1" thickBot="1" x14ac:dyDescent="0.3">
      <c r="A2" s="542" t="s">
        <v>21</v>
      </c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3"/>
      <c r="N2" s="543"/>
      <c r="O2" s="544"/>
    </row>
    <row r="3" spans="1:19" ht="15.75" thickBot="1" x14ac:dyDescent="0.3">
      <c r="A3" s="460" t="s">
        <v>341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2"/>
      <c r="P3" s="55"/>
      <c r="Q3" s="538"/>
      <c r="R3" s="538"/>
      <c r="S3" s="538"/>
    </row>
    <row r="4" spans="1:19" ht="15.75" customHeight="1" thickBot="1" x14ac:dyDescent="0.3">
      <c r="A4" s="463" t="s">
        <v>10</v>
      </c>
      <c r="B4" s="465" t="s">
        <v>9</v>
      </c>
      <c r="C4" s="9"/>
      <c r="D4" s="470" t="s">
        <v>0</v>
      </c>
      <c r="E4" s="471"/>
      <c r="F4" s="471"/>
      <c r="G4" s="472"/>
      <c r="H4" s="2"/>
      <c r="I4" s="467" t="s">
        <v>1</v>
      </c>
      <c r="J4" s="468"/>
      <c r="K4" s="468"/>
      <c r="L4" s="469"/>
      <c r="M4" s="1"/>
      <c r="N4" s="491" t="s">
        <v>2</v>
      </c>
      <c r="O4" s="492"/>
      <c r="P4" s="55"/>
      <c r="Q4" s="539"/>
      <c r="R4" s="538"/>
      <c r="S4" s="538"/>
    </row>
    <row r="5" spans="1:19" ht="45.75" thickBot="1" x14ac:dyDescent="0.3">
      <c r="A5" s="490"/>
      <c r="B5" s="466"/>
      <c r="C5" s="43"/>
      <c r="D5" s="44" t="s">
        <v>3</v>
      </c>
      <c r="E5" s="45" t="s">
        <v>4</v>
      </c>
      <c r="F5" s="46" t="s">
        <v>5</v>
      </c>
      <c r="G5" s="47" t="s">
        <v>6</v>
      </c>
      <c r="H5" s="7"/>
      <c r="I5" s="3" t="s">
        <v>3</v>
      </c>
      <c r="J5" s="4" t="s">
        <v>4</v>
      </c>
      <c r="K5" s="5" t="s">
        <v>5</v>
      </c>
      <c r="L5" s="8" t="s">
        <v>6</v>
      </c>
      <c r="M5" s="6"/>
      <c r="N5" s="3" t="s">
        <v>7</v>
      </c>
      <c r="O5" s="8" t="s">
        <v>8</v>
      </c>
      <c r="P5" s="55">
        <v>4</v>
      </c>
      <c r="Q5" s="56">
        <v>6</v>
      </c>
      <c r="R5" s="56">
        <v>25</v>
      </c>
      <c r="S5" s="56">
        <v>20</v>
      </c>
    </row>
    <row r="6" spans="1:19" ht="30" x14ac:dyDescent="0.25">
      <c r="A6" s="504" t="s">
        <v>18</v>
      </c>
      <c r="B6" s="271" t="s">
        <v>356</v>
      </c>
      <c r="C6" s="48"/>
      <c r="D6" s="15">
        <f t="shared" ref="D6:F9" si="0">(P6*$P$5)+25</f>
        <v>545</v>
      </c>
      <c r="E6" s="16">
        <f t="shared" si="0"/>
        <v>805</v>
      </c>
      <c r="F6" s="16">
        <f t="shared" si="0"/>
        <v>505</v>
      </c>
      <c r="G6" s="18">
        <f>(S6*$P$5)+20</f>
        <v>20</v>
      </c>
      <c r="H6" s="48"/>
      <c r="I6" s="15">
        <f t="shared" ref="I6:K9" si="1">(P6*$Q$5)+25</f>
        <v>805</v>
      </c>
      <c r="J6" s="16">
        <f t="shared" si="1"/>
        <v>1195</v>
      </c>
      <c r="K6" s="16">
        <f t="shared" si="1"/>
        <v>745</v>
      </c>
      <c r="L6" s="18">
        <f>(S6*$Q$5)+20</f>
        <v>20</v>
      </c>
      <c r="M6" s="48"/>
      <c r="N6" s="278">
        <v>545</v>
      </c>
      <c r="O6" s="278">
        <v>805</v>
      </c>
      <c r="P6" s="129">
        <v>130</v>
      </c>
      <c r="Q6" s="247">
        <v>195</v>
      </c>
      <c r="R6" s="247">
        <v>120</v>
      </c>
      <c r="S6" s="247">
        <v>0</v>
      </c>
    </row>
    <row r="7" spans="1:19" ht="15.75" thickBot="1" x14ac:dyDescent="0.3">
      <c r="A7" s="505"/>
      <c r="B7" s="37" t="s">
        <v>350</v>
      </c>
      <c r="C7" s="11"/>
      <c r="D7" s="24">
        <f t="shared" si="0"/>
        <v>465</v>
      </c>
      <c r="E7" s="25">
        <f t="shared" si="0"/>
        <v>685</v>
      </c>
      <c r="F7" s="25">
        <f t="shared" si="0"/>
        <v>429</v>
      </c>
      <c r="G7" s="22">
        <f>(S7*$P$5)+20</f>
        <v>20</v>
      </c>
      <c r="H7" s="11"/>
      <c r="I7" s="24">
        <f t="shared" si="1"/>
        <v>685</v>
      </c>
      <c r="J7" s="25">
        <f t="shared" si="1"/>
        <v>1015</v>
      </c>
      <c r="K7" s="25">
        <f t="shared" si="1"/>
        <v>631</v>
      </c>
      <c r="L7" s="22">
        <f>(S7*$Q$5)+20</f>
        <v>20</v>
      </c>
      <c r="M7" s="239"/>
      <c r="N7" s="279">
        <v>465</v>
      </c>
      <c r="O7" s="279">
        <v>685</v>
      </c>
      <c r="P7" s="129">
        <v>110</v>
      </c>
      <c r="Q7" s="247">
        <v>165</v>
      </c>
      <c r="R7" s="247">
        <v>101</v>
      </c>
      <c r="S7" s="247">
        <v>0</v>
      </c>
    </row>
    <row r="8" spans="1:19" ht="30" x14ac:dyDescent="0.25">
      <c r="A8" s="504" t="s">
        <v>41</v>
      </c>
      <c r="B8" s="271" t="s">
        <v>356</v>
      </c>
      <c r="C8" s="40"/>
      <c r="D8" s="15">
        <f t="shared" si="0"/>
        <v>605</v>
      </c>
      <c r="E8" s="16">
        <f t="shared" si="0"/>
        <v>897</v>
      </c>
      <c r="F8" s="16">
        <f t="shared" si="0"/>
        <v>557</v>
      </c>
      <c r="G8" s="18">
        <f>(S8*$P$5)+20</f>
        <v>20</v>
      </c>
      <c r="H8" s="48"/>
      <c r="I8" s="15">
        <f t="shared" si="1"/>
        <v>895</v>
      </c>
      <c r="J8" s="16">
        <f t="shared" si="1"/>
        <v>1333</v>
      </c>
      <c r="K8" s="16">
        <f t="shared" si="1"/>
        <v>823</v>
      </c>
      <c r="L8" s="18">
        <f>(S8*$Q$5)+20</f>
        <v>20</v>
      </c>
      <c r="M8" s="48"/>
      <c r="N8" s="278">
        <v>605</v>
      </c>
      <c r="O8" s="278">
        <v>895</v>
      </c>
      <c r="P8" s="129">
        <v>145</v>
      </c>
      <c r="Q8" s="247">
        <v>218</v>
      </c>
      <c r="R8" s="247">
        <v>133</v>
      </c>
      <c r="S8" s="247">
        <v>0</v>
      </c>
    </row>
    <row r="9" spans="1:19" ht="15.75" thickBot="1" x14ac:dyDescent="0.3">
      <c r="A9" s="505"/>
      <c r="B9" s="37" t="s">
        <v>350</v>
      </c>
      <c r="C9" s="30"/>
      <c r="D9" s="24">
        <f t="shared" si="0"/>
        <v>525</v>
      </c>
      <c r="E9" s="25">
        <f t="shared" si="0"/>
        <v>777</v>
      </c>
      <c r="F9" s="25">
        <f t="shared" si="0"/>
        <v>485</v>
      </c>
      <c r="G9" s="22">
        <f>(S9*$P$5)+20</f>
        <v>20</v>
      </c>
      <c r="H9" s="11"/>
      <c r="I9" s="24">
        <f t="shared" si="1"/>
        <v>775</v>
      </c>
      <c r="J9" s="25">
        <f t="shared" si="1"/>
        <v>1153</v>
      </c>
      <c r="K9" s="25">
        <f t="shared" si="1"/>
        <v>715</v>
      </c>
      <c r="L9" s="22">
        <f>(S9*$Q$5)+20</f>
        <v>20</v>
      </c>
      <c r="M9" s="239"/>
      <c r="N9" s="279">
        <v>525</v>
      </c>
      <c r="O9" s="279">
        <v>775</v>
      </c>
      <c r="P9" s="129">
        <v>125</v>
      </c>
      <c r="Q9" s="247">
        <v>188</v>
      </c>
      <c r="R9" s="247">
        <v>115</v>
      </c>
      <c r="S9" s="247">
        <v>0</v>
      </c>
    </row>
    <row r="10" spans="1:19" ht="15.75" customHeight="1" thickBot="1" x14ac:dyDescent="0.3">
      <c r="A10" s="34" t="s">
        <v>17</v>
      </c>
      <c r="B10" s="35"/>
      <c r="C10" s="35"/>
      <c r="D10" s="117"/>
      <c r="E10" s="117"/>
      <c r="F10" s="117"/>
      <c r="G10" s="117"/>
      <c r="H10" s="35"/>
      <c r="I10" s="117"/>
      <c r="J10" s="117"/>
      <c r="K10" s="117"/>
      <c r="L10" s="117"/>
      <c r="M10" s="35"/>
      <c r="N10" s="117"/>
      <c r="O10" s="117"/>
      <c r="P10" s="29"/>
      <c r="Q10" s="29"/>
      <c r="R10" s="29"/>
      <c r="S10" s="29"/>
    </row>
    <row r="11" spans="1:19" ht="15.75" customHeight="1" x14ac:dyDescent="0.25">
      <c r="A11" s="59" t="s">
        <v>12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1"/>
    </row>
    <row r="12" spans="1:19" ht="15.75" customHeight="1" x14ac:dyDescent="0.25">
      <c r="A12" s="59" t="s">
        <v>13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1"/>
    </row>
    <row r="13" spans="1:19" x14ac:dyDescent="0.25">
      <c r="A13" s="59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1"/>
    </row>
    <row r="14" spans="1:19" ht="36.75" customHeight="1" thickBot="1" x14ac:dyDescent="0.3">
      <c r="A14" s="493" t="s">
        <v>42</v>
      </c>
      <c r="B14" s="494"/>
      <c r="C14" s="494"/>
      <c r="D14" s="494"/>
      <c r="E14" s="494"/>
      <c r="F14" s="494"/>
      <c r="G14" s="494"/>
      <c r="H14" s="494"/>
      <c r="I14" s="494"/>
      <c r="J14" s="494"/>
      <c r="K14" s="494"/>
      <c r="L14" s="494"/>
      <c r="M14" s="494"/>
      <c r="N14" s="494"/>
      <c r="O14" s="495"/>
    </row>
    <row r="15" spans="1:19" ht="15.75" thickBot="1" x14ac:dyDescent="0.3">
      <c r="A15" s="460" t="s">
        <v>24</v>
      </c>
      <c r="B15" s="461"/>
      <c r="C15" s="461"/>
      <c r="D15" s="461"/>
      <c r="E15" s="461"/>
      <c r="F15" s="461"/>
      <c r="G15" s="461"/>
      <c r="H15" s="461"/>
      <c r="I15" s="461"/>
      <c r="J15" s="461"/>
      <c r="K15" s="461"/>
      <c r="L15" s="461"/>
      <c r="M15" s="461"/>
      <c r="N15" s="461"/>
      <c r="O15" s="462"/>
    </row>
    <row r="16" spans="1:19" ht="15.75" thickBot="1" x14ac:dyDescent="0.3">
      <c r="A16" s="460" t="s">
        <v>22</v>
      </c>
      <c r="B16" s="461"/>
      <c r="C16" s="461"/>
      <c r="D16" s="461"/>
      <c r="E16" s="461"/>
      <c r="F16" s="461"/>
      <c r="G16" s="461"/>
      <c r="H16" s="461"/>
      <c r="I16" s="461"/>
      <c r="J16" s="461"/>
      <c r="K16" s="461"/>
      <c r="L16" s="461"/>
      <c r="M16" s="461"/>
      <c r="N16" s="461"/>
      <c r="O16" s="462"/>
      <c r="Q16" s="53"/>
    </row>
    <row r="17" spans="1:32" ht="15.75" thickBot="1" x14ac:dyDescent="0.3">
      <c r="A17" s="460" t="s">
        <v>363</v>
      </c>
      <c r="B17" s="461"/>
      <c r="C17" s="461"/>
      <c r="D17" s="540"/>
      <c r="E17" s="540"/>
      <c r="F17" s="540"/>
      <c r="G17" s="540"/>
      <c r="H17" s="461"/>
      <c r="I17" s="540"/>
      <c r="J17" s="540"/>
      <c r="K17" s="540"/>
      <c r="L17" s="540"/>
      <c r="M17" s="461"/>
      <c r="N17" s="461"/>
      <c r="O17" s="462"/>
    </row>
    <row r="18" spans="1:32" ht="15.75" thickBot="1" x14ac:dyDescent="0.3">
      <c r="A18" s="463" t="s">
        <v>10</v>
      </c>
      <c r="B18" s="465" t="s">
        <v>9</v>
      </c>
      <c r="C18" s="9"/>
      <c r="D18" s="470" t="s">
        <v>0</v>
      </c>
      <c r="E18" s="471"/>
      <c r="F18" s="471"/>
      <c r="G18" s="472"/>
      <c r="H18" s="2"/>
      <c r="I18" s="467" t="s">
        <v>1</v>
      </c>
      <c r="J18" s="468"/>
      <c r="K18" s="468"/>
      <c r="L18" s="469"/>
      <c r="M18" s="1"/>
      <c r="N18" s="491" t="s">
        <v>2</v>
      </c>
      <c r="O18" s="492"/>
      <c r="P18">
        <v>25</v>
      </c>
      <c r="Q18">
        <v>20</v>
      </c>
    </row>
    <row r="19" spans="1:32" ht="45.75" thickBot="1" x14ac:dyDescent="0.3">
      <c r="A19" s="490"/>
      <c r="B19" s="466"/>
      <c r="C19" s="43"/>
      <c r="D19" s="280" t="s">
        <v>3</v>
      </c>
      <c r="E19" s="45" t="s">
        <v>4</v>
      </c>
      <c r="F19" s="46" t="s">
        <v>5</v>
      </c>
      <c r="G19" s="281" t="s">
        <v>6</v>
      </c>
      <c r="H19" s="7"/>
      <c r="I19" s="3" t="s">
        <v>3</v>
      </c>
      <c r="J19" s="4" t="s">
        <v>4</v>
      </c>
      <c r="K19" s="5" t="s">
        <v>5</v>
      </c>
      <c r="L19" s="8" t="s">
        <v>6</v>
      </c>
      <c r="M19" s="6"/>
      <c r="N19" s="3" t="s">
        <v>7</v>
      </c>
      <c r="O19" s="8" t="s">
        <v>8</v>
      </c>
      <c r="P19">
        <v>4</v>
      </c>
      <c r="Q19">
        <v>6</v>
      </c>
      <c r="R19">
        <v>0.75</v>
      </c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</row>
    <row r="20" spans="1:32" ht="15" customHeight="1" thickBot="1" x14ac:dyDescent="0.3">
      <c r="A20" s="15" t="s">
        <v>18</v>
      </c>
      <c r="B20" s="37" t="s">
        <v>350</v>
      </c>
      <c r="C20" s="11"/>
      <c r="D20" s="158">
        <f t="shared" ref="D20:F21" si="2">(CEILING(P20*$P$19*$R$19,1))+25</f>
        <v>355</v>
      </c>
      <c r="E20" s="158">
        <f t="shared" si="2"/>
        <v>520</v>
      </c>
      <c r="F20" s="158">
        <f t="shared" si="2"/>
        <v>328</v>
      </c>
      <c r="G20" s="52">
        <f>(CEILING(S20*$P$19*$R$19,1))+20</f>
        <v>20</v>
      </c>
      <c r="H20" s="11"/>
      <c r="I20" s="158">
        <f t="shared" ref="I20:K21" si="3">(CEILING(P20*$Q$19*$R$19,1))+25</f>
        <v>520</v>
      </c>
      <c r="J20" s="158">
        <f t="shared" si="3"/>
        <v>768</v>
      </c>
      <c r="K20" s="158">
        <f t="shared" si="3"/>
        <v>480</v>
      </c>
      <c r="L20" s="52">
        <f>(CEILING(S20*$Q$19*$R$19,1))+20</f>
        <v>20</v>
      </c>
      <c r="M20" s="239"/>
      <c r="N20" s="52">
        <v>355</v>
      </c>
      <c r="O20" s="52">
        <v>520</v>
      </c>
      <c r="P20" s="129">
        <v>110</v>
      </c>
      <c r="Q20" s="247">
        <v>165</v>
      </c>
      <c r="R20" s="247">
        <v>101</v>
      </c>
      <c r="S20" s="247">
        <v>0</v>
      </c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74"/>
    </row>
    <row r="21" spans="1:32" ht="15" customHeight="1" thickBot="1" x14ac:dyDescent="0.3">
      <c r="A21" s="24" t="s">
        <v>41</v>
      </c>
      <c r="B21" s="37" t="s">
        <v>350</v>
      </c>
      <c r="C21" s="30"/>
      <c r="D21" s="24">
        <f t="shared" si="2"/>
        <v>400</v>
      </c>
      <c r="E21" s="24">
        <f t="shared" si="2"/>
        <v>589</v>
      </c>
      <c r="F21" s="24">
        <f t="shared" si="2"/>
        <v>370</v>
      </c>
      <c r="G21" s="279">
        <f>(CEILING(S21*$P$19*$R$19,1))+20</f>
        <v>20</v>
      </c>
      <c r="H21" s="11"/>
      <c r="I21" s="24">
        <f t="shared" si="3"/>
        <v>588</v>
      </c>
      <c r="J21" s="24">
        <f t="shared" si="3"/>
        <v>871</v>
      </c>
      <c r="K21" s="24">
        <f t="shared" si="3"/>
        <v>543</v>
      </c>
      <c r="L21" s="279">
        <f>(CEILING(S21*$Q$19*$R$19,1))+20</f>
        <v>20</v>
      </c>
      <c r="M21" s="239"/>
      <c r="N21" s="279">
        <v>400</v>
      </c>
      <c r="O21" s="279">
        <v>588</v>
      </c>
      <c r="P21" s="129">
        <v>125</v>
      </c>
      <c r="Q21" s="247">
        <v>188</v>
      </c>
      <c r="R21" s="247">
        <v>115</v>
      </c>
      <c r="S21" s="247">
        <v>0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74"/>
    </row>
    <row r="22" spans="1:32" ht="15.75" thickBot="1" x14ac:dyDescent="0.3">
      <c r="A22" s="460" t="s">
        <v>362</v>
      </c>
      <c r="B22" s="461"/>
      <c r="C22" s="461"/>
      <c r="D22" s="540"/>
      <c r="E22" s="540"/>
      <c r="F22" s="540"/>
      <c r="G22" s="540"/>
      <c r="H22" s="461"/>
      <c r="I22" s="540"/>
      <c r="J22" s="540"/>
      <c r="K22" s="540"/>
      <c r="L22" s="540"/>
      <c r="M22" s="461"/>
      <c r="N22" s="461"/>
      <c r="O22" s="462"/>
    </row>
    <row r="23" spans="1:32" ht="15.75" thickBot="1" x14ac:dyDescent="0.3">
      <c r="A23" s="463" t="s">
        <v>10</v>
      </c>
      <c r="B23" s="465" t="s">
        <v>9</v>
      </c>
      <c r="C23" s="9"/>
      <c r="D23" s="470" t="s">
        <v>0</v>
      </c>
      <c r="E23" s="471"/>
      <c r="F23" s="471"/>
      <c r="G23" s="472"/>
      <c r="H23" s="2"/>
      <c r="I23" s="467" t="s">
        <v>1</v>
      </c>
      <c r="J23" s="468"/>
      <c r="K23" s="468"/>
      <c r="L23" s="469"/>
      <c r="M23" s="1"/>
      <c r="N23" s="491" t="s">
        <v>2</v>
      </c>
      <c r="O23" s="492"/>
      <c r="P23" s="29"/>
      <c r="Q23" s="29"/>
      <c r="R23" s="29"/>
    </row>
    <row r="24" spans="1:32" ht="45.75" thickBot="1" x14ac:dyDescent="0.3">
      <c r="A24" s="490"/>
      <c r="B24" s="466"/>
      <c r="C24" s="43"/>
      <c r="D24" s="280" t="s">
        <v>3</v>
      </c>
      <c r="E24" s="45" t="s">
        <v>4</v>
      </c>
      <c r="F24" s="46" t="s">
        <v>5</v>
      </c>
      <c r="G24" s="281" t="s">
        <v>6</v>
      </c>
      <c r="H24" s="7"/>
      <c r="I24" s="3" t="s">
        <v>3</v>
      </c>
      <c r="J24" s="4" t="s">
        <v>4</v>
      </c>
      <c r="K24" s="5" t="s">
        <v>5</v>
      </c>
      <c r="L24" s="8" t="s">
        <v>6</v>
      </c>
      <c r="M24" s="6"/>
      <c r="N24" s="3" t="s">
        <v>7</v>
      </c>
      <c r="O24" s="8" t="s">
        <v>8</v>
      </c>
      <c r="P24" s="54"/>
      <c r="Q24" s="29"/>
      <c r="R24" s="29"/>
    </row>
    <row r="25" spans="1:32" ht="15.75" thickBot="1" x14ac:dyDescent="0.3">
      <c r="A25" s="52" t="s">
        <v>18</v>
      </c>
      <c r="B25" s="37" t="s">
        <v>357</v>
      </c>
      <c r="C25" s="11"/>
      <c r="D25" s="158">
        <f t="shared" ref="D25:F26" si="4">(CEILING(P25*$P$19*$R$19,1))+25</f>
        <v>355</v>
      </c>
      <c r="E25" s="158">
        <f t="shared" si="4"/>
        <v>520</v>
      </c>
      <c r="F25" s="158">
        <f t="shared" si="4"/>
        <v>328</v>
      </c>
      <c r="G25" s="52">
        <f>(CEILING(S25*$P$19*$R$19,1))+20</f>
        <v>20</v>
      </c>
      <c r="H25" s="11"/>
      <c r="I25" s="158">
        <f t="shared" ref="I25:K26" si="5">(CEILING(P25*$Q$19*$R$19,1))+25</f>
        <v>520</v>
      </c>
      <c r="J25" s="158">
        <f t="shared" si="5"/>
        <v>768</v>
      </c>
      <c r="K25" s="158">
        <f t="shared" si="5"/>
        <v>480</v>
      </c>
      <c r="L25" s="52">
        <f>(CEILING(S25*$Q$19*$R$19,1))+20</f>
        <v>20</v>
      </c>
      <c r="M25" s="239"/>
      <c r="N25" s="52">
        <v>355</v>
      </c>
      <c r="O25" s="52">
        <v>520</v>
      </c>
      <c r="P25" s="129">
        <v>110</v>
      </c>
      <c r="Q25" s="247">
        <v>165</v>
      </c>
      <c r="R25" s="247">
        <v>101</v>
      </c>
      <c r="S25" s="247">
        <v>0</v>
      </c>
    </row>
    <row r="26" spans="1:32" ht="15.75" thickBot="1" x14ac:dyDescent="0.3">
      <c r="A26" s="309" t="s">
        <v>41</v>
      </c>
      <c r="B26" s="37" t="s">
        <v>357</v>
      </c>
      <c r="C26" s="30"/>
      <c r="D26" s="24">
        <f t="shared" si="4"/>
        <v>400</v>
      </c>
      <c r="E26" s="24">
        <f t="shared" si="4"/>
        <v>589</v>
      </c>
      <c r="F26" s="24">
        <f t="shared" si="4"/>
        <v>370</v>
      </c>
      <c r="G26" s="279">
        <f>(CEILING(S26*$P$19*$R$19,1))+20</f>
        <v>20</v>
      </c>
      <c r="H26" s="11"/>
      <c r="I26" s="24">
        <f t="shared" si="5"/>
        <v>588</v>
      </c>
      <c r="J26" s="24">
        <f t="shared" si="5"/>
        <v>871</v>
      </c>
      <c r="K26" s="24">
        <f t="shared" si="5"/>
        <v>543</v>
      </c>
      <c r="L26" s="279">
        <f>(CEILING(S26*$Q$19*$R$19,1))+20</f>
        <v>20</v>
      </c>
      <c r="M26" s="239"/>
      <c r="N26" s="279">
        <v>400</v>
      </c>
      <c r="O26" s="279">
        <v>588</v>
      </c>
      <c r="P26" s="129">
        <v>125</v>
      </c>
      <c r="Q26" s="247">
        <v>188</v>
      </c>
      <c r="R26" s="247">
        <v>115</v>
      </c>
      <c r="S26" s="247">
        <v>0</v>
      </c>
    </row>
    <row r="27" spans="1:32" ht="15.75" thickBot="1" x14ac:dyDescent="0.3">
      <c r="A27" s="460" t="s">
        <v>359</v>
      </c>
      <c r="B27" s="461"/>
      <c r="C27" s="461"/>
      <c r="D27" s="461"/>
      <c r="E27" s="461"/>
      <c r="F27" s="461"/>
      <c r="G27" s="461"/>
      <c r="H27" s="461"/>
      <c r="I27" s="461"/>
      <c r="J27" s="461"/>
      <c r="K27" s="461"/>
      <c r="L27" s="461"/>
      <c r="M27" s="461"/>
      <c r="N27" s="461"/>
      <c r="O27" s="462"/>
      <c r="P27" s="29"/>
      <c r="Q27" s="29"/>
      <c r="R27" s="29"/>
    </row>
    <row r="28" spans="1:32" ht="15.75" customHeight="1" thickBot="1" x14ac:dyDescent="0.3">
      <c r="A28" s="463" t="s">
        <v>10</v>
      </c>
      <c r="B28" s="465" t="s">
        <v>9</v>
      </c>
      <c r="C28" s="9"/>
      <c r="D28" s="470" t="s">
        <v>0</v>
      </c>
      <c r="E28" s="471"/>
      <c r="F28" s="471"/>
      <c r="G28" s="472"/>
      <c r="H28" s="2"/>
      <c r="I28" s="467" t="s">
        <v>1</v>
      </c>
      <c r="J28" s="468"/>
      <c r="K28" s="468"/>
      <c r="L28" s="469"/>
      <c r="M28" s="1"/>
      <c r="N28" s="491" t="s">
        <v>2</v>
      </c>
      <c r="O28" s="492"/>
      <c r="P28">
        <v>25</v>
      </c>
      <c r="Q28">
        <v>20</v>
      </c>
    </row>
    <row r="29" spans="1:32" ht="45.75" customHeight="1" thickBot="1" x14ac:dyDescent="0.3">
      <c r="A29" s="490"/>
      <c r="B29" s="466"/>
      <c r="C29" s="43"/>
      <c r="D29" s="280" t="s">
        <v>3</v>
      </c>
      <c r="E29" s="45" t="s">
        <v>4</v>
      </c>
      <c r="F29" s="46" t="s">
        <v>5</v>
      </c>
      <c r="G29" s="281" t="s">
        <v>6</v>
      </c>
      <c r="H29" s="7"/>
      <c r="I29" s="3" t="s">
        <v>3</v>
      </c>
      <c r="J29" s="4" t="s">
        <v>4</v>
      </c>
      <c r="K29" s="5" t="s">
        <v>5</v>
      </c>
      <c r="L29" s="8" t="s">
        <v>6</v>
      </c>
      <c r="M29" s="6"/>
      <c r="N29" s="3" t="s">
        <v>7</v>
      </c>
      <c r="O29" s="8" t="s">
        <v>8</v>
      </c>
      <c r="P29">
        <v>4</v>
      </c>
      <c r="Q29">
        <v>6</v>
      </c>
      <c r="R29">
        <v>0.8</v>
      </c>
    </row>
    <row r="30" spans="1:32" ht="15.75" thickBot="1" x14ac:dyDescent="0.3">
      <c r="A30" s="52" t="s">
        <v>18</v>
      </c>
      <c r="B30" s="37" t="s">
        <v>350</v>
      </c>
      <c r="C30" s="11"/>
      <c r="D30" s="158">
        <f t="shared" ref="D30:F31" si="6">(CEILING(P30*$P$29*$R$29,1))+25</f>
        <v>377</v>
      </c>
      <c r="E30" s="158">
        <f t="shared" si="6"/>
        <v>553</v>
      </c>
      <c r="F30" s="158">
        <f t="shared" si="6"/>
        <v>349</v>
      </c>
      <c r="G30" s="158">
        <f>(CEILING(S30*$P$29*$R$29,1))+20</f>
        <v>20</v>
      </c>
      <c r="H30" s="11"/>
      <c r="I30" s="158">
        <f t="shared" ref="I30:K31" si="7">(CEILING(P30*$Q$29*$R$29,1))+25</f>
        <v>553</v>
      </c>
      <c r="J30" s="158">
        <f t="shared" si="7"/>
        <v>817</v>
      </c>
      <c r="K30" s="158">
        <f t="shared" si="7"/>
        <v>510</v>
      </c>
      <c r="L30" s="158">
        <f>(CEILING(S30*$Q$29*$R$29,1))+20</f>
        <v>20</v>
      </c>
      <c r="M30" s="239"/>
      <c r="N30" s="52">
        <v>377</v>
      </c>
      <c r="O30" s="52">
        <v>553</v>
      </c>
      <c r="P30" s="129">
        <v>110</v>
      </c>
      <c r="Q30" s="247">
        <v>165</v>
      </c>
      <c r="R30" s="247">
        <v>101</v>
      </c>
      <c r="S30" s="247">
        <v>0</v>
      </c>
    </row>
    <row r="31" spans="1:32" ht="15.75" thickBot="1" x14ac:dyDescent="0.3">
      <c r="A31" s="308" t="s">
        <v>41</v>
      </c>
      <c r="B31" s="37" t="s">
        <v>350</v>
      </c>
      <c r="C31" s="30"/>
      <c r="D31" s="158">
        <f t="shared" si="6"/>
        <v>425</v>
      </c>
      <c r="E31" s="158">
        <f t="shared" si="6"/>
        <v>627</v>
      </c>
      <c r="F31" s="158">
        <f t="shared" si="6"/>
        <v>393</v>
      </c>
      <c r="G31" s="158">
        <f>(CEILING(S31*$P$29*$R$29,1))+20</f>
        <v>20</v>
      </c>
      <c r="H31" s="11"/>
      <c r="I31" s="158">
        <f t="shared" si="7"/>
        <v>625</v>
      </c>
      <c r="J31" s="158">
        <f t="shared" si="7"/>
        <v>928</v>
      </c>
      <c r="K31" s="158">
        <f t="shared" si="7"/>
        <v>577</v>
      </c>
      <c r="L31" s="158">
        <f>(CEILING(S31*$Q$29*$R$29,1))+20</f>
        <v>20</v>
      </c>
      <c r="M31" s="239"/>
      <c r="N31" s="279">
        <v>425</v>
      </c>
      <c r="O31" s="279">
        <v>625</v>
      </c>
      <c r="P31" s="129">
        <v>125</v>
      </c>
      <c r="Q31" s="247">
        <v>188</v>
      </c>
      <c r="R31" s="247">
        <v>115</v>
      </c>
      <c r="S31" s="247">
        <v>0</v>
      </c>
    </row>
    <row r="32" spans="1:32" ht="15.75" thickBot="1" x14ac:dyDescent="0.3">
      <c r="A32" s="460" t="s">
        <v>361</v>
      </c>
      <c r="B32" s="461"/>
      <c r="C32" s="461"/>
      <c r="D32" s="461"/>
      <c r="E32" s="461"/>
      <c r="F32" s="461"/>
      <c r="G32" s="461"/>
      <c r="H32" s="461"/>
      <c r="I32" s="461"/>
      <c r="J32" s="461"/>
      <c r="K32" s="461"/>
      <c r="L32" s="461"/>
      <c r="M32" s="461"/>
      <c r="N32" s="461"/>
      <c r="O32" s="462"/>
      <c r="P32" s="29"/>
      <c r="Q32" s="29"/>
      <c r="R32" s="29"/>
    </row>
    <row r="33" spans="1:32" ht="15.75" customHeight="1" thickBot="1" x14ac:dyDescent="0.3">
      <c r="A33" s="463" t="s">
        <v>10</v>
      </c>
      <c r="B33" s="465" t="s">
        <v>9</v>
      </c>
      <c r="C33" s="9"/>
      <c r="D33" s="470" t="s">
        <v>0</v>
      </c>
      <c r="E33" s="471"/>
      <c r="F33" s="471"/>
      <c r="G33" s="472"/>
      <c r="H33" s="2"/>
      <c r="I33" s="467" t="s">
        <v>1</v>
      </c>
      <c r="J33" s="468"/>
      <c r="K33" s="468"/>
      <c r="L33" s="469"/>
      <c r="M33" s="1"/>
      <c r="N33" s="491" t="s">
        <v>2</v>
      </c>
      <c r="O33" s="492"/>
      <c r="P33">
        <v>25</v>
      </c>
      <c r="Q33">
        <v>20</v>
      </c>
    </row>
    <row r="34" spans="1:32" ht="45.75" customHeight="1" thickBot="1" x14ac:dyDescent="0.3">
      <c r="A34" s="490"/>
      <c r="B34" s="466"/>
      <c r="C34" s="43"/>
      <c r="D34" s="280" t="s">
        <v>3</v>
      </c>
      <c r="E34" s="45" t="s">
        <v>4</v>
      </c>
      <c r="F34" s="46" t="s">
        <v>5</v>
      </c>
      <c r="G34" s="281" t="s">
        <v>6</v>
      </c>
      <c r="H34" s="7"/>
      <c r="I34" s="3" t="s">
        <v>3</v>
      </c>
      <c r="J34" s="4" t="s">
        <v>4</v>
      </c>
      <c r="K34" s="5" t="s">
        <v>5</v>
      </c>
      <c r="L34" s="8" t="s">
        <v>6</v>
      </c>
      <c r="M34" s="6"/>
      <c r="N34" s="3" t="s">
        <v>7</v>
      </c>
      <c r="O34" s="8" t="s">
        <v>8</v>
      </c>
      <c r="P34">
        <v>4</v>
      </c>
      <c r="Q34">
        <v>6</v>
      </c>
      <c r="R34">
        <v>0.85</v>
      </c>
    </row>
    <row r="35" spans="1:32" ht="15.75" thickBot="1" x14ac:dyDescent="0.3">
      <c r="A35" s="52" t="s">
        <v>18</v>
      </c>
      <c r="B35" s="37" t="s">
        <v>350</v>
      </c>
      <c r="C35" s="11"/>
      <c r="D35" s="158">
        <f t="shared" ref="D35:F36" si="8">((CEILING(P35*$P$29*$R$34,1)))+25</f>
        <v>399</v>
      </c>
      <c r="E35" s="158">
        <f t="shared" si="8"/>
        <v>586</v>
      </c>
      <c r="F35" s="158">
        <f t="shared" si="8"/>
        <v>369</v>
      </c>
      <c r="G35" s="158">
        <f>((CEILING(S35*$P$29*$R$34,1)))+20</f>
        <v>20</v>
      </c>
      <c r="H35" s="11"/>
      <c r="I35" s="158">
        <f t="shared" ref="I35:K36" si="9">((CEILING(P35*$Q$29*$R$34,1)))+25</f>
        <v>586</v>
      </c>
      <c r="J35" s="158">
        <f t="shared" si="9"/>
        <v>867</v>
      </c>
      <c r="K35" s="158">
        <f t="shared" si="9"/>
        <v>541</v>
      </c>
      <c r="L35" s="158">
        <f>((CEILING(S35*$Q$29*$R$34,1)))+20</f>
        <v>20</v>
      </c>
      <c r="M35" s="239"/>
      <c r="N35" s="52">
        <v>399</v>
      </c>
      <c r="O35" s="52">
        <v>586</v>
      </c>
      <c r="P35" s="129">
        <v>110</v>
      </c>
      <c r="Q35" s="247">
        <v>165</v>
      </c>
      <c r="R35" s="247">
        <v>101</v>
      </c>
      <c r="S35" s="247">
        <v>0</v>
      </c>
    </row>
    <row r="36" spans="1:32" ht="15.75" thickBot="1" x14ac:dyDescent="0.3">
      <c r="A36" s="308" t="s">
        <v>41</v>
      </c>
      <c r="B36" s="37" t="s">
        <v>350</v>
      </c>
      <c r="C36" s="30"/>
      <c r="D36" s="158">
        <f t="shared" si="8"/>
        <v>450</v>
      </c>
      <c r="E36" s="158">
        <f t="shared" si="8"/>
        <v>665</v>
      </c>
      <c r="F36" s="158">
        <f t="shared" si="8"/>
        <v>416</v>
      </c>
      <c r="G36" s="158">
        <f>((CEILING(S36*$P$29*$R$34,1)))+20</f>
        <v>20</v>
      </c>
      <c r="H36" s="11"/>
      <c r="I36" s="158">
        <f t="shared" si="9"/>
        <v>663</v>
      </c>
      <c r="J36" s="158">
        <f t="shared" si="9"/>
        <v>984</v>
      </c>
      <c r="K36" s="158">
        <f t="shared" si="9"/>
        <v>612</v>
      </c>
      <c r="L36" s="158">
        <f>((CEILING(S36*$Q$29*$R$34,1)))+20</f>
        <v>20</v>
      </c>
      <c r="M36" s="239"/>
      <c r="N36" s="279">
        <v>450</v>
      </c>
      <c r="O36" s="279">
        <v>663</v>
      </c>
      <c r="P36" s="129">
        <v>125</v>
      </c>
      <c r="Q36" s="247">
        <v>188</v>
      </c>
      <c r="R36" s="247">
        <v>115</v>
      </c>
      <c r="S36" s="247">
        <v>0</v>
      </c>
    </row>
    <row r="37" spans="1:32" ht="15.75" thickBot="1" x14ac:dyDescent="0.3">
      <c r="A37" s="460" t="s">
        <v>23</v>
      </c>
      <c r="B37" s="461"/>
      <c r="C37" s="461"/>
      <c r="D37" s="461"/>
      <c r="E37" s="461"/>
      <c r="F37" s="461"/>
      <c r="G37" s="461"/>
      <c r="H37" s="461"/>
      <c r="I37" s="461"/>
      <c r="J37" s="461"/>
      <c r="K37" s="461"/>
      <c r="L37" s="461"/>
      <c r="M37" s="461"/>
      <c r="N37" s="461"/>
      <c r="O37" s="462"/>
      <c r="P37" s="29"/>
      <c r="Q37" s="29"/>
      <c r="R37" s="29"/>
    </row>
    <row r="38" spans="1:32" ht="15.75" thickBot="1" x14ac:dyDescent="0.3">
      <c r="A38" s="460" t="s">
        <v>360</v>
      </c>
      <c r="B38" s="461"/>
      <c r="C38" s="461"/>
      <c r="D38" s="540"/>
      <c r="E38" s="540"/>
      <c r="F38" s="540"/>
      <c r="G38" s="540"/>
      <c r="H38" s="461"/>
      <c r="I38" s="540"/>
      <c r="J38" s="540"/>
      <c r="K38" s="540"/>
      <c r="L38" s="540"/>
      <c r="M38" s="461"/>
      <c r="N38" s="461"/>
      <c r="O38" s="462"/>
    </row>
    <row r="39" spans="1:32" ht="15.75" customHeight="1" thickBot="1" x14ac:dyDescent="0.3">
      <c r="A39" s="463" t="s">
        <v>10</v>
      </c>
      <c r="B39" s="465" t="s">
        <v>9</v>
      </c>
      <c r="C39" s="9"/>
      <c r="D39" s="470" t="s">
        <v>0</v>
      </c>
      <c r="E39" s="471"/>
      <c r="F39" s="471"/>
      <c r="G39" s="472"/>
      <c r="H39" s="2"/>
      <c r="I39" s="467" t="s">
        <v>1</v>
      </c>
      <c r="J39" s="468"/>
      <c r="K39" s="468"/>
      <c r="L39" s="469"/>
      <c r="M39" s="1"/>
      <c r="N39" s="491" t="s">
        <v>2</v>
      </c>
      <c r="O39" s="492"/>
    </row>
    <row r="40" spans="1:32" ht="45.75" thickBot="1" x14ac:dyDescent="0.3">
      <c r="A40" s="490"/>
      <c r="B40" s="466"/>
      <c r="C40" s="43"/>
      <c r="D40" s="280" t="s">
        <v>3</v>
      </c>
      <c r="E40" s="45" t="s">
        <v>4</v>
      </c>
      <c r="F40" s="46" t="s">
        <v>5</v>
      </c>
      <c r="G40" s="281" t="s">
        <v>6</v>
      </c>
      <c r="H40" s="7"/>
      <c r="I40" s="3" t="s">
        <v>3</v>
      </c>
      <c r="J40" s="4" t="s">
        <v>4</v>
      </c>
      <c r="K40" s="5" t="s">
        <v>5</v>
      </c>
      <c r="L40" s="8" t="s">
        <v>6</v>
      </c>
      <c r="M40" s="6"/>
      <c r="N40" s="3" t="s">
        <v>7</v>
      </c>
      <c r="O40" s="8" t="s">
        <v>8</v>
      </c>
      <c r="P40" s="74">
        <v>4</v>
      </c>
      <c r="Q40" s="74">
        <v>6</v>
      </c>
      <c r="R40" s="74">
        <v>0.75</v>
      </c>
      <c r="S40" s="74">
        <v>25</v>
      </c>
      <c r="T40" s="74">
        <v>20</v>
      </c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</row>
    <row r="41" spans="1:32" ht="15.75" thickBot="1" x14ac:dyDescent="0.3">
      <c r="A41" s="15" t="s">
        <v>18</v>
      </c>
      <c r="B41" s="278" t="s">
        <v>358</v>
      </c>
      <c r="C41" s="48"/>
      <c r="D41" s="15">
        <f t="shared" ref="D41:F42" si="10">(CEILING((P41*$P$34)*0.75,1))+25</f>
        <v>415</v>
      </c>
      <c r="E41" s="15">
        <f t="shared" si="10"/>
        <v>610</v>
      </c>
      <c r="F41" s="15">
        <f t="shared" si="10"/>
        <v>385</v>
      </c>
      <c r="G41" s="15">
        <f>(CEILING((S41*$P$34)*0.75,1))+20</f>
        <v>20</v>
      </c>
      <c r="H41" s="41"/>
      <c r="I41" s="15">
        <f t="shared" ref="I41:K42" si="11">(CEILING((P41*$Q$34)*0.75,1))+25</f>
        <v>610</v>
      </c>
      <c r="J41" s="15">
        <f t="shared" si="11"/>
        <v>903</v>
      </c>
      <c r="K41" s="15">
        <f t="shared" si="11"/>
        <v>565</v>
      </c>
      <c r="L41" s="15">
        <f>(CEILING((S41*$Q$34)*0.75,1))+20</f>
        <v>20</v>
      </c>
      <c r="M41" s="42"/>
      <c r="N41" s="15">
        <v>415</v>
      </c>
      <c r="O41" s="18">
        <v>610</v>
      </c>
      <c r="P41">
        <v>130</v>
      </c>
      <c r="Q41">
        <v>195</v>
      </c>
      <c r="R41" s="247">
        <f>CEILING(((P41*0.75)+P41+P41)/3,1)</f>
        <v>120</v>
      </c>
      <c r="S41" s="27">
        <v>0</v>
      </c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74"/>
    </row>
    <row r="42" spans="1:32" ht="15.75" thickBot="1" x14ac:dyDescent="0.3">
      <c r="A42" s="309" t="s">
        <v>41</v>
      </c>
      <c r="B42" s="278" t="s">
        <v>358</v>
      </c>
      <c r="C42" s="31"/>
      <c r="D42" s="15">
        <f t="shared" si="10"/>
        <v>460</v>
      </c>
      <c r="E42" s="15">
        <f t="shared" si="10"/>
        <v>679</v>
      </c>
      <c r="F42" s="15">
        <f t="shared" si="10"/>
        <v>424</v>
      </c>
      <c r="G42" s="15">
        <f>(CEILING((S42*$P$34)*0.75,1))+20</f>
        <v>20</v>
      </c>
      <c r="H42" s="32"/>
      <c r="I42" s="15">
        <f t="shared" si="11"/>
        <v>678</v>
      </c>
      <c r="J42" s="15">
        <f t="shared" si="11"/>
        <v>1006</v>
      </c>
      <c r="K42" s="15">
        <f t="shared" si="11"/>
        <v>624</v>
      </c>
      <c r="L42" s="15">
        <f>(CEILING((S42*$Q$34)*0.75,1))+20</f>
        <v>20</v>
      </c>
      <c r="M42" s="33"/>
      <c r="N42" s="24">
        <v>460</v>
      </c>
      <c r="O42" s="22">
        <v>678</v>
      </c>
      <c r="P42">
        <v>145</v>
      </c>
      <c r="Q42">
        <v>218</v>
      </c>
      <c r="R42" s="247">
        <f t="shared" ref="R42" si="12">CEILING(((P42*0.75)+P42+P42)/3,1)</f>
        <v>133</v>
      </c>
      <c r="S42" s="27">
        <v>0</v>
      </c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74"/>
    </row>
    <row r="43" spans="1:32" ht="15.75" thickBot="1" x14ac:dyDescent="0.3">
      <c r="A43" s="460" t="s">
        <v>359</v>
      </c>
      <c r="B43" s="461"/>
      <c r="C43" s="461"/>
      <c r="D43" s="461"/>
      <c r="E43" s="461"/>
      <c r="F43" s="461"/>
      <c r="G43" s="461"/>
      <c r="H43" s="461"/>
      <c r="I43" s="461"/>
      <c r="J43" s="461"/>
      <c r="K43" s="461"/>
      <c r="L43" s="461"/>
      <c r="M43" s="461"/>
      <c r="N43" s="461"/>
      <c r="O43" s="462"/>
      <c r="P43" s="29"/>
      <c r="Q43" s="29"/>
      <c r="R43" s="29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</row>
    <row r="44" spans="1:32" ht="15.75" thickBot="1" x14ac:dyDescent="0.3">
      <c r="A44" s="463" t="s">
        <v>10</v>
      </c>
      <c r="B44" s="465" t="s">
        <v>9</v>
      </c>
      <c r="C44" s="9"/>
      <c r="D44" s="470" t="s">
        <v>0</v>
      </c>
      <c r="E44" s="471"/>
      <c r="F44" s="471"/>
      <c r="G44" s="472"/>
      <c r="H44" s="2"/>
      <c r="I44" s="467" t="s">
        <v>1</v>
      </c>
      <c r="J44" s="468"/>
      <c r="K44" s="468"/>
      <c r="L44" s="469"/>
      <c r="M44" s="1"/>
      <c r="N44" s="491" t="s">
        <v>2</v>
      </c>
      <c r="O44" s="492"/>
      <c r="P44" s="74">
        <v>25</v>
      </c>
      <c r="Q44" s="74">
        <v>20</v>
      </c>
      <c r="R44" s="29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</row>
    <row r="45" spans="1:32" ht="45.75" thickBot="1" x14ac:dyDescent="0.3">
      <c r="A45" s="490"/>
      <c r="B45" s="502"/>
      <c r="C45" s="43"/>
      <c r="D45" s="280" t="s">
        <v>3</v>
      </c>
      <c r="E45" s="45" t="s">
        <v>4</v>
      </c>
      <c r="F45" s="46" t="s">
        <v>5</v>
      </c>
      <c r="G45" s="281" t="s">
        <v>6</v>
      </c>
      <c r="H45" s="7"/>
      <c r="I45" s="3" t="s">
        <v>3</v>
      </c>
      <c r="J45" s="4" t="s">
        <v>4</v>
      </c>
      <c r="K45" s="5" t="s">
        <v>5</v>
      </c>
      <c r="L45" s="8" t="s">
        <v>6</v>
      </c>
      <c r="M45" s="6"/>
      <c r="N45" s="3" t="s">
        <v>7</v>
      </c>
      <c r="O45" s="8" t="s">
        <v>8</v>
      </c>
      <c r="P45" s="74">
        <v>4</v>
      </c>
      <c r="Q45" s="74">
        <v>6</v>
      </c>
      <c r="R45" s="29">
        <v>0.8</v>
      </c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</row>
    <row r="46" spans="1:32" ht="30.75" thickBot="1" x14ac:dyDescent="0.3">
      <c r="A46" s="52" t="s">
        <v>18</v>
      </c>
      <c r="B46" s="278" t="s">
        <v>356</v>
      </c>
      <c r="C46" s="48"/>
      <c r="D46" s="15">
        <f t="shared" ref="D46:F47" si="13">(CEILING(P46*$P$45*$R$45,1))+25</f>
        <v>441</v>
      </c>
      <c r="E46" s="15">
        <f t="shared" si="13"/>
        <v>649</v>
      </c>
      <c r="F46" s="15">
        <f t="shared" si="13"/>
        <v>409</v>
      </c>
      <c r="G46" s="15">
        <f>(CEILING(S46*$P$45*$R$45,1))+20</f>
        <v>20</v>
      </c>
      <c r="H46" s="48"/>
      <c r="I46" s="15">
        <f t="shared" ref="I46:K47" si="14">(CEILING(P46*$Q$45*$R$45,1))+25</f>
        <v>649</v>
      </c>
      <c r="J46" s="15">
        <f t="shared" si="14"/>
        <v>961</v>
      </c>
      <c r="K46" s="15">
        <f t="shared" si="14"/>
        <v>601</v>
      </c>
      <c r="L46" s="15">
        <f>(CEILING(S46*$Q$45*$R$45,1))+20</f>
        <v>20</v>
      </c>
      <c r="M46" s="41"/>
      <c r="N46" s="15">
        <v>441</v>
      </c>
      <c r="O46" s="18">
        <v>649</v>
      </c>
      <c r="P46" s="129">
        <v>130</v>
      </c>
      <c r="Q46" s="247">
        <v>195</v>
      </c>
      <c r="R46" s="247">
        <v>120</v>
      </c>
      <c r="S46" s="247">
        <v>0</v>
      </c>
    </row>
    <row r="47" spans="1:32" ht="30.75" thickBot="1" x14ac:dyDescent="0.3">
      <c r="A47" s="310" t="s">
        <v>41</v>
      </c>
      <c r="B47" s="278" t="s">
        <v>356</v>
      </c>
      <c r="C47" s="31"/>
      <c r="D47" s="15">
        <f t="shared" si="13"/>
        <v>489</v>
      </c>
      <c r="E47" s="15">
        <f t="shared" si="13"/>
        <v>723</v>
      </c>
      <c r="F47" s="15">
        <f t="shared" si="13"/>
        <v>451</v>
      </c>
      <c r="G47" s="15">
        <f>(CEILING(S47*$P$45*$R$45,1))+20</f>
        <v>20</v>
      </c>
      <c r="H47" s="49"/>
      <c r="I47" s="15">
        <f t="shared" si="14"/>
        <v>721</v>
      </c>
      <c r="J47" s="15">
        <f t="shared" si="14"/>
        <v>1072</v>
      </c>
      <c r="K47" s="15">
        <f t="shared" si="14"/>
        <v>664</v>
      </c>
      <c r="L47" s="15">
        <f>(CEILING(S47*$Q$45*$R$45,1))+20</f>
        <v>20</v>
      </c>
      <c r="M47" s="32"/>
      <c r="N47" s="24">
        <v>489</v>
      </c>
      <c r="O47" s="22">
        <v>721</v>
      </c>
      <c r="P47" s="129">
        <v>145</v>
      </c>
      <c r="Q47" s="247">
        <v>218</v>
      </c>
      <c r="R47" s="247">
        <v>133</v>
      </c>
      <c r="S47" s="247">
        <v>0</v>
      </c>
    </row>
    <row r="48" spans="1:32" ht="15.75" thickBot="1" x14ac:dyDescent="0.3">
      <c r="A48" s="275" t="s">
        <v>11</v>
      </c>
      <c r="B48" s="455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6"/>
      <c r="P48" s="29"/>
      <c r="Q48" s="29"/>
      <c r="R48" s="29"/>
    </row>
    <row r="49" spans="1:18" x14ac:dyDescent="0.25">
      <c r="A49" s="59" t="s">
        <v>25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1"/>
      <c r="P49" s="29"/>
      <c r="Q49" s="29"/>
      <c r="R49" s="29"/>
    </row>
    <row r="50" spans="1:18" x14ac:dyDescent="0.25">
      <c r="A50" s="62" t="s">
        <v>29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1"/>
      <c r="P50" s="29"/>
      <c r="Q50" s="29"/>
      <c r="R50" s="29"/>
    </row>
    <row r="51" spans="1:18" x14ac:dyDescent="0.25">
      <c r="A51" s="62" t="s">
        <v>30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1"/>
      <c r="P51" s="29"/>
      <c r="Q51" s="29"/>
      <c r="R51" s="29"/>
    </row>
    <row r="52" spans="1:18" x14ac:dyDescent="0.25">
      <c r="A52" s="62" t="s">
        <v>26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/>
    </row>
    <row r="53" spans="1:18" x14ac:dyDescent="0.25">
      <c r="A53" s="62" t="s">
        <v>28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/>
    </row>
    <row r="54" spans="1:18" ht="15.75" thickBot="1" x14ac:dyDescent="0.3">
      <c r="A54" s="493" t="s">
        <v>27</v>
      </c>
      <c r="B54" s="494"/>
      <c r="C54" s="494"/>
      <c r="D54" s="494"/>
      <c r="E54" s="494"/>
      <c r="F54" s="494"/>
      <c r="G54" s="494"/>
      <c r="H54" s="494"/>
      <c r="I54" s="494"/>
      <c r="J54" s="494"/>
      <c r="K54" s="494"/>
      <c r="L54" s="494"/>
      <c r="M54" s="494"/>
      <c r="N54" s="494"/>
      <c r="O54" s="495"/>
    </row>
    <row r="55" spans="1:18" ht="15.75" thickBot="1" x14ac:dyDescent="0.3">
      <c r="A55" s="454" t="s">
        <v>16</v>
      </c>
      <c r="B55" s="455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6"/>
    </row>
    <row r="56" spans="1:18" x14ac:dyDescent="0.25">
      <c r="A56" s="63" t="s">
        <v>18</v>
      </c>
      <c r="B56" s="64" t="s">
        <v>43</v>
      </c>
      <c r="C56" s="65"/>
      <c r="D56" s="65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1"/>
    </row>
    <row r="57" spans="1:18" ht="30.75" thickBot="1" x14ac:dyDescent="0.3">
      <c r="A57" s="63" t="s">
        <v>31</v>
      </c>
      <c r="B57" s="64" t="s">
        <v>44</v>
      </c>
      <c r="C57" s="65"/>
      <c r="D57" s="65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/>
    </row>
    <row r="58" spans="1:18" ht="15.75" thickBot="1" x14ac:dyDescent="0.3">
      <c r="A58" s="454" t="s">
        <v>15</v>
      </c>
      <c r="B58" s="455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6"/>
    </row>
    <row r="59" spans="1:18" s="151" customFormat="1" x14ac:dyDescent="0.25">
      <c r="A59" s="388" t="s">
        <v>437</v>
      </c>
      <c r="B59" s="196" t="s">
        <v>444</v>
      </c>
      <c r="C59" s="196"/>
      <c r="D59" s="196"/>
      <c r="E59" s="196" t="s">
        <v>445</v>
      </c>
      <c r="F59" s="196"/>
      <c r="G59" s="196"/>
      <c r="H59" s="196"/>
      <c r="I59" s="196" t="s">
        <v>438</v>
      </c>
      <c r="J59" s="196"/>
      <c r="K59" s="196"/>
      <c r="L59" s="196"/>
      <c r="M59" s="196"/>
      <c r="N59" s="196"/>
      <c r="O59" s="197"/>
    </row>
    <row r="60" spans="1:18" s="151" customFormat="1" x14ac:dyDescent="0.25">
      <c r="A60" s="176"/>
      <c r="B60" s="195"/>
      <c r="C60" s="195"/>
      <c r="D60" s="195"/>
      <c r="E60" s="195"/>
      <c r="F60" s="195"/>
      <c r="G60" s="195"/>
      <c r="H60" s="195"/>
      <c r="I60" s="195" t="s">
        <v>439</v>
      </c>
      <c r="J60" s="195"/>
      <c r="K60" s="195"/>
      <c r="L60" s="195"/>
      <c r="M60" s="195"/>
      <c r="N60" s="195"/>
      <c r="O60" s="198"/>
    </row>
    <row r="61" spans="1:18" s="151" customFormat="1" x14ac:dyDescent="0.25">
      <c r="A61" s="176"/>
      <c r="B61" s="195"/>
      <c r="C61" s="195"/>
      <c r="D61" s="195"/>
      <c r="E61" s="195" t="s">
        <v>446</v>
      </c>
      <c r="F61" s="195"/>
      <c r="G61" s="195"/>
      <c r="H61" s="195"/>
      <c r="I61" s="195" t="s">
        <v>440</v>
      </c>
      <c r="J61" s="195"/>
      <c r="K61" s="195"/>
      <c r="L61" s="195"/>
      <c r="M61" s="195"/>
      <c r="N61" s="195"/>
      <c r="O61" s="198"/>
    </row>
    <row r="62" spans="1:18" s="151" customFormat="1" x14ac:dyDescent="0.25">
      <c r="A62" s="176"/>
      <c r="B62" s="195"/>
      <c r="C62" s="195"/>
      <c r="D62" s="195"/>
      <c r="E62" s="195"/>
      <c r="F62" s="195"/>
      <c r="G62" s="195"/>
      <c r="H62" s="195"/>
      <c r="I62" s="195" t="s">
        <v>439</v>
      </c>
      <c r="J62" s="195"/>
      <c r="K62" s="195"/>
      <c r="L62" s="195"/>
      <c r="M62" s="195"/>
      <c r="N62" s="195"/>
      <c r="O62" s="198"/>
    </row>
    <row r="63" spans="1:18" s="151" customFormat="1" x14ac:dyDescent="0.25">
      <c r="A63" s="176"/>
      <c r="B63" s="195"/>
      <c r="C63" s="195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8"/>
    </row>
    <row r="64" spans="1:18" s="151" customFormat="1" x14ac:dyDescent="0.25">
      <c r="A64" s="176" t="s">
        <v>441</v>
      </c>
      <c r="B64" s="195" t="s">
        <v>447</v>
      </c>
      <c r="C64" s="195"/>
      <c r="D64" s="195"/>
      <c r="E64" s="195"/>
      <c r="F64" s="195"/>
      <c r="G64" s="195"/>
      <c r="H64" s="195"/>
      <c r="I64" s="195" t="s">
        <v>442</v>
      </c>
      <c r="J64" s="195"/>
      <c r="K64" s="195"/>
      <c r="L64" s="195"/>
      <c r="M64" s="195"/>
      <c r="N64" s="195"/>
      <c r="O64" s="198"/>
    </row>
    <row r="65" spans="1:15" s="151" customFormat="1" x14ac:dyDescent="0.25">
      <c r="A65" s="176"/>
      <c r="B65" s="195"/>
      <c r="C65" s="195"/>
      <c r="D65" s="195"/>
      <c r="E65" s="195"/>
      <c r="F65" s="195"/>
      <c r="G65" s="195"/>
      <c r="H65" s="195"/>
      <c r="I65" s="195" t="s">
        <v>443</v>
      </c>
      <c r="J65" s="195"/>
      <c r="K65" s="195"/>
      <c r="L65" s="195"/>
      <c r="M65" s="195"/>
      <c r="N65" s="195"/>
      <c r="O65" s="198"/>
    </row>
    <row r="66" spans="1:15" s="151" customFormat="1" x14ac:dyDescent="0.25">
      <c r="A66" s="176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198"/>
    </row>
    <row r="67" spans="1:15" ht="15" customHeight="1" x14ac:dyDescent="0.25">
      <c r="A67" s="268" t="s">
        <v>427</v>
      </c>
      <c r="B67" s="541" t="s">
        <v>428</v>
      </c>
      <c r="C67" s="541"/>
      <c r="D67" s="541"/>
      <c r="E67" s="536" t="s">
        <v>448</v>
      </c>
      <c r="F67" s="536"/>
      <c r="G67" s="536"/>
      <c r="H67" s="60"/>
      <c r="I67" s="536" t="s">
        <v>457</v>
      </c>
      <c r="J67" s="536"/>
      <c r="K67" s="536"/>
      <c r="L67" s="536"/>
      <c r="M67" s="536"/>
      <c r="N67" s="536"/>
      <c r="O67" s="537"/>
    </row>
    <row r="68" spans="1:15" ht="15" customHeight="1" x14ac:dyDescent="0.25">
      <c r="A68" s="268"/>
      <c r="B68" s="541"/>
      <c r="C68" s="541"/>
      <c r="D68" s="541"/>
      <c r="E68" s="536"/>
      <c r="F68" s="536"/>
      <c r="G68" s="536"/>
      <c r="H68" s="60"/>
      <c r="I68" s="536"/>
      <c r="J68" s="536"/>
      <c r="K68" s="536"/>
      <c r="L68" s="536"/>
      <c r="M68" s="536"/>
      <c r="N68" s="536"/>
      <c r="O68" s="537"/>
    </row>
    <row r="69" spans="1:15" ht="15" customHeight="1" x14ac:dyDescent="0.25">
      <c r="A69" s="268"/>
      <c r="B69" s="385"/>
      <c r="C69" s="385"/>
      <c r="D69" s="385"/>
      <c r="E69" s="387"/>
      <c r="F69" s="387"/>
      <c r="G69" s="387"/>
      <c r="H69" s="60"/>
      <c r="I69" s="389" t="s">
        <v>433</v>
      </c>
      <c r="J69" s="389"/>
      <c r="K69" s="389"/>
      <c r="L69" s="389"/>
      <c r="M69" s="389"/>
      <c r="N69" s="389"/>
      <c r="O69" s="390"/>
    </row>
    <row r="70" spans="1:15" x14ac:dyDescent="0.25">
      <c r="A70" s="268"/>
      <c r="B70" s="64" t="s">
        <v>429</v>
      </c>
      <c r="C70" s="60"/>
      <c r="D70" s="60"/>
      <c r="E70" s="60" t="s">
        <v>449</v>
      </c>
      <c r="F70" s="384"/>
      <c r="G70" s="60"/>
      <c r="H70" s="60"/>
      <c r="I70" s="389" t="s">
        <v>450</v>
      </c>
      <c r="J70" s="389"/>
      <c r="K70" s="389"/>
      <c r="L70" s="389"/>
      <c r="M70" s="389"/>
      <c r="N70" s="389"/>
      <c r="O70" s="390"/>
    </row>
    <row r="71" spans="1:15" x14ac:dyDescent="0.25">
      <c r="A71" s="59"/>
      <c r="B71" s="64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1"/>
    </row>
    <row r="72" spans="1:15" x14ac:dyDescent="0.25">
      <c r="A72" s="59" t="s">
        <v>430</v>
      </c>
      <c r="B72" s="64" t="s">
        <v>431</v>
      </c>
      <c r="C72" s="60"/>
      <c r="D72" s="60"/>
      <c r="E72" s="60" t="s">
        <v>451</v>
      </c>
      <c r="F72" s="60"/>
      <c r="G72" s="60"/>
      <c r="H72" s="60"/>
      <c r="I72" s="536" t="s">
        <v>452</v>
      </c>
      <c r="J72" s="536"/>
      <c r="K72" s="536"/>
      <c r="L72" s="536"/>
      <c r="M72" s="536"/>
      <c r="N72" s="536"/>
      <c r="O72" s="537"/>
    </row>
    <row r="73" spans="1:15" x14ac:dyDescent="0.25">
      <c r="A73" s="59"/>
      <c r="B73" s="64"/>
      <c r="C73" s="60"/>
      <c r="D73" s="60"/>
      <c r="E73" s="60"/>
      <c r="F73" s="60"/>
      <c r="G73" s="60"/>
      <c r="H73" s="60"/>
      <c r="I73" s="536"/>
      <c r="J73" s="536"/>
      <c r="K73" s="536"/>
      <c r="L73" s="536"/>
      <c r="M73" s="536"/>
      <c r="N73" s="536"/>
      <c r="O73" s="537"/>
    </row>
    <row r="74" spans="1:15" x14ac:dyDescent="0.25">
      <c r="A74" s="59"/>
      <c r="B74" s="64" t="s">
        <v>432</v>
      </c>
      <c r="C74" s="60"/>
      <c r="D74" s="60"/>
      <c r="E74" s="60" t="s">
        <v>449</v>
      </c>
      <c r="F74" s="60"/>
      <c r="G74" s="60"/>
      <c r="H74" s="60"/>
      <c r="I74" s="60" t="s">
        <v>434</v>
      </c>
      <c r="J74" s="60"/>
      <c r="K74" s="60"/>
      <c r="L74" s="60"/>
      <c r="M74" s="60"/>
      <c r="N74" s="60"/>
      <c r="O74" s="61"/>
    </row>
    <row r="75" spans="1:15" x14ac:dyDescent="0.25">
      <c r="A75" s="59"/>
      <c r="B75" s="64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1"/>
    </row>
    <row r="76" spans="1:15" ht="15" customHeight="1" x14ac:dyDescent="0.25">
      <c r="A76" s="59" t="s">
        <v>435</v>
      </c>
      <c r="B76" s="64" t="s">
        <v>431</v>
      </c>
      <c r="C76" s="60"/>
      <c r="D76" s="384"/>
      <c r="E76" s="60" t="s">
        <v>453</v>
      </c>
      <c r="F76" s="60"/>
      <c r="G76" s="384"/>
      <c r="H76" s="60"/>
      <c r="I76" s="536" t="s">
        <v>452</v>
      </c>
      <c r="J76" s="536"/>
      <c r="K76" s="536"/>
      <c r="L76" s="536"/>
      <c r="M76" s="536"/>
      <c r="N76" s="536"/>
      <c r="O76" s="537"/>
    </row>
    <row r="77" spans="1:15" x14ac:dyDescent="0.25">
      <c r="A77" s="59"/>
      <c r="B77" s="64"/>
      <c r="C77" s="60"/>
      <c r="D77" s="384"/>
      <c r="E77" s="60"/>
      <c r="F77" s="60"/>
      <c r="G77" s="384"/>
      <c r="H77" s="60"/>
      <c r="I77" s="536"/>
      <c r="J77" s="536"/>
      <c r="K77" s="536"/>
      <c r="L77" s="536"/>
      <c r="M77" s="536"/>
      <c r="N77" s="536"/>
      <c r="O77" s="537"/>
    </row>
    <row r="78" spans="1:15" x14ac:dyDescent="0.25">
      <c r="A78" s="59"/>
      <c r="B78" s="64" t="s">
        <v>432</v>
      </c>
      <c r="C78" s="60"/>
      <c r="D78" s="384"/>
      <c r="E78" s="60" t="s">
        <v>454</v>
      </c>
      <c r="F78" s="60"/>
      <c r="G78" s="384"/>
      <c r="H78" s="60"/>
      <c r="I78" s="60" t="s">
        <v>455</v>
      </c>
      <c r="J78" s="60"/>
      <c r="K78" s="60"/>
      <c r="L78" s="60"/>
      <c r="M78" s="60"/>
      <c r="N78" s="60"/>
      <c r="O78" s="61"/>
    </row>
    <row r="79" spans="1:15" x14ac:dyDescent="0.25">
      <c r="A79" s="59"/>
      <c r="B79" s="64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1"/>
    </row>
    <row r="80" spans="1:15" x14ac:dyDescent="0.25">
      <c r="A80" s="59" t="s">
        <v>436</v>
      </c>
      <c r="B80" s="64" t="s">
        <v>429</v>
      </c>
      <c r="C80" s="60"/>
      <c r="D80" s="60"/>
      <c r="E80" s="60" t="s">
        <v>454</v>
      </c>
      <c r="F80" s="60"/>
      <c r="G80" s="60"/>
      <c r="H80" s="60"/>
      <c r="I80" s="60" t="s">
        <v>456</v>
      </c>
      <c r="J80" s="60"/>
      <c r="K80" s="60"/>
      <c r="L80" s="60"/>
      <c r="M80" s="60"/>
      <c r="N80" s="60"/>
      <c r="O80" s="61"/>
    </row>
    <row r="81" spans="1:17" ht="15.75" thickBot="1" x14ac:dyDescent="0.3">
      <c r="A81" s="386" t="s">
        <v>191</v>
      </c>
      <c r="B81" s="164"/>
      <c r="C81" s="164"/>
      <c r="D81" s="164"/>
      <c r="E81" s="164"/>
      <c r="F81" s="164"/>
      <c r="G81" s="164"/>
      <c r="H81" s="228"/>
      <c r="I81" s="228"/>
      <c r="J81" s="228"/>
      <c r="K81" s="228"/>
      <c r="L81" s="228"/>
      <c r="M81" s="228"/>
      <c r="N81" s="228"/>
      <c r="O81" s="263"/>
      <c r="P81" s="148"/>
      <c r="Q81" s="148"/>
    </row>
    <row r="82" spans="1:17" ht="77.25" customHeight="1" x14ac:dyDescent="0.25">
      <c r="A82" s="488" t="s">
        <v>178</v>
      </c>
      <c r="B82" s="489"/>
      <c r="C82" s="508"/>
      <c r="D82" s="474" t="s">
        <v>185</v>
      </c>
      <c r="E82" s="531"/>
      <c r="F82" s="474" t="s">
        <v>186</v>
      </c>
      <c r="G82" s="513"/>
      <c r="H82" s="532"/>
      <c r="I82" s="533"/>
      <c r="J82" s="533"/>
      <c r="K82" s="534"/>
      <c r="L82" s="533"/>
      <c r="M82" s="77"/>
      <c r="N82" s="77"/>
      <c r="O82" s="78"/>
      <c r="P82" s="74"/>
      <c r="Q82" s="74"/>
    </row>
    <row r="83" spans="1:17" x14ac:dyDescent="0.25">
      <c r="A83" s="140" t="s">
        <v>179</v>
      </c>
      <c r="B83" s="145"/>
      <c r="C83" s="142"/>
      <c r="D83" s="526">
        <v>25</v>
      </c>
      <c r="E83" s="526"/>
      <c r="F83" s="526">
        <v>50</v>
      </c>
      <c r="G83" s="527"/>
      <c r="H83" s="528"/>
      <c r="I83" s="529"/>
      <c r="J83" s="529"/>
      <c r="K83" s="530"/>
      <c r="L83" s="529"/>
      <c r="M83" s="29"/>
      <c r="N83" s="29"/>
      <c r="O83" s="58"/>
      <c r="P83" s="74"/>
      <c r="Q83" s="74"/>
    </row>
    <row r="84" spans="1:17" x14ac:dyDescent="0.25">
      <c r="A84" s="140" t="s">
        <v>188</v>
      </c>
      <c r="B84" s="145"/>
      <c r="C84" s="144"/>
      <c r="D84" s="526">
        <v>15</v>
      </c>
      <c r="E84" s="526"/>
      <c r="F84" s="526">
        <v>35</v>
      </c>
      <c r="G84" s="527"/>
      <c r="H84" s="528"/>
      <c r="I84" s="529"/>
      <c r="J84" s="529"/>
      <c r="K84" s="530"/>
      <c r="L84" s="529"/>
      <c r="M84" s="29"/>
      <c r="N84" s="29"/>
      <c r="O84" s="58"/>
      <c r="P84" s="74"/>
      <c r="Q84" s="74"/>
    </row>
    <row r="85" spans="1:17" ht="15.75" thickBot="1" x14ac:dyDescent="0.3">
      <c r="A85" s="141" t="s">
        <v>187</v>
      </c>
      <c r="B85" s="146"/>
      <c r="C85" s="143"/>
      <c r="D85" s="521" t="s">
        <v>175</v>
      </c>
      <c r="E85" s="521"/>
      <c r="F85" s="521" t="s">
        <v>175</v>
      </c>
      <c r="G85" s="522"/>
      <c r="H85" s="523"/>
      <c r="I85" s="524"/>
      <c r="J85" s="524"/>
      <c r="K85" s="525"/>
      <c r="L85" s="524"/>
      <c r="M85" s="88"/>
      <c r="N85" s="88"/>
      <c r="O85" s="87"/>
      <c r="P85" s="74"/>
      <c r="Q85" s="74"/>
    </row>
  </sheetData>
  <mergeCells count="78">
    <mergeCell ref="A1:O1"/>
    <mergeCell ref="A2:O2"/>
    <mergeCell ref="B48:O48"/>
    <mergeCell ref="A27:O27"/>
    <mergeCell ref="A28:A29"/>
    <mergeCell ref="B28:B29"/>
    <mergeCell ref="D28:G28"/>
    <mergeCell ref="D39:G39"/>
    <mergeCell ref="I39:L39"/>
    <mergeCell ref="N39:O39"/>
    <mergeCell ref="D4:G4"/>
    <mergeCell ref="A3:O3"/>
    <mergeCell ref="I4:L4"/>
    <mergeCell ref="A8:A9"/>
    <mergeCell ref="A14:O14"/>
    <mergeCell ref="A17:O17"/>
    <mergeCell ref="F82:G82"/>
    <mergeCell ref="H82:J82"/>
    <mergeCell ref="D23:G23"/>
    <mergeCell ref="I28:L28"/>
    <mergeCell ref="N28:O28"/>
    <mergeCell ref="A37:O37"/>
    <mergeCell ref="I44:L44"/>
    <mergeCell ref="N44:O44"/>
    <mergeCell ref="A39:A40"/>
    <mergeCell ref="B39:B40"/>
    <mergeCell ref="A82:C82"/>
    <mergeCell ref="D82:E82"/>
    <mergeCell ref="A54:O54"/>
    <mergeCell ref="K82:L82"/>
    <mergeCell ref="K85:L85"/>
    <mergeCell ref="D83:E83"/>
    <mergeCell ref="F83:G83"/>
    <mergeCell ref="H83:J83"/>
    <mergeCell ref="K83:L83"/>
    <mergeCell ref="D84:E84"/>
    <mergeCell ref="F84:G84"/>
    <mergeCell ref="H84:J84"/>
    <mergeCell ref="K84:L84"/>
    <mergeCell ref="A23:A24"/>
    <mergeCell ref="B23:B24"/>
    <mergeCell ref="D85:E85"/>
    <mergeCell ref="F85:G85"/>
    <mergeCell ref="H85:J85"/>
    <mergeCell ref="B67:D68"/>
    <mergeCell ref="I67:O68"/>
    <mergeCell ref="I18:L18"/>
    <mergeCell ref="N18:O18"/>
    <mergeCell ref="I72:O73"/>
    <mergeCell ref="I76:O77"/>
    <mergeCell ref="Q3:S3"/>
    <mergeCell ref="Q4:S4"/>
    <mergeCell ref="A38:O38"/>
    <mergeCell ref="A43:O43"/>
    <mergeCell ref="A44:A45"/>
    <mergeCell ref="B44:B45"/>
    <mergeCell ref="D44:G44"/>
    <mergeCell ref="I23:L23"/>
    <mergeCell ref="N23:O23"/>
    <mergeCell ref="A15:O15"/>
    <mergeCell ref="A16:O16"/>
    <mergeCell ref="A22:O22"/>
    <mergeCell ref="A58:O58"/>
    <mergeCell ref="A55:O55"/>
    <mergeCell ref="B4:B5"/>
    <mergeCell ref="A6:A7"/>
    <mergeCell ref="E67:G68"/>
    <mergeCell ref="A4:A5"/>
    <mergeCell ref="N4:O4"/>
    <mergeCell ref="A32:O32"/>
    <mergeCell ref="A33:A34"/>
    <mergeCell ref="B33:B34"/>
    <mergeCell ref="D33:G33"/>
    <mergeCell ref="I33:L33"/>
    <mergeCell ref="N33:O33"/>
    <mergeCell ref="A18:A19"/>
    <mergeCell ref="B18:B19"/>
    <mergeCell ref="D18:G18"/>
  </mergeCells>
  <pageMargins left="0.7" right="0.7" top="0.75" bottom="0.75" header="0.3" footer="0.3"/>
  <pageSetup scale="85" fitToHeight="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16</vt:i4>
      </vt:variant>
    </vt:vector>
  </HeadingPairs>
  <TitlesOfParts>
    <vt:vector size="38" baseType="lpstr">
      <vt:lpstr>MANISA 2 </vt:lpstr>
      <vt:lpstr>VERANDA GRAND BAY 3</vt:lpstr>
      <vt:lpstr>MONT CHOISY 3</vt:lpstr>
      <vt:lpstr>VERANDA PAUL &amp; VIRGINE 3</vt:lpstr>
      <vt:lpstr>CASUARINA 3</vt:lpstr>
      <vt:lpstr>VILLAS CAROLINE 3</vt:lpstr>
      <vt:lpstr>LE PALMISTE 3</vt:lpstr>
      <vt:lpstr>ANELIA 4</vt:lpstr>
      <vt:lpstr>MERIDIEN 4</vt:lpstr>
      <vt:lpstr>RADISSON BLU POSTE LA FAYETTE 4</vt:lpstr>
      <vt:lpstr>MARITIM CRYSTAL BEACH 4</vt:lpstr>
      <vt:lpstr>INTERCONTINENTAL 5</vt:lpstr>
      <vt:lpstr>VERANDA LE TELFAIR 5</vt:lpstr>
      <vt:lpstr>OUTRIGGER 5</vt:lpstr>
      <vt:lpstr>RADISSON BLU AZURI RESORT 5</vt:lpstr>
      <vt:lpstr>WESTIN 5</vt:lpstr>
      <vt:lpstr>ST REGIS 5</vt:lpstr>
      <vt:lpstr>SOFITEL 5</vt:lpstr>
      <vt:lpstr>LONG BEACH 5</vt:lpstr>
      <vt:lpstr>ONE&amp;ONLY SAINT GERAN 5</vt:lpstr>
      <vt:lpstr>SO SOFITEL 5</vt:lpstr>
      <vt:lpstr>MARITIM 5</vt:lpstr>
      <vt:lpstr>'ANELIA 4'!Print_Area</vt:lpstr>
      <vt:lpstr>'CASUARINA 3'!Print_Area</vt:lpstr>
      <vt:lpstr>'INTERCONTINENTAL 5'!Print_Area</vt:lpstr>
      <vt:lpstr>'LE PALMISTE 3'!Print_Area</vt:lpstr>
      <vt:lpstr>'MANISA 2 '!Print_Area</vt:lpstr>
      <vt:lpstr>'MERIDIEN 4'!Print_Area</vt:lpstr>
      <vt:lpstr>'ONE&amp;ONLY SAINT GERAN 5'!Print_Area</vt:lpstr>
      <vt:lpstr>'RADISSON BLU AZURI RESORT 5'!Print_Area</vt:lpstr>
      <vt:lpstr>'RADISSON BLU POSTE LA FAYETTE 4'!Print_Area</vt:lpstr>
      <vt:lpstr>'SOFITEL 5'!Print_Area</vt:lpstr>
      <vt:lpstr>'ST REGIS 5'!Print_Area</vt:lpstr>
      <vt:lpstr>'VERANDA GRAND BAY 3'!Print_Area</vt:lpstr>
      <vt:lpstr>'VERANDA LE TELFAIR 5'!Print_Area</vt:lpstr>
      <vt:lpstr>'VERANDA PAUL &amp; VIRGINE 3'!Print_Area</vt:lpstr>
      <vt:lpstr>'VILLAS CAROLINE 3'!Print_Area</vt:lpstr>
      <vt:lpstr>'WESTIN 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</dc:creator>
  <cp:lastModifiedBy>karuna</cp:lastModifiedBy>
  <cp:lastPrinted>2015-09-03T05:57:14Z</cp:lastPrinted>
  <dcterms:created xsi:type="dcterms:W3CDTF">2015-05-28T07:52:28Z</dcterms:created>
  <dcterms:modified xsi:type="dcterms:W3CDTF">2015-12-14T05:39:47Z</dcterms:modified>
</cp:coreProperties>
</file>