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CDAVIS\IWFM-SAFE\"/>
    </mc:Choice>
  </mc:AlternateContent>
  <xr:revisionPtr revIDLastSave="0" documentId="13_ncr:1_{4506D5BC-1799-4CA1-896B-2A324F1E87CE}" xr6:coauthVersionLast="46" xr6:coauthVersionMax="46" xr10:uidLastSave="{00000000-0000-0000-0000-000000000000}"/>
  <bookViews>
    <workbookView xWindow="-19845" yWindow="285" windowWidth="19965" windowHeight="12765" xr2:uid="{3E1B28E5-C197-4FCE-9C2D-D1E6C61BB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0" i="1"/>
  <c r="H21" i="1" s="1"/>
  <c r="E20" i="1"/>
  <c r="E22" i="1" s="1"/>
  <c r="E23" i="1" s="1"/>
  <c r="E24" i="1" s="1"/>
  <c r="E17" i="1"/>
  <c r="E18" i="1" s="1"/>
  <c r="H6" i="1"/>
  <c r="H7" i="1" s="1"/>
  <c r="E6" i="1"/>
  <c r="E8" i="1" s="1"/>
  <c r="E9" i="1" s="1"/>
  <c r="E10" i="1" s="1"/>
  <c r="E5" i="1"/>
  <c r="E7" i="1" s="1"/>
  <c r="E3" i="1"/>
  <c r="E4" i="1" s="1"/>
  <c r="E19" i="1" l="1"/>
  <c r="E21" i="1" s="1"/>
  <c r="H19" i="1" s="1"/>
  <c r="H8" i="1"/>
  <c r="H5" i="1"/>
  <c r="H9" i="1" s="1"/>
  <c r="H10" i="1" s="1"/>
  <c r="H11" i="1" s="1"/>
  <c r="H22" i="1"/>
  <c r="H23" i="1" l="1"/>
  <c r="H24" i="1" s="1"/>
  <c r="H25" i="1" s="1"/>
</calcChain>
</file>

<file path=xl/sharedStrings.xml><?xml version="1.0" encoding="utf-8"?>
<sst xmlns="http://schemas.openxmlformats.org/spreadsheetml/2006/main" count="61" uniqueCount="32">
  <si>
    <t>Area</t>
  </si>
  <si>
    <t>Length</t>
  </si>
  <si>
    <t>K_cl</t>
  </si>
  <si>
    <t>e_cl</t>
  </si>
  <si>
    <t>BotELEV</t>
  </si>
  <si>
    <t>INPUTS</t>
  </si>
  <si>
    <t>W_SAFE</t>
  </si>
  <si>
    <t>G_SAFE</t>
  </si>
  <si>
    <t>NODE</t>
  </si>
  <si>
    <t>Hstream</t>
  </si>
  <si>
    <t>Hgw</t>
  </si>
  <si>
    <t>H_stage</t>
  </si>
  <si>
    <t>Hbot</t>
  </si>
  <si>
    <t>Daq</t>
  </si>
  <si>
    <t>rWET</t>
  </si>
  <si>
    <t>W^N_p</t>
  </si>
  <si>
    <t>d^N_p</t>
  </si>
  <si>
    <t>kappa</t>
  </si>
  <si>
    <t>G flat</t>
  </si>
  <si>
    <t>a1</t>
  </si>
  <si>
    <t>a2</t>
  </si>
  <si>
    <t>G iso</t>
  </si>
  <si>
    <t>River width</t>
  </si>
  <si>
    <t>B safe</t>
  </si>
  <si>
    <t>Delta iso</t>
  </si>
  <si>
    <t>G iso delta</t>
  </si>
  <si>
    <t>Kh</t>
  </si>
  <si>
    <t>Kv</t>
  </si>
  <si>
    <t>G iso D cl</t>
  </si>
  <si>
    <t>Qsint</t>
  </si>
  <si>
    <t>rHeadDiff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</si>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</sst>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8329-6E34-4847-A84B-D178A737002D}">
  <dimension ref="A1:H27"/>
  <sheetViews>
    <sheetView tabSelected="1" topLeftCell="A4" workbookViewId="0">
      <selection activeCell="H28" sqref="H28"/>
    </sheetView>
  </sheetViews>
  <sheetFormatPr defaultRowHeight="15" x14ac:dyDescent="0.25"/>
  <sheetData>
    <row r="1" spans="1:8" x14ac:dyDescent="0.25">
      <c r="A1" s="1" t="s">
        <v>5</v>
      </c>
      <c r="B1" s="1"/>
    </row>
    <row r="2" spans="1:8" x14ac:dyDescent="0.25">
      <c r="A2" s="1" t="s">
        <v>8</v>
      </c>
      <c r="B2" s="1">
        <v>1</v>
      </c>
    </row>
    <row r="3" spans="1:8" x14ac:dyDescent="0.25">
      <c r="A3" t="s">
        <v>0</v>
      </c>
      <c r="B3">
        <v>12207.03125</v>
      </c>
      <c r="D3" t="s">
        <v>6</v>
      </c>
      <c r="E3">
        <f>B3/(2*B4)</f>
        <v>78.125</v>
      </c>
      <c r="G3" t="s">
        <v>19</v>
      </c>
      <c r="H3">
        <v>0.89</v>
      </c>
    </row>
    <row r="4" spans="1:8" x14ac:dyDescent="0.25">
      <c r="A4" t="s">
        <v>1</v>
      </c>
      <c r="B4">
        <v>78.125</v>
      </c>
      <c r="D4" t="s">
        <v>7</v>
      </c>
      <c r="E4">
        <f>2*E3</f>
        <v>156.25</v>
      </c>
      <c r="G4" t="s">
        <v>20</v>
      </c>
      <c r="H4">
        <v>-2.4300000000000002</v>
      </c>
    </row>
    <row r="5" spans="1:8" x14ac:dyDescent="0.25">
      <c r="A5" t="s">
        <v>2</v>
      </c>
      <c r="B5">
        <v>2</v>
      </c>
      <c r="D5" t="s">
        <v>11</v>
      </c>
      <c r="E5">
        <f>B8-B10</f>
        <v>2.5053866913112017</v>
      </c>
      <c r="G5" s="3" t="s">
        <v>21</v>
      </c>
      <c r="H5" s="3">
        <f>E10*(1+H3*E7+H4*(E7^2))</f>
        <v>0.32194995425528311</v>
      </c>
    </row>
    <row r="6" spans="1:8" x14ac:dyDescent="0.25">
      <c r="A6" t="s">
        <v>3</v>
      </c>
      <c r="B6">
        <v>1</v>
      </c>
      <c r="D6" t="s">
        <v>13</v>
      </c>
      <c r="E6">
        <f>B9-B7</f>
        <v>49.482127915872795</v>
      </c>
      <c r="G6" t="s">
        <v>22</v>
      </c>
      <c r="H6">
        <f>B11-2*(B8-B10)</f>
        <v>5.8315377695627966</v>
      </c>
    </row>
    <row r="7" spans="1:8" x14ac:dyDescent="0.25">
      <c r="A7" t="s">
        <v>4</v>
      </c>
      <c r="B7">
        <v>50</v>
      </c>
      <c r="D7" t="s">
        <v>16</v>
      </c>
      <c r="E7">
        <f>E5/E6</f>
        <v>5.0632153402350506E-2</v>
      </c>
      <c r="G7" t="s">
        <v>23</v>
      </c>
      <c r="H7">
        <f>H6/2</f>
        <v>2.9157688847813983</v>
      </c>
    </row>
    <row r="8" spans="1:8" x14ac:dyDescent="0.25">
      <c r="A8" t="s">
        <v>9</v>
      </c>
      <c r="B8">
        <v>99.505386691311202</v>
      </c>
      <c r="D8" t="s">
        <v>15</v>
      </c>
      <c r="E8">
        <f>B11/E6</f>
        <v>0.21911570113999121</v>
      </c>
      <c r="G8" t="s">
        <v>24</v>
      </c>
      <c r="H8">
        <f>E4/4 - H7 - 2*E6</f>
        <v>-62.817524716526989</v>
      </c>
    </row>
    <row r="9" spans="1:8" x14ac:dyDescent="0.25">
      <c r="A9" t="s">
        <v>10</v>
      </c>
      <c r="B9">
        <v>99.482127915872795</v>
      </c>
      <c r="D9" t="s">
        <v>17</v>
      </c>
      <c r="E9">
        <f>EXP(-PI()*E8)</f>
        <v>0.50239316079525664</v>
      </c>
      <c r="G9" s="3" t="s">
        <v>25</v>
      </c>
      <c r="H9" s="3">
        <f>H5/(1+H5*(H8/E6))</f>
        <v>0.54449221369385636</v>
      </c>
    </row>
    <row r="10" spans="1:8" x14ac:dyDescent="0.25">
      <c r="A10" t="s">
        <v>12</v>
      </c>
      <c r="B10">
        <v>97</v>
      </c>
      <c r="D10" s="2" t="s">
        <v>18</v>
      </c>
      <c r="E10" s="2">
        <f>1/(2*(1 + (1/PI())*LN(2/( 1-SQRT(E9) )  )   ))</f>
        <v>0.30991501452330711</v>
      </c>
      <c r="G10" t="s">
        <v>28</v>
      </c>
      <c r="H10">
        <f>H9/(1+H9*(B12/B5) * B6/(H7+E5))</f>
        <v>0.24038202271699399</v>
      </c>
    </row>
    <row r="11" spans="1:8" x14ac:dyDescent="0.25">
      <c r="A11" t="s">
        <v>14</v>
      </c>
      <c r="B11">
        <v>10.8423111521852</v>
      </c>
      <c r="G11" t="s">
        <v>29</v>
      </c>
      <c r="H11">
        <f>2*B4*B12*H10*30</f>
        <v>28385.88555707554</v>
      </c>
    </row>
    <row r="12" spans="1:8" x14ac:dyDescent="0.25">
      <c r="A12" t="s">
        <v>26</v>
      </c>
      <c r="B12">
        <v>25.191798941798901</v>
      </c>
    </row>
    <row r="13" spans="1:8" x14ac:dyDescent="0.25">
      <c r="A13" t="s">
        <v>27</v>
      </c>
      <c r="B13">
        <v>25.191798941798901</v>
      </c>
    </row>
    <row r="16" spans="1:8" x14ac:dyDescent="0.25">
      <c r="A16" s="1" t="s">
        <v>8</v>
      </c>
      <c r="B16" s="1">
        <v>10</v>
      </c>
    </row>
    <row r="17" spans="1:8" x14ac:dyDescent="0.25">
      <c r="A17" t="s">
        <v>0</v>
      </c>
      <c r="B17">
        <v>24414.0625</v>
      </c>
      <c r="D17" t="s">
        <v>6</v>
      </c>
      <c r="E17">
        <f>B17/(2*B18)</f>
        <v>78.125</v>
      </c>
      <c r="G17" t="s">
        <v>19</v>
      </c>
      <c r="H17">
        <v>0.89</v>
      </c>
    </row>
    <row r="18" spans="1:8" x14ac:dyDescent="0.25">
      <c r="A18" t="s">
        <v>1</v>
      </c>
      <c r="B18">
        <v>156.25</v>
      </c>
      <c r="D18" t="s">
        <v>7</v>
      </c>
      <c r="E18">
        <f>2*E17</f>
        <v>156.25</v>
      </c>
      <c r="G18" t="s">
        <v>20</v>
      </c>
      <c r="H18">
        <v>-2.4300000000000002</v>
      </c>
    </row>
    <row r="19" spans="1:8" x14ac:dyDescent="0.25">
      <c r="A19" t="s">
        <v>2</v>
      </c>
      <c r="B19">
        <v>2</v>
      </c>
      <c r="D19" t="s">
        <v>11</v>
      </c>
      <c r="E19">
        <f>B22-B24</f>
        <v>3.3910320009079555</v>
      </c>
      <c r="G19" s="3" t="s">
        <v>21</v>
      </c>
      <c r="H19" s="3">
        <f>E24*(1+H17*E21+H18*(E21^2))</f>
        <v>0.33565210806616697</v>
      </c>
    </row>
    <row r="20" spans="1:8" x14ac:dyDescent="0.25">
      <c r="A20" t="s">
        <v>3</v>
      </c>
      <c r="B20">
        <v>1</v>
      </c>
      <c r="D20" t="s">
        <v>13</v>
      </c>
      <c r="E20">
        <f>B23-B21</f>
        <v>47.024502896184202</v>
      </c>
      <c r="G20" t="s">
        <v>22</v>
      </c>
      <c r="H20">
        <f>B25-2*(B22-B24)</f>
        <v>5.5421074918243889</v>
      </c>
    </row>
    <row r="21" spans="1:8" x14ac:dyDescent="0.25">
      <c r="A21" t="s">
        <v>4</v>
      </c>
      <c r="B21">
        <v>50</v>
      </c>
      <c r="D21" t="s">
        <v>16</v>
      </c>
      <c r="E21">
        <f>E19/E20</f>
        <v>7.2112022287493874E-2</v>
      </c>
      <c r="G21" t="s">
        <v>23</v>
      </c>
      <c r="H21">
        <f>H20/2</f>
        <v>2.7710537459121944</v>
      </c>
    </row>
    <row r="22" spans="1:8" x14ac:dyDescent="0.25">
      <c r="A22" t="s">
        <v>9</v>
      </c>
      <c r="B22">
        <v>97.021032000907951</v>
      </c>
      <c r="D22" t="s">
        <v>15</v>
      </c>
      <c r="E22">
        <f>B25/E20</f>
        <v>0.26207978255183945</v>
      </c>
      <c r="G22" t="s">
        <v>24</v>
      </c>
      <c r="H22">
        <f>E18/4 - H21 - 2*E20</f>
        <v>-57.757559538280603</v>
      </c>
    </row>
    <row r="23" spans="1:8" x14ac:dyDescent="0.25">
      <c r="A23" t="s">
        <v>10</v>
      </c>
      <c r="B23">
        <v>97.024502896184202</v>
      </c>
      <c r="D23" t="s">
        <v>17</v>
      </c>
      <c r="E23">
        <f>EXP(-PI()*E22)</f>
        <v>0.4389595903241556</v>
      </c>
      <c r="G23" s="3" t="s">
        <v>25</v>
      </c>
      <c r="H23" s="3">
        <f>H19/(1+H19*(H22/E20))</f>
        <v>0.57109202498655431</v>
      </c>
    </row>
    <row r="24" spans="1:8" x14ac:dyDescent="0.25">
      <c r="A24" t="s">
        <v>12</v>
      </c>
      <c r="B24">
        <v>93.63</v>
      </c>
      <c r="D24" s="2" t="s">
        <v>18</v>
      </c>
      <c r="E24" s="2">
        <f>1/(2*(1 + (1/PI())*LN(2/( 1-SQRT(E23) )  )   ))</f>
        <v>0.31919949653584606</v>
      </c>
      <c r="G24" t="s">
        <v>28</v>
      </c>
      <c r="H24">
        <f>H23/(1+H23*(B26/B19) * B20/(H21+E19))</f>
        <v>0.26245194783303399</v>
      </c>
    </row>
    <row r="25" spans="1:8" x14ac:dyDescent="0.25">
      <c r="A25" t="s">
        <v>14</v>
      </c>
      <c r="B25">
        <v>12.3241714936403</v>
      </c>
      <c r="G25" t="s">
        <v>31</v>
      </c>
      <c r="H25">
        <f>2*B18*B26*H24*30</f>
        <v>62441.773953920419</v>
      </c>
    </row>
    <row r="26" spans="1:8" x14ac:dyDescent="0.25">
      <c r="A26" t="s">
        <v>26</v>
      </c>
      <c r="B26">
        <v>25.377810846560799</v>
      </c>
      <c r="G26" t="s">
        <v>30</v>
      </c>
      <c r="H26">
        <f>B22-B23</f>
        <v>-3.47089527625144E-3</v>
      </c>
    </row>
    <row r="27" spans="1:8" x14ac:dyDescent="0.25">
      <c r="A27" t="s">
        <v>27</v>
      </c>
      <c r="B27">
        <v>25.191798941798901</v>
      </c>
      <c r="G27" t="s">
        <v>29</v>
      </c>
      <c r="H27">
        <f>H26*H25</f>
        <v>-216.72885825742259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Kourakos</dc:creator>
  <cp:lastModifiedBy>Georgios Kourakos</cp:lastModifiedBy>
  <dcterms:created xsi:type="dcterms:W3CDTF">2021-03-03T13:15:38Z</dcterms:created>
  <dcterms:modified xsi:type="dcterms:W3CDTF">2021-03-25T15:59:40Z</dcterms:modified>
</cp:coreProperties>
</file>