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1.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2.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3.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charts/chart25.xml" ContentType="application/vnd.openxmlformats-officedocument.drawingml.chart+xml"/>
  <Override PartName="/xl/charts/style23.xml" ContentType="application/vnd.ms-office.chartstyle+xml"/>
  <Override PartName="/xl/charts/colors23.xml" ContentType="application/vnd.ms-office.chartcolorstyle+xml"/>
  <Override PartName="/xl/charts/chart26.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4.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charts/chart27.xml" ContentType="application/vnd.openxmlformats-officedocument.drawingml.chart+xml"/>
  <Override PartName="/xl/charts/style25.xml" ContentType="application/vnd.ms-office.chartstyle+xml"/>
  <Override PartName="/xl/charts/colors25.xml" ContentType="application/vnd.ms-office.chartcolorstyle+xml"/>
  <Override PartName="/xl/charts/chart28.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5.xml" ContentType="application/vnd.openxmlformats-officedocument.drawing+xml"/>
  <Override PartName="/xl/charts/chart29.xml" ContentType="application/vnd.openxmlformats-officedocument.drawingml.chart+xml"/>
  <Override PartName="/xl/charts/style27.xml" ContentType="application/vnd.ms-office.chartstyle+xml"/>
  <Override PartName="/xl/charts/colors27.xml" ContentType="application/vnd.ms-office.chartcolorstyle+xml"/>
  <Override PartName="/xl/charts/chart30.xml" ContentType="application/vnd.openxmlformats-officedocument.drawingml.chart+xml"/>
  <Override PartName="/xl/charts/style28.xml" ContentType="application/vnd.ms-office.chartstyle+xml"/>
  <Override PartName="/xl/charts/colors28.xml" ContentType="application/vnd.ms-office.chartcolorstyle+xml"/>
  <Override PartName="/xl/charts/chart31.xml" ContentType="application/vnd.openxmlformats-officedocument.drawingml.chart+xml"/>
  <Override PartName="/xl/charts/style29.xml" ContentType="application/vnd.ms-office.chartstyle+xml"/>
  <Override PartName="/xl/charts/colors29.xml" ContentType="application/vnd.ms-office.chartcolorstyle+xml"/>
  <Override PartName="/xl/charts/chart32.xml" ContentType="application/vnd.openxmlformats-officedocument.drawingml.chart+xml"/>
  <Override PartName="/xl/charts/style30.xml" ContentType="application/vnd.ms-office.chartstyle+xml"/>
  <Override PartName="/xl/charts/colors30.xml" ContentType="application/vnd.ms-office.chartcolorstyle+xml"/>
  <Override PartName="/xl/comments16.xml" ContentType="application/vnd.openxmlformats-officedocument.spreadsheetml.comments+xml"/>
  <Override PartName="/xl/threadedComments/threadedComment16.xml" ContentType="application/vnd.ms-excel.threadedcomments+xml"/>
  <Override PartName="/xl/drawings/drawing16.xml" ContentType="application/vnd.openxmlformats-officedocument.drawing+xml"/>
  <Override PartName="/xl/comments17.xml" ContentType="application/vnd.openxmlformats-officedocument.spreadsheetml.comments+xml"/>
  <Override PartName="/xl/threadedComments/threadedComment17.xml" ContentType="application/vnd.ms-excel.threadedcomments+xml"/>
  <Override PartName="/xl/charts/chart33.xml" ContentType="application/vnd.openxmlformats-officedocument.drawingml.chart+xml"/>
  <Override PartName="/xl/charts/style31.xml" ContentType="application/vnd.ms-office.chartstyle+xml"/>
  <Override PartName="/xl/charts/colors31.xml" ContentType="application/vnd.ms-office.chartcolorstyle+xml"/>
  <Override PartName="/xl/charts/chart34.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17.xml" ContentType="application/vnd.openxmlformats-officedocument.drawing+xml"/>
  <Override PartName="/xl/comments18.xml" ContentType="application/vnd.openxmlformats-officedocument.spreadsheetml.comments+xml"/>
  <Override PartName="/xl/threadedComments/threadedComment18.xml" ContentType="application/vnd.ms-excel.threadedcomments+xml"/>
  <Override PartName="/xl/charts/chart35.xml" ContentType="application/vnd.openxmlformats-officedocument.drawingml.chart+xml"/>
  <Override PartName="/xl/charts/style33.xml" ContentType="application/vnd.ms-office.chartstyle+xml"/>
  <Override PartName="/xl/charts/colors33.xml" ContentType="application/vnd.ms-office.chartcolorstyle+xml"/>
  <Override PartName="/xl/charts/chart36.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8.xml" ContentType="application/vnd.openxmlformats-officedocument.drawing+xml"/>
  <Override PartName="/xl/charts/chart37.xml" ContentType="application/vnd.openxmlformats-officedocument.drawingml.chart+xml"/>
  <Override PartName="/xl/charts/style35.xml" ContentType="application/vnd.ms-office.chartstyle+xml"/>
  <Override PartName="/xl/charts/colors35.xml" ContentType="application/vnd.ms-office.chartcolorstyle+xml"/>
  <Override PartName="/xl/charts/chart38.xml" ContentType="application/vnd.openxmlformats-officedocument.drawingml.chart+xml"/>
  <Override PartName="/xl/charts/style36.xml" ContentType="application/vnd.ms-office.chartstyle+xml"/>
  <Override PartName="/xl/charts/colors36.xml" ContentType="application/vnd.ms-office.chartcolorstyle+xml"/>
  <Override PartName="/xl/charts/chart39.xml" ContentType="application/vnd.openxmlformats-officedocument.drawingml.chart+xml"/>
  <Override PartName="/xl/charts/style37.xml" ContentType="application/vnd.ms-office.chartstyle+xml"/>
  <Override PartName="/xl/charts/colors37.xml" ContentType="application/vnd.ms-office.chartcolorstyle+xml"/>
  <Override PartName="/xl/charts/chart40.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19.xml" ContentType="application/vnd.openxmlformats-officedocument.drawing+xml"/>
  <Override PartName="/xl/charts/chart41.xml" ContentType="application/vnd.openxmlformats-officedocument.drawingml.chart+xml"/>
  <Override PartName="/xl/charts/style39.xml" ContentType="application/vnd.ms-office.chartstyle+xml"/>
  <Override PartName="/xl/charts/colors39.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uoe-my.sharepoint.com/personal/s2453034_ed_ac_uk/Documents/0_Dissertation/0_Coding work/dissertation_SC/Python/building_v1/EC yield and economics/economic evaluation study/"/>
    </mc:Choice>
  </mc:AlternateContent>
  <xr:revisionPtr revIDLastSave="2956" documentId="13_ncr:1_{FD600155-5AC7-4E25-BA6F-1F768BBC1ABD}" xr6:coauthVersionLast="47" xr6:coauthVersionMax="47" xr10:uidLastSave="{33E790D6-4714-410B-BACC-A031A610FF55}"/>
  <bookViews>
    <workbookView minimized="1" xWindow="37920" yWindow="3465" windowWidth="14400" windowHeight="7275" tabRatio="801" firstSheet="14" activeTab="17" xr2:uid="{00000000-000D-0000-FFFF-FFFF00000000}"/>
  </bookViews>
  <sheets>
    <sheet name="Φύλλο1" sheetId="1" r:id="rId1"/>
    <sheet name="Households I will use" sheetId="2" r:id="rId2"/>
    <sheet name="Costs build LEM" sheetId="10" r:id="rId3"/>
    <sheet name="EC economic evaluation" sheetId="3" r:id="rId4"/>
    <sheet name="LEM economic evaluation_v8 (3)" sheetId="25" r:id="rId5"/>
    <sheet name="LEM economic evaluation_v7G (2)" sheetId="22" r:id="rId6"/>
    <sheet name="LEM economic evaluation_v7 (2)" sheetId="21" r:id="rId7"/>
    <sheet name="LEM economic evaluation_v8G (2)" sheetId="24" r:id="rId8"/>
    <sheet name="LEM economic evaluation_v8 (2)" sheetId="23" r:id="rId9"/>
    <sheet name="LEM economic evaluation_v7Gr " sheetId="19" r:id="rId10"/>
    <sheet name="LEM economic evaluation_v7" sheetId="16" r:id="rId11"/>
    <sheet name="LEM economic evaluation_v8Gr" sheetId="18" r:id="rId12"/>
    <sheet name="LEM economic evaluation_v8" sheetId="17" r:id="rId13"/>
    <sheet name="LEM economic evaluation_v6" sheetId="15" r:id="rId14"/>
    <sheet name="LEM economic evaluation_v5" sheetId="14" r:id="rId15"/>
    <sheet name="LEM economic evaluation_v4" sheetId="13" r:id="rId16"/>
    <sheet name="LEM economic evaluation_v3" sheetId="12" r:id="rId17"/>
    <sheet name="Final - Indiv_agent_BARchart " sheetId="9" r:id="rId18"/>
    <sheet name="Profits scenarios maxPric=0.155" sheetId="6" r:id="rId19"/>
    <sheet name="LEM economic evaluation_v2" sheetId="11" r:id="rId20"/>
    <sheet name="LEM economic evaluation" sheetId="4" r:id="rId21"/>
    <sheet name="Indiv_agent_BARchart" sheetId="8" r:id="rId22"/>
    <sheet name="Profits scenarios maxPric=0.5" sheetId="5" r:id="rId23"/>
    <sheet name="Compare based on maxPrice" sheetId="7" r:id="rId24"/>
    <sheet name="Smart Contract cost" sheetId="26" r:id="rId2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6" i="9" l="1"/>
  <c r="AD5" i="22"/>
  <c r="E9" i="26"/>
  <c r="E7" i="26"/>
  <c r="F5" i="26"/>
  <c r="D6" i="26"/>
  <c r="F6" i="26" s="1"/>
  <c r="D5" i="26"/>
  <c r="D4" i="26"/>
  <c r="F4" i="26" s="1"/>
  <c r="D3" i="26"/>
  <c r="F3" i="26" s="1"/>
  <c r="D2" i="26"/>
  <c r="F2" i="26" s="1"/>
  <c r="AR2" i="22"/>
  <c r="AQ2" i="22"/>
  <c r="AK66" i="21"/>
  <c r="AD5" i="24"/>
  <c r="AC5" i="23"/>
  <c r="AK29" i="25"/>
  <c r="AB6" i="25"/>
  <c r="AC5" i="21"/>
  <c r="G118" i="25"/>
  <c r="H117" i="25"/>
  <c r="G117" i="25"/>
  <c r="G121" i="25" s="1"/>
  <c r="H121" i="25" s="1"/>
  <c r="H106" i="25"/>
  <c r="G106" i="25"/>
  <c r="AW102" i="25"/>
  <c r="V102" i="25"/>
  <c r="U102" i="25"/>
  <c r="R102" i="25"/>
  <c r="Q102" i="25"/>
  <c r="K102" i="25"/>
  <c r="J102" i="25"/>
  <c r="I102" i="25"/>
  <c r="G120" i="25" s="1"/>
  <c r="H102" i="25"/>
  <c r="G102" i="25"/>
  <c r="H119" i="25" s="1"/>
  <c r="H107" i="25" s="1"/>
  <c r="F102" i="25"/>
  <c r="G119" i="25" s="1"/>
  <c r="G107" i="25" s="1"/>
  <c r="E102" i="25"/>
  <c r="D102" i="25"/>
  <c r="C102" i="25"/>
  <c r="B102" i="25"/>
  <c r="AW101" i="25"/>
  <c r="AW100" i="25"/>
  <c r="X100" i="25"/>
  <c r="P100" i="25"/>
  <c r="O100" i="25"/>
  <c r="N100" i="25"/>
  <c r="M100" i="25"/>
  <c r="W100" i="25" s="1"/>
  <c r="X99" i="25"/>
  <c r="P99" i="25"/>
  <c r="O99" i="25"/>
  <c r="N99" i="25"/>
  <c r="M99" i="25"/>
  <c r="W99" i="25" s="1"/>
  <c r="AW98" i="25"/>
  <c r="X98" i="25"/>
  <c r="P98" i="25"/>
  <c r="O98" i="25"/>
  <c r="N98" i="25"/>
  <c r="M98" i="25"/>
  <c r="X97" i="25"/>
  <c r="P97" i="25"/>
  <c r="O97" i="25"/>
  <c r="N97" i="25"/>
  <c r="M97" i="25"/>
  <c r="AW96" i="25"/>
  <c r="X96" i="25"/>
  <c r="W96" i="25"/>
  <c r="P96" i="25"/>
  <c r="O96" i="25"/>
  <c r="Z96" i="25" s="1"/>
  <c r="N96" i="25"/>
  <c r="M96" i="25"/>
  <c r="AW95" i="25"/>
  <c r="X95" i="25"/>
  <c r="P95" i="25"/>
  <c r="O95" i="25"/>
  <c r="N95" i="25"/>
  <c r="M95" i="25"/>
  <c r="W95" i="25" s="1"/>
  <c r="X94" i="25"/>
  <c r="P94" i="25"/>
  <c r="O94" i="25"/>
  <c r="N94" i="25"/>
  <c r="M94" i="25"/>
  <c r="AW93" i="25"/>
  <c r="X93" i="25"/>
  <c r="P93" i="25"/>
  <c r="O93" i="25"/>
  <c r="N93" i="25"/>
  <c r="M93" i="25"/>
  <c r="AA93" i="25" s="1"/>
  <c r="AW92" i="25"/>
  <c r="X92" i="25"/>
  <c r="Y92" i="25" s="1"/>
  <c r="P92" i="25"/>
  <c r="O92" i="25"/>
  <c r="N92" i="25"/>
  <c r="M92" i="25"/>
  <c r="X91" i="25"/>
  <c r="Y91" i="25" s="1"/>
  <c r="P91" i="25"/>
  <c r="O91" i="25"/>
  <c r="N91" i="25"/>
  <c r="M91" i="25"/>
  <c r="W91" i="25" s="1"/>
  <c r="AW90" i="25"/>
  <c r="X90" i="25"/>
  <c r="P90" i="25"/>
  <c r="O90" i="25"/>
  <c r="N90" i="25"/>
  <c r="M90" i="25"/>
  <c r="X89" i="25"/>
  <c r="P89" i="25"/>
  <c r="O89" i="25"/>
  <c r="N89" i="25"/>
  <c r="M89" i="25"/>
  <c r="AW88" i="25"/>
  <c r="X88" i="25"/>
  <c r="Y88" i="25" s="1"/>
  <c r="W88" i="25"/>
  <c r="P88" i="25"/>
  <c r="O88" i="25"/>
  <c r="Z88" i="25" s="1"/>
  <c r="N88" i="25"/>
  <c r="M88" i="25"/>
  <c r="AW87" i="25"/>
  <c r="X87" i="25"/>
  <c r="P87" i="25"/>
  <c r="O87" i="25"/>
  <c r="N87" i="25"/>
  <c r="M87" i="25"/>
  <c r="W87" i="25" s="1"/>
  <c r="Y86" i="25"/>
  <c r="X86" i="25"/>
  <c r="W86" i="25"/>
  <c r="P86" i="25"/>
  <c r="O86" i="25"/>
  <c r="N86" i="25"/>
  <c r="M86" i="25"/>
  <c r="AW85" i="25"/>
  <c r="X85" i="25"/>
  <c r="P85" i="25"/>
  <c r="O85" i="25"/>
  <c r="N85" i="25"/>
  <c r="M85" i="25"/>
  <c r="AW84" i="25"/>
  <c r="X84" i="25"/>
  <c r="P84" i="25"/>
  <c r="O84" i="25"/>
  <c r="N84" i="25"/>
  <c r="M84" i="25"/>
  <c r="Y83" i="25"/>
  <c r="X83" i="25"/>
  <c r="P83" i="25"/>
  <c r="O83" i="25"/>
  <c r="N83" i="25"/>
  <c r="M83" i="25"/>
  <c r="W83" i="25" s="1"/>
  <c r="AW82" i="25"/>
  <c r="X82" i="25"/>
  <c r="P82" i="25"/>
  <c r="O82" i="25"/>
  <c r="N82" i="25"/>
  <c r="M82" i="25"/>
  <c r="X81" i="25"/>
  <c r="P81" i="25"/>
  <c r="O81" i="25"/>
  <c r="N81" i="25"/>
  <c r="M81" i="25"/>
  <c r="AW80" i="25"/>
  <c r="X80" i="25"/>
  <c r="P80" i="25"/>
  <c r="O80" i="25"/>
  <c r="N80" i="25"/>
  <c r="M80" i="25"/>
  <c r="AA80" i="25" s="1"/>
  <c r="AW79" i="25"/>
  <c r="X79" i="25"/>
  <c r="P79" i="25"/>
  <c r="O79" i="25"/>
  <c r="N79" i="25"/>
  <c r="M79" i="25"/>
  <c r="W79" i="25" s="1"/>
  <c r="X78" i="25"/>
  <c r="P78" i="25"/>
  <c r="O78" i="25"/>
  <c r="N78" i="25"/>
  <c r="M78" i="25"/>
  <c r="Z78" i="25" s="1"/>
  <c r="AW77" i="25"/>
  <c r="X77" i="25"/>
  <c r="P77" i="25"/>
  <c r="O77" i="25"/>
  <c r="N77" i="25"/>
  <c r="M77" i="25"/>
  <c r="AW76" i="25"/>
  <c r="X76" i="25"/>
  <c r="P76" i="25"/>
  <c r="O76" i="25"/>
  <c r="N76" i="25"/>
  <c r="M76" i="25"/>
  <c r="Y75" i="25"/>
  <c r="X75" i="25"/>
  <c r="W75" i="25"/>
  <c r="P75" i="25"/>
  <c r="O75" i="25"/>
  <c r="N75" i="25"/>
  <c r="M75" i="25"/>
  <c r="AW74" i="25"/>
  <c r="X74" i="25"/>
  <c r="P74" i="25"/>
  <c r="O74" i="25"/>
  <c r="N74" i="25"/>
  <c r="M74" i="25"/>
  <c r="X73" i="25"/>
  <c r="P73" i="25"/>
  <c r="O73" i="25"/>
  <c r="N73" i="25"/>
  <c r="M73" i="25"/>
  <c r="AW72" i="25"/>
  <c r="X72" i="25"/>
  <c r="P72" i="25"/>
  <c r="O72" i="25"/>
  <c r="N72" i="25"/>
  <c r="M72" i="25"/>
  <c r="AW71" i="25"/>
  <c r="X71" i="25"/>
  <c r="P71" i="25"/>
  <c r="O71" i="25"/>
  <c r="N71" i="25"/>
  <c r="M71" i="25"/>
  <c r="W71" i="25" s="1"/>
  <c r="X70" i="25"/>
  <c r="P70" i="25"/>
  <c r="O70" i="25"/>
  <c r="N70" i="25"/>
  <c r="M70" i="25"/>
  <c r="AW69" i="25"/>
  <c r="X69" i="25"/>
  <c r="P69" i="25"/>
  <c r="O69" i="25"/>
  <c r="N69" i="25"/>
  <c r="M69" i="25"/>
  <c r="AW68" i="25"/>
  <c r="X68" i="25"/>
  <c r="P68" i="25"/>
  <c r="O68" i="25"/>
  <c r="N68" i="25"/>
  <c r="M68" i="25"/>
  <c r="X67" i="25"/>
  <c r="P67" i="25"/>
  <c r="O67" i="25"/>
  <c r="N67" i="25"/>
  <c r="M67" i="25"/>
  <c r="Y67" i="25" s="1"/>
  <c r="AW66" i="25"/>
  <c r="X66" i="25"/>
  <c r="P66" i="25"/>
  <c r="O66" i="25"/>
  <c r="N66" i="25"/>
  <c r="M66" i="25"/>
  <c r="X65" i="25"/>
  <c r="P65" i="25"/>
  <c r="O65" i="25"/>
  <c r="N65" i="25"/>
  <c r="M65" i="25"/>
  <c r="W65" i="25" s="1"/>
  <c r="X64" i="25"/>
  <c r="W64" i="25"/>
  <c r="P64" i="25"/>
  <c r="O64" i="25"/>
  <c r="Z64" i="25" s="1"/>
  <c r="N64" i="25"/>
  <c r="M64" i="25"/>
  <c r="AW63" i="25"/>
  <c r="X63" i="25"/>
  <c r="Y63" i="25" s="1"/>
  <c r="W63" i="25"/>
  <c r="P63" i="25"/>
  <c r="O63" i="25"/>
  <c r="Z63" i="25" s="1"/>
  <c r="N63" i="25"/>
  <c r="M63" i="25"/>
  <c r="AW62" i="25"/>
  <c r="X62" i="25"/>
  <c r="P62" i="25"/>
  <c r="O62" i="25"/>
  <c r="N62" i="25"/>
  <c r="M62" i="25"/>
  <c r="W62" i="25" s="1"/>
  <c r="AW61" i="25"/>
  <c r="Y61" i="25"/>
  <c r="X61" i="25"/>
  <c r="W61" i="25"/>
  <c r="P61" i="25"/>
  <c r="O61" i="25"/>
  <c r="Z61" i="25" s="1"/>
  <c r="N61" i="25"/>
  <c r="M61" i="25"/>
  <c r="AW60" i="25"/>
  <c r="Y60" i="25"/>
  <c r="X60" i="25"/>
  <c r="W60" i="25"/>
  <c r="P60" i="25"/>
  <c r="O60" i="25"/>
  <c r="N60" i="25"/>
  <c r="M60" i="25"/>
  <c r="AW59" i="25"/>
  <c r="X59" i="25"/>
  <c r="P59" i="25"/>
  <c r="O59" i="25"/>
  <c r="N59" i="25"/>
  <c r="M59" i="25"/>
  <c r="W59" i="25" s="1"/>
  <c r="X58" i="25"/>
  <c r="P58" i="25"/>
  <c r="O58" i="25"/>
  <c r="N58" i="25"/>
  <c r="M58" i="25"/>
  <c r="AW57" i="25"/>
  <c r="X57" i="25"/>
  <c r="P57" i="25"/>
  <c r="O57" i="25"/>
  <c r="N57" i="25"/>
  <c r="M57" i="25"/>
  <c r="W57" i="25" s="1"/>
  <c r="X56" i="25"/>
  <c r="P56" i="25"/>
  <c r="O56" i="25"/>
  <c r="Z56" i="25" s="1"/>
  <c r="N56" i="25"/>
  <c r="M56" i="25"/>
  <c r="AW55" i="25"/>
  <c r="X55" i="25"/>
  <c r="P55" i="25"/>
  <c r="O55" i="25"/>
  <c r="N55" i="25"/>
  <c r="M55" i="25"/>
  <c r="AA55" i="25" s="1"/>
  <c r="AW54" i="25"/>
  <c r="X54" i="25"/>
  <c r="P54" i="25"/>
  <c r="O54" i="25"/>
  <c r="N54" i="25"/>
  <c r="M54" i="25"/>
  <c r="AW53" i="25"/>
  <c r="Y53" i="25"/>
  <c r="X53" i="25"/>
  <c r="P53" i="25"/>
  <c r="O53" i="25"/>
  <c r="Z53" i="25" s="1"/>
  <c r="N53" i="25"/>
  <c r="M53" i="25"/>
  <c r="W53" i="25" s="1"/>
  <c r="AW52" i="25"/>
  <c r="Y52" i="25"/>
  <c r="X52" i="25"/>
  <c r="P52" i="25"/>
  <c r="O52" i="25"/>
  <c r="N52" i="25"/>
  <c r="M52" i="25"/>
  <c r="W52" i="25" s="1"/>
  <c r="AW51" i="25"/>
  <c r="X51" i="25"/>
  <c r="P51" i="25"/>
  <c r="O51" i="25"/>
  <c r="N51" i="25"/>
  <c r="M51" i="25"/>
  <c r="X50" i="25"/>
  <c r="S50" i="25"/>
  <c r="P50" i="25"/>
  <c r="O50" i="25"/>
  <c r="N50" i="25"/>
  <c r="M50" i="25"/>
  <c r="AW49" i="25"/>
  <c r="X49" i="25"/>
  <c r="P49" i="25"/>
  <c r="O49" i="25"/>
  <c r="AA49" i="25" s="1"/>
  <c r="N49" i="25"/>
  <c r="M49" i="25"/>
  <c r="Z49" i="25" s="1"/>
  <c r="AW48" i="25"/>
  <c r="X48" i="25"/>
  <c r="P48" i="25"/>
  <c r="O48" i="25"/>
  <c r="N48" i="25"/>
  <c r="M48" i="25"/>
  <c r="X47" i="25"/>
  <c r="P47" i="25"/>
  <c r="O47" i="25"/>
  <c r="N47" i="25"/>
  <c r="M47" i="25"/>
  <c r="AA47" i="25" s="1"/>
  <c r="AW46" i="25"/>
  <c r="X46" i="25"/>
  <c r="P46" i="25"/>
  <c r="O46" i="25"/>
  <c r="N46" i="25"/>
  <c r="X45" i="25"/>
  <c r="W45" i="25"/>
  <c r="N45" i="25"/>
  <c r="P45" i="25" s="1"/>
  <c r="M45" i="25"/>
  <c r="AW44" i="25"/>
  <c r="X44" i="25"/>
  <c r="P44" i="25"/>
  <c r="O44" i="25"/>
  <c r="N44" i="25"/>
  <c r="AW43" i="25"/>
  <c r="X43" i="25"/>
  <c r="N43" i="25"/>
  <c r="O43" i="25" s="1"/>
  <c r="AW42" i="25"/>
  <c r="X42" i="25"/>
  <c r="O42" i="25"/>
  <c r="N42" i="25"/>
  <c r="P42" i="25" s="1"/>
  <c r="M42" i="25"/>
  <c r="AW41" i="25"/>
  <c r="X41" i="25"/>
  <c r="P41" i="25"/>
  <c r="O41" i="25"/>
  <c r="N41" i="25"/>
  <c r="AW40" i="25"/>
  <c r="AD40" i="25"/>
  <c r="AD41" i="25" s="1"/>
  <c r="X40" i="25"/>
  <c r="P40" i="25"/>
  <c r="N40" i="25"/>
  <c r="O40" i="25" s="1"/>
  <c r="AW39" i="25"/>
  <c r="X39" i="25"/>
  <c r="Y39" i="25" s="1"/>
  <c r="N39" i="25"/>
  <c r="O39" i="25" s="1"/>
  <c r="Z39" i="25" s="1"/>
  <c r="M39" i="25"/>
  <c r="AW38" i="25"/>
  <c r="X38" i="25"/>
  <c r="P38" i="25"/>
  <c r="O38" i="25"/>
  <c r="N38" i="25"/>
  <c r="AW37" i="25"/>
  <c r="X37" i="25"/>
  <c r="S37" i="25"/>
  <c r="N37" i="25"/>
  <c r="O37" i="25" s="1"/>
  <c r="M37" i="25"/>
  <c r="AW36" i="25"/>
  <c r="X36" i="25"/>
  <c r="S36" i="25"/>
  <c r="P36" i="25"/>
  <c r="N36" i="25"/>
  <c r="O36" i="25" s="1"/>
  <c r="AW35" i="25"/>
  <c r="Y35" i="25"/>
  <c r="X35" i="25"/>
  <c r="W35" i="25"/>
  <c r="S35" i="25"/>
  <c r="M44" i="25" s="1"/>
  <c r="N35" i="25"/>
  <c r="P35" i="25" s="1"/>
  <c r="M35" i="25"/>
  <c r="AW34" i="25"/>
  <c r="X34" i="25"/>
  <c r="S34" i="25"/>
  <c r="P34" i="25"/>
  <c r="N34" i="25"/>
  <c r="O34" i="25" s="1"/>
  <c r="M34" i="25"/>
  <c r="W34" i="25" s="1"/>
  <c r="AW33" i="25"/>
  <c r="X33" i="25"/>
  <c r="S33" i="25"/>
  <c r="M38" i="25" s="1"/>
  <c r="W38" i="25" s="1"/>
  <c r="N33" i="25"/>
  <c r="M33" i="25"/>
  <c r="W33" i="25" s="1"/>
  <c r="L33" i="25"/>
  <c r="L102" i="25" s="1"/>
  <c r="AW32" i="25"/>
  <c r="X32" i="25"/>
  <c r="S32" i="25"/>
  <c r="M46" i="25" s="1"/>
  <c r="N32" i="25"/>
  <c r="P32" i="25" s="1"/>
  <c r="M32" i="25"/>
  <c r="AW31" i="25"/>
  <c r="X31" i="25"/>
  <c r="S31" i="25"/>
  <c r="P31" i="25"/>
  <c r="O31" i="25"/>
  <c r="N31" i="25"/>
  <c r="AW30" i="25"/>
  <c r="X30" i="25"/>
  <c r="S30" i="25"/>
  <c r="M43" i="25" s="1"/>
  <c r="O30" i="25"/>
  <c r="N30" i="25"/>
  <c r="P30" i="25" s="1"/>
  <c r="AW29" i="25"/>
  <c r="X29" i="25"/>
  <c r="S29" i="25"/>
  <c r="M5" i="25" s="1"/>
  <c r="N29" i="25"/>
  <c r="AW28" i="25"/>
  <c r="X28" i="25"/>
  <c r="P28" i="25"/>
  <c r="N28" i="25"/>
  <c r="O28" i="25" s="1"/>
  <c r="M28" i="25"/>
  <c r="AW27" i="25"/>
  <c r="X27" i="25"/>
  <c r="Y27" i="25" s="1"/>
  <c r="N27" i="25"/>
  <c r="P27" i="25" s="1"/>
  <c r="M27" i="25"/>
  <c r="W27" i="25" s="1"/>
  <c r="AW26" i="25"/>
  <c r="Y26" i="25"/>
  <c r="X26" i="25"/>
  <c r="O26" i="25"/>
  <c r="Z26" i="25" s="1"/>
  <c r="N26" i="25"/>
  <c r="P26" i="25" s="1"/>
  <c r="M26" i="25"/>
  <c r="AW25" i="25"/>
  <c r="X25" i="25"/>
  <c r="N25" i="25"/>
  <c r="O25" i="25" s="1"/>
  <c r="AW24" i="25"/>
  <c r="X24" i="25"/>
  <c r="N24" i="25"/>
  <c r="M24" i="25"/>
  <c r="Y24" i="25" s="1"/>
  <c r="AW23" i="25"/>
  <c r="X23" i="25"/>
  <c r="W23" i="25"/>
  <c r="N23" i="25"/>
  <c r="O23" i="25" s="1"/>
  <c r="M23" i="25"/>
  <c r="AW22" i="25"/>
  <c r="X22" i="25"/>
  <c r="P22" i="25"/>
  <c r="O22" i="25"/>
  <c r="N22" i="25"/>
  <c r="M22" i="25"/>
  <c r="AW21" i="25"/>
  <c r="AC21" i="25"/>
  <c r="X21" i="25"/>
  <c r="N21" i="25"/>
  <c r="P21" i="25" s="1"/>
  <c r="M21" i="25"/>
  <c r="Y21" i="25" s="1"/>
  <c r="AW20" i="25"/>
  <c r="X20" i="25"/>
  <c r="Y20" i="25" s="1"/>
  <c r="N20" i="25"/>
  <c r="O20" i="25" s="1"/>
  <c r="M20" i="25"/>
  <c r="W20" i="25" s="1"/>
  <c r="AW19" i="25"/>
  <c r="X19" i="25"/>
  <c r="P19" i="25"/>
  <c r="N19" i="25"/>
  <c r="O19" i="25" s="1"/>
  <c r="M19" i="25"/>
  <c r="AA19" i="25" s="1"/>
  <c r="AW18" i="25"/>
  <c r="AC18" i="25"/>
  <c r="X18" i="25"/>
  <c r="O18" i="25"/>
  <c r="AA18" i="25" s="1"/>
  <c r="N18" i="25"/>
  <c r="P18" i="25" s="1"/>
  <c r="M18" i="25"/>
  <c r="Y18" i="25" s="1"/>
  <c r="AW17" i="25"/>
  <c r="X17" i="25"/>
  <c r="N17" i="25"/>
  <c r="O17" i="25" s="1"/>
  <c r="M17" i="25"/>
  <c r="W17" i="25" s="1"/>
  <c r="AW16" i="25"/>
  <c r="X16" i="25"/>
  <c r="P16" i="25"/>
  <c r="N16" i="25"/>
  <c r="O16" i="25" s="1"/>
  <c r="AW15" i="25"/>
  <c r="AC15" i="25"/>
  <c r="Z15" i="25"/>
  <c r="X15" i="25"/>
  <c r="W15" i="25"/>
  <c r="O15" i="25"/>
  <c r="N15" i="25"/>
  <c r="P15" i="25" s="1"/>
  <c r="M15" i="25"/>
  <c r="Y15" i="25" s="1"/>
  <c r="AW14" i="25"/>
  <c r="X14" i="25"/>
  <c r="P14" i="25"/>
  <c r="N14" i="25"/>
  <c r="O14" i="25" s="1"/>
  <c r="AW13" i="25"/>
  <c r="Y13" i="25"/>
  <c r="X13" i="25"/>
  <c r="N13" i="25"/>
  <c r="P13" i="25" s="1"/>
  <c r="M13" i="25"/>
  <c r="W13" i="25" s="1"/>
  <c r="AW12" i="25"/>
  <c r="AC12" i="25"/>
  <c r="X12" i="25"/>
  <c r="N12" i="25"/>
  <c r="P12" i="25" s="1"/>
  <c r="M12" i="25"/>
  <c r="AW11" i="25"/>
  <c r="X11" i="25"/>
  <c r="N11" i="25"/>
  <c r="O11" i="25" s="1"/>
  <c r="M11" i="25"/>
  <c r="AW10" i="25"/>
  <c r="X10" i="25"/>
  <c r="P10" i="25"/>
  <c r="N10" i="25"/>
  <c r="O10" i="25" s="1"/>
  <c r="M10" i="25"/>
  <c r="AA10" i="25" s="1"/>
  <c r="AW9" i="25"/>
  <c r="AA9" i="25"/>
  <c r="X9" i="25"/>
  <c r="O9" i="25"/>
  <c r="N9" i="25"/>
  <c r="P9" i="25" s="1"/>
  <c r="M9" i="25"/>
  <c r="W9" i="25" s="1"/>
  <c r="AW8" i="25"/>
  <c r="X8" i="25"/>
  <c r="W8" i="25"/>
  <c r="P8" i="25"/>
  <c r="N8" i="25"/>
  <c r="O8" i="25" s="1"/>
  <c r="M8" i="25"/>
  <c r="AW7" i="25"/>
  <c r="X7" i="25"/>
  <c r="O7" i="25"/>
  <c r="N7" i="25"/>
  <c r="P7" i="25" s="1"/>
  <c r="M7" i="25"/>
  <c r="AA7" i="25" s="1"/>
  <c r="AW6" i="25"/>
  <c r="X6" i="25"/>
  <c r="N6" i="25"/>
  <c r="P6" i="25" s="1"/>
  <c r="M6" i="25"/>
  <c r="AW5" i="25"/>
  <c r="X5" i="25"/>
  <c r="P5" i="25"/>
  <c r="N5" i="25"/>
  <c r="O5" i="25" s="1"/>
  <c r="AW4" i="25"/>
  <c r="AD4" i="25"/>
  <c r="AD5" i="25" s="1"/>
  <c r="X4" i="25"/>
  <c r="N4" i="25"/>
  <c r="O4" i="25" s="1"/>
  <c r="M4" i="25"/>
  <c r="AW3" i="25"/>
  <c r="X3" i="25"/>
  <c r="O3" i="25"/>
  <c r="N3" i="25"/>
  <c r="P3" i="25" s="1"/>
  <c r="AW2" i="25"/>
  <c r="X2" i="25"/>
  <c r="O2" i="25"/>
  <c r="N2" i="25"/>
  <c r="P2" i="25" s="1"/>
  <c r="M2" i="25"/>
  <c r="Z2" i="25" s="1"/>
  <c r="K117" i="23"/>
  <c r="AD44" i="24"/>
  <c r="AD41" i="24"/>
  <c r="AD8" i="24"/>
  <c r="AC8" i="23"/>
  <c r="AI3" i="23" s="1"/>
  <c r="AJ3" i="23" s="1"/>
  <c r="H110" i="24"/>
  <c r="H108" i="24"/>
  <c r="H107" i="24"/>
  <c r="H106" i="24"/>
  <c r="G108" i="24"/>
  <c r="G107" i="24"/>
  <c r="G106" i="24"/>
  <c r="H123" i="24"/>
  <c r="H120" i="24"/>
  <c r="H119" i="24"/>
  <c r="H118" i="24"/>
  <c r="H117" i="24"/>
  <c r="H116" i="24"/>
  <c r="H115" i="24"/>
  <c r="G122" i="24"/>
  <c r="G121" i="24"/>
  <c r="G119" i="24"/>
  <c r="G120" i="24"/>
  <c r="G118" i="24"/>
  <c r="G117" i="24"/>
  <c r="G116" i="24"/>
  <c r="G115" i="24"/>
  <c r="D102" i="24"/>
  <c r="E102" i="24"/>
  <c r="F102" i="24"/>
  <c r="G102" i="24"/>
  <c r="H102" i="24"/>
  <c r="I102" i="24"/>
  <c r="J102" i="24"/>
  <c r="AC44" i="23"/>
  <c r="H110" i="23"/>
  <c r="H108" i="23"/>
  <c r="H106" i="23"/>
  <c r="G108" i="23"/>
  <c r="H107" i="23"/>
  <c r="G107" i="23"/>
  <c r="H125" i="23"/>
  <c r="H121" i="23"/>
  <c r="H122" i="23"/>
  <c r="H120" i="23"/>
  <c r="H119" i="23"/>
  <c r="H118" i="23"/>
  <c r="H117" i="23"/>
  <c r="G121" i="23"/>
  <c r="G123" i="23" s="1"/>
  <c r="G124" i="21"/>
  <c r="G122" i="23"/>
  <c r="G124" i="23" s="1"/>
  <c r="G120" i="23"/>
  <c r="G119" i="23"/>
  <c r="G118" i="23"/>
  <c r="G117" i="23"/>
  <c r="G106" i="23"/>
  <c r="D102" i="23"/>
  <c r="E102" i="23"/>
  <c r="F102" i="23"/>
  <c r="G102" i="23"/>
  <c r="H102" i="23"/>
  <c r="I102" i="23"/>
  <c r="J102" i="23"/>
  <c r="AX103" i="24"/>
  <c r="W102" i="24"/>
  <c r="V102" i="24"/>
  <c r="S102" i="24"/>
  <c r="R102" i="24"/>
  <c r="K102" i="24"/>
  <c r="C102" i="24"/>
  <c r="B102" i="24"/>
  <c r="AX98" i="24" s="1"/>
  <c r="AX101" i="24"/>
  <c r="AX100" i="24"/>
  <c r="Y100" i="24"/>
  <c r="Q100" i="24"/>
  <c r="P100" i="24"/>
  <c r="O100" i="24"/>
  <c r="M100" i="24"/>
  <c r="AX99" i="24"/>
  <c r="Y99" i="24"/>
  <c r="Z99" i="24" s="1"/>
  <c r="Q99" i="24"/>
  <c r="P99" i="24"/>
  <c r="O99" i="24"/>
  <c r="M99" i="24"/>
  <c r="Y98" i="24"/>
  <c r="Z98" i="24" s="1"/>
  <c r="Q98" i="24"/>
  <c r="P98" i="24"/>
  <c r="O98" i="24"/>
  <c r="M98" i="24"/>
  <c r="X98" i="24" s="1"/>
  <c r="Y97" i="24"/>
  <c r="Z97" i="24" s="1"/>
  <c r="X97" i="24"/>
  <c r="Q97" i="24"/>
  <c r="P97" i="24"/>
  <c r="AA97" i="24" s="1"/>
  <c r="O97" i="24"/>
  <c r="M97" i="24"/>
  <c r="AX96" i="24"/>
  <c r="AA96" i="24"/>
  <c r="Y96" i="24"/>
  <c r="Z96" i="24" s="1"/>
  <c r="X96" i="24"/>
  <c r="Q96" i="24"/>
  <c r="P96" i="24"/>
  <c r="O96" i="24"/>
  <c r="M96" i="24"/>
  <c r="AX95" i="24"/>
  <c r="AA95" i="24"/>
  <c r="Z95" i="24"/>
  <c r="Y95" i="24"/>
  <c r="X95" i="24"/>
  <c r="Q95" i="24"/>
  <c r="P95" i="24"/>
  <c r="O95" i="24"/>
  <c r="M95" i="24"/>
  <c r="AB95" i="24" s="1"/>
  <c r="AX94" i="24"/>
  <c r="AA94" i="24"/>
  <c r="Z94" i="24"/>
  <c r="Y94" i="24"/>
  <c r="X94" i="24"/>
  <c r="Q94" i="24"/>
  <c r="P94" i="24"/>
  <c r="O94" i="24"/>
  <c r="M94" i="24"/>
  <c r="AX93" i="24"/>
  <c r="Z93" i="24"/>
  <c r="Y93" i="24"/>
  <c r="Q93" i="24"/>
  <c r="P93" i="24"/>
  <c r="O93" i="24"/>
  <c r="M93" i="24"/>
  <c r="AB93" i="24" s="1"/>
  <c r="AX92" i="24"/>
  <c r="AB92" i="24"/>
  <c r="Y92" i="24"/>
  <c r="Z92" i="24" s="1"/>
  <c r="Q92" i="24"/>
  <c r="P92" i="24"/>
  <c r="O92" i="24"/>
  <c r="M92" i="24"/>
  <c r="AX91" i="24"/>
  <c r="AB91" i="24"/>
  <c r="Y91" i="24"/>
  <c r="Z91" i="24" s="1"/>
  <c r="Q91" i="24"/>
  <c r="P91" i="24"/>
  <c r="O91" i="24"/>
  <c r="M91" i="24"/>
  <c r="AX90" i="24"/>
  <c r="AB90" i="24"/>
  <c r="Y90" i="24"/>
  <c r="Q90" i="24"/>
  <c r="P90" i="24"/>
  <c r="O90" i="24"/>
  <c r="M90" i="24"/>
  <c r="X90" i="24" s="1"/>
  <c r="AX89" i="24"/>
  <c r="Y89" i="24"/>
  <c r="Z89" i="24" s="1"/>
  <c r="X89" i="24"/>
  <c r="Q89" i="24"/>
  <c r="P89" i="24"/>
  <c r="AA89" i="24" s="1"/>
  <c r="O89" i="24"/>
  <c r="M89" i="24"/>
  <c r="AB89" i="24" s="1"/>
  <c r="AX88" i="24"/>
  <c r="Y88" i="24"/>
  <c r="Z88" i="24" s="1"/>
  <c r="X88" i="24"/>
  <c r="Q88" i="24"/>
  <c r="P88" i="24"/>
  <c r="AA88" i="24" s="1"/>
  <c r="O88" i="24"/>
  <c r="M88" i="24"/>
  <c r="AX87" i="24"/>
  <c r="AA87" i="24"/>
  <c r="Z87" i="24"/>
  <c r="Y87" i="24"/>
  <c r="X87" i="24"/>
  <c r="Q87" i="24"/>
  <c r="P87" i="24"/>
  <c r="O87" i="24"/>
  <c r="M87" i="24"/>
  <c r="AB87" i="24" s="1"/>
  <c r="AX86" i="24"/>
  <c r="AA86" i="24"/>
  <c r="Z86" i="24"/>
  <c r="Y86" i="24"/>
  <c r="X86" i="24"/>
  <c r="Q86" i="24"/>
  <c r="P86" i="24"/>
  <c r="O86" i="24"/>
  <c r="M86" i="24"/>
  <c r="AB86" i="24" s="1"/>
  <c r="AX85" i="24"/>
  <c r="Y85" i="24"/>
  <c r="Q85" i="24"/>
  <c r="P85" i="24"/>
  <c r="O85" i="24"/>
  <c r="M85" i="24"/>
  <c r="AX84" i="24"/>
  <c r="Y84" i="24"/>
  <c r="Q84" i="24"/>
  <c r="P84" i="24"/>
  <c r="O84" i="24"/>
  <c r="M84" i="24"/>
  <c r="Z84" i="24" s="1"/>
  <c r="AX83" i="24"/>
  <c r="Y83" i="24"/>
  <c r="Z83" i="24" s="1"/>
  <c r="Q83" i="24"/>
  <c r="P83" i="24"/>
  <c r="O83" i="24"/>
  <c r="M83" i="24"/>
  <c r="AX82" i="24"/>
  <c r="AA82" i="24"/>
  <c r="Y82" i="24"/>
  <c r="Z82" i="24" s="1"/>
  <c r="Q82" i="24"/>
  <c r="P82" i="24"/>
  <c r="O82" i="24"/>
  <c r="M82" i="24"/>
  <c r="X82" i="24" s="1"/>
  <c r="AX81" i="24"/>
  <c r="AA81" i="24"/>
  <c r="Y81" i="24"/>
  <c r="Z81" i="24" s="1"/>
  <c r="X81" i="24"/>
  <c r="Q81" i="24"/>
  <c r="P81" i="24"/>
  <c r="O81" i="24"/>
  <c r="M81" i="24"/>
  <c r="AX80" i="24"/>
  <c r="AA80" i="24"/>
  <c r="Y80" i="24"/>
  <c r="Z80" i="24" s="1"/>
  <c r="X80" i="24"/>
  <c r="Q80" i="24"/>
  <c r="P80" i="24"/>
  <c r="O80" i="24"/>
  <c r="M80" i="24"/>
  <c r="AB80" i="24" s="1"/>
  <c r="AX79" i="24"/>
  <c r="AA79" i="24"/>
  <c r="Z79" i="24"/>
  <c r="Y79" i="24"/>
  <c r="X79" i="24"/>
  <c r="Q79" i="24"/>
  <c r="P79" i="24"/>
  <c r="O79" i="24"/>
  <c r="M79" i="24"/>
  <c r="AB79" i="24" s="1"/>
  <c r="AX78" i="24"/>
  <c r="Z78" i="24"/>
  <c r="Y78" i="24"/>
  <c r="X78" i="24"/>
  <c r="Q78" i="24"/>
  <c r="P78" i="24"/>
  <c r="AA78" i="24" s="1"/>
  <c r="O78" i="24"/>
  <c r="M78" i="24"/>
  <c r="AX77" i="24"/>
  <c r="AB77" i="24"/>
  <c r="Z77" i="24"/>
  <c r="Y77" i="24"/>
  <c r="Q77" i="24"/>
  <c r="P77" i="24"/>
  <c r="O77" i="24"/>
  <c r="M77" i="24"/>
  <c r="AX76" i="24"/>
  <c r="AB76" i="24"/>
  <c r="Y76" i="24"/>
  <c r="Z76" i="24" s="1"/>
  <c r="Q76" i="24"/>
  <c r="P76" i="24"/>
  <c r="O76" i="24"/>
  <c r="M76" i="24"/>
  <c r="AX75" i="24"/>
  <c r="AB75" i="24"/>
  <c r="Y75" i="24"/>
  <c r="Q75" i="24"/>
  <c r="P75" i="24"/>
  <c r="O75" i="24"/>
  <c r="M75" i="24"/>
  <c r="AX74" i="24"/>
  <c r="AB74" i="24"/>
  <c r="Y74" i="24"/>
  <c r="Q74" i="24"/>
  <c r="P74" i="24"/>
  <c r="O74" i="24"/>
  <c r="M74" i="24"/>
  <c r="AX73" i="24"/>
  <c r="Y73" i="24"/>
  <c r="Z73" i="24" s="1"/>
  <c r="X73" i="24"/>
  <c r="Q73" i="24"/>
  <c r="P73" i="24"/>
  <c r="AA73" i="24" s="1"/>
  <c r="O73" i="24"/>
  <c r="M73" i="24"/>
  <c r="AB73" i="24" s="1"/>
  <c r="AX72" i="24"/>
  <c r="Y72" i="24"/>
  <c r="Z72" i="24" s="1"/>
  <c r="X72" i="24"/>
  <c r="Q72" i="24"/>
  <c r="P72" i="24"/>
  <c r="AA72" i="24" s="1"/>
  <c r="O72" i="24"/>
  <c r="M72" i="24"/>
  <c r="AX71" i="24"/>
  <c r="AA71" i="24"/>
  <c r="Z71" i="24"/>
  <c r="Y71" i="24"/>
  <c r="X71" i="24"/>
  <c r="Q71" i="24"/>
  <c r="P71" i="24"/>
  <c r="O71" i="24"/>
  <c r="M71" i="24"/>
  <c r="AX70" i="24"/>
  <c r="Z70" i="24"/>
  <c r="Y70" i="24"/>
  <c r="X70" i="24"/>
  <c r="Q70" i="24"/>
  <c r="P70" i="24"/>
  <c r="AA70" i="24" s="1"/>
  <c r="O70" i="24"/>
  <c r="M70" i="24"/>
  <c r="AB70" i="24" s="1"/>
  <c r="AX69" i="24"/>
  <c r="Y69" i="24"/>
  <c r="Q69" i="24"/>
  <c r="P69" i="24"/>
  <c r="O69" i="24"/>
  <c r="M69" i="24"/>
  <c r="AX68" i="24"/>
  <c r="Y68" i="24"/>
  <c r="Q68" i="24"/>
  <c r="P68" i="24"/>
  <c r="O68" i="24"/>
  <c r="M68" i="24"/>
  <c r="Z68" i="24" s="1"/>
  <c r="AX67" i="24"/>
  <c r="Y67" i="24"/>
  <c r="Z67" i="24" s="1"/>
  <c r="Q67" i="24"/>
  <c r="P67" i="24"/>
  <c r="O67" i="24"/>
  <c r="M67" i="24"/>
  <c r="AX66" i="24"/>
  <c r="AA66" i="24"/>
  <c r="Y66" i="24"/>
  <c r="Z66" i="24" s="1"/>
  <c r="Q66" i="24"/>
  <c r="P66" i="24"/>
  <c r="O66" i="24"/>
  <c r="M66" i="24"/>
  <c r="X66" i="24" s="1"/>
  <c r="AX65" i="24"/>
  <c r="AB65" i="24"/>
  <c r="Y65" i="24"/>
  <c r="Q65" i="24"/>
  <c r="P65" i="24"/>
  <c r="O65" i="24"/>
  <c r="M65" i="24"/>
  <c r="X65" i="24" s="1"/>
  <c r="AX64" i="24"/>
  <c r="Y64" i="24"/>
  <c r="Z64" i="24" s="1"/>
  <c r="X64" i="24"/>
  <c r="Q64" i="24"/>
  <c r="P64" i="24"/>
  <c r="AA64" i="24" s="1"/>
  <c r="O64" i="24"/>
  <c r="M64" i="24"/>
  <c r="AX63" i="24"/>
  <c r="AA63" i="24"/>
  <c r="Y63" i="24"/>
  <c r="Z63" i="24" s="1"/>
  <c r="X63" i="24"/>
  <c r="Q63" i="24"/>
  <c r="P63" i="24"/>
  <c r="O63" i="24"/>
  <c r="M63" i="24"/>
  <c r="AB63" i="24" s="1"/>
  <c r="AX62" i="24"/>
  <c r="AA62" i="24"/>
  <c r="Z62" i="24"/>
  <c r="Y62" i="24"/>
  <c r="X62" i="24"/>
  <c r="Q62" i="24"/>
  <c r="P62" i="24"/>
  <c r="O62" i="24"/>
  <c r="M62" i="24"/>
  <c r="AB62" i="24" s="1"/>
  <c r="AX61" i="24"/>
  <c r="Z61" i="24"/>
  <c r="Y61" i="24"/>
  <c r="X61" i="24"/>
  <c r="Q61" i="24"/>
  <c r="P61" i="24"/>
  <c r="O61" i="24"/>
  <c r="M61" i="24"/>
  <c r="AX60" i="24"/>
  <c r="AB60" i="24"/>
  <c r="Y60" i="24"/>
  <c r="Q60" i="24"/>
  <c r="P60" i="24"/>
  <c r="O60" i="24"/>
  <c r="M60" i="24"/>
  <c r="AX59" i="24"/>
  <c r="AB59" i="24"/>
  <c r="Y59" i="24"/>
  <c r="Z59" i="24" s="1"/>
  <c r="Q59" i="24"/>
  <c r="P59" i="24"/>
  <c r="O59" i="24"/>
  <c r="M59" i="24"/>
  <c r="AX58" i="24"/>
  <c r="Y58" i="24"/>
  <c r="Q58" i="24"/>
  <c r="P58" i="24"/>
  <c r="O58" i="24"/>
  <c r="M58" i="24"/>
  <c r="AB58" i="24" s="1"/>
  <c r="AX57" i="24"/>
  <c r="AB57" i="24"/>
  <c r="Y57" i="24"/>
  <c r="Q57" i="24"/>
  <c r="P57" i="24"/>
  <c r="O57" i="24"/>
  <c r="M57" i="24"/>
  <c r="X57" i="24" s="1"/>
  <c r="AX56" i="24"/>
  <c r="AA56" i="24"/>
  <c r="Y56" i="24"/>
  <c r="Z56" i="24" s="1"/>
  <c r="X56" i="24"/>
  <c r="Q56" i="24"/>
  <c r="P56" i="24"/>
  <c r="O56" i="24"/>
  <c r="M56" i="24"/>
  <c r="AB56" i="24" s="1"/>
  <c r="AX55" i="24"/>
  <c r="Z55" i="24"/>
  <c r="Y55" i="24"/>
  <c r="X55" i="24"/>
  <c r="Q55" i="24"/>
  <c r="P55" i="24"/>
  <c r="AA55" i="24" s="1"/>
  <c r="O55" i="24"/>
  <c r="M55" i="24"/>
  <c r="AX54" i="24"/>
  <c r="AA54" i="24"/>
  <c r="Z54" i="24"/>
  <c r="Y54" i="24"/>
  <c r="X54" i="24"/>
  <c r="Q54" i="24"/>
  <c r="P54" i="24"/>
  <c r="O54" i="24"/>
  <c r="M54" i="24"/>
  <c r="AB54" i="24" s="1"/>
  <c r="AX53" i="24"/>
  <c r="Z53" i="24"/>
  <c r="Y53" i="24"/>
  <c r="X53" i="24"/>
  <c r="Q53" i="24"/>
  <c r="P53" i="24"/>
  <c r="O53" i="24"/>
  <c r="M53" i="24"/>
  <c r="AB53" i="24" s="1"/>
  <c r="AX52" i="24"/>
  <c r="Y52" i="24"/>
  <c r="Q52" i="24"/>
  <c r="P52" i="24"/>
  <c r="O52" i="24"/>
  <c r="M52" i="24"/>
  <c r="AX51" i="24"/>
  <c r="Y51" i="24"/>
  <c r="Q51" i="24"/>
  <c r="P51" i="24"/>
  <c r="O51" i="24"/>
  <c r="M51" i="24"/>
  <c r="Z51" i="24" s="1"/>
  <c r="AX50" i="24"/>
  <c r="AB50" i="24"/>
  <c r="Y50" i="24"/>
  <c r="Z50" i="24" s="1"/>
  <c r="T50" i="24"/>
  <c r="Q50" i="24"/>
  <c r="P50" i="24"/>
  <c r="O50" i="24"/>
  <c r="M50" i="24"/>
  <c r="X50" i="24" s="1"/>
  <c r="AX49" i="24"/>
  <c r="AB49" i="24"/>
  <c r="Z49" i="24"/>
  <c r="Y49" i="24"/>
  <c r="Q49" i="24"/>
  <c r="P49" i="24"/>
  <c r="O49" i="24"/>
  <c r="M49" i="24"/>
  <c r="AX48" i="24"/>
  <c r="Y48" i="24"/>
  <c r="Q48" i="24"/>
  <c r="P48" i="24"/>
  <c r="O48" i="24"/>
  <c r="M48" i="24"/>
  <c r="Z48" i="24" s="1"/>
  <c r="AX47" i="24"/>
  <c r="Y47" i="24"/>
  <c r="Q47" i="24"/>
  <c r="P47" i="24"/>
  <c r="O47" i="24"/>
  <c r="M47" i="24"/>
  <c r="AB47" i="24" s="1"/>
  <c r="AX46" i="24"/>
  <c r="AA46" i="24"/>
  <c r="Y46" i="24"/>
  <c r="Z46" i="24" s="1"/>
  <c r="P46" i="24"/>
  <c r="O46" i="24"/>
  <c r="Q46" i="24" s="1"/>
  <c r="AX45" i="24"/>
  <c r="Y45" i="24"/>
  <c r="Z45" i="24" s="1"/>
  <c r="Q45" i="24"/>
  <c r="P45" i="24"/>
  <c r="O45" i="24"/>
  <c r="N45" i="24"/>
  <c r="M45" i="24"/>
  <c r="AX44" i="24"/>
  <c r="Y44" i="24"/>
  <c r="P44" i="24"/>
  <c r="O44" i="24"/>
  <c r="Q44" i="24" s="1"/>
  <c r="M44" i="24"/>
  <c r="N44" i="24" s="1"/>
  <c r="X44" i="24" s="1"/>
  <c r="AX43" i="24"/>
  <c r="Y43" i="24"/>
  <c r="Z43" i="24" s="1"/>
  <c r="Q43" i="24"/>
  <c r="P43" i="24"/>
  <c r="O43" i="24"/>
  <c r="N43" i="24"/>
  <c r="AB43" i="24" s="1"/>
  <c r="AX42" i="24"/>
  <c r="Y42" i="24"/>
  <c r="Z42" i="24" s="1"/>
  <c r="Q42" i="24"/>
  <c r="O42" i="24"/>
  <c r="P42" i="24" s="1"/>
  <c r="AB42" i="24" s="1"/>
  <c r="N42" i="24"/>
  <c r="M42" i="24"/>
  <c r="AX41" i="24"/>
  <c r="AE41" i="24"/>
  <c r="Y41" i="24"/>
  <c r="O41" i="24"/>
  <c r="Q41" i="24" s="1"/>
  <c r="AX40" i="24"/>
  <c r="AJ40" i="24"/>
  <c r="AK40" i="24" s="1"/>
  <c r="AE40" i="24"/>
  <c r="Y40" i="24"/>
  <c r="U40" i="24"/>
  <c r="O40" i="24"/>
  <c r="AX39" i="24"/>
  <c r="AJ39" i="24"/>
  <c r="AK39" i="24" s="1"/>
  <c r="AH39" i="24"/>
  <c r="AF39" i="24"/>
  <c r="AF40" i="24" s="1"/>
  <c r="Y39" i="24"/>
  <c r="Z39" i="24" s="1"/>
  <c r="X39" i="24"/>
  <c r="U39" i="24"/>
  <c r="O39" i="24"/>
  <c r="Q39" i="24" s="1"/>
  <c r="M39" i="24"/>
  <c r="N39" i="24" s="1"/>
  <c r="AX38" i="24"/>
  <c r="Y38" i="24"/>
  <c r="Q38" i="24"/>
  <c r="O38" i="24"/>
  <c r="P38" i="24" s="1"/>
  <c r="AX37" i="24"/>
  <c r="Z37" i="24"/>
  <c r="Y37" i="24"/>
  <c r="T37" i="24"/>
  <c r="Q37" i="24"/>
  <c r="P37" i="24"/>
  <c r="O37" i="24"/>
  <c r="M37" i="24"/>
  <c r="N37" i="24" s="1"/>
  <c r="X37" i="24" s="1"/>
  <c r="AX36" i="24"/>
  <c r="Y36" i="24"/>
  <c r="T36" i="24"/>
  <c r="M21" i="24" s="1"/>
  <c r="Q36" i="24"/>
  <c r="O36" i="24"/>
  <c r="P36" i="24" s="1"/>
  <c r="AX35" i="24"/>
  <c r="Y35" i="24"/>
  <c r="Z35" i="24" s="1"/>
  <c r="X35" i="24"/>
  <c r="T35" i="24"/>
  <c r="Q35" i="24"/>
  <c r="O35" i="24"/>
  <c r="P35" i="24" s="1"/>
  <c r="N35" i="24"/>
  <c r="M35" i="24"/>
  <c r="AX34" i="24"/>
  <c r="Y34" i="24"/>
  <c r="T34" i="24"/>
  <c r="O34" i="24"/>
  <c r="Q34" i="24" s="1"/>
  <c r="M34" i="24"/>
  <c r="N34" i="24" s="1"/>
  <c r="AX33" i="24"/>
  <c r="Y33" i="24"/>
  <c r="Z33" i="24" s="1"/>
  <c r="T33" i="24"/>
  <c r="M38" i="24" s="1"/>
  <c r="N38" i="24" s="1"/>
  <c r="O33" i="24"/>
  <c r="P33" i="24" s="1"/>
  <c r="M33" i="24"/>
  <c r="N33" i="24" s="1"/>
  <c r="L33" i="24"/>
  <c r="L102" i="24" s="1"/>
  <c r="AX32" i="24"/>
  <c r="Y32" i="24"/>
  <c r="T32" i="24"/>
  <c r="M46" i="24" s="1"/>
  <c r="N46" i="24" s="1"/>
  <c r="Q32" i="24"/>
  <c r="O32" i="24"/>
  <c r="P32" i="24" s="1"/>
  <c r="N32" i="24"/>
  <c r="X32" i="24" s="1"/>
  <c r="M32" i="24"/>
  <c r="AX31" i="24"/>
  <c r="Y31" i="24"/>
  <c r="T31" i="24"/>
  <c r="M41" i="24" s="1"/>
  <c r="N41" i="24" s="1"/>
  <c r="O31" i="24"/>
  <c r="P31" i="24" s="1"/>
  <c r="AX30" i="24"/>
  <c r="Y30" i="24"/>
  <c r="T30" i="24"/>
  <c r="M43" i="24" s="1"/>
  <c r="Q30" i="24"/>
  <c r="P30" i="24"/>
  <c r="O30" i="24"/>
  <c r="M30" i="24"/>
  <c r="N30" i="24" s="1"/>
  <c r="AX29" i="24"/>
  <c r="Y29" i="24"/>
  <c r="T29" i="24"/>
  <c r="M31" i="24" s="1"/>
  <c r="N31" i="24" s="1"/>
  <c r="P29" i="24"/>
  <c r="O29" i="24"/>
  <c r="Q29" i="24" s="1"/>
  <c r="M29" i="24"/>
  <c r="N29" i="24" s="1"/>
  <c r="AX28" i="24"/>
  <c r="Y28" i="24"/>
  <c r="Q28" i="24"/>
  <c r="P28" i="24"/>
  <c r="O28" i="24"/>
  <c r="N28" i="24"/>
  <c r="X28" i="24" s="1"/>
  <c r="M28" i="24"/>
  <c r="AX27" i="24"/>
  <c r="Y27" i="24"/>
  <c r="Q27" i="24"/>
  <c r="O27" i="24"/>
  <c r="P27" i="24" s="1"/>
  <c r="N27" i="24"/>
  <c r="AA27" i="24" s="1"/>
  <c r="M27" i="24"/>
  <c r="AX26" i="24"/>
  <c r="Z26" i="24"/>
  <c r="Y26" i="24"/>
  <c r="O26" i="24"/>
  <c r="Q26" i="24" s="1"/>
  <c r="M26" i="24"/>
  <c r="N26" i="24" s="1"/>
  <c r="X26" i="24" s="1"/>
  <c r="AX25" i="24"/>
  <c r="Y25" i="24"/>
  <c r="P25" i="24"/>
  <c r="O25" i="24"/>
  <c r="Q25" i="24" s="1"/>
  <c r="N25" i="24"/>
  <c r="AB25" i="24" s="1"/>
  <c r="M25" i="24"/>
  <c r="AX24" i="24"/>
  <c r="Y24" i="24"/>
  <c r="Q24" i="24"/>
  <c r="P24" i="24"/>
  <c r="O24" i="24"/>
  <c r="N24" i="24"/>
  <c r="X24" i="24" s="1"/>
  <c r="M24" i="24"/>
  <c r="AX23" i="24"/>
  <c r="Y23" i="24"/>
  <c r="Q23" i="24"/>
  <c r="O23" i="24"/>
  <c r="P23" i="24" s="1"/>
  <c r="N23" i="24"/>
  <c r="AA23" i="24" s="1"/>
  <c r="M23" i="24"/>
  <c r="AX22" i="24"/>
  <c r="Y22" i="24"/>
  <c r="O22" i="24"/>
  <c r="Q22" i="24" s="1"/>
  <c r="AX21" i="24"/>
  <c r="AD21" i="24"/>
  <c r="Y21" i="24"/>
  <c r="Z21" i="24" s="1"/>
  <c r="O21" i="24"/>
  <c r="Q21" i="24" s="1"/>
  <c r="N21" i="24"/>
  <c r="AX20" i="24"/>
  <c r="Y20" i="24"/>
  <c r="Q20" i="24"/>
  <c r="O20" i="24"/>
  <c r="P20" i="24" s="1"/>
  <c r="N20" i="24"/>
  <c r="AB20" i="24" s="1"/>
  <c r="M20" i="24"/>
  <c r="AX19" i="24"/>
  <c r="Y19" i="24"/>
  <c r="X19" i="24"/>
  <c r="O19" i="24"/>
  <c r="Q19" i="24" s="1"/>
  <c r="M19" i="24"/>
  <c r="N19" i="24" s="1"/>
  <c r="AX18" i="24"/>
  <c r="AD18" i="24"/>
  <c r="Z18" i="24"/>
  <c r="Y18" i="24"/>
  <c r="X18" i="24"/>
  <c r="Q18" i="24"/>
  <c r="O18" i="24"/>
  <c r="P18" i="24" s="1"/>
  <c r="N18" i="24"/>
  <c r="AA18" i="24" s="1"/>
  <c r="M18" i="24"/>
  <c r="AX17" i="24"/>
  <c r="Y17" i="24"/>
  <c r="Q17" i="24"/>
  <c r="P17" i="24"/>
  <c r="O17" i="24"/>
  <c r="M17" i="24"/>
  <c r="N17" i="24" s="1"/>
  <c r="AB17" i="24" s="1"/>
  <c r="AX16" i="24"/>
  <c r="Y16" i="24"/>
  <c r="Q16" i="24"/>
  <c r="O16" i="24"/>
  <c r="P16" i="24" s="1"/>
  <c r="N16" i="24"/>
  <c r="M16" i="24"/>
  <c r="AX15" i="24"/>
  <c r="AD15" i="24"/>
  <c r="Y15" i="24"/>
  <c r="Q15" i="24"/>
  <c r="P15" i="24"/>
  <c r="O15" i="24"/>
  <c r="N15" i="24"/>
  <c r="AA15" i="24" s="1"/>
  <c r="M15" i="24"/>
  <c r="AX14" i="24"/>
  <c r="Y14" i="24"/>
  <c r="X14" i="24"/>
  <c r="O14" i="24"/>
  <c r="Q14" i="24" s="1"/>
  <c r="N14" i="24"/>
  <c r="M14" i="24"/>
  <c r="AX13" i="24"/>
  <c r="Y13" i="24"/>
  <c r="Q13" i="24"/>
  <c r="P13" i="24"/>
  <c r="O13" i="24"/>
  <c r="N13" i="24"/>
  <c r="AA13" i="24" s="1"/>
  <c r="M13" i="24"/>
  <c r="AX12" i="24"/>
  <c r="AD12" i="24"/>
  <c r="Y12" i="24"/>
  <c r="Z12" i="24" s="1"/>
  <c r="X12" i="24"/>
  <c r="Q12" i="24"/>
  <c r="P12" i="24"/>
  <c r="AA12" i="24" s="1"/>
  <c r="O12" i="24"/>
  <c r="M12" i="24"/>
  <c r="N12" i="24" s="1"/>
  <c r="AX11" i="24"/>
  <c r="Y11" i="24"/>
  <c r="Q11" i="24"/>
  <c r="P11" i="24"/>
  <c r="O11" i="24"/>
  <c r="N11" i="24"/>
  <c r="AB11" i="24" s="1"/>
  <c r="M11" i="24"/>
  <c r="AX10" i="24"/>
  <c r="Y10" i="24"/>
  <c r="Z10" i="24" s="1"/>
  <c r="T10" i="24"/>
  <c r="O10" i="24"/>
  <c r="Q10" i="24" s="1"/>
  <c r="M10" i="24"/>
  <c r="N10" i="24" s="1"/>
  <c r="AX9" i="24"/>
  <c r="Y9" i="24"/>
  <c r="Z9" i="24" s="1"/>
  <c r="O9" i="24"/>
  <c r="Q9" i="24" s="1"/>
  <c r="M9" i="24"/>
  <c r="N9" i="24" s="1"/>
  <c r="AX8" i="24"/>
  <c r="Z8" i="24"/>
  <c r="Y8" i="24"/>
  <c r="X8" i="24"/>
  <c r="Q8" i="24"/>
  <c r="O8" i="24"/>
  <c r="P8" i="24" s="1"/>
  <c r="N8" i="24"/>
  <c r="M8" i="24"/>
  <c r="AX7" i="24"/>
  <c r="Y7" i="24"/>
  <c r="P7" i="24"/>
  <c r="O7" i="24"/>
  <c r="Q7" i="24" s="1"/>
  <c r="M7" i="24"/>
  <c r="N7" i="24" s="1"/>
  <c r="AX6" i="24"/>
  <c r="Y6" i="24"/>
  <c r="Z6" i="24" s="1"/>
  <c r="U6" i="24"/>
  <c r="P6" i="24"/>
  <c r="O6" i="24"/>
  <c r="Q6" i="24" s="1"/>
  <c r="M6" i="24"/>
  <c r="N6" i="24" s="1"/>
  <c r="AX5" i="24"/>
  <c r="Y5" i="24"/>
  <c r="Q5" i="24"/>
  <c r="O5" i="24"/>
  <c r="P5" i="24" s="1"/>
  <c r="AX4" i="24"/>
  <c r="AE4" i="24"/>
  <c r="AE5" i="24" s="1"/>
  <c r="Y4" i="24"/>
  <c r="O4" i="24"/>
  <c r="Q4" i="24" s="1"/>
  <c r="M4" i="24"/>
  <c r="N4" i="24" s="1"/>
  <c r="AX3" i="24"/>
  <c r="AJ3" i="24"/>
  <c r="AK3" i="24" s="1"/>
  <c r="AF3" i="24"/>
  <c r="AF4" i="24" s="1"/>
  <c r="Z3" i="24"/>
  <c r="Y3" i="24"/>
  <c r="X3" i="24"/>
  <c r="Q3" i="24"/>
  <c r="O3" i="24"/>
  <c r="P3" i="24" s="1"/>
  <c r="N3" i="24"/>
  <c r="M3" i="24"/>
  <c r="AX2" i="24"/>
  <c r="Y2" i="24"/>
  <c r="P2" i="24"/>
  <c r="O2" i="24"/>
  <c r="Q2" i="24" s="1"/>
  <c r="N2" i="24"/>
  <c r="AB2" i="24" s="1"/>
  <c r="M2" i="24"/>
  <c r="AW103" i="23"/>
  <c r="V102" i="23"/>
  <c r="U102" i="23"/>
  <c r="R102" i="23"/>
  <c r="Q102" i="23"/>
  <c r="K102" i="23"/>
  <c r="C102" i="23"/>
  <c r="B102" i="23"/>
  <c r="AW102" i="23" s="1"/>
  <c r="AW101" i="23"/>
  <c r="AW100" i="23"/>
  <c r="X100" i="23"/>
  <c r="P100" i="23"/>
  <c r="O100" i="23"/>
  <c r="N100" i="23"/>
  <c r="M100" i="23"/>
  <c r="AW99" i="23"/>
  <c r="X99" i="23"/>
  <c r="W99" i="23"/>
  <c r="P99" i="23"/>
  <c r="O99" i="23"/>
  <c r="N99" i="23"/>
  <c r="M99" i="23"/>
  <c r="Z99" i="23" s="1"/>
  <c r="AW98" i="23"/>
  <c r="Z98" i="23"/>
  <c r="X98" i="23"/>
  <c r="Y98" i="23" s="1"/>
  <c r="P98" i="23"/>
  <c r="O98" i="23"/>
  <c r="N98" i="23"/>
  <c r="M98" i="23"/>
  <c r="W98" i="23" s="1"/>
  <c r="AW97" i="23"/>
  <c r="Z97" i="23"/>
  <c r="Y97" i="23"/>
  <c r="X97" i="23"/>
  <c r="W97" i="23"/>
  <c r="P97" i="23"/>
  <c r="O97" i="23"/>
  <c r="N97" i="23"/>
  <c r="M97" i="23"/>
  <c r="AA97" i="23" s="1"/>
  <c r="AW96" i="23"/>
  <c r="Y96" i="23"/>
  <c r="X96" i="23"/>
  <c r="W96" i="23"/>
  <c r="P96" i="23"/>
  <c r="O96" i="23"/>
  <c r="Z96" i="23" s="1"/>
  <c r="N96" i="23"/>
  <c r="M96" i="23"/>
  <c r="AA96" i="23" s="1"/>
  <c r="AW95" i="23"/>
  <c r="Z95" i="23"/>
  <c r="Y95" i="23"/>
  <c r="X95" i="23"/>
  <c r="W95" i="23"/>
  <c r="P95" i="23"/>
  <c r="O95" i="23"/>
  <c r="N95" i="23"/>
  <c r="M95" i="23"/>
  <c r="AA95" i="23" s="1"/>
  <c r="AW94" i="23"/>
  <c r="X94" i="23"/>
  <c r="Y94" i="23" s="1"/>
  <c r="W94" i="23"/>
  <c r="P94" i="23"/>
  <c r="O94" i="23"/>
  <c r="N94" i="23"/>
  <c r="M94" i="23"/>
  <c r="AA94" i="23" s="1"/>
  <c r="AW93" i="23"/>
  <c r="Y93" i="23"/>
  <c r="X93" i="23"/>
  <c r="P93" i="23"/>
  <c r="O93" i="23"/>
  <c r="N93" i="23"/>
  <c r="M93" i="23"/>
  <c r="AA93" i="23" s="1"/>
  <c r="AW92" i="23"/>
  <c r="Y92" i="23"/>
  <c r="X92" i="23"/>
  <c r="P92" i="23"/>
  <c r="O92" i="23"/>
  <c r="N92" i="23"/>
  <c r="M92" i="23"/>
  <c r="W92" i="23" s="1"/>
  <c r="AW91" i="23"/>
  <c r="X91" i="23"/>
  <c r="P91" i="23"/>
  <c r="O91" i="23"/>
  <c r="N91" i="23"/>
  <c r="M91" i="23"/>
  <c r="AW90" i="23"/>
  <c r="X90" i="23"/>
  <c r="P90" i="23"/>
  <c r="O90" i="23"/>
  <c r="N90" i="23"/>
  <c r="M90" i="23"/>
  <c r="AW89" i="23"/>
  <c r="Y89" i="23"/>
  <c r="X89" i="23"/>
  <c r="W89" i="23"/>
  <c r="P89" i="23"/>
  <c r="O89" i="23"/>
  <c r="Z89" i="23" s="1"/>
  <c r="N89" i="23"/>
  <c r="M89" i="23"/>
  <c r="AA89" i="23" s="1"/>
  <c r="AW88" i="23"/>
  <c r="Z88" i="23"/>
  <c r="Y88" i="23"/>
  <c r="X88" i="23"/>
  <c r="W88" i="23"/>
  <c r="P88" i="23"/>
  <c r="O88" i="23"/>
  <c r="N88" i="23"/>
  <c r="M88" i="23"/>
  <c r="AA88" i="23" s="1"/>
  <c r="AW87" i="23"/>
  <c r="Z87" i="23"/>
  <c r="X87" i="23"/>
  <c r="P87" i="23"/>
  <c r="O87" i="23"/>
  <c r="N87" i="23"/>
  <c r="M87" i="23"/>
  <c r="AA87" i="23" s="1"/>
  <c r="AW86" i="23"/>
  <c r="X86" i="23"/>
  <c r="Y86" i="23" s="1"/>
  <c r="W86" i="23"/>
  <c r="P86" i="23"/>
  <c r="O86" i="23"/>
  <c r="N86" i="23"/>
  <c r="M86" i="23"/>
  <c r="AW85" i="23"/>
  <c r="AA85" i="23"/>
  <c r="Y85" i="23"/>
  <c r="X85" i="23"/>
  <c r="P85" i="23"/>
  <c r="O85" i="23"/>
  <c r="N85" i="23"/>
  <c r="M85" i="23"/>
  <c r="AW84" i="23"/>
  <c r="X84" i="23"/>
  <c r="P84" i="23"/>
  <c r="O84" i="23"/>
  <c r="N84" i="23"/>
  <c r="M84" i="23"/>
  <c r="AW83" i="23"/>
  <c r="X83" i="23"/>
  <c r="W83" i="23"/>
  <c r="P83" i="23"/>
  <c r="O83" i="23"/>
  <c r="N83" i="23"/>
  <c r="M83" i="23"/>
  <c r="Z83" i="23" s="1"/>
  <c r="AW82" i="23"/>
  <c r="Z82" i="23"/>
  <c r="X82" i="23"/>
  <c r="Y82" i="23" s="1"/>
  <c r="P82" i="23"/>
  <c r="O82" i="23"/>
  <c r="N82" i="23"/>
  <c r="M82" i="23"/>
  <c r="W82" i="23" s="1"/>
  <c r="AW81" i="23"/>
  <c r="Z81" i="23"/>
  <c r="Y81" i="23"/>
  <c r="X81" i="23"/>
  <c r="W81" i="23"/>
  <c r="P81" i="23"/>
  <c r="O81" i="23"/>
  <c r="N81" i="23"/>
  <c r="M81" i="23"/>
  <c r="AA81" i="23" s="1"/>
  <c r="AW80" i="23"/>
  <c r="Y80" i="23"/>
  <c r="X80" i="23"/>
  <c r="W80" i="23"/>
  <c r="P80" i="23"/>
  <c r="O80" i="23"/>
  <c r="Z80" i="23" s="1"/>
  <c r="N80" i="23"/>
  <c r="M80" i="23"/>
  <c r="AA80" i="23" s="1"/>
  <c r="AW79" i="23"/>
  <c r="Z79" i="23"/>
  <c r="Y79" i="23"/>
  <c r="X79" i="23"/>
  <c r="W79" i="23"/>
  <c r="P79" i="23"/>
  <c r="O79" i="23"/>
  <c r="N79" i="23"/>
  <c r="M79" i="23"/>
  <c r="AA79" i="23" s="1"/>
  <c r="AW78" i="23"/>
  <c r="X78" i="23"/>
  <c r="Y78" i="23" s="1"/>
  <c r="W78" i="23"/>
  <c r="P78" i="23"/>
  <c r="O78" i="23"/>
  <c r="N78" i="23"/>
  <c r="M78" i="23"/>
  <c r="AA78" i="23" s="1"/>
  <c r="AW77" i="23"/>
  <c r="Y77" i="23"/>
  <c r="X77" i="23"/>
  <c r="P77" i="23"/>
  <c r="O77" i="23"/>
  <c r="N77" i="23"/>
  <c r="M77" i="23"/>
  <c r="AW76" i="23"/>
  <c r="Z76" i="23"/>
  <c r="X76" i="23"/>
  <c r="Y76" i="23" s="1"/>
  <c r="P76" i="23"/>
  <c r="O76" i="23"/>
  <c r="N76" i="23"/>
  <c r="M76" i="23"/>
  <c r="W76" i="23" s="1"/>
  <c r="AW75" i="23"/>
  <c r="X75" i="23"/>
  <c r="W75" i="23"/>
  <c r="P75" i="23"/>
  <c r="O75" i="23"/>
  <c r="N75" i="23"/>
  <c r="M75" i="23"/>
  <c r="AW74" i="23"/>
  <c r="X74" i="23"/>
  <c r="P74" i="23"/>
  <c r="O74" i="23"/>
  <c r="N74" i="23"/>
  <c r="M74" i="23"/>
  <c r="Z74" i="23" s="1"/>
  <c r="AW73" i="23"/>
  <c r="Y73" i="23"/>
  <c r="X73" i="23"/>
  <c r="W73" i="23"/>
  <c r="P73" i="23"/>
  <c r="O73" i="23"/>
  <c r="Z73" i="23" s="1"/>
  <c r="N73" i="23"/>
  <c r="M73" i="23"/>
  <c r="AA73" i="23" s="1"/>
  <c r="AW72" i="23"/>
  <c r="Z72" i="23"/>
  <c r="Y72" i="23"/>
  <c r="X72" i="23"/>
  <c r="W72" i="23"/>
  <c r="P72" i="23"/>
  <c r="O72" i="23"/>
  <c r="N72" i="23"/>
  <c r="M72" i="23"/>
  <c r="AA72" i="23" s="1"/>
  <c r="AW71" i="23"/>
  <c r="Z71" i="23"/>
  <c r="X71" i="23"/>
  <c r="P71" i="23"/>
  <c r="O71" i="23"/>
  <c r="N71" i="23"/>
  <c r="M71" i="23"/>
  <c r="AA71" i="23" s="1"/>
  <c r="AW70" i="23"/>
  <c r="X70" i="23"/>
  <c r="Y70" i="23" s="1"/>
  <c r="W70" i="23"/>
  <c r="P70" i="23"/>
  <c r="O70" i="23"/>
  <c r="N70" i="23"/>
  <c r="M70" i="23"/>
  <c r="AW69" i="23"/>
  <c r="AA69" i="23"/>
  <c r="Y69" i="23"/>
  <c r="X69" i="23"/>
  <c r="P69" i="23"/>
  <c r="O69" i="23"/>
  <c r="N69" i="23"/>
  <c r="M69" i="23"/>
  <c r="AW68" i="23"/>
  <c r="AA68" i="23"/>
  <c r="Y68" i="23"/>
  <c r="X68" i="23"/>
  <c r="P68" i="23"/>
  <c r="O68" i="23"/>
  <c r="N68" i="23"/>
  <c r="M68" i="23"/>
  <c r="AW67" i="23"/>
  <c r="X67" i="23"/>
  <c r="P67" i="23"/>
  <c r="O67" i="23"/>
  <c r="N67" i="23"/>
  <c r="M67" i="23"/>
  <c r="AW66" i="23"/>
  <c r="Z66" i="23"/>
  <c r="X66" i="23"/>
  <c r="Y66" i="23" s="1"/>
  <c r="P66" i="23"/>
  <c r="O66" i="23"/>
  <c r="N66" i="23"/>
  <c r="M66" i="23"/>
  <c r="W66" i="23" s="1"/>
  <c r="AW65" i="23"/>
  <c r="X65" i="23"/>
  <c r="P65" i="23"/>
  <c r="O65" i="23"/>
  <c r="N65" i="23"/>
  <c r="M65" i="23"/>
  <c r="AW64" i="23"/>
  <c r="Y64" i="23"/>
  <c r="X64" i="23"/>
  <c r="W64" i="23"/>
  <c r="P64" i="23"/>
  <c r="O64" i="23"/>
  <c r="Z64" i="23" s="1"/>
  <c r="N64" i="23"/>
  <c r="M64" i="23"/>
  <c r="AA64" i="23" s="1"/>
  <c r="AW63" i="23"/>
  <c r="Z63" i="23"/>
  <c r="Y63" i="23"/>
  <c r="X63" i="23"/>
  <c r="W63" i="23"/>
  <c r="P63" i="23"/>
  <c r="O63" i="23"/>
  <c r="N63" i="23"/>
  <c r="M63" i="23"/>
  <c r="AW62" i="23"/>
  <c r="Z62" i="23"/>
  <c r="X62" i="23"/>
  <c r="W62" i="23"/>
  <c r="P62" i="23"/>
  <c r="O62" i="23"/>
  <c r="N62" i="23"/>
  <c r="M62" i="23"/>
  <c r="AA62" i="23" s="1"/>
  <c r="AW61" i="23"/>
  <c r="Y61" i="23"/>
  <c r="X61" i="23"/>
  <c r="W61" i="23"/>
  <c r="P61" i="23"/>
  <c r="O61" i="23"/>
  <c r="N61" i="23"/>
  <c r="M61" i="23"/>
  <c r="AA61" i="23" s="1"/>
  <c r="AW60" i="23"/>
  <c r="Y60" i="23"/>
  <c r="X60" i="23"/>
  <c r="P60" i="23"/>
  <c r="O60" i="23"/>
  <c r="N60" i="23"/>
  <c r="M60" i="23"/>
  <c r="AW59" i="23"/>
  <c r="Z59" i="23"/>
  <c r="X59" i="23"/>
  <c r="Y59" i="23" s="1"/>
  <c r="P59" i="23"/>
  <c r="O59" i="23"/>
  <c r="N59" i="23"/>
  <c r="M59" i="23"/>
  <c r="AW58" i="23"/>
  <c r="AA58" i="23"/>
  <c r="X58" i="23"/>
  <c r="P58" i="23"/>
  <c r="O58" i="23"/>
  <c r="N58" i="23"/>
  <c r="M58" i="23"/>
  <c r="AW57" i="23"/>
  <c r="AA57" i="23"/>
  <c r="X57" i="23"/>
  <c r="P57" i="23"/>
  <c r="O57" i="23"/>
  <c r="N57" i="23"/>
  <c r="M57" i="23"/>
  <c r="AW56" i="23"/>
  <c r="Z56" i="23"/>
  <c r="Y56" i="23"/>
  <c r="X56" i="23"/>
  <c r="W56" i="23"/>
  <c r="P56" i="23"/>
  <c r="O56" i="23"/>
  <c r="N56" i="23"/>
  <c r="M56" i="23"/>
  <c r="AA56" i="23" s="1"/>
  <c r="AW55" i="23"/>
  <c r="Z55" i="23"/>
  <c r="Y55" i="23"/>
  <c r="X55" i="23"/>
  <c r="W55" i="23"/>
  <c r="P55" i="23"/>
  <c r="O55" i="23"/>
  <c r="N55" i="23"/>
  <c r="M55" i="23"/>
  <c r="AA55" i="23" s="1"/>
  <c r="AW54" i="23"/>
  <c r="AA54" i="23"/>
  <c r="Z54" i="23"/>
  <c r="X54" i="23"/>
  <c r="P54" i="23"/>
  <c r="O54" i="23"/>
  <c r="N54" i="23"/>
  <c r="M54" i="23"/>
  <c r="AW53" i="23"/>
  <c r="Y53" i="23"/>
  <c r="X53" i="23"/>
  <c r="W53" i="23"/>
  <c r="P53" i="23"/>
  <c r="O53" i="23"/>
  <c r="N53" i="23"/>
  <c r="M53" i="23"/>
  <c r="AA53" i="23" s="1"/>
  <c r="AW52" i="23"/>
  <c r="AA52" i="23"/>
  <c r="Y52" i="23"/>
  <c r="X52" i="23"/>
  <c r="P52" i="23"/>
  <c r="O52" i="23"/>
  <c r="N52" i="23"/>
  <c r="M52" i="23"/>
  <c r="AW51" i="23"/>
  <c r="Z51" i="23"/>
  <c r="X51" i="23"/>
  <c r="Y51" i="23" s="1"/>
  <c r="P51" i="23"/>
  <c r="O51" i="23"/>
  <c r="N51" i="23"/>
  <c r="M51" i="23"/>
  <c r="W51" i="23" s="1"/>
  <c r="AW50" i="23"/>
  <c r="AA50" i="23"/>
  <c r="X50" i="23"/>
  <c r="Y50" i="23" s="1"/>
  <c r="W50" i="23"/>
  <c r="S50" i="23"/>
  <c r="AA92" i="23" s="1"/>
  <c r="P50" i="23"/>
  <c r="O50" i="23"/>
  <c r="N50" i="23"/>
  <c r="M50" i="23"/>
  <c r="Z50" i="23" s="1"/>
  <c r="AW49" i="23"/>
  <c r="AA49" i="23"/>
  <c r="Y49" i="23"/>
  <c r="X49" i="23"/>
  <c r="P49" i="23"/>
  <c r="O49" i="23"/>
  <c r="N49" i="23"/>
  <c r="M49" i="23"/>
  <c r="AW48" i="23"/>
  <c r="X48" i="23"/>
  <c r="Y48" i="23" s="1"/>
  <c r="P48" i="23"/>
  <c r="O48" i="23"/>
  <c r="N48" i="23"/>
  <c r="M48" i="23"/>
  <c r="AW47" i="23"/>
  <c r="Z47" i="23"/>
  <c r="X47" i="23"/>
  <c r="P47" i="23"/>
  <c r="O47" i="23"/>
  <c r="N47" i="23"/>
  <c r="M47" i="23"/>
  <c r="AW46" i="23"/>
  <c r="X46" i="23"/>
  <c r="O46" i="23"/>
  <c r="AA46" i="23" s="1"/>
  <c r="N46" i="23"/>
  <c r="P46" i="23" s="1"/>
  <c r="M46" i="23"/>
  <c r="AW45" i="23"/>
  <c r="Z45" i="23"/>
  <c r="X45" i="23"/>
  <c r="Y45" i="23" s="1"/>
  <c r="W45" i="23"/>
  <c r="O45" i="23"/>
  <c r="N45" i="23"/>
  <c r="P45" i="23" s="1"/>
  <c r="M45" i="23"/>
  <c r="AW44" i="23"/>
  <c r="X44" i="23"/>
  <c r="P44" i="23"/>
  <c r="O44" i="23"/>
  <c r="N44" i="23"/>
  <c r="AW43" i="23"/>
  <c r="X43" i="23"/>
  <c r="N43" i="23"/>
  <c r="AW42" i="23"/>
  <c r="X42" i="23"/>
  <c r="Y42" i="23" s="1"/>
  <c r="W42" i="23"/>
  <c r="N42" i="23"/>
  <c r="M42" i="23"/>
  <c r="AW41" i="23"/>
  <c r="Z41" i="23"/>
  <c r="X41" i="23"/>
  <c r="Y41" i="23" s="1"/>
  <c r="P41" i="23"/>
  <c r="O41" i="23"/>
  <c r="N41" i="23"/>
  <c r="AW40" i="23"/>
  <c r="AD40" i="23"/>
  <c r="X40" i="23"/>
  <c r="T40" i="23"/>
  <c r="N40" i="23"/>
  <c r="M40" i="23"/>
  <c r="AW39" i="23"/>
  <c r="AI39" i="23"/>
  <c r="AJ39" i="23" s="1"/>
  <c r="AE39" i="23"/>
  <c r="Y39" i="23"/>
  <c r="X39" i="23"/>
  <c r="W39" i="23"/>
  <c r="T39" i="23"/>
  <c r="P39" i="23"/>
  <c r="O39" i="23"/>
  <c r="N39" i="23"/>
  <c r="M39" i="23"/>
  <c r="AW38" i="23"/>
  <c r="X38" i="23"/>
  <c r="P38" i="23"/>
  <c r="O38" i="23"/>
  <c r="N38" i="23"/>
  <c r="AW37" i="23"/>
  <c r="AA37" i="23"/>
  <c r="X37" i="23"/>
  <c r="Y37" i="23" s="1"/>
  <c r="S37" i="23"/>
  <c r="M33" i="23" s="1"/>
  <c r="W33" i="23" s="1"/>
  <c r="O37" i="23"/>
  <c r="N37" i="23"/>
  <c r="P37" i="23" s="1"/>
  <c r="M37" i="23"/>
  <c r="W37" i="23" s="1"/>
  <c r="AW36" i="23"/>
  <c r="Y36" i="23"/>
  <c r="X36" i="23"/>
  <c r="S36" i="23"/>
  <c r="O36" i="23"/>
  <c r="N36" i="23"/>
  <c r="P36" i="23" s="1"/>
  <c r="M36" i="23"/>
  <c r="AW35" i="23"/>
  <c r="Z35" i="23"/>
  <c r="X35" i="23"/>
  <c r="S35" i="23"/>
  <c r="M44" i="23" s="1"/>
  <c r="W44" i="23" s="1"/>
  <c r="P35" i="23"/>
  <c r="O35" i="23"/>
  <c r="N35" i="23"/>
  <c r="M35" i="23"/>
  <c r="AW34" i="23"/>
  <c r="X34" i="23"/>
  <c r="Y34" i="23" s="1"/>
  <c r="S34" i="23"/>
  <c r="M34" i="23" s="1"/>
  <c r="P34" i="23"/>
  <c r="O34" i="23"/>
  <c r="N34" i="23"/>
  <c r="AW33" i="23"/>
  <c r="Z33" i="23"/>
  <c r="X33" i="23"/>
  <c r="S33" i="23"/>
  <c r="O33" i="23"/>
  <c r="AA33" i="23" s="1"/>
  <c r="N33" i="23"/>
  <c r="P33" i="23" s="1"/>
  <c r="L33" i="23"/>
  <c r="L102" i="23" s="1"/>
  <c r="AW32" i="23"/>
  <c r="AA32" i="23"/>
  <c r="X32" i="23"/>
  <c r="S32" i="23"/>
  <c r="P32" i="23"/>
  <c r="N32" i="23"/>
  <c r="O32" i="23" s="1"/>
  <c r="M32" i="23"/>
  <c r="Z32" i="23" s="1"/>
  <c r="AW31" i="23"/>
  <c r="X31" i="23"/>
  <c r="S31" i="23"/>
  <c r="M41" i="23" s="1"/>
  <c r="W41" i="23" s="1"/>
  <c r="O31" i="23"/>
  <c r="N31" i="23"/>
  <c r="P31" i="23" s="1"/>
  <c r="M31" i="23"/>
  <c r="AA31" i="23" s="1"/>
  <c r="AW30" i="23"/>
  <c r="X30" i="23"/>
  <c r="S30" i="23"/>
  <c r="P30" i="23"/>
  <c r="O30" i="23"/>
  <c r="N30" i="23"/>
  <c r="M30" i="23"/>
  <c r="AW29" i="23"/>
  <c r="X29" i="23"/>
  <c r="S29" i="23"/>
  <c r="N29" i="23"/>
  <c r="AW28" i="23"/>
  <c r="X28" i="23"/>
  <c r="N28" i="23"/>
  <c r="O28" i="23" s="1"/>
  <c r="M28" i="23"/>
  <c r="W28" i="23" s="1"/>
  <c r="AW27" i="23"/>
  <c r="X27" i="23"/>
  <c r="Y27" i="23" s="1"/>
  <c r="P27" i="23"/>
  <c r="N27" i="23"/>
  <c r="O27" i="23" s="1"/>
  <c r="M27" i="23"/>
  <c r="AW26" i="23"/>
  <c r="X26" i="23"/>
  <c r="Y26" i="23" s="1"/>
  <c r="W26" i="23"/>
  <c r="P26" i="23"/>
  <c r="O26" i="23"/>
  <c r="N26" i="23"/>
  <c r="M26" i="23"/>
  <c r="AW25" i="23"/>
  <c r="Z25" i="23"/>
  <c r="X25" i="23"/>
  <c r="Y25" i="23" s="1"/>
  <c r="O25" i="23"/>
  <c r="N25" i="23"/>
  <c r="P25" i="23" s="1"/>
  <c r="M25" i="23"/>
  <c r="W25" i="23" s="1"/>
  <c r="AW24" i="23"/>
  <c r="X24" i="23"/>
  <c r="O24" i="23"/>
  <c r="N24" i="23"/>
  <c r="P24" i="23" s="1"/>
  <c r="AW23" i="23"/>
  <c r="Z23" i="23"/>
  <c r="X23" i="23"/>
  <c r="Y23" i="23" s="1"/>
  <c r="W23" i="23"/>
  <c r="P23" i="23"/>
  <c r="O23" i="23"/>
  <c r="N23" i="23"/>
  <c r="M23" i="23"/>
  <c r="AW22" i="23"/>
  <c r="X22" i="23"/>
  <c r="Y22" i="23" s="1"/>
  <c r="N22" i="23"/>
  <c r="P22" i="23" s="1"/>
  <c r="M22" i="23"/>
  <c r="AW21" i="23"/>
  <c r="AC21" i="23"/>
  <c r="X21" i="23"/>
  <c r="Y21" i="23" s="1"/>
  <c r="P21" i="23"/>
  <c r="O21" i="23"/>
  <c r="Z21" i="23" s="1"/>
  <c r="N21" i="23"/>
  <c r="M21" i="23"/>
  <c r="W21" i="23" s="1"/>
  <c r="AW20" i="23"/>
  <c r="AA20" i="23"/>
  <c r="Z20" i="23"/>
  <c r="X20" i="23"/>
  <c r="P20" i="23"/>
  <c r="O20" i="23"/>
  <c r="N20" i="23"/>
  <c r="M20" i="23"/>
  <c r="W20" i="23" s="1"/>
  <c r="AW19" i="23"/>
  <c r="AA19" i="23"/>
  <c r="Z19" i="23"/>
  <c r="X19" i="23"/>
  <c r="Y19" i="23" s="1"/>
  <c r="W19" i="23"/>
  <c r="P19" i="23"/>
  <c r="N19" i="23"/>
  <c r="O19" i="23" s="1"/>
  <c r="M19" i="23"/>
  <c r="AW18" i="23"/>
  <c r="AC18" i="23"/>
  <c r="X18" i="23"/>
  <c r="O18" i="23"/>
  <c r="N18" i="23"/>
  <c r="P18" i="23" s="1"/>
  <c r="AW17" i="23"/>
  <c r="X17" i="23"/>
  <c r="P17" i="23"/>
  <c r="O17" i="23"/>
  <c r="N17" i="23"/>
  <c r="M17" i="23"/>
  <c r="W17" i="23" s="1"/>
  <c r="AW16" i="23"/>
  <c r="X16" i="23"/>
  <c r="W16" i="23"/>
  <c r="P16" i="23"/>
  <c r="N16" i="23"/>
  <c r="O16" i="23" s="1"/>
  <c r="M16" i="23"/>
  <c r="AA16" i="23" s="1"/>
  <c r="AW15" i="23"/>
  <c r="AC15" i="23"/>
  <c r="X15" i="23"/>
  <c r="O15" i="23"/>
  <c r="N15" i="23"/>
  <c r="P15" i="23" s="1"/>
  <c r="AW14" i="23"/>
  <c r="Y14" i="23"/>
  <c r="X14" i="23"/>
  <c r="P14" i="23"/>
  <c r="O14" i="23"/>
  <c r="N14" i="23"/>
  <c r="M14" i="23"/>
  <c r="W14" i="23" s="1"/>
  <c r="AW13" i="23"/>
  <c r="X13" i="23"/>
  <c r="P13" i="23"/>
  <c r="N13" i="23"/>
  <c r="O13" i="23" s="1"/>
  <c r="M13" i="23"/>
  <c r="AA13" i="23" s="1"/>
  <c r="AW12" i="23"/>
  <c r="AC12" i="23"/>
  <c r="X12" i="23"/>
  <c r="Y12" i="23" s="1"/>
  <c r="P12" i="23"/>
  <c r="O12" i="23"/>
  <c r="Z12" i="23" s="1"/>
  <c r="N12" i="23"/>
  <c r="M12" i="23"/>
  <c r="W12" i="23" s="1"/>
  <c r="AW11" i="23"/>
  <c r="X11" i="23"/>
  <c r="P11" i="23"/>
  <c r="O11" i="23"/>
  <c r="N11" i="23"/>
  <c r="M11" i="23"/>
  <c r="AA11" i="23" s="1"/>
  <c r="AW10" i="23"/>
  <c r="X10" i="23"/>
  <c r="S10" i="23"/>
  <c r="P10" i="23"/>
  <c r="O10" i="23"/>
  <c r="N10" i="23"/>
  <c r="M10" i="23"/>
  <c r="Z10" i="23" s="1"/>
  <c r="AW9" i="23"/>
  <c r="X9" i="23"/>
  <c r="N9" i="23"/>
  <c r="O9" i="23" s="1"/>
  <c r="M9" i="23"/>
  <c r="Z9" i="23" s="1"/>
  <c r="AW8" i="23"/>
  <c r="X8" i="23"/>
  <c r="Y8" i="23" s="1"/>
  <c r="N8" i="23"/>
  <c r="P8" i="23" s="1"/>
  <c r="M8" i="23"/>
  <c r="W8" i="23" s="1"/>
  <c r="AW7" i="23"/>
  <c r="X7" i="23"/>
  <c r="W7" i="23"/>
  <c r="P7" i="23"/>
  <c r="O7" i="23"/>
  <c r="N7" i="23"/>
  <c r="M7" i="23"/>
  <c r="AA7" i="23" s="1"/>
  <c r="AW6" i="23"/>
  <c r="Y6" i="23"/>
  <c r="X6" i="23"/>
  <c r="N6" i="23"/>
  <c r="P6" i="23" s="1"/>
  <c r="M6" i="23"/>
  <c r="AW5" i="23"/>
  <c r="Z5" i="23"/>
  <c r="X5" i="23"/>
  <c r="P5" i="23"/>
  <c r="O5" i="23"/>
  <c r="N5" i="23"/>
  <c r="M5" i="23"/>
  <c r="W5" i="23" s="1"/>
  <c r="AW4" i="23"/>
  <c r="AD4" i="23"/>
  <c r="AD5" i="23" s="1"/>
  <c r="X4" i="23"/>
  <c r="W4" i="23"/>
  <c r="P4" i="23"/>
  <c r="N4" i="23"/>
  <c r="O4" i="23" s="1"/>
  <c r="M4" i="23"/>
  <c r="AA4" i="23" s="1"/>
  <c r="AW3" i="23"/>
  <c r="X3" i="23"/>
  <c r="Y3" i="23" s="1"/>
  <c r="W3" i="23"/>
  <c r="N3" i="23"/>
  <c r="P3" i="23" s="1"/>
  <c r="M3" i="23"/>
  <c r="AW2" i="23"/>
  <c r="X2" i="23"/>
  <c r="N2" i="23"/>
  <c r="P2" i="23" s="1"/>
  <c r="M2" i="23"/>
  <c r="E107" i="22"/>
  <c r="H109" i="22"/>
  <c r="H111" i="22" s="1"/>
  <c r="AD44" i="22" s="1"/>
  <c r="H108" i="22"/>
  <c r="H107" i="22"/>
  <c r="H106" i="22"/>
  <c r="G108" i="22"/>
  <c r="G109" i="22"/>
  <c r="J114" i="21"/>
  <c r="J128" i="21"/>
  <c r="AC12" i="21" s="1"/>
  <c r="H120" i="22"/>
  <c r="H123" i="22" s="1"/>
  <c r="AD8" i="22" s="1"/>
  <c r="AF3" i="22" s="1"/>
  <c r="AF4" i="22" s="1"/>
  <c r="H121" i="22"/>
  <c r="H119" i="22"/>
  <c r="H118" i="22"/>
  <c r="H117" i="22"/>
  <c r="H116" i="22"/>
  <c r="G120" i="22"/>
  <c r="I130" i="21"/>
  <c r="I128" i="21"/>
  <c r="G134" i="21"/>
  <c r="G121" i="22"/>
  <c r="G119" i="22"/>
  <c r="G118" i="22"/>
  <c r="G117" i="22"/>
  <c r="G116" i="22"/>
  <c r="G107" i="22"/>
  <c r="D102" i="22"/>
  <c r="E102" i="22"/>
  <c r="F102" i="22"/>
  <c r="G102" i="22"/>
  <c r="H102" i="22"/>
  <c r="I102" i="22"/>
  <c r="J102" i="22"/>
  <c r="G106" i="22"/>
  <c r="H114" i="16"/>
  <c r="P129" i="21"/>
  <c r="O129" i="21"/>
  <c r="M129" i="21"/>
  <c r="N133" i="21"/>
  <c r="J140" i="21"/>
  <c r="J137" i="21"/>
  <c r="N129" i="21"/>
  <c r="J126" i="21"/>
  <c r="J111" i="21"/>
  <c r="I111" i="21"/>
  <c r="I129" i="21"/>
  <c r="H113" i="16"/>
  <c r="H112" i="16"/>
  <c r="H111" i="16"/>
  <c r="H110" i="16"/>
  <c r="H109" i="16"/>
  <c r="H108" i="16"/>
  <c r="H107" i="16"/>
  <c r="D102" i="16"/>
  <c r="E102" i="16"/>
  <c r="F102" i="16"/>
  <c r="G102" i="16"/>
  <c r="H102" i="16"/>
  <c r="I102" i="16"/>
  <c r="J102" i="16"/>
  <c r="J129" i="21"/>
  <c r="J125" i="21"/>
  <c r="J124" i="21"/>
  <c r="I125" i="21"/>
  <c r="I124" i="21"/>
  <c r="I126" i="21"/>
  <c r="I106" i="21"/>
  <c r="J112" i="21"/>
  <c r="I112" i="21"/>
  <c r="E111" i="21"/>
  <c r="E112" i="21"/>
  <c r="G121" i="21"/>
  <c r="G120" i="21"/>
  <c r="G119" i="21"/>
  <c r="G118" i="21"/>
  <c r="F119" i="21"/>
  <c r="F118" i="21"/>
  <c r="C120" i="21"/>
  <c r="C119" i="21"/>
  <c r="A115" i="21"/>
  <c r="B109" i="21"/>
  <c r="B108" i="21"/>
  <c r="B106" i="21"/>
  <c r="H106" i="21"/>
  <c r="F106" i="21"/>
  <c r="F109" i="21"/>
  <c r="E109" i="21"/>
  <c r="F105" i="21"/>
  <c r="H105" i="21"/>
  <c r="B105" i="21"/>
  <c r="D102" i="21"/>
  <c r="E102" i="21"/>
  <c r="F102" i="21"/>
  <c r="G102" i="21"/>
  <c r="H102" i="21"/>
  <c r="I102" i="21"/>
  <c r="I127" i="21" s="1"/>
  <c r="J102" i="21"/>
  <c r="W102" i="22"/>
  <c r="V102" i="22"/>
  <c r="S102" i="22"/>
  <c r="R102" i="22"/>
  <c r="K102" i="22"/>
  <c r="C102" i="22"/>
  <c r="B102" i="22"/>
  <c r="AX65" i="22" s="1"/>
  <c r="Y100" i="22"/>
  <c r="Q100" i="22"/>
  <c r="P100" i="22"/>
  <c r="O100" i="22"/>
  <c r="M100" i="22"/>
  <c r="Y99" i="22"/>
  <c r="Q99" i="22"/>
  <c r="P99" i="22"/>
  <c r="O99" i="22"/>
  <c r="Y98" i="22"/>
  <c r="Q98" i="22"/>
  <c r="P98" i="22"/>
  <c r="O98" i="22"/>
  <c r="Y97" i="22"/>
  <c r="Q97" i="22"/>
  <c r="P97" i="22"/>
  <c r="O97" i="22"/>
  <c r="Y96" i="22"/>
  <c r="Q96" i="22"/>
  <c r="P96" i="22"/>
  <c r="O96" i="22"/>
  <c r="M96" i="22"/>
  <c r="Y95" i="22"/>
  <c r="Q95" i="22"/>
  <c r="P95" i="22"/>
  <c r="O95" i="22"/>
  <c r="Y94" i="22"/>
  <c r="Q94" i="22"/>
  <c r="P94" i="22"/>
  <c r="O94" i="22"/>
  <c r="Y93" i="22"/>
  <c r="Q93" i="22"/>
  <c r="P93" i="22"/>
  <c r="O93" i="22"/>
  <c r="Y92" i="22"/>
  <c r="Q92" i="22"/>
  <c r="P92" i="22"/>
  <c r="O92" i="22"/>
  <c r="Y91" i="22"/>
  <c r="Q91" i="22"/>
  <c r="P91" i="22"/>
  <c r="O91" i="22"/>
  <c r="Y90" i="22"/>
  <c r="Q90" i="22"/>
  <c r="P90" i="22"/>
  <c r="O90" i="22"/>
  <c r="Y89" i="22"/>
  <c r="Q89" i="22"/>
  <c r="P89" i="22"/>
  <c r="O89" i="22"/>
  <c r="Y88" i="22"/>
  <c r="Q88" i="22"/>
  <c r="P88" i="22"/>
  <c r="O88" i="22"/>
  <c r="Y87" i="22"/>
  <c r="Q87" i="22"/>
  <c r="P87" i="22"/>
  <c r="O87" i="22"/>
  <c r="Y86" i="22"/>
  <c r="Q86" i="22"/>
  <c r="P86" i="22"/>
  <c r="O86" i="22"/>
  <c r="Y85" i="22"/>
  <c r="Q85" i="22"/>
  <c r="P85" i="22"/>
  <c r="O85" i="22"/>
  <c r="AX84" i="22"/>
  <c r="Y84" i="22"/>
  <c r="Q84" i="22"/>
  <c r="P84" i="22"/>
  <c r="O84" i="22"/>
  <c r="M84" i="22"/>
  <c r="Y83" i="22"/>
  <c r="Q83" i="22"/>
  <c r="P83" i="22"/>
  <c r="O83" i="22"/>
  <c r="Y82" i="22"/>
  <c r="Q82" i="22"/>
  <c r="P82" i="22"/>
  <c r="O82" i="22"/>
  <c r="Y81" i="22"/>
  <c r="Q81" i="22"/>
  <c r="P81" i="22"/>
  <c r="O81" i="22"/>
  <c r="Y80" i="22"/>
  <c r="Q80" i="22"/>
  <c r="P80" i="22"/>
  <c r="O80" i="22"/>
  <c r="Y79" i="22"/>
  <c r="Q79" i="22"/>
  <c r="P79" i="22"/>
  <c r="O79" i="22"/>
  <c r="Y78" i="22"/>
  <c r="Q78" i="22"/>
  <c r="P78" i="22"/>
  <c r="O78" i="22"/>
  <c r="Y77" i="22"/>
  <c r="Q77" i="22"/>
  <c r="P77" i="22"/>
  <c r="O77" i="22"/>
  <c r="Y76" i="22"/>
  <c r="Q76" i="22"/>
  <c r="P76" i="22"/>
  <c r="O76" i="22"/>
  <c r="M76" i="22"/>
  <c r="Y75" i="22"/>
  <c r="Q75" i="22"/>
  <c r="P75" i="22"/>
  <c r="O75" i="22"/>
  <c r="Y74" i="22"/>
  <c r="Q74" i="22"/>
  <c r="P74" i="22"/>
  <c r="O74" i="22"/>
  <c r="Y73" i="22"/>
  <c r="Q73" i="22"/>
  <c r="P73" i="22"/>
  <c r="O73" i="22"/>
  <c r="Y72" i="22"/>
  <c r="Q72" i="22"/>
  <c r="P72" i="22"/>
  <c r="O72" i="22"/>
  <c r="Y71" i="22"/>
  <c r="Q71" i="22"/>
  <c r="P71" i="22"/>
  <c r="O71" i="22"/>
  <c r="Y70" i="22"/>
  <c r="Q70" i="22"/>
  <c r="P70" i="22"/>
  <c r="O70" i="22"/>
  <c r="Y69" i="22"/>
  <c r="Q69" i="22"/>
  <c r="P69" i="22"/>
  <c r="O69" i="22"/>
  <c r="Y68" i="22"/>
  <c r="Q68" i="22"/>
  <c r="P68" i="22"/>
  <c r="O68" i="22"/>
  <c r="Y67" i="22"/>
  <c r="Q67" i="22"/>
  <c r="P67" i="22"/>
  <c r="O67" i="22"/>
  <c r="Y66" i="22"/>
  <c r="Q66" i="22"/>
  <c r="P66" i="22"/>
  <c r="O66" i="22"/>
  <c r="Y65" i="22"/>
  <c r="Q65" i="22"/>
  <c r="P65" i="22"/>
  <c r="O65" i="22"/>
  <c r="Y64" i="22"/>
  <c r="Q64" i="22"/>
  <c r="P64" i="22"/>
  <c r="O64" i="22"/>
  <c r="Y63" i="22"/>
  <c r="Q63" i="22"/>
  <c r="P63" i="22"/>
  <c r="O63" i="22"/>
  <c r="Y62" i="22"/>
  <c r="Q62" i="22"/>
  <c r="P62" i="22"/>
  <c r="O62" i="22"/>
  <c r="Y61" i="22"/>
  <c r="Q61" i="22"/>
  <c r="P61" i="22"/>
  <c r="O61" i="22"/>
  <c r="Y60" i="22"/>
  <c r="Q60" i="22"/>
  <c r="P60" i="22"/>
  <c r="O60" i="22"/>
  <c r="Y59" i="22"/>
  <c r="Q59" i="22"/>
  <c r="P59" i="22"/>
  <c r="O59" i="22"/>
  <c r="Y58" i="22"/>
  <c r="Q58" i="22"/>
  <c r="P58" i="22"/>
  <c r="O58" i="22"/>
  <c r="Y57" i="22"/>
  <c r="Q57" i="22"/>
  <c r="P57" i="22"/>
  <c r="O57" i="22"/>
  <c r="Y56" i="22"/>
  <c r="Q56" i="22"/>
  <c r="P56" i="22"/>
  <c r="O56" i="22"/>
  <c r="M56" i="22"/>
  <c r="Y55" i="22"/>
  <c r="Q55" i="22"/>
  <c r="P55" i="22"/>
  <c r="O55" i="22"/>
  <c r="Y54" i="22"/>
  <c r="Q54" i="22"/>
  <c r="P54" i="22"/>
  <c r="O54" i="22"/>
  <c r="Y53" i="22"/>
  <c r="Q53" i="22"/>
  <c r="P53" i="22"/>
  <c r="O53" i="22"/>
  <c r="Y52" i="22"/>
  <c r="Q52" i="22"/>
  <c r="P52" i="22"/>
  <c r="O52" i="22"/>
  <c r="Y51" i="22"/>
  <c r="Q51" i="22"/>
  <c r="P51" i="22"/>
  <c r="O51" i="22"/>
  <c r="Y50" i="22"/>
  <c r="T50" i="22"/>
  <c r="Q50" i="22"/>
  <c r="P50" i="22"/>
  <c r="O50" i="22"/>
  <c r="Y49" i="22"/>
  <c r="Q49" i="22"/>
  <c r="P49" i="22"/>
  <c r="O49" i="22"/>
  <c r="Y48" i="22"/>
  <c r="Q48" i="22"/>
  <c r="P48" i="22"/>
  <c r="O48" i="22"/>
  <c r="Y47" i="22"/>
  <c r="Q47" i="22"/>
  <c r="P47" i="22"/>
  <c r="O47" i="22"/>
  <c r="M47" i="22"/>
  <c r="Z46" i="22"/>
  <c r="Y46" i="22"/>
  <c r="Q46" i="22"/>
  <c r="P46" i="22"/>
  <c r="O46" i="22"/>
  <c r="M46" i="22"/>
  <c r="N46" i="22" s="1"/>
  <c r="AB46" i="22" s="1"/>
  <c r="Y45" i="22"/>
  <c r="P45" i="22"/>
  <c r="O45" i="22"/>
  <c r="Q45" i="22" s="1"/>
  <c r="M45" i="22"/>
  <c r="N45" i="22" s="1"/>
  <c r="Y44" i="22"/>
  <c r="Q44" i="22"/>
  <c r="P44" i="22"/>
  <c r="O44" i="22"/>
  <c r="Y43" i="22"/>
  <c r="O43" i="22"/>
  <c r="Q43" i="22" s="1"/>
  <c r="Y42" i="22"/>
  <c r="Q42" i="22"/>
  <c r="P42" i="22"/>
  <c r="O42" i="22"/>
  <c r="M42" i="22"/>
  <c r="N42" i="22" s="1"/>
  <c r="AE41" i="22"/>
  <c r="Y41" i="22"/>
  <c r="Q41" i="22"/>
  <c r="P41" i="22"/>
  <c r="O41" i="22"/>
  <c r="AE40" i="22"/>
  <c r="AB40" i="22"/>
  <c r="AA40" i="22"/>
  <c r="Y40" i="22"/>
  <c r="U40" i="22"/>
  <c r="Q40" i="22"/>
  <c r="P40" i="22"/>
  <c r="O40" i="22"/>
  <c r="N40" i="22"/>
  <c r="X40" i="22" s="1"/>
  <c r="AB39" i="22"/>
  <c r="Y39" i="22"/>
  <c r="U39" i="22"/>
  <c r="O39" i="22"/>
  <c r="P39" i="22" s="1"/>
  <c r="N39" i="22"/>
  <c r="M39" i="22"/>
  <c r="Y38" i="22"/>
  <c r="O38" i="22"/>
  <c r="N38" i="22"/>
  <c r="Y37" i="22"/>
  <c r="Z37" i="22" s="1"/>
  <c r="T37" i="22"/>
  <c r="O37" i="22"/>
  <c r="Q37" i="22" s="1"/>
  <c r="N37" i="22"/>
  <c r="X37" i="22" s="1"/>
  <c r="M37" i="22"/>
  <c r="AD36" i="22"/>
  <c r="Y36" i="22"/>
  <c r="Z36" i="22" s="1"/>
  <c r="T36" i="22"/>
  <c r="O36" i="22"/>
  <c r="M36" i="22"/>
  <c r="N36" i="22" s="1"/>
  <c r="Y35" i="22"/>
  <c r="Z35" i="22" s="1"/>
  <c r="T35" i="22"/>
  <c r="P35" i="22"/>
  <c r="O35" i="22"/>
  <c r="Q35" i="22" s="1"/>
  <c r="M35" i="22"/>
  <c r="N35" i="22" s="1"/>
  <c r="Y34" i="22"/>
  <c r="T34" i="22"/>
  <c r="M10" i="22" s="1"/>
  <c r="N10" i="22" s="1"/>
  <c r="AA10" i="22" s="1"/>
  <c r="O34" i="22"/>
  <c r="AD33" i="22"/>
  <c r="Y33" i="22"/>
  <c r="T33" i="22"/>
  <c r="M38" i="22" s="1"/>
  <c r="Q33" i="22"/>
  <c r="O33" i="22"/>
  <c r="P33" i="22" s="1"/>
  <c r="M33" i="22"/>
  <c r="N33" i="22" s="1"/>
  <c r="L33" i="22"/>
  <c r="L102" i="22" s="1"/>
  <c r="Y32" i="22"/>
  <c r="T32" i="22"/>
  <c r="O32" i="22"/>
  <c r="P32" i="22" s="1"/>
  <c r="M32" i="22"/>
  <c r="N32" i="22" s="1"/>
  <c r="Z32" i="22" s="1"/>
  <c r="Y31" i="22"/>
  <c r="T31" i="22"/>
  <c r="Q31" i="22"/>
  <c r="O31" i="22"/>
  <c r="P31" i="22" s="1"/>
  <c r="M31" i="22"/>
  <c r="N31" i="22" s="1"/>
  <c r="AD30" i="22"/>
  <c r="Y30" i="22"/>
  <c r="T30" i="22"/>
  <c r="Q30" i="22"/>
  <c r="O30" i="22"/>
  <c r="P30" i="22" s="1"/>
  <c r="Y29" i="22"/>
  <c r="Z29" i="22" s="1"/>
  <c r="T29" i="22"/>
  <c r="M40" i="22" s="1"/>
  <c r="Q29" i="22"/>
  <c r="P29" i="22"/>
  <c r="O29" i="22"/>
  <c r="M29" i="22"/>
  <c r="N29" i="22" s="1"/>
  <c r="Y28" i="22"/>
  <c r="O28" i="22"/>
  <c r="P28" i="22" s="1"/>
  <c r="M28" i="22"/>
  <c r="N28" i="22" s="1"/>
  <c r="AD27" i="22"/>
  <c r="Y27" i="22"/>
  <c r="O27" i="22"/>
  <c r="Q27" i="22" s="1"/>
  <c r="M27" i="22"/>
  <c r="N27" i="22" s="1"/>
  <c r="Y26" i="22"/>
  <c r="Z26" i="22" s="1"/>
  <c r="Q26" i="22"/>
  <c r="P26" i="22"/>
  <c r="O26" i="22"/>
  <c r="M26" i="22"/>
  <c r="N26" i="22" s="1"/>
  <c r="Y25" i="22"/>
  <c r="O25" i="22"/>
  <c r="P25" i="22" s="1"/>
  <c r="Y24" i="22"/>
  <c r="O24" i="22"/>
  <c r="Q24" i="22" s="1"/>
  <c r="Y23" i="22"/>
  <c r="Z23" i="22" s="1"/>
  <c r="O23" i="22"/>
  <c r="M23" i="22"/>
  <c r="N23" i="22" s="1"/>
  <c r="Y22" i="22"/>
  <c r="Z22" i="22" s="1"/>
  <c r="X22" i="22"/>
  <c r="Q22" i="22"/>
  <c r="O22" i="22"/>
  <c r="P22" i="22" s="1"/>
  <c r="M22" i="22"/>
  <c r="N22" i="22" s="1"/>
  <c r="AA22" i="22" s="1"/>
  <c r="Y21" i="22"/>
  <c r="Z21" i="22" s="1"/>
  <c r="X21" i="22"/>
  <c r="O21" i="22"/>
  <c r="N21" i="22"/>
  <c r="M21" i="22"/>
  <c r="Y20" i="22"/>
  <c r="O20" i="22"/>
  <c r="N20" i="22"/>
  <c r="M20" i="22"/>
  <c r="Y19" i="22"/>
  <c r="O19" i="22"/>
  <c r="M19" i="22"/>
  <c r="N19" i="22" s="1"/>
  <c r="Y18" i="22"/>
  <c r="O18" i="22"/>
  <c r="Q18" i="22" s="1"/>
  <c r="Y17" i="22"/>
  <c r="Z17" i="22" s="1"/>
  <c r="X17" i="22"/>
  <c r="Q17" i="22"/>
  <c r="P17" i="22"/>
  <c r="O17" i="22"/>
  <c r="M17" i="22"/>
  <c r="N17" i="22" s="1"/>
  <c r="AX16" i="22"/>
  <c r="Y16" i="22"/>
  <c r="Q16" i="22"/>
  <c r="O16" i="22"/>
  <c r="P16" i="22" s="1"/>
  <c r="Y15" i="22"/>
  <c r="P15" i="22"/>
  <c r="O15" i="22"/>
  <c r="Q15" i="22" s="1"/>
  <c r="Y14" i="22"/>
  <c r="O14" i="22"/>
  <c r="N14" i="22"/>
  <c r="M14" i="22"/>
  <c r="Y13" i="22"/>
  <c r="Q13" i="22"/>
  <c r="O13" i="22"/>
  <c r="P13" i="22" s="1"/>
  <c r="M13" i="22"/>
  <c r="N13" i="22" s="1"/>
  <c r="AD12" i="22"/>
  <c r="Y12" i="22"/>
  <c r="Q12" i="22"/>
  <c r="P12" i="22"/>
  <c r="O12" i="22"/>
  <c r="M12" i="22"/>
  <c r="N12" i="22" s="1"/>
  <c r="Y11" i="22"/>
  <c r="O11" i="22"/>
  <c r="N11" i="22"/>
  <c r="M11" i="22"/>
  <c r="Y10" i="22"/>
  <c r="X10" i="22"/>
  <c r="T10" i="22"/>
  <c r="M83" i="22" s="1"/>
  <c r="Q10" i="22"/>
  <c r="P10" i="22"/>
  <c r="O10" i="22"/>
  <c r="Y9" i="22"/>
  <c r="Q9" i="22"/>
  <c r="P9" i="22"/>
  <c r="O9" i="22"/>
  <c r="Y8" i="22"/>
  <c r="Z8" i="22" s="1"/>
  <c r="O8" i="22"/>
  <c r="Q8" i="22" s="1"/>
  <c r="N8" i="22"/>
  <c r="X8" i="22" s="1"/>
  <c r="M8" i="22"/>
  <c r="AE7" i="22"/>
  <c r="Y7" i="22"/>
  <c r="O7" i="22"/>
  <c r="M7" i="22"/>
  <c r="N7" i="22" s="1"/>
  <c r="Y6" i="22"/>
  <c r="O6" i="22"/>
  <c r="M6" i="22"/>
  <c r="N6" i="22" s="1"/>
  <c r="Y5" i="22"/>
  <c r="O5" i="22"/>
  <c r="Q5" i="22" s="1"/>
  <c r="M5" i="22"/>
  <c r="N5" i="22" s="1"/>
  <c r="AE4" i="22"/>
  <c r="AE5" i="22" s="1"/>
  <c r="AE6" i="22" s="1"/>
  <c r="Y4" i="22"/>
  <c r="Z4" i="22" s="1"/>
  <c r="Q4" i="22"/>
  <c r="P4" i="22"/>
  <c r="O4" i="22"/>
  <c r="M4" i="22"/>
  <c r="N4" i="22" s="1"/>
  <c r="Y3" i="22"/>
  <c r="Q3" i="22"/>
  <c r="O3" i="22"/>
  <c r="P3" i="22" s="1"/>
  <c r="M3" i="22"/>
  <c r="N3" i="22" s="1"/>
  <c r="AA3" i="22" s="1"/>
  <c r="Y2" i="22"/>
  <c r="X2" i="22"/>
  <c r="O2" i="22"/>
  <c r="N2" i="22"/>
  <c r="M2" i="22"/>
  <c r="V4" i="21"/>
  <c r="V5" i="21"/>
  <c r="V6" i="21"/>
  <c r="X6" i="21" s="1"/>
  <c r="Y6" i="21" s="1"/>
  <c r="V7" i="21"/>
  <c r="W7" i="21" s="1"/>
  <c r="V8" i="21"/>
  <c r="X8" i="21" s="1"/>
  <c r="Y8" i="21" s="1"/>
  <c r="V9" i="21"/>
  <c r="V10" i="21"/>
  <c r="V11" i="21"/>
  <c r="W11" i="21" s="1"/>
  <c r="V12" i="21"/>
  <c r="X12" i="21" s="1"/>
  <c r="Y12" i="21" s="1"/>
  <c r="V13" i="21"/>
  <c r="V14" i="21"/>
  <c r="V15" i="21"/>
  <c r="X15" i="21" s="1"/>
  <c r="V16" i="21"/>
  <c r="X16" i="21" s="1"/>
  <c r="Y16" i="21" s="1"/>
  <c r="V17" i="21"/>
  <c r="X17" i="21" s="1"/>
  <c r="Y17" i="21" s="1"/>
  <c r="V18" i="21"/>
  <c r="X18" i="21" s="1"/>
  <c r="V19" i="21"/>
  <c r="X19" i="21" s="1"/>
  <c r="V20" i="21"/>
  <c r="X20" i="21" s="1"/>
  <c r="Y20" i="21" s="1"/>
  <c r="V21" i="21"/>
  <c r="V22" i="21"/>
  <c r="X22" i="21" s="1"/>
  <c r="Y22" i="21" s="1"/>
  <c r="V23" i="21"/>
  <c r="X23" i="21" s="1"/>
  <c r="Y23" i="21" s="1"/>
  <c r="V24" i="21"/>
  <c r="V25" i="21"/>
  <c r="X25" i="21" s="1"/>
  <c r="Y25" i="21" s="1"/>
  <c r="V26" i="21"/>
  <c r="X26" i="21" s="1"/>
  <c r="Y26" i="21" s="1"/>
  <c r="V27" i="21"/>
  <c r="X27" i="21" s="1"/>
  <c r="V28" i="21"/>
  <c r="X28" i="21" s="1"/>
  <c r="Y28" i="21" s="1"/>
  <c r="V29" i="21"/>
  <c r="V30" i="21"/>
  <c r="X30" i="21" s="1"/>
  <c r="Y30" i="21" s="1"/>
  <c r="V31" i="21"/>
  <c r="V32" i="21"/>
  <c r="X32" i="21" s="1"/>
  <c r="Y32" i="21" s="1"/>
  <c r="V33" i="21"/>
  <c r="W33" i="21" s="1"/>
  <c r="V34" i="21"/>
  <c r="X34" i="21" s="1"/>
  <c r="V35" i="21"/>
  <c r="V36" i="21"/>
  <c r="V37" i="21"/>
  <c r="V38" i="21"/>
  <c r="V39" i="21"/>
  <c r="X39" i="21" s="1"/>
  <c r="Y39" i="21" s="1"/>
  <c r="V40" i="21"/>
  <c r="V41" i="21"/>
  <c r="V42" i="21"/>
  <c r="X42" i="21" s="1"/>
  <c r="V43" i="21"/>
  <c r="V44" i="21"/>
  <c r="V45" i="21"/>
  <c r="V46" i="21"/>
  <c r="V3" i="21"/>
  <c r="V2" i="21"/>
  <c r="AW104" i="21"/>
  <c r="AW103" i="21"/>
  <c r="U102" i="21"/>
  <c r="R102" i="21"/>
  <c r="Q102" i="21"/>
  <c r="K102" i="21"/>
  <c r="C102" i="21"/>
  <c r="B102" i="21"/>
  <c r="AW102" i="21" s="1"/>
  <c r="AW101" i="21"/>
  <c r="AW100" i="21"/>
  <c r="Z100" i="21"/>
  <c r="Y100" i="21"/>
  <c r="X100" i="21"/>
  <c r="W100" i="21"/>
  <c r="P100" i="21"/>
  <c r="O100" i="21"/>
  <c r="N100" i="21"/>
  <c r="M100" i="21"/>
  <c r="AW99" i="21"/>
  <c r="X99" i="21"/>
  <c r="Y99" i="21" s="1"/>
  <c r="P99" i="21"/>
  <c r="O99" i="21"/>
  <c r="N99" i="21"/>
  <c r="M99" i="21"/>
  <c r="AW98" i="21"/>
  <c r="X98" i="21"/>
  <c r="P98" i="21"/>
  <c r="O98" i="21"/>
  <c r="N98" i="21"/>
  <c r="M98" i="21"/>
  <c r="AW97" i="21"/>
  <c r="X97" i="21"/>
  <c r="Y97" i="21" s="1"/>
  <c r="W97" i="21"/>
  <c r="P97" i="21"/>
  <c r="O97" i="21"/>
  <c r="Z97" i="21" s="1"/>
  <c r="N97" i="21"/>
  <c r="M97" i="21"/>
  <c r="AW96" i="21"/>
  <c r="AA96" i="21"/>
  <c r="Z96" i="21"/>
  <c r="X96" i="21"/>
  <c r="P96" i="21"/>
  <c r="O96" i="21"/>
  <c r="N96" i="21"/>
  <c r="M96" i="21"/>
  <c r="AW95" i="21"/>
  <c r="AA95" i="21"/>
  <c r="Z95" i="21"/>
  <c r="Y95" i="21"/>
  <c r="X95" i="21"/>
  <c r="P95" i="21"/>
  <c r="O95" i="21"/>
  <c r="N95" i="21"/>
  <c r="M95" i="21"/>
  <c r="W95" i="21" s="1"/>
  <c r="AW94" i="21"/>
  <c r="X94" i="21"/>
  <c r="Y94" i="21" s="1"/>
  <c r="W94" i="21"/>
  <c r="P94" i="21"/>
  <c r="O94" i="21"/>
  <c r="N94" i="21"/>
  <c r="M94" i="21"/>
  <c r="AA94" i="21" s="1"/>
  <c r="AW93" i="21"/>
  <c r="AA93" i="21"/>
  <c r="Y93" i="21"/>
  <c r="X93" i="21"/>
  <c r="P93" i="21"/>
  <c r="O93" i="21"/>
  <c r="Z93" i="21" s="1"/>
  <c r="N93" i="21"/>
  <c r="M93" i="21"/>
  <c r="W93" i="21" s="1"/>
  <c r="AW92" i="21"/>
  <c r="Z92" i="21"/>
  <c r="X92" i="21"/>
  <c r="Y92" i="21" s="1"/>
  <c r="W92" i="21"/>
  <c r="P92" i="21"/>
  <c r="O92" i="21"/>
  <c r="N92" i="21"/>
  <c r="M92" i="21"/>
  <c r="AA92" i="21" s="1"/>
  <c r="AW91" i="21"/>
  <c r="X91" i="21"/>
  <c r="P91" i="21"/>
  <c r="O91" i="21"/>
  <c r="N91" i="21"/>
  <c r="M91" i="21"/>
  <c r="AW90" i="21"/>
  <c r="Z90" i="21"/>
  <c r="X90" i="21"/>
  <c r="Y90" i="21" s="1"/>
  <c r="P90" i="21"/>
  <c r="O90" i="21"/>
  <c r="N90" i="21"/>
  <c r="M90" i="21"/>
  <c r="W90" i="21" s="1"/>
  <c r="AW89" i="21"/>
  <c r="Y89" i="21"/>
  <c r="X89" i="21"/>
  <c r="W89" i="21"/>
  <c r="P89" i="21"/>
  <c r="O89" i="21"/>
  <c r="Z89" i="21" s="1"/>
  <c r="N89" i="21"/>
  <c r="M89" i="21"/>
  <c r="AA89" i="21" s="1"/>
  <c r="AW88" i="21"/>
  <c r="X88" i="21"/>
  <c r="P88" i="21"/>
  <c r="O88" i="21"/>
  <c r="N88" i="21"/>
  <c r="M88" i="21"/>
  <c r="AW87" i="21"/>
  <c r="Z87" i="21"/>
  <c r="X87" i="21"/>
  <c r="Y87" i="21" s="1"/>
  <c r="W87" i="21"/>
  <c r="P87" i="21"/>
  <c r="O87" i="21"/>
  <c r="N87" i="21"/>
  <c r="M87" i="21"/>
  <c r="AA87" i="21" s="1"/>
  <c r="AW86" i="21"/>
  <c r="X86" i="21"/>
  <c r="Y86" i="21" s="1"/>
  <c r="W86" i="21"/>
  <c r="P86" i="21"/>
  <c r="O86" i="21"/>
  <c r="N86" i="21"/>
  <c r="M86" i="21"/>
  <c r="AA86" i="21" s="1"/>
  <c r="AW85" i="21"/>
  <c r="AA85" i="21"/>
  <c r="X85" i="21"/>
  <c r="P85" i="21"/>
  <c r="O85" i="21"/>
  <c r="N85" i="21"/>
  <c r="M85" i="21"/>
  <c r="AW84" i="21"/>
  <c r="AA84" i="21"/>
  <c r="Z84" i="21"/>
  <c r="X84" i="21"/>
  <c r="P84" i="21"/>
  <c r="O84" i="21"/>
  <c r="N84" i="21"/>
  <c r="M84" i="21"/>
  <c r="AW83" i="21"/>
  <c r="AA83" i="21"/>
  <c r="X83" i="21"/>
  <c r="P83" i="21"/>
  <c r="O83" i="21"/>
  <c r="N83" i="21"/>
  <c r="M83" i="21"/>
  <c r="AW82" i="21"/>
  <c r="X82" i="21"/>
  <c r="Y82" i="21" s="1"/>
  <c r="P82" i="21"/>
  <c r="O82" i="21"/>
  <c r="N82" i="21"/>
  <c r="M82" i="21"/>
  <c r="AW81" i="21"/>
  <c r="Z81" i="21"/>
  <c r="X81" i="21"/>
  <c r="Y81" i="21" s="1"/>
  <c r="W81" i="21"/>
  <c r="P81" i="21"/>
  <c r="O81" i="21"/>
  <c r="N81" i="21"/>
  <c r="M81" i="21"/>
  <c r="AA81" i="21" s="1"/>
  <c r="AW80" i="21"/>
  <c r="X80" i="21"/>
  <c r="P80" i="21"/>
  <c r="O80" i="21"/>
  <c r="N80" i="21"/>
  <c r="M80" i="21"/>
  <c r="AW79" i="21"/>
  <c r="AA79" i="21"/>
  <c r="Z79" i="21"/>
  <c r="X79" i="21"/>
  <c r="P79" i="21"/>
  <c r="O79" i="21"/>
  <c r="N79" i="21"/>
  <c r="M79" i="21"/>
  <c r="AW78" i="21"/>
  <c r="Y78" i="21"/>
  <c r="X78" i="21"/>
  <c r="W78" i="21"/>
  <c r="P78" i="21"/>
  <c r="O78" i="21"/>
  <c r="N78" i="21"/>
  <c r="M78" i="21"/>
  <c r="AW77" i="21"/>
  <c r="Z77" i="21"/>
  <c r="Y77" i="21"/>
  <c r="X77" i="21"/>
  <c r="P77" i="21"/>
  <c r="O77" i="21"/>
  <c r="N77" i="21"/>
  <c r="M77" i="21"/>
  <c r="W77" i="21" s="1"/>
  <c r="AW76" i="21"/>
  <c r="X76" i="21"/>
  <c r="P76" i="21"/>
  <c r="O76" i="21"/>
  <c r="N76" i="21"/>
  <c r="M76" i="21"/>
  <c r="AW75" i="21"/>
  <c r="X75" i="21"/>
  <c r="P75" i="21"/>
  <c r="O75" i="21"/>
  <c r="N75" i="21"/>
  <c r="M75" i="21"/>
  <c r="AW74" i="21"/>
  <c r="X74" i="21"/>
  <c r="Y74" i="21" s="1"/>
  <c r="P74" i="21"/>
  <c r="O74" i="21"/>
  <c r="N74" i="21"/>
  <c r="M74" i="21"/>
  <c r="W74" i="21" s="1"/>
  <c r="AW73" i="21"/>
  <c r="Z73" i="21"/>
  <c r="Y73" i="21"/>
  <c r="X73" i="21"/>
  <c r="W73" i="21"/>
  <c r="P73" i="21"/>
  <c r="O73" i="21"/>
  <c r="N73" i="21"/>
  <c r="M73" i="21"/>
  <c r="AA73" i="21" s="1"/>
  <c r="AW72" i="21"/>
  <c r="X72" i="21"/>
  <c r="W72" i="21"/>
  <c r="P72" i="21"/>
  <c r="O72" i="21"/>
  <c r="N72" i="21"/>
  <c r="M72" i="21"/>
  <c r="Y72" i="21" s="1"/>
  <c r="AW71" i="21"/>
  <c r="AA71" i="21"/>
  <c r="Z71" i="21"/>
  <c r="Y71" i="21"/>
  <c r="X71" i="21"/>
  <c r="P71" i="21"/>
  <c r="O71" i="21"/>
  <c r="N71" i="21"/>
  <c r="M71" i="21"/>
  <c r="W71" i="21" s="1"/>
  <c r="AW70" i="21"/>
  <c r="X70" i="21"/>
  <c r="Y70" i="21" s="1"/>
  <c r="W70" i="21"/>
  <c r="P70" i="21"/>
  <c r="O70" i="21"/>
  <c r="N70" i="21"/>
  <c r="M70" i="21"/>
  <c r="AA70" i="21" s="1"/>
  <c r="AW69" i="21"/>
  <c r="AA69" i="21"/>
  <c r="Z69" i="21"/>
  <c r="Y69" i="21"/>
  <c r="X69" i="21"/>
  <c r="P69" i="21"/>
  <c r="O69" i="21"/>
  <c r="N69" i="21"/>
  <c r="M69" i="21"/>
  <c r="W69" i="21" s="1"/>
  <c r="AW68" i="21"/>
  <c r="X68" i="21"/>
  <c r="P68" i="21"/>
  <c r="O68" i="21"/>
  <c r="N68" i="21"/>
  <c r="M68" i="21"/>
  <c r="AW67" i="21"/>
  <c r="X67" i="21"/>
  <c r="Y67" i="21" s="1"/>
  <c r="W67" i="21"/>
  <c r="P67" i="21"/>
  <c r="O67" i="21"/>
  <c r="AA67" i="21" s="1"/>
  <c r="N67" i="21"/>
  <c r="M67" i="21"/>
  <c r="AW66" i="21"/>
  <c r="X66" i="21"/>
  <c r="P66" i="21"/>
  <c r="O66" i="21"/>
  <c r="N66" i="21"/>
  <c r="M66" i="21"/>
  <c r="AW65" i="21"/>
  <c r="Z65" i="21"/>
  <c r="Y65" i="21"/>
  <c r="X65" i="21"/>
  <c r="W65" i="21"/>
  <c r="P65" i="21"/>
  <c r="O65" i="21"/>
  <c r="N65" i="21"/>
  <c r="M65" i="21"/>
  <c r="AA65" i="21" s="1"/>
  <c r="AW64" i="21"/>
  <c r="AA64" i="21"/>
  <c r="X64" i="21"/>
  <c r="Y64" i="21" s="1"/>
  <c r="W64" i="21"/>
  <c r="P64" i="21"/>
  <c r="O64" i="21"/>
  <c r="N64" i="21"/>
  <c r="M64" i="21"/>
  <c r="Z64" i="21" s="1"/>
  <c r="AW63" i="21"/>
  <c r="X63" i="21"/>
  <c r="P63" i="21"/>
  <c r="O63" i="21"/>
  <c r="N63" i="21"/>
  <c r="M63" i="21"/>
  <c r="AW62" i="21"/>
  <c r="Z62" i="21"/>
  <c r="Y62" i="21"/>
  <c r="X62" i="21"/>
  <c r="W62" i="21"/>
  <c r="P62" i="21"/>
  <c r="O62" i="21"/>
  <c r="N62" i="21"/>
  <c r="M62" i="21"/>
  <c r="AA62" i="21" s="1"/>
  <c r="AW61" i="21"/>
  <c r="X61" i="21"/>
  <c r="P61" i="21"/>
  <c r="O61" i="21"/>
  <c r="N61" i="21"/>
  <c r="M61" i="21"/>
  <c r="AW60" i="21"/>
  <c r="Z60" i="21"/>
  <c r="X60" i="21"/>
  <c r="Y60" i="21" s="1"/>
  <c r="W60" i="21"/>
  <c r="P60" i="21"/>
  <c r="O60" i="21"/>
  <c r="N60" i="21"/>
  <c r="M60" i="21"/>
  <c r="AA60" i="21" s="1"/>
  <c r="AW59" i="21"/>
  <c r="X59" i="21"/>
  <c r="Y59" i="21" s="1"/>
  <c r="W59" i="21"/>
  <c r="P59" i="21"/>
  <c r="O59" i="21"/>
  <c r="N59" i="21"/>
  <c r="M59" i="21"/>
  <c r="AW58" i="21"/>
  <c r="AA58" i="21"/>
  <c r="Z58" i="21"/>
  <c r="Y58" i="21"/>
  <c r="X58" i="21"/>
  <c r="P58" i="21"/>
  <c r="O58" i="21"/>
  <c r="N58" i="21"/>
  <c r="M58" i="21"/>
  <c r="W58" i="21" s="1"/>
  <c r="AW57" i="21"/>
  <c r="Z57" i="21"/>
  <c r="X57" i="21"/>
  <c r="Y57" i="21" s="1"/>
  <c r="P57" i="21"/>
  <c r="O57" i="21"/>
  <c r="N57" i="21"/>
  <c r="M57" i="21"/>
  <c r="W57" i="21" s="1"/>
  <c r="AW56" i="21"/>
  <c r="X56" i="21"/>
  <c r="P56" i="21"/>
  <c r="O56" i="21"/>
  <c r="N56" i="21"/>
  <c r="M56" i="21"/>
  <c r="AW55" i="21"/>
  <c r="AA55" i="21"/>
  <c r="Z55" i="21"/>
  <c r="X55" i="21"/>
  <c r="P55" i="21"/>
  <c r="O55" i="21"/>
  <c r="N55" i="21"/>
  <c r="M55" i="21"/>
  <c r="W55" i="21" s="1"/>
  <c r="AW54" i="21"/>
  <c r="X54" i="21"/>
  <c r="Y54" i="21" s="1"/>
  <c r="W54" i="21"/>
  <c r="P54" i="21"/>
  <c r="O54" i="21"/>
  <c r="Z54" i="21" s="1"/>
  <c r="N54" i="21"/>
  <c r="M54" i="21"/>
  <c r="AA54" i="21" s="1"/>
  <c r="AW53" i="21"/>
  <c r="Z53" i="21"/>
  <c r="X53" i="21"/>
  <c r="Y53" i="21" s="1"/>
  <c r="W53" i="21"/>
  <c r="P53" i="21"/>
  <c r="O53" i="21"/>
  <c r="AA53" i="21" s="1"/>
  <c r="N53" i="21"/>
  <c r="M53" i="21"/>
  <c r="AW52" i="21"/>
  <c r="X52" i="21"/>
  <c r="Y52" i="21" s="1"/>
  <c r="W52" i="21"/>
  <c r="P52" i="21"/>
  <c r="O52" i="21"/>
  <c r="N52" i="21"/>
  <c r="M52" i="21"/>
  <c r="AA52" i="21" s="1"/>
  <c r="AW51" i="21"/>
  <c r="X51" i="21"/>
  <c r="Y51" i="21" s="1"/>
  <c r="W51" i="21"/>
  <c r="P51" i="21"/>
  <c r="O51" i="21"/>
  <c r="Z51" i="21" s="1"/>
  <c r="N51" i="21"/>
  <c r="M51" i="21"/>
  <c r="AA51" i="21" s="1"/>
  <c r="AW50" i="21"/>
  <c r="AA50" i="21"/>
  <c r="X50" i="21"/>
  <c r="S50" i="21"/>
  <c r="P50" i="21"/>
  <c r="O50" i="21"/>
  <c r="N50" i="21"/>
  <c r="M50" i="21"/>
  <c r="AW49" i="21"/>
  <c r="AA49" i="21"/>
  <c r="Z49" i="21"/>
  <c r="X49" i="21"/>
  <c r="P49" i="21"/>
  <c r="O49" i="21"/>
  <c r="N49" i="21"/>
  <c r="M49" i="21"/>
  <c r="W49" i="21" s="1"/>
  <c r="AW48" i="21"/>
  <c r="X48" i="21"/>
  <c r="Y48" i="21" s="1"/>
  <c r="W48" i="21"/>
  <c r="P48" i="21"/>
  <c r="O48" i="21"/>
  <c r="N48" i="21"/>
  <c r="M48" i="21"/>
  <c r="AA48" i="21" s="1"/>
  <c r="AW47" i="21"/>
  <c r="Y47" i="21"/>
  <c r="X47" i="21"/>
  <c r="P47" i="21"/>
  <c r="O47" i="21"/>
  <c r="N47" i="21"/>
  <c r="M47" i="21"/>
  <c r="W47" i="21" s="1"/>
  <c r="AW46" i="21"/>
  <c r="N46" i="21"/>
  <c r="AW45" i="21"/>
  <c r="X45" i="21"/>
  <c r="Y45" i="21" s="1"/>
  <c r="W45" i="21"/>
  <c r="P45" i="21"/>
  <c r="O45" i="21"/>
  <c r="N45" i="21"/>
  <c r="M45" i="21"/>
  <c r="Z45" i="21" s="1"/>
  <c r="AW44" i="21"/>
  <c r="N44" i="21"/>
  <c r="P44" i="21" s="1"/>
  <c r="AW43" i="21"/>
  <c r="P43" i="21"/>
  <c r="N43" i="21"/>
  <c r="O43" i="21" s="1"/>
  <c r="AW42" i="21"/>
  <c r="AD42" i="21"/>
  <c r="N42" i="21"/>
  <c r="P42" i="21" s="1"/>
  <c r="M42" i="21"/>
  <c r="AW41" i="21"/>
  <c r="X41" i="21"/>
  <c r="Y41" i="21" s="1"/>
  <c r="N41" i="21"/>
  <c r="AW40" i="21"/>
  <c r="AD40" i="21"/>
  <c r="AD41" i="21" s="1"/>
  <c r="T40" i="21"/>
  <c r="N40" i="21"/>
  <c r="P40" i="21" s="1"/>
  <c r="M40" i="21"/>
  <c r="AW39" i="21"/>
  <c r="T39" i="21"/>
  <c r="P39" i="21"/>
  <c r="N39" i="21"/>
  <c r="O39" i="21" s="1"/>
  <c r="M39" i="21"/>
  <c r="AW38" i="21"/>
  <c r="X38" i="21"/>
  <c r="Y38" i="21" s="1"/>
  <c r="N38" i="21"/>
  <c r="P38" i="21" s="1"/>
  <c r="M38" i="21"/>
  <c r="AW37" i="21"/>
  <c r="X37" i="21"/>
  <c r="Y37" i="21" s="1"/>
  <c r="W37" i="21"/>
  <c r="S37" i="21"/>
  <c r="O37" i="21"/>
  <c r="N37" i="21"/>
  <c r="P37" i="21" s="1"/>
  <c r="M37" i="21"/>
  <c r="AA37" i="21" s="1"/>
  <c r="AW36" i="21"/>
  <c r="S36" i="21"/>
  <c r="M21" i="21" s="1"/>
  <c r="W21" i="21" s="1"/>
  <c r="N36" i="21"/>
  <c r="M36" i="21"/>
  <c r="AW35" i="21"/>
  <c r="S35" i="21"/>
  <c r="M44" i="21" s="1"/>
  <c r="P35" i="21"/>
  <c r="N35" i="21"/>
  <c r="O35" i="21" s="1"/>
  <c r="M35" i="21"/>
  <c r="AW34" i="21"/>
  <c r="S34" i="21"/>
  <c r="P34" i="21"/>
  <c r="O34" i="21"/>
  <c r="N34" i="21"/>
  <c r="AW33" i="21"/>
  <c r="S33" i="21"/>
  <c r="N33" i="21"/>
  <c r="P33" i="21" s="1"/>
  <c r="M33" i="21"/>
  <c r="L33" i="21"/>
  <c r="L102" i="21" s="1"/>
  <c r="AW32" i="21"/>
  <c r="S32" i="21"/>
  <c r="M46" i="21" s="1"/>
  <c r="P32" i="21"/>
  <c r="O32" i="21"/>
  <c r="N32" i="21"/>
  <c r="M32" i="21"/>
  <c r="AW31" i="21"/>
  <c r="S31" i="21"/>
  <c r="M41" i="21" s="1"/>
  <c r="O31" i="21"/>
  <c r="N31" i="21"/>
  <c r="P31" i="21" s="1"/>
  <c r="M31" i="21"/>
  <c r="AW30" i="21"/>
  <c r="S30" i="21"/>
  <c r="P30" i="21"/>
  <c r="O30" i="21"/>
  <c r="AA30" i="21" s="1"/>
  <c r="N30" i="21"/>
  <c r="M30" i="21"/>
  <c r="Z30" i="21" s="1"/>
  <c r="AW29" i="21"/>
  <c r="S29" i="21"/>
  <c r="N29" i="21"/>
  <c r="M29" i="21"/>
  <c r="AW28" i="21"/>
  <c r="W28" i="21"/>
  <c r="P28" i="21"/>
  <c r="O28" i="21"/>
  <c r="Z28" i="21" s="1"/>
  <c r="N28" i="21"/>
  <c r="M28" i="21"/>
  <c r="AA28" i="21" s="1"/>
  <c r="AW27" i="21"/>
  <c r="N27" i="21"/>
  <c r="M27" i="21"/>
  <c r="AW26" i="21"/>
  <c r="N26" i="21"/>
  <c r="M26" i="21"/>
  <c r="W26" i="21" s="1"/>
  <c r="AW25" i="21"/>
  <c r="N25" i="21"/>
  <c r="M25" i="21"/>
  <c r="AW24" i="21"/>
  <c r="X24" i="21"/>
  <c r="N24" i="21"/>
  <c r="M24" i="21"/>
  <c r="AW23" i="21"/>
  <c r="N23" i="21"/>
  <c r="M23" i="21"/>
  <c r="AW22" i="21"/>
  <c r="N22" i="21"/>
  <c r="M22" i="21"/>
  <c r="AW21" i="21"/>
  <c r="X21" i="21"/>
  <c r="Y21" i="21" s="1"/>
  <c r="N21" i="21"/>
  <c r="AW20" i="21"/>
  <c r="N20" i="21"/>
  <c r="M20" i="21"/>
  <c r="W20" i="21" s="1"/>
  <c r="AW19" i="21"/>
  <c r="N19" i="21"/>
  <c r="AW18" i="21"/>
  <c r="N18" i="21"/>
  <c r="AW17" i="21"/>
  <c r="P17" i="21"/>
  <c r="O17" i="21"/>
  <c r="Z17" i="21" s="1"/>
  <c r="N17" i="21"/>
  <c r="M17" i="21"/>
  <c r="AW16" i="21"/>
  <c r="N16" i="21"/>
  <c r="M16" i="21"/>
  <c r="AW15" i="21"/>
  <c r="P15" i="21"/>
  <c r="O15" i="21"/>
  <c r="N15" i="21"/>
  <c r="AW14" i="21"/>
  <c r="N14" i="21"/>
  <c r="M14" i="21"/>
  <c r="AW13" i="21"/>
  <c r="P13" i="21"/>
  <c r="O13" i="21"/>
  <c r="N13" i="21"/>
  <c r="M13" i="21"/>
  <c r="AW12" i="21"/>
  <c r="P12" i="21"/>
  <c r="N12" i="21"/>
  <c r="O12" i="21" s="1"/>
  <c r="Z12" i="21" s="1"/>
  <c r="M12" i="21"/>
  <c r="AA12" i="21" s="1"/>
  <c r="AW11" i="21"/>
  <c r="AA11" i="21"/>
  <c r="Z11" i="21"/>
  <c r="O11" i="21"/>
  <c r="N11" i="21"/>
  <c r="P11" i="21" s="1"/>
  <c r="M11" i="21"/>
  <c r="AW10" i="21"/>
  <c r="X10" i="21"/>
  <c r="S10" i="21"/>
  <c r="P10" i="21"/>
  <c r="O10" i="21"/>
  <c r="N10" i="21"/>
  <c r="AW9" i="21"/>
  <c r="X9" i="21"/>
  <c r="P9" i="21"/>
  <c r="O9" i="21"/>
  <c r="N9" i="21"/>
  <c r="AW8" i="21"/>
  <c r="N8" i="21"/>
  <c r="M8" i="21"/>
  <c r="AW7" i="21"/>
  <c r="N7" i="21"/>
  <c r="M7" i="21"/>
  <c r="AW6" i="21"/>
  <c r="P6" i="21"/>
  <c r="N6" i="21"/>
  <c r="O6" i="21" s="1"/>
  <c r="Z6" i="21" s="1"/>
  <c r="M6" i="21"/>
  <c r="AW5" i="21"/>
  <c r="N5" i="21"/>
  <c r="P5" i="21" s="1"/>
  <c r="M5" i="21"/>
  <c r="AW4" i="21"/>
  <c r="AD4" i="21"/>
  <c r="AD5" i="21" s="1"/>
  <c r="AD6" i="21" s="1"/>
  <c r="N4" i="21"/>
  <c r="M4" i="21"/>
  <c r="AW3" i="21"/>
  <c r="P3" i="21"/>
  <c r="N3" i="21"/>
  <c r="M3" i="21"/>
  <c r="AW2" i="21"/>
  <c r="X2" i="21"/>
  <c r="P2" i="21"/>
  <c r="O2" i="21"/>
  <c r="N2" i="21"/>
  <c r="M2" i="21"/>
  <c r="AQ2" i="19"/>
  <c r="AD12" i="19"/>
  <c r="AN29" i="16"/>
  <c r="AN4" i="16"/>
  <c r="AN5" i="16"/>
  <c r="AN6" i="16"/>
  <c r="AN7" i="16"/>
  <c r="AN8" i="16"/>
  <c r="AN9" i="16"/>
  <c r="AN10" i="16"/>
  <c r="AN11" i="16"/>
  <c r="AN12" i="16"/>
  <c r="AN13" i="16"/>
  <c r="AN14" i="16"/>
  <c r="AN15" i="16"/>
  <c r="AN16" i="16"/>
  <c r="AN17" i="16"/>
  <c r="AN18" i="16"/>
  <c r="AN19" i="16"/>
  <c r="AN20" i="16"/>
  <c r="AN21" i="16"/>
  <c r="AN22" i="16"/>
  <c r="AN23" i="16"/>
  <c r="AN24" i="16"/>
  <c r="AN25" i="16"/>
  <c r="AN26" i="16"/>
  <c r="AN27" i="16"/>
  <c r="AM4" i="16"/>
  <c r="AM5" i="16"/>
  <c r="AM6" i="16"/>
  <c r="AM7" i="16"/>
  <c r="AM8" i="16"/>
  <c r="AM9" i="16"/>
  <c r="AM10" i="16"/>
  <c r="AM11" i="16"/>
  <c r="AM12" i="16"/>
  <c r="AM13" i="16"/>
  <c r="AM14" i="16"/>
  <c r="AM15" i="16"/>
  <c r="AM16" i="16"/>
  <c r="AM17" i="16"/>
  <c r="AM18" i="16"/>
  <c r="AM19" i="16"/>
  <c r="AM20" i="16"/>
  <c r="AM21" i="16"/>
  <c r="AM22" i="16"/>
  <c r="AM23" i="16"/>
  <c r="AM24" i="16"/>
  <c r="AM25" i="16"/>
  <c r="AM26" i="16"/>
  <c r="AM27" i="16"/>
  <c r="AN3" i="16"/>
  <c r="AM3" i="16"/>
  <c r="AC12" i="16"/>
  <c r="AS10" i="19"/>
  <c r="AW27" i="19"/>
  <c r="AW23" i="19"/>
  <c r="M49" i="19"/>
  <c r="M50" i="19"/>
  <c r="M51" i="19"/>
  <c r="M52" i="19"/>
  <c r="M53" i="19"/>
  <c r="X53" i="19" s="1"/>
  <c r="M54" i="19"/>
  <c r="X54" i="19" s="1"/>
  <c r="M55" i="19"/>
  <c r="AB55" i="19" s="1"/>
  <c r="M56" i="19"/>
  <c r="M57" i="19"/>
  <c r="M58" i="19"/>
  <c r="M59" i="19"/>
  <c r="M60" i="19"/>
  <c r="M61" i="19"/>
  <c r="X61" i="19" s="1"/>
  <c r="M62" i="19"/>
  <c r="X62" i="19" s="1"/>
  <c r="M63" i="19"/>
  <c r="M64" i="19"/>
  <c r="M65" i="19"/>
  <c r="Z65" i="19" s="1"/>
  <c r="M66" i="19"/>
  <c r="M67" i="19"/>
  <c r="M68" i="19"/>
  <c r="M69" i="19"/>
  <c r="AA69" i="19" s="1"/>
  <c r="M70" i="19"/>
  <c r="Z70" i="19" s="1"/>
  <c r="M71" i="19"/>
  <c r="M72" i="19"/>
  <c r="M73" i="19"/>
  <c r="M74" i="19"/>
  <c r="M75" i="19"/>
  <c r="M76" i="19"/>
  <c r="M77" i="19"/>
  <c r="M78" i="19"/>
  <c r="M79" i="19"/>
  <c r="AA79" i="19" s="1"/>
  <c r="M80" i="19"/>
  <c r="M81" i="19"/>
  <c r="M82" i="19"/>
  <c r="M83" i="19"/>
  <c r="M84" i="19"/>
  <c r="M85" i="19"/>
  <c r="M86" i="19"/>
  <c r="M87" i="19"/>
  <c r="X87" i="19" s="1"/>
  <c r="M88" i="19"/>
  <c r="M89" i="19"/>
  <c r="Z89" i="19" s="1"/>
  <c r="M90" i="19"/>
  <c r="M91" i="19"/>
  <c r="M92" i="19"/>
  <c r="M93" i="19"/>
  <c r="AA93" i="19" s="1"/>
  <c r="M94" i="19"/>
  <c r="AA94" i="19" s="1"/>
  <c r="M95" i="19"/>
  <c r="AA95" i="19" s="1"/>
  <c r="M96" i="19"/>
  <c r="M97" i="19"/>
  <c r="Z97" i="19" s="1"/>
  <c r="M98" i="19"/>
  <c r="M99" i="19"/>
  <c r="M100" i="19"/>
  <c r="M48" i="19"/>
  <c r="X50" i="19"/>
  <c r="X55" i="19"/>
  <c r="X56" i="19"/>
  <c r="X58" i="19"/>
  <c r="X64" i="19"/>
  <c r="X72" i="19"/>
  <c r="X73" i="19"/>
  <c r="AA74" i="19"/>
  <c r="Z80" i="19"/>
  <c r="AA81" i="19"/>
  <c r="X82" i="19"/>
  <c r="Z96" i="19"/>
  <c r="X97" i="19"/>
  <c r="X98" i="19"/>
  <c r="X48" i="19"/>
  <c r="M47" i="19"/>
  <c r="AZ3" i="19"/>
  <c r="AZ4" i="19"/>
  <c r="AZ5" i="19"/>
  <c r="AZ6" i="19"/>
  <c r="AZ7" i="19"/>
  <c r="AZ8" i="19"/>
  <c r="AZ9" i="19"/>
  <c r="AZ10" i="19"/>
  <c r="AZ11" i="19"/>
  <c r="AZ12" i="19"/>
  <c r="AZ13" i="19"/>
  <c r="AZ14" i="19"/>
  <c r="AZ15" i="19"/>
  <c r="AZ16" i="19"/>
  <c r="AZ17" i="19"/>
  <c r="AZ18" i="19"/>
  <c r="AZ19" i="19"/>
  <c r="AZ20" i="19"/>
  <c r="AZ21" i="19"/>
  <c r="AZ22" i="19"/>
  <c r="AZ23" i="19"/>
  <c r="AZ24" i="19"/>
  <c r="AZ25" i="19"/>
  <c r="AZ26" i="19"/>
  <c r="AZ27" i="19"/>
  <c r="AZ28" i="19"/>
  <c r="AZ29" i="19"/>
  <c r="AZ30" i="19"/>
  <c r="AZ31" i="19"/>
  <c r="AZ32" i="19"/>
  <c r="AZ33" i="19"/>
  <c r="AZ34" i="19"/>
  <c r="AZ35" i="19"/>
  <c r="AZ36" i="19"/>
  <c r="AZ37" i="19"/>
  <c r="AZ38" i="19"/>
  <c r="AZ39" i="19"/>
  <c r="AZ40" i="19"/>
  <c r="AZ41" i="19"/>
  <c r="AZ42" i="19"/>
  <c r="AZ43" i="19"/>
  <c r="AZ44" i="19"/>
  <c r="AZ45" i="19"/>
  <c r="AZ46" i="19"/>
  <c r="AZ2" i="19"/>
  <c r="AL29" i="19"/>
  <c r="Y42" i="19"/>
  <c r="Z42" i="19" s="1"/>
  <c r="Y39" i="19"/>
  <c r="Z39" i="19" s="1"/>
  <c r="Y37" i="19"/>
  <c r="Y34" i="19"/>
  <c r="Y33" i="19"/>
  <c r="Z33" i="19" s="1"/>
  <c r="Y31" i="19"/>
  <c r="Y29" i="19"/>
  <c r="Y25" i="19"/>
  <c r="Y23" i="19"/>
  <c r="Z23" i="19" s="1"/>
  <c r="Y19" i="19"/>
  <c r="Y18" i="19"/>
  <c r="Y15" i="19"/>
  <c r="Z15" i="19" s="1"/>
  <c r="X11" i="19"/>
  <c r="Y10" i="19"/>
  <c r="Y7" i="19"/>
  <c r="Y3" i="19"/>
  <c r="Z3" i="19" s="1"/>
  <c r="AD8" i="19"/>
  <c r="AJ3" i="19" s="1"/>
  <c r="AK3" i="19" s="1"/>
  <c r="V102" i="19"/>
  <c r="S102" i="19"/>
  <c r="R102" i="19"/>
  <c r="K102" i="19"/>
  <c r="C102" i="19"/>
  <c r="B102" i="19"/>
  <c r="AX103" i="19" s="1"/>
  <c r="AX100" i="19"/>
  <c r="AB100" i="19"/>
  <c r="AA100" i="19"/>
  <c r="Z100" i="19"/>
  <c r="Y100" i="19"/>
  <c r="Q100" i="19"/>
  <c r="P100" i="19"/>
  <c r="O100" i="19"/>
  <c r="X100" i="19"/>
  <c r="AX99" i="19"/>
  <c r="Y99" i="19"/>
  <c r="Q99" i="19"/>
  <c r="P99" i="19"/>
  <c r="O99" i="19"/>
  <c r="AX98" i="19"/>
  <c r="Y98" i="19"/>
  <c r="Q98" i="19"/>
  <c r="P98" i="19"/>
  <c r="O98" i="19"/>
  <c r="AX97" i="19"/>
  <c r="Y97" i="19"/>
  <c r="Q97" i="19"/>
  <c r="P97" i="19"/>
  <c r="O97" i="19"/>
  <c r="AX96" i="19"/>
  <c r="Y96" i="19"/>
  <c r="Q96" i="19"/>
  <c r="P96" i="19"/>
  <c r="O96" i="19"/>
  <c r="AX95" i="19"/>
  <c r="Y95" i="19"/>
  <c r="Q95" i="19"/>
  <c r="P95" i="19"/>
  <c r="O95" i="19"/>
  <c r="AX94" i="19"/>
  <c r="Y94" i="19"/>
  <c r="Q94" i="19"/>
  <c r="P94" i="19"/>
  <c r="O94" i="19"/>
  <c r="AX93" i="19"/>
  <c r="Y93" i="19"/>
  <c r="Q93" i="19"/>
  <c r="P93" i="19"/>
  <c r="O93" i="19"/>
  <c r="AX92" i="19"/>
  <c r="Z92" i="19"/>
  <c r="Y92" i="19"/>
  <c r="X92" i="19"/>
  <c r="Q92" i="19"/>
  <c r="P92" i="19"/>
  <c r="AA92" i="19" s="1"/>
  <c r="O92" i="19"/>
  <c r="AB92" i="19"/>
  <c r="AX91" i="19"/>
  <c r="Y91" i="19"/>
  <c r="Q91" i="19"/>
  <c r="P91" i="19"/>
  <c r="O91" i="19"/>
  <c r="AX90" i="19"/>
  <c r="Y90" i="19"/>
  <c r="Q90" i="19"/>
  <c r="P90" i="19"/>
  <c r="O90" i="19"/>
  <c r="AX89" i="19"/>
  <c r="Y89" i="19"/>
  <c r="Q89" i="19"/>
  <c r="P89" i="19"/>
  <c r="O89" i="19"/>
  <c r="X89" i="19"/>
  <c r="AX88" i="19"/>
  <c r="Y88" i="19"/>
  <c r="Q88" i="19"/>
  <c r="P88" i="19"/>
  <c r="O88" i="19"/>
  <c r="AX87" i="19"/>
  <c r="Y87" i="19"/>
  <c r="Q87" i="19"/>
  <c r="P87" i="19"/>
  <c r="O87" i="19"/>
  <c r="AX86" i="19"/>
  <c r="Y86" i="19"/>
  <c r="Q86" i="19"/>
  <c r="P86" i="19"/>
  <c r="O86" i="19"/>
  <c r="AX85" i="19"/>
  <c r="Y85" i="19"/>
  <c r="Q85" i="19"/>
  <c r="P85" i="19"/>
  <c r="AA85" i="19" s="1"/>
  <c r="O85" i="19"/>
  <c r="AX84" i="19"/>
  <c r="AA84" i="19"/>
  <c r="Z84" i="19"/>
  <c r="Y84" i="19"/>
  <c r="X84" i="19"/>
  <c r="Q84" i="19"/>
  <c r="P84" i="19"/>
  <c r="O84" i="19"/>
  <c r="AX83" i="19"/>
  <c r="Y83" i="19"/>
  <c r="Q83" i="19"/>
  <c r="P83" i="19"/>
  <c r="O83" i="19"/>
  <c r="AA83" i="19"/>
  <c r="AX82" i="19"/>
  <c r="Y82" i="19"/>
  <c r="Q82" i="19"/>
  <c r="P82" i="19"/>
  <c r="O82" i="19"/>
  <c r="AX81" i="19"/>
  <c r="Y81" i="19"/>
  <c r="Q81" i="19"/>
  <c r="P81" i="19"/>
  <c r="O81" i="19"/>
  <c r="X81" i="19"/>
  <c r="AX80" i="19"/>
  <c r="Y80" i="19"/>
  <c r="Q80" i="19"/>
  <c r="P80" i="19"/>
  <c r="O80" i="19"/>
  <c r="AX79" i="19"/>
  <c r="Y79" i="19"/>
  <c r="Q79" i="19"/>
  <c r="P79" i="19"/>
  <c r="O79" i="19"/>
  <c r="AX78" i="19"/>
  <c r="Y78" i="19"/>
  <c r="Q78" i="19"/>
  <c r="P78" i="19"/>
  <c r="O78" i="19"/>
  <c r="AX77" i="19"/>
  <c r="Y77" i="19"/>
  <c r="Q77" i="19"/>
  <c r="P77" i="19"/>
  <c r="O77" i="19"/>
  <c r="AX76" i="19"/>
  <c r="Y76" i="19"/>
  <c r="Q76" i="19"/>
  <c r="P76" i="19"/>
  <c r="O76" i="19"/>
  <c r="AX75" i="19"/>
  <c r="AA75" i="19"/>
  <c r="Y75" i="19"/>
  <c r="Z75" i="19" s="1"/>
  <c r="X75" i="19"/>
  <c r="Q75" i="19"/>
  <c r="P75" i="19"/>
  <c r="O75" i="19"/>
  <c r="AX74" i="19"/>
  <c r="AB74" i="19"/>
  <c r="Z74" i="19"/>
  <c r="Y74" i="19"/>
  <c r="X74" i="19"/>
  <c r="Q74" i="19"/>
  <c r="P74" i="19"/>
  <c r="O74" i="19"/>
  <c r="AX73" i="19"/>
  <c r="AA73" i="19"/>
  <c r="Y73" i="19"/>
  <c r="Q73" i="19"/>
  <c r="P73" i="19"/>
  <c r="O73" i="19"/>
  <c r="AX72" i="19"/>
  <c r="Y72" i="19"/>
  <c r="Q72" i="19"/>
  <c r="P72" i="19"/>
  <c r="O72" i="19"/>
  <c r="AX71" i="19"/>
  <c r="Y71" i="19"/>
  <c r="Q71" i="19"/>
  <c r="P71" i="19"/>
  <c r="O71" i="19"/>
  <c r="AX70" i="19"/>
  <c r="Y70" i="19"/>
  <c r="Q70" i="19"/>
  <c r="P70" i="19"/>
  <c r="O70" i="19"/>
  <c r="AX69" i="19"/>
  <c r="Z69" i="19"/>
  <c r="Y69" i="19"/>
  <c r="Q69" i="19"/>
  <c r="P69" i="19"/>
  <c r="O69" i="19"/>
  <c r="AX68" i="19"/>
  <c r="Y68" i="19"/>
  <c r="Q68" i="19"/>
  <c r="P68" i="19"/>
  <c r="O68" i="19"/>
  <c r="AX67" i="19"/>
  <c r="AA67" i="19"/>
  <c r="Y67" i="19"/>
  <c r="Z67" i="19" s="1"/>
  <c r="X67" i="19"/>
  <c r="Q67" i="19"/>
  <c r="P67" i="19"/>
  <c r="O67" i="19"/>
  <c r="AX66" i="19"/>
  <c r="Y66" i="19"/>
  <c r="Q66" i="19"/>
  <c r="P66" i="19"/>
  <c r="O66" i="19"/>
  <c r="AX65" i="19"/>
  <c r="Y65" i="19"/>
  <c r="Q65" i="19"/>
  <c r="P65" i="19"/>
  <c r="O65" i="19"/>
  <c r="AX64" i="19"/>
  <c r="Y64" i="19"/>
  <c r="Q64" i="19"/>
  <c r="P64" i="19"/>
  <c r="O64" i="19"/>
  <c r="AX63" i="19"/>
  <c r="Y63" i="19"/>
  <c r="Q63" i="19"/>
  <c r="P63" i="19"/>
  <c r="O63" i="19"/>
  <c r="AX62" i="19"/>
  <c r="Y62" i="19"/>
  <c r="Q62" i="19"/>
  <c r="P62" i="19"/>
  <c r="O62" i="19"/>
  <c r="AX61" i="19"/>
  <c r="Y61" i="19"/>
  <c r="Z61" i="19" s="1"/>
  <c r="Q61" i="19"/>
  <c r="P61" i="19"/>
  <c r="O61" i="19"/>
  <c r="AX60" i="19"/>
  <c r="Z60" i="19"/>
  <c r="Y60" i="19"/>
  <c r="Q60" i="19"/>
  <c r="P60" i="19"/>
  <c r="AA60" i="19" s="1"/>
  <c r="O60" i="19"/>
  <c r="AX59" i="19"/>
  <c r="Y59" i="19"/>
  <c r="Q59" i="19"/>
  <c r="P59" i="19"/>
  <c r="O59" i="19"/>
  <c r="Z59" i="19"/>
  <c r="AX58" i="19"/>
  <c r="AA58" i="19"/>
  <c r="Y58" i="19"/>
  <c r="Q58" i="19"/>
  <c r="P58" i="19"/>
  <c r="O58" i="19"/>
  <c r="AX57" i="19"/>
  <c r="Y57" i="19"/>
  <c r="Z57" i="19" s="1"/>
  <c r="Q57" i="19"/>
  <c r="P57" i="19"/>
  <c r="O57" i="19"/>
  <c r="AX56" i="19"/>
  <c r="Y56" i="19"/>
  <c r="Q56" i="19"/>
  <c r="P56" i="19"/>
  <c r="O56" i="19"/>
  <c r="AX55" i="19"/>
  <c r="Y55" i="19"/>
  <c r="Q55" i="19"/>
  <c r="P55" i="19"/>
  <c r="O55" i="19"/>
  <c r="AX54" i="19"/>
  <c r="AA54" i="19"/>
  <c r="Y54" i="19"/>
  <c r="Q54" i="19"/>
  <c r="P54" i="19"/>
  <c r="O54" i="19"/>
  <c r="AX53" i="19"/>
  <c r="Z53" i="19"/>
  <c r="Y53" i="19"/>
  <c r="Q53" i="19"/>
  <c r="P53" i="19"/>
  <c r="O53" i="19"/>
  <c r="AX52" i="19"/>
  <c r="AA52" i="19"/>
  <c r="Y52" i="19"/>
  <c r="Z52" i="19" s="1"/>
  <c r="Q52" i="19"/>
  <c r="P52" i="19"/>
  <c r="O52" i="19"/>
  <c r="AX51" i="19"/>
  <c r="Y51" i="19"/>
  <c r="Q51" i="19"/>
  <c r="P51" i="19"/>
  <c r="O51" i="19"/>
  <c r="AX50" i="19"/>
  <c r="Y50" i="19"/>
  <c r="T50" i="19"/>
  <c r="Q50" i="19"/>
  <c r="P50" i="19"/>
  <c r="AA50" i="19" s="1"/>
  <c r="O50" i="19"/>
  <c r="AX49" i="19"/>
  <c r="Y49" i="19"/>
  <c r="Z49" i="19" s="1"/>
  <c r="Q49" i="19"/>
  <c r="P49" i="19"/>
  <c r="O49" i="19"/>
  <c r="AX48" i="19"/>
  <c r="AA48" i="19"/>
  <c r="Z48" i="19"/>
  <c r="Y48" i="19"/>
  <c r="Q48" i="19"/>
  <c r="P48" i="19"/>
  <c r="O48" i="19"/>
  <c r="AX47" i="19"/>
  <c r="Y47" i="19"/>
  <c r="Q47" i="19"/>
  <c r="P47" i="19"/>
  <c r="O47" i="19"/>
  <c r="AB47" i="19"/>
  <c r="AX46" i="19"/>
  <c r="AB46" i="19"/>
  <c r="Y46" i="19"/>
  <c r="P46" i="19"/>
  <c r="O46" i="19"/>
  <c r="Q46" i="19" s="1"/>
  <c r="AX45" i="19"/>
  <c r="Y45" i="19"/>
  <c r="Q45" i="19"/>
  <c r="P45" i="19"/>
  <c r="O45" i="19"/>
  <c r="N45" i="19"/>
  <c r="M45" i="19"/>
  <c r="AX44" i="19"/>
  <c r="AD44" i="19"/>
  <c r="Y44" i="19"/>
  <c r="Q44" i="19"/>
  <c r="P44" i="19"/>
  <c r="O44" i="19"/>
  <c r="AX43" i="19"/>
  <c r="Y43" i="19"/>
  <c r="Q43" i="19"/>
  <c r="O43" i="19"/>
  <c r="P43" i="19" s="1"/>
  <c r="AX42" i="19"/>
  <c r="AA42" i="19"/>
  <c r="Q42" i="19"/>
  <c r="O42" i="19"/>
  <c r="P42" i="19" s="1"/>
  <c r="M42" i="19"/>
  <c r="N42" i="19" s="1"/>
  <c r="AX41" i="19"/>
  <c r="AE41" i="19"/>
  <c r="Y41" i="19"/>
  <c r="O41" i="19"/>
  <c r="Q41" i="19" s="1"/>
  <c r="AX40" i="19"/>
  <c r="AJ40" i="19"/>
  <c r="AK40" i="19" s="1"/>
  <c r="AF40" i="19"/>
  <c r="AE40" i="19"/>
  <c r="Y40" i="19"/>
  <c r="U40" i="19"/>
  <c r="O40" i="19"/>
  <c r="P40" i="19" s="1"/>
  <c r="AX39" i="19"/>
  <c r="AK39" i="19"/>
  <c r="AJ39" i="19"/>
  <c r="AH39" i="19"/>
  <c r="AF39" i="19"/>
  <c r="U39" i="19"/>
  <c r="O39" i="19"/>
  <c r="Q39" i="19" s="1"/>
  <c r="M39" i="19"/>
  <c r="N39" i="19" s="1"/>
  <c r="AX38" i="19"/>
  <c r="Y38" i="19"/>
  <c r="P38" i="19"/>
  <c r="O38" i="19"/>
  <c r="Q38" i="19" s="1"/>
  <c r="AX37" i="19"/>
  <c r="T37" i="19"/>
  <c r="Q37" i="19"/>
  <c r="O37" i="19"/>
  <c r="P37" i="19" s="1"/>
  <c r="M37" i="19"/>
  <c r="N37" i="19" s="1"/>
  <c r="AA37" i="19" s="1"/>
  <c r="AX36" i="19"/>
  <c r="Y36" i="19"/>
  <c r="Z36" i="19" s="1"/>
  <c r="T36" i="19"/>
  <c r="Q36" i="19"/>
  <c r="P36" i="19"/>
  <c r="O36" i="19"/>
  <c r="M36" i="19"/>
  <c r="N36" i="19" s="1"/>
  <c r="X36" i="19" s="1"/>
  <c r="AX35" i="19"/>
  <c r="Y35" i="19"/>
  <c r="Z35" i="19" s="1"/>
  <c r="T35" i="19"/>
  <c r="M44" i="19" s="1"/>
  <c r="N44" i="19" s="1"/>
  <c r="O35" i="19"/>
  <c r="M35" i="19"/>
  <c r="N35" i="19" s="1"/>
  <c r="AX34" i="19"/>
  <c r="T34" i="19"/>
  <c r="M34" i="19" s="1"/>
  <c r="N34" i="19" s="1"/>
  <c r="Q34" i="19"/>
  <c r="O34" i="19"/>
  <c r="P34" i="19" s="1"/>
  <c r="AX33" i="19"/>
  <c r="T33" i="19"/>
  <c r="M29" i="19" s="1"/>
  <c r="N29" i="19" s="1"/>
  <c r="X29" i="19" s="1"/>
  <c r="Q33" i="19"/>
  <c r="P33" i="19"/>
  <c r="O33" i="19"/>
  <c r="N33" i="19"/>
  <c r="M33" i="19"/>
  <c r="L33" i="19"/>
  <c r="L102" i="19" s="1"/>
  <c r="AX32" i="19"/>
  <c r="Y32" i="19"/>
  <c r="T32" i="19"/>
  <c r="M46" i="19" s="1"/>
  <c r="N46" i="19" s="1"/>
  <c r="Q32" i="19"/>
  <c r="P32" i="19"/>
  <c r="O32" i="19"/>
  <c r="N32" i="19"/>
  <c r="AA32" i="19" s="1"/>
  <c r="M32" i="19"/>
  <c r="AX31" i="19"/>
  <c r="T31" i="19"/>
  <c r="M41" i="19" s="1"/>
  <c r="N41" i="19" s="1"/>
  <c r="Q31" i="19"/>
  <c r="P31" i="19"/>
  <c r="O31" i="19"/>
  <c r="AX30" i="19"/>
  <c r="Y30" i="19"/>
  <c r="T30" i="19"/>
  <c r="O30" i="19"/>
  <c r="Q30" i="19" s="1"/>
  <c r="AX29" i="19"/>
  <c r="AB29" i="19"/>
  <c r="T29" i="19"/>
  <c r="M40" i="19" s="1"/>
  <c r="N40" i="19" s="1"/>
  <c r="Q29" i="19"/>
  <c r="O29" i="19"/>
  <c r="P29" i="19" s="1"/>
  <c r="AX28" i="19"/>
  <c r="Y28" i="19"/>
  <c r="Z28" i="19" s="1"/>
  <c r="X28" i="19"/>
  <c r="P28" i="19"/>
  <c r="AA28" i="19" s="1"/>
  <c r="O28" i="19"/>
  <c r="Q28" i="19" s="1"/>
  <c r="M28" i="19"/>
  <c r="N28" i="19" s="1"/>
  <c r="AX27" i="19"/>
  <c r="AB27" i="19"/>
  <c r="AA27" i="19"/>
  <c r="Y27" i="19"/>
  <c r="X27" i="19"/>
  <c r="P27" i="19"/>
  <c r="O27" i="19"/>
  <c r="Q27" i="19" s="1"/>
  <c r="M27" i="19"/>
  <c r="N27" i="19" s="1"/>
  <c r="AX26" i="19"/>
  <c r="AB26" i="19"/>
  <c r="Y26" i="19"/>
  <c r="Z26" i="19" s="1"/>
  <c r="Q26" i="19"/>
  <c r="P26" i="19"/>
  <c r="O26" i="19"/>
  <c r="N26" i="19"/>
  <c r="M26" i="19"/>
  <c r="AX25" i="19"/>
  <c r="Q25" i="19"/>
  <c r="P25" i="19"/>
  <c r="O25" i="19"/>
  <c r="N25" i="19"/>
  <c r="M25" i="19"/>
  <c r="AX24" i="19"/>
  <c r="Y24" i="19"/>
  <c r="O24" i="19"/>
  <c r="AX23" i="19"/>
  <c r="AA23" i="19"/>
  <c r="Q23" i="19"/>
  <c r="P23" i="19"/>
  <c r="O23" i="19"/>
  <c r="M23" i="19"/>
  <c r="N23" i="19" s="1"/>
  <c r="AB23" i="19" s="1"/>
  <c r="AX22" i="19"/>
  <c r="Y22" i="19"/>
  <c r="O22" i="19"/>
  <c r="Q22" i="19" s="1"/>
  <c r="AX21" i="19"/>
  <c r="AD36" i="19"/>
  <c r="Y21" i="19"/>
  <c r="O21" i="19"/>
  <c r="P21" i="19" s="1"/>
  <c r="M21" i="19"/>
  <c r="N21" i="19" s="1"/>
  <c r="AX20" i="19"/>
  <c r="AA20" i="19"/>
  <c r="Y20" i="19"/>
  <c r="Z20" i="19" s="1"/>
  <c r="P20" i="19"/>
  <c r="O20" i="19"/>
  <c r="Q20" i="19" s="1"/>
  <c r="M20" i="19"/>
  <c r="N20" i="19" s="1"/>
  <c r="AX19" i="19"/>
  <c r="Q19" i="19"/>
  <c r="O19" i="19"/>
  <c r="P19" i="19" s="1"/>
  <c r="AX18" i="19"/>
  <c r="AD33" i="19"/>
  <c r="Q18" i="19"/>
  <c r="P18" i="19"/>
  <c r="O18" i="19"/>
  <c r="M18" i="19"/>
  <c r="N18" i="19" s="1"/>
  <c r="AX17" i="19"/>
  <c r="Y17" i="19"/>
  <c r="P17" i="19"/>
  <c r="O17" i="19"/>
  <c r="Q17" i="19" s="1"/>
  <c r="N17" i="19"/>
  <c r="AA17" i="19" s="1"/>
  <c r="M17" i="19"/>
  <c r="AX16" i="19"/>
  <c r="Y16" i="19"/>
  <c r="Q16" i="19"/>
  <c r="P16" i="19"/>
  <c r="O16" i="19"/>
  <c r="AX15" i="19"/>
  <c r="AD30" i="19"/>
  <c r="AA15" i="19"/>
  <c r="Q15" i="19"/>
  <c r="P15" i="19"/>
  <c r="O15" i="19"/>
  <c r="M15" i="19"/>
  <c r="N15" i="19" s="1"/>
  <c r="AX14" i="19"/>
  <c r="Y14" i="19"/>
  <c r="Q14" i="19"/>
  <c r="O14" i="19"/>
  <c r="P14" i="19" s="1"/>
  <c r="AX13" i="19"/>
  <c r="Y13" i="19"/>
  <c r="Z13" i="19" s="1"/>
  <c r="O13" i="19"/>
  <c r="Q13" i="19" s="1"/>
  <c r="M13" i="19"/>
  <c r="N13" i="19" s="1"/>
  <c r="AX12" i="19"/>
  <c r="Y12" i="19"/>
  <c r="P12" i="19"/>
  <c r="O12" i="19"/>
  <c r="Q12" i="19" s="1"/>
  <c r="N12" i="19"/>
  <c r="AA12" i="19" s="1"/>
  <c r="M12" i="19"/>
  <c r="AX11" i="19"/>
  <c r="Y11" i="19"/>
  <c r="Z11" i="19" s="1"/>
  <c r="Q11" i="19"/>
  <c r="P11" i="19"/>
  <c r="O11" i="19"/>
  <c r="N11" i="19"/>
  <c r="AB11" i="19" s="1"/>
  <c r="M11" i="19"/>
  <c r="AX10" i="19"/>
  <c r="U10" i="19"/>
  <c r="T10" i="19"/>
  <c r="O10" i="19"/>
  <c r="P10" i="19" s="1"/>
  <c r="M10" i="19"/>
  <c r="N10" i="19" s="1"/>
  <c r="AX9" i="19"/>
  <c r="Y9" i="19"/>
  <c r="P9" i="19"/>
  <c r="O9" i="19"/>
  <c r="Q9" i="19" s="1"/>
  <c r="M9" i="19"/>
  <c r="N9" i="19" s="1"/>
  <c r="AX8" i="19"/>
  <c r="Y8" i="19"/>
  <c r="O8" i="19"/>
  <c r="Q8" i="19" s="1"/>
  <c r="N8" i="19"/>
  <c r="M8" i="19"/>
  <c r="AX7" i="19"/>
  <c r="Q7" i="19"/>
  <c r="P7" i="19"/>
  <c r="O7" i="19"/>
  <c r="M7" i="19"/>
  <c r="N7" i="19" s="1"/>
  <c r="AX6" i="19"/>
  <c r="Y6" i="19"/>
  <c r="U6" i="19"/>
  <c r="Q6" i="19"/>
  <c r="P6" i="19"/>
  <c r="O6" i="19"/>
  <c r="N6" i="19"/>
  <c r="M6" i="19"/>
  <c r="AX5" i="19"/>
  <c r="Y5" i="19"/>
  <c r="Z5" i="19" s="1"/>
  <c r="Q5" i="19"/>
  <c r="P5" i="19"/>
  <c r="O5" i="19"/>
  <c r="M5" i="19"/>
  <c r="N5" i="19" s="1"/>
  <c r="AX4" i="19"/>
  <c r="AE4" i="19"/>
  <c r="AE5" i="19" s="1"/>
  <c r="Y4" i="19"/>
  <c r="Z4" i="19" s="1"/>
  <c r="Q4" i="19"/>
  <c r="O4" i="19"/>
  <c r="P4" i="19" s="1"/>
  <c r="N4" i="19"/>
  <c r="AB4" i="19" s="1"/>
  <c r="M4" i="19"/>
  <c r="AX3" i="19"/>
  <c r="P3" i="19"/>
  <c r="O3" i="19"/>
  <c r="Q3" i="19" s="1"/>
  <c r="N3" i="19"/>
  <c r="X3" i="19" s="1"/>
  <c r="M3" i="19"/>
  <c r="AX2" i="19"/>
  <c r="O2" i="19"/>
  <c r="Q2" i="19" s="1"/>
  <c r="N2" i="19"/>
  <c r="M2" i="19"/>
  <c r="AL29" i="18"/>
  <c r="AD5" i="18"/>
  <c r="AB3" i="18"/>
  <c r="AB4" i="18"/>
  <c r="AB5" i="18"/>
  <c r="AB6" i="18"/>
  <c r="AB7" i="18"/>
  <c r="AB8" i="18"/>
  <c r="AB9" i="18"/>
  <c r="AB10" i="18"/>
  <c r="AB11" i="18"/>
  <c r="AB12" i="18"/>
  <c r="AB13" i="18"/>
  <c r="AB14" i="18"/>
  <c r="AB15" i="18"/>
  <c r="AB16" i="18"/>
  <c r="AB17" i="18"/>
  <c r="AB18" i="18"/>
  <c r="AB19" i="18"/>
  <c r="AB20" i="18"/>
  <c r="AB21" i="18"/>
  <c r="AB22" i="18"/>
  <c r="AB23" i="18"/>
  <c r="AB24" i="18"/>
  <c r="AB25" i="18"/>
  <c r="AB26" i="18"/>
  <c r="AB27" i="18"/>
  <c r="AB28" i="18"/>
  <c r="AB29" i="18"/>
  <c r="AB30" i="18"/>
  <c r="AB31" i="18"/>
  <c r="AB32" i="18"/>
  <c r="AB33" i="18"/>
  <c r="AB34" i="18"/>
  <c r="AB35" i="18"/>
  <c r="AB36" i="18"/>
  <c r="AB37" i="18"/>
  <c r="AB38" i="18"/>
  <c r="AB39" i="18"/>
  <c r="AB40" i="18"/>
  <c r="AB41" i="18"/>
  <c r="AB42" i="18"/>
  <c r="AB43" i="18"/>
  <c r="AB44" i="18"/>
  <c r="AB45" i="18"/>
  <c r="AB46" i="18"/>
  <c r="AB2" i="18"/>
  <c r="AA3" i="18"/>
  <c r="AA4" i="18"/>
  <c r="AA5" i="18"/>
  <c r="AA6" i="18"/>
  <c r="AA7" i="18"/>
  <c r="AA8" i="18"/>
  <c r="AA9" i="18"/>
  <c r="AA10" i="18"/>
  <c r="AA11" i="18"/>
  <c r="AA12" i="18"/>
  <c r="AA13" i="18"/>
  <c r="AA14" i="18"/>
  <c r="AA15" i="18"/>
  <c r="AA16" i="18"/>
  <c r="AA17" i="18"/>
  <c r="AA18" i="18"/>
  <c r="AA19" i="18"/>
  <c r="AA20" i="18"/>
  <c r="AA21" i="18"/>
  <c r="AA22" i="18"/>
  <c r="AA23" i="18"/>
  <c r="AA24" i="18"/>
  <c r="AA25" i="18"/>
  <c r="AA26" i="18"/>
  <c r="AA27" i="18"/>
  <c r="AA28" i="18"/>
  <c r="AA29" i="18"/>
  <c r="AA30" i="18"/>
  <c r="AA31" i="18"/>
  <c r="AA32" i="18"/>
  <c r="AA33" i="18"/>
  <c r="AA34" i="18"/>
  <c r="AA35" i="18"/>
  <c r="AA36" i="18"/>
  <c r="AA37" i="18"/>
  <c r="AA38" i="18"/>
  <c r="AA39" i="18"/>
  <c r="AA40" i="18"/>
  <c r="AA41" i="18"/>
  <c r="AA42" i="18"/>
  <c r="AA43" i="18"/>
  <c r="AA44" i="18"/>
  <c r="AA45" i="18"/>
  <c r="AA46" i="18"/>
  <c r="AA2" i="18"/>
  <c r="Z3" i="18"/>
  <c r="Z4" i="18"/>
  <c r="Z5" i="18"/>
  <c r="Z6" i="18"/>
  <c r="Z7" i="18"/>
  <c r="Z8" i="18"/>
  <c r="Z9" i="18"/>
  <c r="Z10" i="18"/>
  <c r="Z11" i="18"/>
  <c r="Z12" i="18"/>
  <c r="Z13" i="18"/>
  <c r="Z14" i="18"/>
  <c r="Z15" i="18"/>
  <c r="Z16" i="18"/>
  <c r="Z17" i="18"/>
  <c r="Z18" i="18"/>
  <c r="Z19" i="18"/>
  <c r="Z20" i="18"/>
  <c r="Z21" i="18"/>
  <c r="Z22" i="18"/>
  <c r="Z23" i="18"/>
  <c r="Z24" i="18"/>
  <c r="Z25" i="18"/>
  <c r="Z26" i="18"/>
  <c r="Z27" i="18"/>
  <c r="Z28" i="18"/>
  <c r="Z29" i="18"/>
  <c r="Z30" i="18"/>
  <c r="Z31" i="18"/>
  <c r="Z32" i="18"/>
  <c r="Z33" i="18"/>
  <c r="Z34" i="18"/>
  <c r="Z35" i="18"/>
  <c r="Z36" i="18"/>
  <c r="Z37" i="18"/>
  <c r="Z38" i="18"/>
  <c r="Z39" i="18"/>
  <c r="Z40" i="18"/>
  <c r="Z41" i="18"/>
  <c r="Z42" i="18"/>
  <c r="Z43" i="18"/>
  <c r="Z44" i="18"/>
  <c r="Z45" i="18"/>
  <c r="Z46" i="18"/>
  <c r="Z2" i="18"/>
  <c r="X3" i="18"/>
  <c r="X4" i="18"/>
  <c r="X5" i="18"/>
  <c r="X6" i="18"/>
  <c r="X7" i="18"/>
  <c r="X8" i="18"/>
  <c r="X9" i="18"/>
  <c r="X10" i="18"/>
  <c r="X11" i="18"/>
  <c r="X12" i="18"/>
  <c r="X13" i="18"/>
  <c r="X14" i="18"/>
  <c r="X15" i="18"/>
  <c r="X16" i="18"/>
  <c r="X17" i="18"/>
  <c r="X18" i="18"/>
  <c r="X19" i="18"/>
  <c r="X20" i="18"/>
  <c r="X21" i="18"/>
  <c r="X22" i="18"/>
  <c r="X23" i="18"/>
  <c r="X24" i="18"/>
  <c r="X25" i="18"/>
  <c r="X26" i="18"/>
  <c r="X27" i="18"/>
  <c r="X28" i="18"/>
  <c r="X29" i="18"/>
  <c r="X30" i="18"/>
  <c r="X31" i="18"/>
  <c r="X32" i="18"/>
  <c r="X33" i="18"/>
  <c r="X34" i="18"/>
  <c r="X35" i="18"/>
  <c r="X36" i="18"/>
  <c r="X37" i="18"/>
  <c r="X38" i="18"/>
  <c r="X39" i="18"/>
  <c r="X40" i="18"/>
  <c r="X41" i="18"/>
  <c r="X42" i="18"/>
  <c r="X43" i="18"/>
  <c r="X44" i="18"/>
  <c r="X45" i="18"/>
  <c r="X46" i="18"/>
  <c r="X2" i="18"/>
  <c r="N36" i="18"/>
  <c r="N37" i="18"/>
  <c r="N38" i="18"/>
  <c r="N39" i="18"/>
  <c r="N40" i="18"/>
  <c r="N41" i="18"/>
  <c r="N42" i="18"/>
  <c r="N43" i="18"/>
  <c r="N44" i="18"/>
  <c r="N45" i="18"/>
  <c r="N46" i="18"/>
  <c r="N35" i="18"/>
  <c r="N25" i="18"/>
  <c r="N26" i="18"/>
  <c r="N27" i="18"/>
  <c r="N28" i="18"/>
  <c r="N29" i="18"/>
  <c r="N30" i="18"/>
  <c r="N31" i="18"/>
  <c r="N32" i="18"/>
  <c r="N33" i="18"/>
  <c r="N34" i="18"/>
  <c r="N24" i="18"/>
  <c r="N23" i="18"/>
  <c r="N14" i="18"/>
  <c r="N15" i="18"/>
  <c r="N16" i="18"/>
  <c r="N17" i="18"/>
  <c r="N18" i="18"/>
  <c r="N19" i="18"/>
  <c r="N20" i="18"/>
  <c r="N21" i="18"/>
  <c r="N22" i="18"/>
  <c r="N13" i="18"/>
  <c r="N3" i="18"/>
  <c r="N4" i="18"/>
  <c r="N5" i="18"/>
  <c r="N6" i="18"/>
  <c r="N7" i="18"/>
  <c r="N8" i="18"/>
  <c r="N9" i="18"/>
  <c r="N10" i="18"/>
  <c r="N11" i="18"/>
  <c r="N12" i="18"/>
  <c r="W102" i="18"/>
  <c r="V102" i="18"/>
  <c r="S102" i="18"/>
  <c r="R102" i="18"/>
  <c r="K102" i="18"/>
  <c r="C102" i="18"/>
  <c r="B102" i="18"/>
  <c r="AX102" i="18" s="1"/>
  <c r="Y100" i="18"/>
  <c r="Q100" i="18"/>
  <c r="P100" i="18"/>
  <c r="O100" i="18"/>
  <c r="M100" i="18"/>
  <c r="AA100" i="18" s="1"/>
  <c r="AX99" i="18"/>
  <c r="Y99" i="18"/>
  <c r="Q99" i="18"/>
  <c r="P99" i="18"/>
  <c r="O99" i="18"/>
  <c r="M99" i="18"/>
  <c r="Y98" i="18"/>
  <c r="Z98" i="18" s="1"/>
  <c r="X98" i="18"/>
  <c r="Q98" i="18"/>
  <c r="P98" i="18"/>
  <c r="O98" i="18"/>
  <c r="M98" i="18"/>
  <c r="Y97" i="18"/>
  <c r="Z97" i="18" s="1"/>
  <c r="Q97" i="18"/>
  <c r="P97" i="18"/>
  <c r="O97" i="18"/>
  <c r="M97" i="18"/>
  <c r="X97" i="18" s="1"/>
  <c r="Y96" i="18"/>
  <c r="Q96" i="18"/>
  <c r="P96" i="18"/>
  <c r="O96" i="18"/>
  <c r="M96" i="18"/>
  <c r="AA95" i="18"/>
  <c r="Y95" i="18"/>
  <c r="Q95" i="18"/>
  <c r="P95" i="18"/>
  <c r="O95" i="18"/>
  <c r="M95" i="18"/>
  <c r="X95" i="18" s="1"/>
  <c r="AX94" i="18"/>
  <c r="Y94" i="18"/>
  <c r="Q94" i="18"/>
  <c r="P94" i="18"/>
  <c r="O94" i="18"/>
  <c r="M94" i="18"/>
  <c r="X94" i="18" s="1"/>
  <c r="AX93" i="18"/>
  <c r="Y93" i="18"/>
  <c r="Z93" i="18" s="1"/>
  <c r="Q93" i="18"/>
  <c r="P93" i="18"/>
  <c r="O93" i="18"/>
  <c r="M93" i="18"/>
  <c r="Y92" i="18"/>
  <c r="X92" i="18"/>
  <c r="Q92" i="18"/>
  <c r="P92" i="18"/>
  <c r="O92" i="18"/>
  <c r="M92" i="18"/>
  <c r="Y91" i="18"/>
  <c r="Q91" i="18"/>
  <c r="P91" i="18"/>
  <c r="O91" i="18"/>
  <c r="M91" i="18"/>
  <c r="X91" i="18" s="1"/>
  <c r="Y90" i="18"/>
  <c r="Q90" i="18"/>
  <c r="P90" i="18"/>
  <c r="O90" i="18"/>
  <c r="M90" i="18"/>
  <c r="AA90" i="18" s="1"/>
  <c r="Y89" i="18"/>
  <c r="Z89" i="18" s="1"/>
  <c r="Q89" i="18"/>
  <c r="P89" i="18"/>
  <c r="O89" i="18"/>
  <c r="M89" i="18"/>
  <c r="X89" i="18" s="1"/>
  <c r="AX88" i="18"/>
  <c r="Y88" i="18"/>
  <c r="Z88" i="18" s="1"/>
  <c r="Q88" i="18"/>
  <c r="P88" i="18"/>
  <c r="O88" i="18"/>
  <c r="M88" i="18"/>
  <c r="X88" i="18" s="1"/>
  <c r="AA87" i="18"/>
  <c r="Y87" i="18"/>
  <c r="Q87" i="18"/>
  <c r="P87" i="18"/>
  <c r="O87" i="18"/>
  <c r="M87" i="18"/>
  <c r="X87" i="18" s="1"/>
  <c r="Y86" i="18"/>
  <c r="Q86" i="18"/>
  <c r="P86" i="18"/>
  <c r="O86" i="18"/>
  <c r="M86" i="18"/>
  <c r="AX85" i="18"/>
  <c r="Y85" i="18"/>
  <c r="Q85" i="18"/>
  <c r="P85" i="18"/>
  <c r="O85" i="18"/>
  <c r="M85" i="18"/>
  <c r="X85" i="18" s="1"/>
  <c r="AX84" i="18"/>
  <c r="Y84" i="18"/>
  <c r="Q84" i="18"/>
  <c r="P84" i="18"/>
  <c r="O84" i="18"/>
  <c r="M84" i="18"/>
  <c r="AA84" i="18" s="1"/>
  <c r="Y83" i="18"/>
  <c r="X83" i="18"/>
  <c r="Q83" i="18"/>
  <c r="P83" i="18"/>
  <c r="O83" i="18"/>
  <c r="M83" i="18"/>
  <c r="AX82" i="18"/>
  <c r="Y82" i="18"/>
  <c r="Q82" i="18"/>
  <c r="P82" i="18"/>
  <c r="O82" i="18"/>
  <c r="M82" i="18"/>
  <c r="Y81" i="18"/>
  <c r="Q81" i="18"/>
  <c r="P81" i="18"/>
  <c r="O81" i="18"/>
  <c r="M81" i="18"/>
  <c r="X81" i="18" s="1"/>
  <c r="Y80" i="18"/>
  <c r="Q80" i="18"/>
  <c r="P80" i="18"/>
  <c r="O80" i="18"/>
  <c r="M80" i="18"/>
  <c r="X80" i="18" s="1"/>
  <c r="Y79" i="18"/>
  <c r="Q79" i="18"/>
  <c r="P79" i="18"/>
  <c r="O79" i="18"/>
  <c r="M79" i="18"/>
  <c r="AB79" i="18" s="1"/>
  <c r="Y78" i="18"/>
  <c r="Q78" i="18"/>
  <c r="P78" i="18"/>
  <c r="O78" i="18"/>
  <c r="M78" i="18"/>
  <c r="X78" i="18" s="1"/>
  <c r="Y77" i="18"/>
  <c r="Q77" i="18"/>
  <c r="P77" i="18"/>
  <c r="O77" i="18"/>
  <c r="M77" i="18"/>
  <c r="X77" i="18" s="1"/>
  <c r="Y76" i="18"/>
  <c r="Q76" i="18"/>
  <c r="P76" i="18"/>
  <c r="O76" i="18"/>
  <c r="M76" i="18"/>
  <c r="Y75" i="18"/>
  <c r="Q75" i="18"/>
  <c r="P75" i="18"/>
  <c r="O75" i="18"/>
  <c r="M75" i="18"/>
  <c r="Z75" i="18" s="1"/>
  <c r="Y74" i="18"/>
  <c r="Q74" i="18"/>
  <c r="P74" i="18"/>
  <c r="O74" i="18"/>
  <c r="M74" i="18"/>
  <c r="Y73" i="18"/>
  <c r="Q73" i="18"/>
  <c r="P73" i="18"/>
  <c r="O73" i="18"/>
  <c r="M73" i="18"/>
  <c r="X73" i="18" s="1"/>
  <c r="Y72" i="18"/>
  <c r="Z72" i="18" s="1"/>
  <c r="Q72" i="18"/>
  <c r="P72" i="18"/>
  <c r="O72" i="18"/>
  <c r="M72" i="18"/>
  <c r="AX71" i="18"/>
  <c r="Y71" i="18"/>
  <c r="Q71" i="18"/>
  <c r="P71" i="18"/>
  <c r="O71" i="18"/>
  <c r="M71" i="18"/>
  <c r="AX70" i="18"/>
  <c r="Y70" i="18"/>
  <c r="Q70" i="18"/>
  <c r="P70" i="18"/>
  <c r="O70" i="18"/>
  <c r="M70" i="18"/>
  <c r="AA70" i="18" s="1"/>
  <c r="Y69" i="18"/>
  <c r="Q69" i="18"/>
  <c r="P69" i="18"/>
  <c r="AA69" i="18" s="1"/>
  <c r="O69" i="18"/>
  <c r="M69" i="18"/>
  <c r="Y68" i="18"/>
  <c r="Z68" i="18" s="1"/>
  <c r="X68" i="18"/>
  <c r="Q68" i="18"/>
  <c r="P68" i="18"/>
  <c r="AA68" i="18" s="1"/>
  <c r="O68" i="18"/>
  <c r="M68" i="18"/>
  <c r="Y67" i="18"/>
  <c r="Q67" i="18"/>
  <c r="P67" i="18"/>
  <c r="O67" i="18"/>
  <c r="M67" i="18"/>
  <c r="AA67" i="18" s="1"/>
  <c r="AX66" i="18"/>
  <c r="Y66" i="18"/>
  <c r="Q66" i="18"/>
  <c r="P66" i="18"/>
  <c r="O66" i="18"/>
  <c r="M66" i="18"/>
  <c r="AX65" i="18"/>
  <c r="AA65" i="18"/>
  <c r="Z65" i="18"/>
  <c r="Y65" i="18"/>
  <c r="Q65" i="18"/>
  <c r="P65" i="18"/>
  <c r="O65" i="18"/>
  <c r="M65" i="18"/>
  <c r="AX64" i="18"/>
  <c r="Y64" i="18"/>
  <c r="Q64" i="18"/>
  <c r="P64" i="18"/>
  <c r="O64" i="18"/>
  <c r="M64" i="18"/>
  <c r="X64" i="18" s="1"/>
  <c r="Y63" i="18"/>
  <c r="Z63" i="18" s="1"/>
  <c r="Q63" i="18"/>
  <c r="P63" i="18"/>
  <c r="AA63" i="18" s="1"/>
  <c r="O63" i="18"/>
  <c r="M63" i="18"/>
  <c r="X63" i="18" s="1"/>
  <c r="Y62" i="18"/>
  <c r="Q62" i="18"/>
  <c r="P62" i="18"/>
  <c r="O62" i="18"/>
  <c r="M62" i="18"/>
  <c r="Y61" i="18"/>
  <c r="Q61" i="18"/>
  <c r="P61" i="18"/>
  <c r="O61" i="18"/>
  <c r="M61" i="18"/>
  <c r="AX60" i="18"/>
  <c r="Y60" i="18"/>
  <c r="Q60" i="18"/>
  <c r="P60" i="18"/>
  <c r="O60" i="18"/>
  <c r="M60" i="18"/>
  <c r="AA60" i="18" s="1"/>
  <c r="AA59" i="18"/>
  <c r="Y59" i="18"/>
  <c r="Q59" i="18"/>
  <c r="P59" i="18"/>
  <c r="O59" i="18"/>
  <c r="M59" i="18"/>
  <c r="X59" i="18" s="1"/>
  <c r="AX58" i="18"/>
  <c r="Y58" i="18"/>
  <c r="Q58" i="18"/>
  <c r="P58" i="18"/>
  <c r="O58" i="18"/>
  <c r="M58" i="18"/>
  <c r="Y57" i="18"/>
  <c r="Z57" i="18" s="1"/>
  <c r="Q57" i="18"/>
  <c r="P57" i="18"/>
  <c r="O57" i="18"/>
  <c r="M57" i="18"/>
  <c r="X57" i="18" s="1"/>
  <c r="Y56" i="18"/>
  <c r="Q56" i="18"/>
  <c r="P56" i="18"/>
  <c r="O56" i="18"/>
  <c r="M56" i="18"/>
  <c r="X56" i="18" s="1"/>
  <c r="AX55" i="18"/>
  <c r="Y55" i="18"/>
  <c r="Q55" i="18"/>
  <c r="P55" i="18"/>
  <c r="O55" i="18"/>
  <c r="M55" i="18"/>
  <c r="Y54" i="18"/>
  <c r="Z54" i="18" s="1"/>
  <c r="Q54" i="18"/>
  <c r="P54" i="18"/>
  <c r="O54" i="18"/>
  <c r="M54" i="18"/>
  <c r="Y53" i="18"/>
  <c r="Q53" i="18"/>
  <c r="P53" i="18"/>
  <c r="O53" i="18"/>
  <c r="M53" i="18"/>
  <c r="Y52" i="18"/>
  <c r="Q52" i="18"/>
  <c r="P52" i="18"/>
  <c r="O52" i="18"/>
  <c r="M52" i="18"/>
  <c r="AB52" i="18" s="1"/>
  <c r="AX51" i="18"/>
  <c r="Y51" i="18"/>
  <c r="Q51" i="18"/>
  <c r="P51" i="18"/>
  <c r="O51" i="18"/>
  <c r="M51" i="18"/>
  <c r="X51" i="18" s="1"/>
  <c r="Y50" i="18"/>
  <c r="T50" i="18"/>
  <c r="Q50" i="18"/>
  <c r="P50" i="18"/>
  <c r="O50" i="18"/>
  <c r="M50" i="18"/>
  <c r="AX49" i="18"/>
  <c r="Y49" i="18"/>
  <c r="Q49" i="18"/>
  <c r="P49" i="18"/>
  <c r="O49" i="18"/>
  <c r="M49" i="18"/>
  <c r="Y48" i="18"/>
  <c r="Q48" i="18"/>
  <c r="P48" i="18"/>
  <c r="O48" i="18"/>
  <c r="M48" i="18"/>
  <c r="X48" i="18" s="1"/>
  <c r="AX47" i="18"/>
  <c r="Y47" i="18"/>
  <c r="Q47" i="18"/>
  <c r="P47" i="18"/>
  <c r="O47" i="18"/>
  <c r="M47" i="18"/>
  <c r="X47" i="18" s="1"/>
  <c r="AX46" i="18"/>
  <c r="Y46" i="18"/>
  <c r="O46" i="18"/>
  <c r="Y45" i="18"/>
  <c r="O45" i="18"/>
  <c r="P45" i="18" s="1"/>
  <c r="M45" i="18"/>
  <c r="AD44" i="18"/>
  <c r="AJ39" i="18" s="1"/>
  <c r="AK39" i="18" s="1"/>
  <c r="Y44" i="18"/>
  <c r="Q44" i="18"/>
  <c r="P44" i="18"/>
  <c r="O44" i="18"/>
  <c r="AX43" i="18"/>
  <c r="Y43" i="18"/>
  <c r="O43" i="18"/>
  <c r="AX42" i="18"/>
  <c r="Y42" i="18"/>
  <c r="P42" i="18"/>
  <c r="O42" i="18"/>
  <c r="Q42" i="18" s="1"/>
  <c r="M42" i="18"/>
  <c r="AX41" i="18"/>
  <c r="AE41" i="18"/>
  <c r="Y41" i="18"/>
  <c r="O41" i="18"/>
  <c r="AX40" i="18"/>
  <c r="AE40" i="18"/>
  <c r="Y40" i="18"/>
  <c r="U40" i="18"/>
  <c r="O40" i="18"/>
  <c r="Q40" i="18" s="1"/>
  <c r="AX39" i="18"/>
  <c r="Y39" i="18"/>
  <c r="U39" i="18"/>
  <c r="Q39" i="18"/>
  <c r="P39" i="18"/>
  <c r="O39" i="18"/>
  <c r="M39" i="18"/>
  <c r="AX38" i="18"/>
  <c r="Y38" i="18"/>
  <c r="O38" i="18"/>
  <c r="Q38" i="18" s="1"/>
  <c r="AX37" i="18"/>
  <c r="Y37" i="18"/>
  <c r="T37" i="18"/>
  <c r="O37" i="18"/>
  <c r="P37" i="18" s="1"/>
  <c r="M37" i="18"/>
  <c r="AX36" i="18"/>
  <c r="Y36" i="18"/>
  <c r="T36" i="18"/>
  <c r="M21" i="18" s="1"/>
  <c r="O36" i="18"/>
  <c r="Q36" i="18" s="1"/>
  <c r="AX35" i="18"/>
  <c r="Y35" i="18"/>
  <c r="T35" i="18"/>
  <c r="M44" i="18" s="1"/>
  <c r="O35" i="18"/>
  <c r="P35" i="18" s="1"/>
  <c r="M35" i="18"/>
  <c r="AX34" i="18"/>
  <c r="Y34" i="18"/>
  <c r="T34" i="18"/>
  <c r="M34" i="18" s="1"/>
  <c r="P34" i="18"/>
  <c r="O34" i="18"/>
  <c r="Q34" i="18" s="1"/>
  <c r="AX33" i="18"/>
  <c r="Y33" i="18"/>
  <c r="T33" i="18"/>
  <c r="M38" i="18" s="1"/>
  <c r="O33" i="18"/>
  <c r="Q33" i="18" s="1"/>
  <c r="M33" i="18"/>
  <c r="L33" i="18"/>
  <c r="L102" i="18" s="1"/>
  <c r="AX32" i="18"/>
  <c r="Y32" i="18"/>
  <c r="T32" i="18"/>
  <c r="M46" i="18" s="1"/>
  <c r="O32" i="18"/>
  <c r="P32" i="18" s="1"/>
  <c r="M32" i="18"/>
  <c r="AX31" i="18"/>
  <c r="Y31" i="18"/>
  <c r="T31" i="18"/>
  <c r="M3" i="18" s="1"/>
  <c r="O31" i="18"/>
  <c r="Q31" i="18" s="1"/>
  <c r="AX30" i="18"/>
  <c r="Y30" i="18"/>
  <c r="T30" i="18"/>
  <c r="M43" i="18" s="1"/>
  <c r="O30" i="18"/>
  <c r="P30" i="18" s="1"/>
  <c r="M30" i="18"/>
  <c r="AX29" i="18"/>
  <c r="Y29" i="18"/>
  <c r="T29" i="18"/>
  <c r="M40" i="18" s="1"/>
  <c r="O29" i="18"/>
  <c r="Q29" i="18" s="1"/>
  <c r="AX28" i="18"/>
  <c r="Y28" i="18"/>
  <c r="O28" i="18"/>
  <c r="Q28" i="18" s="1"/>
  <c r="M28" i="18"/>
  <c r="AX27" i="18"/>
  <c r="Y27" i="18"/>
  <c r="O27" i="18"/>
  <c r="P27" i="18" s="1"/>
  <c r="M27" i="18"/>
  <c r="AX26" i="18"/>
  <c r="Y26" i="18"/>
  <c r="O26" i="18"/>
  <c r="P26" i="18" s="1"/>
  <c r="M26" i="18"/>
  <c r="AX25" i="18"/>
  <c r="Y25" i="18"/>
  <c r="P25" i="18"/>
  <c r="O25" i="18"/>
  <c r="Q25" i="18" s="1"/>
  <c r="M25" i="18"/>
  <c r="AX24" i="18"/>
  <c r="Y24" i="18"/>
  <c r="O24" i="18"/>
  <c r="M24" i="18"/>
  <c r="AX23" i="18"/>
  <c r="Y23" i="18"/>
  <c r="O23" i="18"/>
  <c r="P23" i="18" s="1"/>
  <c r="M23" i="18"/>
  <c r="AX22" i="18"/>
  <c r="Y22" i="18"/>
  <c r="O22" i="18"/>
  <c r="P22" i="18" s="1"/>
  <c r="AX21" i="18"/>
  <c r="AD21" i="18"/>
  <c r="Y21" i="18"/>
  <c r="O21" i="18"/>
  <c r="AX20" i="18"/>
  <c r="Y20" i="18"/>
  <c r="O20" i="18"/>
  <c r="P20" i="18" s="1"/>
  <c r="M20" i="18"/>
  <c r="AX19" i="18"/>
  <c r="Y19" i="18"/>
  <c r="O19" i="18"/>
  <c r="P19" i="18" s="1"/>
  <c r="AX18" i="18"/>
  <c r="AD18" i="18"/>
  <c r="Y18" i="18"/>
  <c r="O18" i="18"/>
  <c r="M18" i="18"/>
  <c r="AX17" i="18"/>
  <c r="Y17" i="18"/>
  <c r="O17" i="18"/>
  <c r="P17" i="18" s="1"/>
  <c r="M17" i="18"/>
  <c r="AX16" i="18"/>
  <c r="Y16" i="18"/>
  <c r="Q16" i="18"/>
  <c r="O16" i="18"/>
  <c r="P16" i="18" s="1"/>
  <c r="M16" i="18"/>
  <c r="AX15" i="18"/>
  <c r="AD15" i="18"/>
  <c r="Y15" i="18"/>
  <c r="O15" i="18"/>
  <c r="P15" i="18" s="1"/>
  <c r="M15" i="18"/>
  <c r="AX14" i="18"/>
  <c r="Y14" i="18"/>
  <c r="O14" i="18"/>
  <c r="P14" i="18" s="1"/>
  <c r="AX13" i="18"/>
  <c r="Y13" i="18"/>
  <c r="O13" i="18"/>
  <c r="P13" i="18" s="1"/>
  <c r="M13" i="18"/>
  <c r="AX12" i="18"/>
  <c r="AD12" i="18"/>
  <c r="Y12" i="18"/>
  <c r="O12" i="18"/>
  <c r="P12" i="18" s="1"/>
  <c r="M12" i="18"/>
  <c r="AX11" i="18"/>
  <c r="Y11" i="18"/>
  <c r="O11" i="18"/>
  <c r="Q11" i="18" s="1"/>
  <c r="M11" i="18"/>
  <c r="AX10" i="18"/>
  <c r="Y10" i="18"/>
  <c r="T10" i="18"/>
  <c r="U10" i="18" s="1"/>
  <c r="O10" i="18"/>
  <c r="Q10" i="18" s="1"/>
  <c r="AX9" i="18"/>
  <c r="Y9" i="18"/>
  <c r="Q9" i="18"/>
  <c r="P9" i="18"/>
  <c r="O9" i="18"/>
  <c r="AX8" i="18"/>
  <c r="AD8" i="18"/>
  <c r="Y8" i="18"/>
  <c r="O8" i="18"/>
  <c r="Q8" i="18" s="1"/>
  <c r="M8" i="18"/>
  <c r="AX7" i="18"/>
  <c r="Y7" i="18"/>
  <c r="O7" i="18"/>
  <c r="Q7" i="18" s="1"/>
  <c r="AX6" i="18"/>
  <c r="Y6" i="18"/>
  <c r="O6" i="18"/>
  <c r="Q6" i="18" s="1"/>
  <c r="M6" i="18"/>
  <c r="AX5" i="18"/>
  <c r="Y5" i="18"/>
  <c r="O5" i="18"/>
  <c r="Q5" i="18" s="1"/>
  <c r="AX4" i="18"/>
  <c r="AE4" i="18"/>
  <c r="AE5" i="18" s="1"/>
  <c r="Y4" i="18"/>
  <c r="O4" i="18"/>
  <c r="Q4" i="18" s="1"/>
  <c r="M4" i="18"/>
  <c r="AX3" i="18"/>
  <c r="Y3" i="18"/>
  <c r="O3" i="18"/>
  <c r="Q3" i="18" s="1"/>
  <c r="AX2" i="18"/>
  <c r="Y2" i="18"/>
  <c r="O2" i="18"/>
  <c r="AC21" i="17"/>
  <c r="AC18" i="17"/>
  <c r="AC15" i="17"/>
  <c r="AC12" i="17"/>
  <c r="AK65" i="17"/>
  <c r="AH65" i="17"/>
  <c r="AF65" i="17"/>
  <c r="AK29" i="16"/>
  <c r="AK66" i="16"/>
  <c r="AI40" i="16"/>
  <c r="AI41" i="16"/>
  <c r="AI42" i="16"/>
  <c r="AI43" i="16"/>
  <c r="AI44" i="16"/>
  <c r="AI45" i="16"/>
  <c r="AI46" i="16"/>
  <c r="AI47" i="16"/>
  <c r="AI48" i="16"/>
  <c r="AI49" i="16"/>
  <c r="AI50" i="16"/>
  <c r="AI51" i="16"/>
  <c r="AI52" i="16"/>
  <c r="AI53" i="16"/>
  <c r="AI54" i="16"/>
  <c r="AI55" i="16"/>
  <c r="AI56" i="16"/>
  <c r="AI57" i="16"/>
  <c r="AI58" i="16"/>
  <c r="AI59" i="16"/>
  <c r="AI60" i="16"/>
  <c r="AI61" i="16"/>
  <c r="AI62" i="16"/>
  <c r="AI63" i="16"/>
  <c r="AI40" i="17"/>
  <c r="AI41" i="17"/>
  <c r="AI42" i="17"/>
  <c r="AI43" i="17"/>
  <c r="AI44" i="17"/>
  <c r="AI45" i="17"/>
  <c r="AI46" i="17"/>
  <c r="AI47" i="17"/>
  <c r="AI48" i="17"/>
  <c r="AI49" i="17"/>
  <c r="AI50" i="17"/>
  <c r="AI51" i="17"/>
  <c r="AI52" i="17"/>
  <c r="AI53" i="17"/>
  <c r="AI54" i="17"/>
  <c r="AI55" i="17"/>
  <c r="AI56" i="17"/>
  <c r="AI57" i="17"/>
  <c r="AI58" i="17"/>
  <c r="AI59" i="17"/>
  <c r="AI60" i="17"/>
  <c r="AI61" i="17"/>
  <c r="AI62" i="17"/>
  <c r="AI63" i="17"/>
  <c r="AJ40" i="17"/>
  <c r="AK40" i="17" s="1"/>
  <c r="AB3" i="16"/>
  <c r="AW103" i="17"/>
  <c r="AW102" i="17"/>
  <c r="AW101" i="17"/>
  <c r="AW100" i="17"/>
  <c r="AW99" i="17"/>
  <c r="AW98" i="17"/>
  <c r="AW97" i="17"/>
  <c r="AW96" i="17"/>
  <c r="AW95" i="17"/>
  <c r="AW94" i="17"/>
  <c r="AW93" i="17"/>
  <c r="AW92" i="17"/>
  <c r="AW91" i="17"/>
  <c r="AW90" i="17"/>
  <c r="AW89" i="17"/>
  <c r="AW88" i="17"/>
  <c r="AW87" i="17"/>
  <c r="AW86" i="17"/>
  <c r="AW85" i="17"/>
  <c r="AW84" i="17"/>
  <c r="AW83" i="17"/>
  <c r="AW82" i="17"/>
  <c r="AW81" i="17"/>
  <c r="AW80" i="17"/>
  <c r="AW79" i="17"/>
  <c r="AW78" i="17"/>
  <c r="AW77" i="17"/>
  <c r="AW76" i="17"/>
  <c r="AW75" i="17"/>
  <c r="AW74" i="17"/>
  <c r="AW73" i="17"/>
  <c r="AW72" i="17"/>
  <c r="AW71" i="17"/>
  <c r="AW70" i="17"/>
  <c r="AW69" i="17"/>
  <c r="AW68" i="17"/>
  <c r="AW67" i="17"/>
  <c r="AW66" i="17"/>
  <c r="AW65" i="17"/>
  <c r="AW64" i="17"/>
  <c r="AW63" i="17"/>
  <c r="AW62" i="17"/>
  <c r="AW61" i="17"/>
  <c r="AW60" i="17"/>
  <c r="AW59" i="17"/>
  <c r="AW58" i="17"/>
  <c r="AW57" i="17"/>
  <c r="AW56" i="17"/>
  <c r="AW55" i="17"/>
  <c r="AW54" i="17"/>
  <c r="AW53" i="17"/>
  <c r="AW52" i="17"/>
  <c r="AW51" i="17"/>
  <c r="AW50" i="17"/>
  <c r="AW49" i="17"/>
  <c r="AW48" i="17"/>
  <c r="AW47" i="17"/>
  <c r="AW46" i="17"/>
  <c r="AW45" i="17"/>
  <c r="AW44" i="17"/>
  <c r="AW43" i="17"/>
  <c r="AW42" i="17"/>
  <c r="AW41" i="17"/>
  <c r="AW40" i="17"/>
  <c r="AW39" i="17"/>
  <c r="AW38" i="17"/>
  <c r="AW37" i="17"/>
  <c r="AW36" i="17"/>
  <c r="AW35" i="17"/>
  <c r="AW34" i="17"/>
  <c r="AW33" i="17"/>
  <c r="AW32" i="17"/>
  <c r="AW31" i="17"/>
  <c r="AW30" i="17"/>
  <c r="AW29" i="17"/>
  <c r="AW28" i="17"/>
  <c r="AW27" i="17"/>
  <c r="AW26" i="17"/>
  <c r="AW25" i="17"/>
  <c r="AW24" i="17"/>
  <c r="AW23" i="17"/>
  <c r="AW22" i="17"/>
  <c r="AW21" i="17"/>
  <c r="AW20" i="17"/>
  <c r="AW19" i="17"/>
  <c r="AW18" i="17"/>
  <c r="AW17" i="17"/>
  <c r="AW16" i="17"/>
  <c r="AW15" i="17"/>
  <c r="AW14" i="17"/>
  <c r="AW13" i="17"/>
  <c r="AW12" i="17"/>
  <c r="AW11" i="17"/>
  <c r="AW10" i="17"/>
  <c r="AW9" i="17"/>
  <c r="AW8" i="17"/>
  <c r="AW7" i="17"/>
  <c r="AW6" i="17"/>
  <c r="AW5" i="17"/>
  <c r="AW4" i="17"/>
  <c r="AW3" i="17"/>
  <c r="AW2" i="17"/>
  <c r="AW10" i="16"/>
  <c r="AW11" i="16"/>
  <c r="AW12" i="16"/>
  <c r="AW13" i="16"/>
  <c r="AW14" i="16"/>
  <c r="AW15" i="16"/>
  <c r="AW16" i="16"/>
  <c r="AW17" i="16"/>
  <c r="AW18" i="16"/>
  <c r="AW19" i="16"/>
  <c r="AW20" i="16"/>
  <c r="AW21" i="16"/>
  <c r="AW22" i="16"/>
  <c r="AW23" i="16"/>
  <c r="AW24" i="16"/>
  <c r="AW25" i="16"/>
  <c r="AW26" i="16"/>
  <c r="AW27" i="16"/>
  <c r="AW28" i="16"/>
  <c r="AW29" i="16"/>
  <c r="AW30" i="16"/>
  <c r="AW31" i="16"/>
  <c r="AW32" i="16"/>
  <c r="AW33" i="16"/>
  <c r="AW34" i="16"/>
  <c r="AW35" i="16"/>
  <c r="AW36" i="16"/>
  <c r="AW37" i="16"/>
  <c r="AW38" i="16"/>
  <c r="AW39" i="16"/>
  <c r="AW40" i="16"/>
  <c r="AW41" i="16"/>
  <c r="AW42" i="16"/>
  <c r="AW43" i="16"/>
  <c r="AW44" i="16"/>
  <c r="AW45" i="16"/>
  <c r="AW46" i="16"/>
  <c r="AW47" i="16"/>
  <c r="AW48" i="16"/>
  <c r="AW49" i="16"/>
  <c r="AW50" i="16"/>
  <c r="AW51" i="16"/>
  <c r="AW52" i="16"/>
  <c r="AW53" i="16"/>
  <c r="AW54" i="16"/>
  <c r="AW55" i="16"/>
  <c r="AW56" i="16"/>
  <c r="AW57" i="16"/>
  <c r="AW58" i="16"/>
  <c r="AW59" i="16"/>
  <c r="AW60" i="16"/>
  <c r="AW61" i="16"/>
  <c r="AW62" i="16"/>
  <c r="AW63" i="16"/>
  <c r="AW64" i="16"/>
  <c r="AW65" i="16"/>
  <c r="AW66" i="16"/>
  <c r="AW67" i="16"/>
  <c r="AW68" i="16"/>
  <c r="AW69" i="16"/>
  <c r="AW70" i="16"/>
  <c r="AW71" i="16"/>
  <c r="AW72" i="16"/>
  <c r="AW73" i="16"/>
  <c r="AW74" i="16"/>
  <c r="AW75" i="16"/>
  <c r="AW76" i="16"/>
  <c r="AW77" i="16"/>
  <c r="AW78" i="16"/>
  <c r="AW79" i="16"/>
  <c r="AW80" i="16"/>
  <c r="AW81" i="16"/>
  <c r="AW82" i="16"/>
  <c r="AW83" i="16"/>
  <c r="AW84" i="16"/>
  <c r="AW85" i="16"/>
  <c r="AW86" i="16"/>
  <c r="AW87" i="16"/>
  <c r="AW88" i="16"/>
  <c r="AW89" i="16"/>
  <c r="AW90" i="16"/>
  <c r="AW91" i="16"/>
  <c r="AW92" i="16"/>
  <c r="AW93" i="16"/>
  <c r="AW94" i="16"/>
  <c r="AW95" i="16"/>
  <c r="AW96" i="16"/>
  <c r="AW97" i="16"/>
  <c r="AW98" i="16"/>
  <c r="AW99" i="16"/>
  <c r="AW100" i="16"/>
  <c r="AW101" i="16"/>
  <c r="AW102" i="16"/>
  <c r="AW103" i="16"/>
  <c r="AW104" i="16"/>
  <c r="AW3" i="16"/>
  <c r="AW4" i="16"/>
  <c r="AW5" i="16"/>
  <c r="AW6" i="16"/>
  <c r="AW7" i="16"/>
  <c r="AW8" i="16"/>
  <c r="AW9" i="16"/>
  <c r="AW2" i="16"/>
  <c r="AC41" i="17"/>
  <c r="AC5" i="17"/>
  <c r="S10" i="17"/>
  <c r="T10" i="17" s="1"/>
  <c r="AC41" i="16"/>
  <c r="T6" i="16"/>
  <c r="AC5" i="16"/>
  <c r="T10" i="16"/>
  <c r="S10" i="16"/>
  <c r="U102" i="17"/>
  <c r="R102" i="17"/>
  <c r="Q102" i="17"/>
  <c r="K102" i="17"/>
  <c r="C102" i="17"/>
  <c r="B102" i="17"/>
  <c r="AA100" i="17"/>
  <c r="X100" i="17"/>
  <c r="W100" i="17"/>
  <c r="P100" i="17"/>
  <c r="O100" i="17"/>
  <c r="N100" i="17"/>
  <c r="M100" i="17"/>
  <c r="Z100" i="17" s="1"/>
  <c r="X99" i="17"/>
  <c r="Y99" i="17" s="1"/>
  <c r="W99" i="17"/>
  <c r="P99" i="17"/>
  <c r="O99" i="17"/>
  <c r="N99" i="17"/>
  <c r="M99" i="17"/>
  <c r="X98" i="17"/>
  <c r="Y98" i="17" s="1"/>
  <c r="W98" i="17"/>
  <c r="P98" i="17"/>
  <c r="O98" i="17"/>
  <c r="Z98" i="17" s="1"/>
  <c r="N98" i="17"/>
  <c r="M98" i="17"/>
  <c r="AA98" i="17" s="1"/>
  <c r="Z97" i="17"/>
  <c r="X97" i="17"/>
  <c r="Y97" i="17" s="1"/>
  <c r="W97" i="17"/>
  <c r="P97" i="17"/>
  <c r="O97" i="17"/>
  <c r="N97" i="17"/>
  <c r="M97" i="17"/>
  <c r="AA97" i="17" s="1"/>
  <c r="X96" i="17"/>
  <c r="P96" i="17"/>
  <c r="O96" i="17"/>
  <c r="N96" i="17"/>
  <c r="M96" i="17"/>
  <c r="AA96" i="17" s="1"/>
  <c r="Z95" i="17"/>
  <c r="X95" i="17"/>
  <c r="Y95" i="17" s="1"/>
  <c r="P95" i="17"/>
  <c r="O95" i="17"/>
  <c r="N95" i="17"/>
  <c r="M95" i="17"/>
  <c r="W95" i="17" s="1"/>
  <c r="AA94" i="17"/>
  <c r="Z94" i="17"/>
  <c r="X94" i="17"/>
  <c r="Y94" i="17" s="1"/>
  <c r="P94" i="17"/>
  <c r="O94" i="17"/>
  <c r="N94" i="17"/>
  <c r="M94" i="17"/>
  <c r="W94" i="17" s="1"/>
  <c r="AA93" i="17"/>
  <c r="Z93" i="17"/>
  <c r="X93" i="17"/>
  <c r="P93" i="17"/>
  <c r="O93" i="17"/>
  <c r="N93" i="17"/>
  <c r="M93" i="17"/>
  <c r="X92" i="17"/>
  <c r="Y92" i="17" s="1"/>
  <c r="W92" i="17"/>
  <c r="P92" i="17"/>
  <c r="O92" i="17"/>
  <c r="N92" i="17"/>
  <c r="M92" i="17"/>
  <c r="X91" i="17"/>
  <c r="Y91" i="17" s="1"/>
  <c r="P91" i="17"/>
  <c r="O91" i="17"/>
  <c r="N91" i="17"/>
  <c r="M91" i="17"/>
  <c r="X90" i="17"/>
  <c r="Y90" i="17" s="1"/>
  <c r="W90" i="17"/>
  <c r="P90" i="17"/>
  <c r="O90" i="17"/>
  <c r="Z90" i="17" s="1"/>
  <c r="N90" i="17"/>
  <c r="M90" i="17"/>
  <c r="AA90" i="17" s="1"/>
  <c r="Z89" i="17"/>
  <c r="X89" i="17"/>
  <c r="Y89" i="17" s="1"/>
  <c r="W89" i="17"/>
  <c r="P89" i="17"/>
  <c r="O89" i="17"/>
  <c r="N89" i="17"/>
  <c r="M89" i="17"/>
  <c r="AA89" i="17" s="1"/>
  <c r="AA88" i="17"/>
  <c r="X88" i="17"/>
  <c r="P88" i="17"/>
  <c r="O88" i="17"/>
  <c r="N88" i="17"/>
  <c r="M88" i="17"/>
  <c r="Z87" i="17"/>
  <c r="X87" i="17"/>
  <c r="Y87" i="17" s="1"/>
  <c r="W87" i="17"/>
  <c r="P87" i="17"/>
  <c r="O87" i="17"/>
  <c r="N87" i="17"/>
  <c r="M87" i="17"/>
  <c r="AA87" i="17" s="1"/>
  <c r="AA86" i="17"/>
  <c r="X86" i="17"/>
  <c r="P86" i="17"/>
  <c r="O86" i="17"/>
  <c r="N86" i="17"/>
  <c r="M86" i="17"/>
  <c r="AA85" i="17"/>
  <c r="Z85" i="17"/>
  <c r="X85" i="17"/>
  <c r="P85" i="17"/>
  <c r="O85" i="17"/>
  <c r="N85" i="17"/>
  <c r="M85" i="17"/>
  <c r="X84" i="17"/>
  <c r="P84" i="17"/>
  <c r="O84" i="17"/>
  <c r="N84" i="17"/>
  <c r="M84" i="17"/>
  <c r="AA84" i="17" s="1"/>
  <c r="X83" i="17"/>
  <c r="Y83" i="17" s="1"/>
  <c r="P83" i="17"/>
  <c r="O83" i="17"/>
  <c r="N83" i="17"/>
  <c r="M83" i="17"/>
  <c r="X82" i="17"/>
  <c r="Y82" i="17" s="1"/>
  <c r="W82" i="17"/>
  <c r="P82" i="17"/>
  <c r="O82" i="17"/>
  <c r="Z82" i="17" s="1"/>
  <c r="N82" i="17"/>
  <c r="M82" i="17"/>
  <c r="Z81" i="17"/>
  <c r="X81" i="17"/>
  <c r="Y81" i="17" s="1"/>
  <c r="W81" i="17"/>
  <c r="P81" i="17"/>
  <c r="O81" i="17"/>
  <c r="N81" i="17"/>
  <c r="M81" i="17"/>
  <c r="AA81" i="17" s="1"/>
  <c r="X80" i="17"/>
  <c r="Y80" i="17" s="1"/>
  <c r="W80" i="17"/>
  <c r="P80" i="17"/>
  <c r="O80" i="17"/>
  <c r="N80" i="17"/>
  <c r="M80" i="17"/>
  <c r="Z79" i="17"/>
  <c r="X79" i="17"/>
  <c r="Y79" i="17" s="1"/>
  <c r="W79" i="17"/>
  <c r="P79" i="17"/>
  <c r="O79" i="17"/>
  <c r="N79" i="17"/>
  <c r="M79" i="17"/>
  <c r="AA79" i="17" s="1"/>
  <c r="X78" i="17"/>
  <c r="P78" i="17"/>
  <c r="O78" i="17"/>
  <c r="N78" i="17"/>
  <c r="M78" i="17"/>
  <c r="X77" i="17"/>
  <c r="P77" i="17"/>
  <c r="O77" i="17"/>
  <c r="N77" i="17"/>
  <c r="M77" i="17"/>
  <c r="X76" i="17"/>
  <c r="Y76" i="17" s="1"/>
  <c r="W76" i="17"/>
  <c r="P76" i="17"/>
  <c r="O76" i="17"/>
  <c r="AA76" i="17" s="1"/>
  <c r="N76" i="17"/>
  <c r="M76" i="17"/>
  <c r="X75" i="17"/>
  <c r="Y75" i="17" s="1"/>
  <c r="P75" i="17"/>
  <c r="O75" i="17"/>
  <c r="N75" i="17"/>
  <c r="M75" i="17"/>
  <c r="AA75" i="17" s="1"/>
  <c r="X74" i="17"/>
  <c r="Y74" i="17" s="1"/>
  <c r="W74" i="17"/>
  <c r="P74" i="17"/>
  <c r="O74" i="17"/>
  <c r="Z74" i="17" s="1"/>
  <c r="N74" i="17"/>
  <c r="M74" i="17"/>
  <c r="Z73" i="17"/>
  <c r="X73" i="17"/>
  <c r="Y73" i="17" s="1"/>
  <c r="W73" i="17"/>
  <c r="P73" i="17"/>
  <c r="O73" i="17"/>
  <c r="N73" i="17"/>
  <c r="M73" i="17"/>
  <c r="AA73" i="17" s="1"/>
  <c r="X72" i="17"/>
  <c r="Y72" i="17" s="1"/>
  <c r="W72" i="17"/>
  <c r="P72" i="17"/>
  <c r="O72" i="17"/>
  <c r="N72" i="17"/>
  <c r="M72" i="17"/>
  <c r="Z72" i="17" s="1"/>
  <c r="Z71" i="17"/>
  <c r="X71" i="17"/>
  <c r="Y71" i="17" s="1"/>
  <c r="W71" i="17"/>
  <c r="P71" i="17"/>
  <c r="O71" i="17"/>
  <c r="N71" i="17"/>
  <c r="M71" i="17"/>
  <c r="AA71" i="17" s="1"/>
  <c r="Z70" i="17"/>
  <c r="X70" i="17"/>
  <c r="Y70" i="17" s="1"/>
  <c r="P70" i="17"/>
  <c r="O70" i="17"/>
  <c r="N70" i="17"/>
  <c r="M70" i="17"/>
  <c r="W70" i="17" s="1"/>
  <c r="Z69" i="17"/>
  <c r="X69" i="17"/>
  <c r="P69" i="17"/>
  <c r="O69" i="17"/>
  <c r="N69" i="17"/>
  <c r="M69" i="17"/>
  <c r="X68" i="17"/>
  <c r="P68" i="17"/>
  <c r="O68" i="17"/>
  <c r="N68" i="17"/>
  <c r="M68" i="17"/>
  <c r="W68" i="17" s="1"/>
  <c r="X67" i="17"/>
  <c r="Y67" i="17" s="1"/>
  <c r="P67" i="17"/>
  <c r="O67" i="17"/>
  <c r="N67" i="17"/>
  <c r="M67" i="17"/>
  <c r="AA67" i="17" s="1"/>
  <c r="X66" i="17"/>
  <c r="Y66" i="17" s="1"/>
  <c r="W66" i="17"/>
  <c r="P66" i="17"/>
  <c r="O66" i="17"/>
  <c r="Z66" i="17" s="1"/>
  <c r="N66" i="17"/>
  <c r="M66" i="17"/>
  <c r="AA66" i="17" s="1"/>
  <c r="Z65" i="17"/>
  <c r="X65" i="17"/>
  <c r="Y65" i="17" s="1"/>
  <c r="W65" i="17"/>
  <c r="P65" i="17"/>
  <c r="O65" i="17"/>
  <c r="N65" i="17"/>
  <c r="M65" i="17"/>
  <c r="AA64" i="17"/>
  <c r="Y64" i="17"/>
  <c r="X64" i="17"/>
  <c r="P64" i="17"/>
  <c r="O64" i="17"/>
  <c r="N64" i="17"/>
  <c r="M64" i="17"/>
  <c r="Z64" i="17" s="1"/>
  <c r="Z63" i="17"/>
  <c r="X63" i="17"/>
  <c r="Y63" i="17" s="1"/>
  <c r="W63" i="17"/>
  <c r="P63" i="17"/>
  <c r="O63" i="17"/>
  <c r="N63" i="17"/>
  <c r="M63" i="17"/>
  <c r="AA62" i="17"/>
  <c r="Z62" i="17"/>
  <c r="X62" i="17"/>
  <c r="Y62" i="17" s="1"/>
  <c r="P62" i="17"/>
  <c r="O62" i="17"/>
  <c r="N62" i="17"/>
  <c r="M62" i="17"/>
  <c r="W62" i="17" s="1"/>
  <c r="X61" i="17"/>
  <c r="P61" i="17"/>
  <c r="O61" i="17"/>
  <c r="N61" i="17"/>
  <c r="M61" i="17"/>
  <c r="AA61" i="17" s="1"/>
  <c r="X60" i="17"/>
  <c r="P60" i="17"/>
  <c r="O60" i="17"/>
  <c r="N60" i="17"/>
  <c r="M60" i="17"/>
  <c r="W60" i="17" s="1"/>
  <c r="X59" i="17"/>
  <c r="Y59" i="17" s="1"/>
  <c r="P59" i="17"/>
  <c r="O59" i="17"/>
  <c r="N59" i="17"/>
  <c r="M59" i="17"/>
  <c r="X58" i="17"/>
  <c r="Y58" i="17" s="1"/>
  <c r="W58" i="17"/>
  <c r="P58" i="17"/>
  <c r="O58" i="17"/>
  <c r="Z58" i="17" s="1"/>
  <c r="N58" i="17"/>
  <c r="M58" i="17"/>
  <c r="AA58" i="17" s="1"/>
  <c r="Z57" i="17"/>
  <c r="X57" i="17"/>
  <c r="Y57" i="17" s="1"/>
  <c r="W57" i="17"/>
  <c r="P57" i="17"/>
  <c r="O57" i="17"/>
  <c r="N57" i="17"/>
  <c r="M57" i="17"/>
  <c r="AA57" i="17" s="1"/>
  <c r="AA56" i="17"/>
  <c r="Y56" i="17"/>
  <c r="X56" i="17"/>
  <c r="P56" i="17"/>
  <c r="O56" i="17"/>
  <c r="N56" i="17"/>
  <c r="M56" i="17"/>
  <c r="Z56" i="17" s="1"/>
  <c r="Z55" i="17"/>
  <c r="X55" i="17"/>
  <c r="Y55" i="17" s="1"/>
  <c r="W55" i="17"/>
  <c r="P55" i="17"/>
  <c r="O55" i="17"/>
  <c r="N55" i="17"/>
  <c r="M55" i="17"/>
  <c r="AA55" i="17" s="1"/>
  <c r="AA54" i="17"/>
  <c r="Z54" i="17"/>
  <c r="X54" i="17"/>
  <c r="P54" i="17"/>
  <c r="O54" i="17"/>
  <c r="N54" i="17"/>
  <c r="M54" i="17"/>
  <c r="AA53" i="17"/>
  <c r="Z53" i="17"/>
  <c r="X53" i="17"/>
  <c r="P53" i="17"/>
  <c r="O53" i="17"/>
  <c r="N53" i="17"/>
  <c r="M53" i="17"/>
  <c r="AA52" i="17"/>
  <c r="X52" i="17"/>
  <c r="Y52" i="17" s="1"/>
  <c r="W52" i="17"/>
  <c r="P52" i="17"/>
  <c r="O52" i="17"/>
  <c r="N52" i="17"/>
  <c r="M52" i="17"/>
  <c r="X51" i="17"/>
  <c r="Y51" i="17" s="1"/>
  <c r="P51" i="17"/>
  <c r="O51" i="17"/>
  <c r="N51" i="17"/>
  <c r="M51" i="17"/>
  <c r="X50" i="17"/>
  <c r="Y50" i="17" s="1"/>
  <c r="W50" i="17"/>
  <c r="S50" i="17"/>
  <c r="P50" i="17"/>
  <c r="O50" i="17"/>
  <c r="N50" i="17"/>
  <c r="M50" i="17"/>
  <c r="AA49" i="17"/>
  <c r="X49" i="17"/>
  <c r="Y49" i="17" s="1"/>
  <c r="P49" i="17"/>
  <c r="O49" i="17"/>
  <c r="N49" i="17"/>
  <c r="M49" i="17"/>
  <c r="Z49" i="17" s="1"/>
  <c r="Z48" i="17"/>
  <c r="Y48" i="17"/>
  <c r="X48" i="17"/>
  <c r="W48" i="17"/>
  <c r="P48" i="17"/>
  <c r="O48" i="17"/>
  <c r="N48" i="17"/>
  <c r="M48" i="17"/>
  <c r="AA47" i="17"/>
  <c r="Y47" i="17"/>
  <c r="X47" i="17"/>
  <c r="P47" i="17"/>
  <c r="O47" i="17"/>
  <c r="Z47" i="17" s="1"/>
  <c r="N47" i="17"/>
  <c r="M47" i="17"/>
  <c r="W47" i="17" s="1"/>
  <c r="N46" i="17"/>
  <c r="M46" i="17"/>
  <c r="AD45" i="17"/>
  <c r="AD46" i="17" s="1"/>
  <c r="AD47" i="17" s="1"/>
  <c r="AD48" i="17" s="1"/>
  <c r="AD49" i="17" s="1"/>
  <c r="AD50" i="17" s="1"/>
  <c r="AD51" i="17" s="1"/>
  <c r="AD52" i="17" s="1"/>
  <c r="AD53" i="17" s="1"/>
  <c r="AD54" i="17" s="1"/>
  <c r="AD55" i="17" s="1"/>
  <c r="AD56" i="17" s="1"/>
  <c r="AD57" i="17" s="1"/>
  <c r="AD58" i="17" s="1"/>
  <c r="AD59" i="17" s="1"/>
  <c r="AD60" i="17" s="1"/>
  <c r="AD61" i="17" s="1"/>
  <c r="AD62" i="17" s="1"/>
  <c r="AD63" i="17" s="1"/>
  <c r="X45" i="17"/>
  <c r="Y45" i="17" s="1"/>
  <c r="W45" i="17"/>
  <c r="P45" i="17"/>
  <c r="O45" i="17"/>
  <c r="N45" i="17"/>
  <c r="M45" i="17"/>
  <c r="AC44" i="17"/>
  <c r="AI39" i="17" s="1"/>
  <c r="AJ39" i="17" s="1"/>
  <c r="X44" i="17"/>
  <c r="N44" i="17"/>
  <c r="X43" i="17"/>
  <c r="N43" i="17"/>
  <c r="M43" i="17"/>
  <c r="AD42" i="17"/>
  <c r="AD43" i="17" s="1"/>
  <c r="AD44" i="17" s="1"/>
  <c r="W42" i="17"/>
  <c r="X42" i="17"/>
  <c r="Y42" i="17" s="1"/>
  <c r="P42" i="17"/>
  <c r="N42" i="17"/>
  <c r="O42" i="17" s="1"/>
  <c r="AA42" i="17" s="1"/>
  <c r="M42" i="17"/>
  <c r="Z42" i="17" s="1"/>
  <c r="N41" i="17"/>
  <c r="P41" i="17" s="1"/>
  <c r="M41" i="17"/>
  <c r="AD40" i="17"/>
  <c r="AD41" i="17" s="1"/>
  <c r="X40" i="17"/>
  <c r="T40" i="17"/>
  <c r="N40" i="17"/>
  <c r="T39" i="17"/>
  <c r="P39" i="17"/>
  <c r="N39" i="17"/>
  <c r="O39" i="17" s="1"/>
  <c r="Z39" i="17" s="1"/>
  <c r="M39" i="17"/>
  <c r="AE38" i="17"/>
  <c r="N38" i="17"/>
  <c r="P38" i="17" s="1"/>
  <c r="M38" i="17"/>
  <c r="X37" i="17"/>
  <c r="Y37" i="17" s="1"/>
  <c r="W37" i="17"/>
  <c r="S37" i="17"/>
  <c r="P37" i="17"/>
  <c r="O37" i="17"/>
  <c r="N37" i="17"/>
  <c r="M37" i="17"/>
  <c r="AA37" i="17" s="1"/>
  <c r="X36" i="17"/>
  <c r="S36" i="17"/>
  <c r="N36" i="17"/>
  <c r="M36" i="17"/>
  <c r="S35" i="17"/>
  <c r="M44" i="17" s="1"/>
  <c r="W44" i="17" s="1"/>
  <c r="P35" i="17"/>
  <c r="N35" i="17"/>
  <c r="O35" i="17" s="1"/>
  <c r="Z35" i="17" s="1"/>
  <c r="M35" i="17"/>
  <c r="X34" i="17"/>
  <c r="S34" i="17"/>
  <c r="M10" i="17" s="1"/>
  <c r="W10" i="17" s="1"/>
  <c r="N34" i="17"/>
  <c r="P34" i="17" s="1"/>
  <c r="X33" i="17"/>
  <c r="Y33" i="17" s="1"/>
  <c r="S33" i="17"/>
  <c r="N33" i="17"/>
  <c r="P33" i="17" s="1"/>
  <c r="M33" i="17"/>
  <c r="W33" i="17" s="1"/>
  <c r="L33" i="17"/>
  <c r="L102" i="17" s="1"/>
  <c r="X32" i="17"/>
  <c r="Y32" i="17" s="1"/>
  <c r="W32" i="17"/>
  <c r="S32" i="17"/>
  <c r="P32" i="17"/>
  <c r="O32" i="17"/>
  <c r="N32" i="17"/>
  <c r="M32" i="17"/>
  <c r="X31" i="17"/>
  <c r="S31" i="17"/>
  <c r="M30" i="17" s="1"/>
  <c r="O31" i="17"/>
  <c r="N31" i="17"/>
  <c r="P31" i="17" s="1"/>
  <c r="M31" i="17"/>
  <c r="W31" i="17" s="1"/>
  <c r="X30" i="17"/>
  <c r="Y30" i="17" s="1"/>
  <c r="S30" i="17"/>
  <c r="P30" i="17"/>
  <c r="O30" i="17"/>
  <c r="N30" i="17"/>
  <c r="AA29" i="17"/>
  <c r="X29" i="17"/>
  <c r="S29" i="17"/>
  <c r="M40" i="17" s="1"/>
  <c r="P29" i="17"/>
  <c r="O29" i="17"/>
  <c r="N29" i="17"/>
  <c r="M29" i="17"/>
  <c r="Z29" i="17" s="1"/>
  <c r="X28" i="17"/>
  <c r="Y28" i="17" s="1"/>
  <c r="W28" i="17"/>
  <c r="P28" i="17"/>
  <c r="O28" i="17"/>
  <c r="N28" i="17"/>
  <c r="M28" i="17"/>
  <c r="Y27" i="17"/>
  <c r="W27" i="17"/>
  <c r="X27" i="17"/>
  <c r="N27" i="17"/>
  <c r="M27" i="17"/>
  <c r="Y26" i="17"/>
  <c r="X26" i="17"/>
  <c r="N26" i="17"/>
  <c r="P26" i="17" s="1"/>
  <c r="M26" i="17"/>
  <c r="P25" i="17"/>
  <c r="O25" i="17"/>
  <c r="N25" i="17"/>
  <c r="M25" i="17"/>
  <c r="AA25" i="17" s="1"/>
  <c r="X24" i="17"/>
  <c r="P24" i="17"/>
  <c r="O24" i="17"/>
  <c r="N24" i="17"/>
  <c r="X23" i="17"/>
  <c r="Y23" i="17" s="1"/>
  <c r="W23" i="17"/>
  <c r="N23" i="17"/>
  <c r="O23" i="17" s="1"/>
  <c r="Z23" i="17" s="1"/>
  <c r="M23" i="17"/>
  <c r="X22" i="17"/>
  <c r="P22" i="17"/>
  <c r="O22" i="17"/>
  <c r="N22" i="17"/>
  <c r="AA21" i="17"/>
  <c r="W21" i="17"/>
  <c r="X21" i="17"/>
  <c r="Y21" i="17" s="1"/>
  <c r="P21" i="17"/>
  <c r="N21" i="17"/>
  <c r="O21" i="17" s="1"/>
  <c r="M21" i="17"/>
  <c r="Z21" i="17" s="1"/>
  <c r="X20" i="17"/>
  <c r="Y20" i="17" s="1"/>
  <c r="W20" i="17"/>
  <c r="P20" i="17"/>
  <c r="N20" i="17"/>
  <c r="O20" i="17" s="1"/>
  <c r="AA20" i="17" s="1"/>
  <c r="M20" i="17"/>
  <c r="X19" i="17"/>
  <c r="N19" i="17"/>
  <c r="O19" i="17" s="1"/>
  <c r="AA19" i="17" s="1"/>
  <c r="M19" i="17"/>
  <c r="Z19" i="17" s="1"/>
  <c r="X18" i="17"/>
  <c r="P18" i="17"/>
  <c r="O18" i="17"/>
  <c r="N18" i="17"/>
  <c r="X17" i="17"/>
  <c r="Y17" i="17" s="1"/>
  <c r="N17" i="17"/>
  <c r="O17" i="17" s="1"/>
  <c r="M17" i="17"/>
  <c r="AA17" i="17" s="1"/>
  <c r="X16" i="17"/>
  <c r="Y16" i="17" s="1"/>
  <c r="W16" i="17"/>
  <c r="P16" i="17"/>
  <c r="O16" i="17"/>
  <c r="AA16" i="17" s="1"/>
  <c r="N16" i="17"/>
  <c r="M16" i="17"/>
  <c r="X15" i="17"/>
  <c r="P15" i="17"/>
  <c r="N15" i="17"/>
  <c r="O15" i="17" s="1"/>
  <c r="M15" i="17"/>
  <c r="AA15" i="17" s="1"/>
  <c r="X14" i="17"/>
  <c r="Y14" i="17" s="1"/>
  <c r="W14" i="17"/>
  <c r="N14" i="17"/>
  <c r="P14" i="17" s="1"/>
  <c r="M14" i="17"/>
  <c r="AA13" i="17"/>
  <c r="Z13" i="17"/>
  <c r="Y13" i="17"/>
  <c r="X13" i="17"/>
  <c r="P13" i="17"/>
  <c r="N13" i="17"/>
  <c r="O13" i="17" s="1"/>
  <c r="M13" i="17"/>
  <c r="X12" i="17"/>
  <c r="Y12" i="17" s="1"/>
  <c r="W12" i="17"/>
  <c r="N12" i="17"/>
  <c r="P12" i="17" s="1"/>
  <c r="M12" i="17"/>
  <c r="AA11" i="17"/>
  <c r="W11" i="17"/>
  <c r="X11" i="17"/>
  <c r="Y11" i="17" s="1"/>
  <c r="P11" i="17"/>
  <c r="N11" i="17"/>
  <c r="O11" i="17" s="1"/>
  <c r="M11" i="17"/>
  <c r="Z11" i="17" s="1"/>
  <c r="X10" i="17"/>
  <c r="Y10" i="17" s="1"/>
  <c r="P10" i="17"/>
  <c r="N10" i="17"/>
  <c r="O10" i="17" s="1"/>
  <c r="X9" i="17"/>
  <c r="Y9" i="17" s="1"/>
  <c r="P9" i="17"/>
  <c r="N9" i="17"/>
  <c r="O9" i="17" s="1"/>
  <c r="M9" i="17"/>
  <c r="AA9" i="17" s="1"/>
  <c r="Z8" i="17"/>
  <c r="X8" i="17"/>
  <c r="Y8" i="17" s="1"/>
  <c r="P8" i="17"/>
  <c r="O8" i="17"/>
  <c r="N8" i="17"/>
  <c r="M8" i="17"/>
  <c r="X7" i="17"/>
  <c r="Y7" i="17" s="1"/>
  <c r="W7" i="17"/>
  <c r="N7" i="17"/>
  <c r="P7" i="17" s="1"/>
  <c r="M7" i="17"/>
  <c r="Y6" i="17"/>
  <c r="X6" i="17"/>
  <c r="W6" i="17"/>
  <c r="P6" i="17"/>
  <c r="O6" i="17"/>
  <c r="Z6" i="17" s="1"/>
  <c r="N6" i="17"/>
  <c r="M6" i="17"/>
  <c r="AD5" i="17"/>
  <c r="AD6" i="17" s="1"/>
  <c r="X5" i="17"/>
  <c r="P5" i="17"/>
  <c r="N5" i="17"/>
  <c r="O5" i="17" s="1"/>
  <c r="AD4" i="17"/>
  <c r="X4" i="17"/>
  <c r="N4" i="17"/>
  <c r="O4" i="17" s="1"/>
  <c r="AA4" i="17" s="1"/>
  <c r="M4" i="17"/>
  <c r="Z4" i="17" s="1"/>
  <c r="X3" i="17"/>
  <c r="Y3" i="17" s="1"/>
  <c r="W3" i="17"/>
  <c r="N3" i="17"/>
  <c r="P3" i="17" s="1"/>
  <c r="M3" i="17"/>
  <c r="AC8" i="17"/>
  <c r="N2" i="17"/>
  <c r="P2" i="17" s="1"/>
  <c r="M2" i="17"/>
  <c r="AI22" i="16"/>
  <c r="AI12" i="16"/>
  <c r="T40" i="16"/>
  <c r="T39" i="16"/>
  <c r="AE38" i="16"/>
  <c r="AH38" i="16" s="1"/>
  <c r="U2" i="15"/>
  <c r="T2" i="15"/>
  <c r="V3" i="16"/>
  <c r="V4" i="16"/>
  <c r="X4" i="16" s="1"/>
  <c r="V5" i="16"/>
  <c r="V6" i="16"/>
  <c r="V7" i="16"/>
  <c r="V8" i="16"/>
  <c r="V9" i="16"/>
  <c r="X9" i="16" s="1"/>
  <c r="V10" i="16"/>
  <c r="V11" i="16"/>
  <c r="X11" i="16" s="1"/>
  <c r="V12" i="16"/>
  <c r="X12" i="16" s="1"/>
  <c r="V13" i="16"/>
  <c r="V14" i="16"/>
  <c r="V15" i="16"/>
  <c r="X15" i="16" s="1"/>
  <c r="V16" i="16"/>
  <c r="V17" i="16"/>
  <c r="V18" i="16"/>
  <c r="V19" i="16"/>
  <c r="X19" i="16" s="1"/>
  <c r="V20" i="16"/>
  <c r="X20" i="16" s="1"/>
  <c r="V21" i="16"/>
  <c r="V22" i="16"/>
  <c r="V23" i="16"/>
  <c r="X23" i="16" s="1"/>
  <c r="V24" i="16"/>
  <c r="V25" i="16"/>
  <c r="X25" i="16" s="1"/>
  <c r="V26" i="16"/>
  <c r="V27" i="16"/>
  <c r="X27" i="16" s="1"/>
  <c r="V28" i="16"/>
  <c r="X28" i="16" s="1"/>
  <c r="V29" i="16"/>
  <c r="V30" i="16"/>
  <c r="V31" i="16"/>
  <c r="V32" i="16"/>
  <c r="V33" i="16"/>
  <c r="X33" i="16" s="1"/>
  <c r="V34" i="16"/>
  <c r="V35" i="16"/>
  <c r="V36" i="16"/>
  <c r="V37" i="16"/>
  <c r="V38" i="16"/>
  <c r="X38" i="16" s="1"/>
  <c r="V39" i="16"/>
  <c r="X39" i="16" s="1"/>
  <c r="V40" i="16"/>
  <c r="V41" i="16"/>
  <c r="X41" i="16" s="1"/>
  <c r="V42" i="16"/>
  <c r="V43" i="16"/>
  <c r="V44" i="16"/>
  <c r="V45" i="16"/>
  <c r="V46" i="16"/>
  <c r="V2" i="16"/>
  <c r="X2" i="16" s="1"/>
  <c r="U102" i="16"/>
  <c r="R102" i="16"/>
  <c r="Q102" i="16"/>
  <c r="K102" i="16"/>
  <c r="C102" i="16"/>
  <c r="B102" i="16"/>
  <c r="X100" i="16"/>
  <c r="P100" i="16"/>
  <c r="O100" i="16"/>
  <c r="N100" i="16"/>
  <c r="M100" i="16"/>
  <c r="X99" i="16"/>
  <c r="P99" i="16"/>
  <c r="O99" i="16"/>
  <c r="N99" i="16"/>
  <c r="M99" i="16"/>
  <c r="X98" i="16"/>
  <c r="P98" i="16"/>
  <c r="O98" i="16"/>
  <c r="N98" i="16"/>
  <c r="M98" i="16"/>
  <c r="W98" i="16" s="1"/>
  <c r="X97" i="16"/>
  <c r="P97" i="16"/>
  <c r="O97" i="16"/>
  <c r="N97" i="16"/>
  <c r="M97" i="16"/>
  <c r="W97" i="16" s="1"/>
  <c r="X96" i="16"/>
  <c r="P96" i="16"/>
  <c r="O96" i="16"/>
  <c r="N96" i="16"/>
  <c r="M96" i="16"/>
  <c r="W96" i="16" s="1"/>
  <c r="X95" i="16"/>
  <c r="P95" i="16"/>
  <c r="O95" i="16"/>
  <c r="N95" i="16"/>
  <c r="M95" i="16"/>
  <c r="X94" i="16"/>
  <c r="P94" i="16"/>
  <c r="O94" i="16"/>
  <c r="N94" i="16"/>
  <c r="M94" i="16"/>
  <c r="W94" i="16" s="1"/>
  <c r="X93" i="16"/>
  <c r="P93" i="16"/>
  <c r="O93" i="16"/>
  <c r="N93" i="16"/>
  <c r="M93" i="16"/>
  <c r="X92" i="16"/>
  <c r="P92" i="16"/>
  <c r="O92" i="16"/>
  <c r="N92" i="16"/>
  <c r="M92" i="16"/>
  <c r="Z92" i="16" s="1"/>
  <c r="X91" i="16"/>
  <c r="P91" i="16"/>
  <c r="O91" i="16"/>
  <c r="N91" i="16"/>
  <c r="M91" i="16"/>
  <c r="X90" i="16"/>
  <c r="P90" i="16"/>
  <c r="O90" i="16"/>
  <c r="N90" i="16"/>
  <c r="M90" i="16"/>
  <c r="AA90" i="16" s="1"/>
  <c r="X89" i="16"/>
  <c r="P89" i="16"/>
  <c r="O89" i="16"/>
  <c r="N89" i="16"/>
  <c r="M89" i="16"/>
  <c r="W89" i="16" s="1"/>
  <c r="X88" i="16"/>
  <c r="P88" i="16"/>
  <c r="O88" i="16"/>
  <c r="N88" i="16"/>
  <c r="M88" i="16"/>
  <c r="W88" i="16" s="1"/>
  <c r="X87" i="16"/>
  <c r="P87" i="16"/>
  <c r="O87" i="16"/>
  <c r="N87" i="16"/>
  <c r="M87" i="16"/>
  <c r="X86" i="16"/>
  <c r="P86" i="16"/>
  <c r="O86" i="16"/>
  <c r="N86" i="16"/>
  <c r="M86" i="16"/>
  <c r="W86" i="16" s="1"/>
  <c r="X85" i="16"/>
  <c r="P85" i="16"/>
  <c r="O85" i="16"/>
  <c r="N85" i="16"/>
  <c r="M85" i="16"/>
  <c r="X84" i="16"/>
  <c r="P84" i="16"/>
  <c r="O84" i="16"/>
  <c r="N84" i="16"/>
  <c r="M84" i="16"/>
  <c r="W84" i="16" s="1"/>
  <c r="X83" i="16"/>
  <c r="P83" i="16"/>
  <c r="O83" i="16"/>
  <c r="N83" i="16"/>
  <c r="M83" i="16"/>
  <c r="X82" i="16"/>
  <c r="P82" i="16"/>
  <c r="O82" i="16"/>
  <c r="N82" i="16"/>
  <c r="M82" i="16"/>
  <c r="W82" i="16" s="1"/>
  <c r="X81" i="16"/>
  <c r="P81" i="16"/>
  <c r="O81" i="16"/>
  <c r="N81" i="16"/>
  <c r="M81" i="16"/>
  <c r="AA81" i="16" s="1"/>
  <c r="X80" i="16"/>
  <c r="Y80" i="16" s="1"/>
  <c r="P80" i="16"/>
  <c r="O80" i="16"/>
  <c r="N80" i="16"/>
  <c r="M80" i="16"/>
  <c r="W80" i="16" s="1"/>
  <c r="X79" i="16"/>
  <c r="P79" i="16"/>
  <c r="O79" i="16"/>
  <c r="N79" i="16"/>
  <c r="M79" i="16"/>
  <c r="W79" i="16" s="1"/>
  <c r="X78" i="16"/>
  <c r="P78" i="16"/>
  <c r="O78" i="16"/>
  <c r="N78" i="16"/>
  <c r="M78" i="16"/>
  <c r="W78" i="16" s="1"/>
  <c r="X77" i="16"/>
  <c r="P77" i="16"/>
  <c r="O77" i="16"/>
  <c r="N77" i="16"/>
  <c r="M77" i="16"/>
  <c r="X76" i="16"/>
  <c r="P76" i="16"/>
  <c r="O76" i="16"/>
  <c r="N76" i="16"/>
  <c r="M76" i="16"/>
  <c r="X75" i="16"/>
  <c r="P75" i="16"/>
  <c r="O75" i="16"/>
  <c r="N75" i="16"/>
  <c r="M75" i="16"/>
  <c r="X74" i="16"/>
  <c r="P74" i="16"/>
  <c r="O74" i="16"/>
  <c r="N74" i="16"/>
  <c r="M74" i="16"/>
  <c r="W74" i="16" s="1"/>
  <c r="X73" i="16"/>
  <c r="P73" i="16"/>
  <c r="O73" i="16"/>
  <c r="N73" i="16"/>
  <c r="M73" i="16"/>
  <c r="W73" i="16" s="1"/>
  <c r="X72" i="16"/>
  <c r="P72" i="16"/>
  <c r="O72" i="16"/>
  <c r="N72" i="16"/>
  <c r="M72" i="16"/>
  <c r="W72" i="16" s="1"/>
  <c r="X71" i="16"/>
  <c r="P71" i="16"/>
  <c r="O71" i="16"/>
  <c r="N71" i="16"/>
  <c r="M71" i="16"/>
  <c r="X70" i="16"/>
  <c r="Y70" i="16" s="1"/>
  <c r="P70" i="16"/>
  <c r="O70" i="16"/>
  <c r="N70" i="16"/>
  <c r="M70" i="16"/>
  <c r="W70" i="16" s="1"/>
  <c r="X69" i="16"/>
  <c r="P69" i="16"/>
  <c r="O69" i="16"/>
  <c r="N69" i="16"/>
  <c r="M69" i="16"/>
  <c r="X68" i="16"/>
  <c r="P68" i="16"/>
  <c r="O68" i="16"/>
  <c r="N68" i="16"/>
  <c r="M68" i="16"/>
  <c r="W68" i="16" s="1"/>
  <c r="X67" i="16"/>
  <c r="P67" i="16"/>
  <c r="O67" i="16"/>
  <c r="N67" i="16"/>
  <c r="M67" i="16"/>
  <c r="X66" i="16"/>
  <c r="P66" i="16"/>
  <c r="O66" i="16"/>
  <c r="N66" i="16"/>
  <c r="M66" i="16"/>
  <c r="Z66" i="16" s="1"/>
  <c r="X65" i="16"/>
  <c r="P65" i="16"/>
  <c r="O65" i="16"/>
  <c r="N65" i="16"/>
  <c r="M65" i="16"/>
  <c r="W65" i="16" s="1"/>
  <c r="X64" i="16"/>
  <c r="P64" i="16"/>
  <c r="O64" i="16"/>
  <c r="N64" i="16"/>
  <c r="M64" i="16"/>
  <c r="W64" i="16" s="1"/>
  <c r="X63" i="16"/>
  <c r="P63" i="16"/>
  <c r="O63" i="16"/>
  <c r="N63" i="16"/>
  <c r="M63" i="16"/>
  <c r="X62" i="16"/>
  <c r="P62" i="16"/>
  <c r="O62" i="16"/>
  <c r="N62" i="16"/>
  <c r="M62" i="16"/>
  <c r="W62" i="16" s="1"/>
  <c r="X61" i="16"/>
  <c r="P61" i="16"/>
  <c r="O61" i="16"/>
  <c r="N61" i="16"/>
  <c r="M61" i="16"/>
  <c r="X60" i="16"/>
  <c r="P60" i="16"/>
  <c r="O60" i="16"/>
  <c r="N60" i="16"/>
  <c r="M60" i="16"/>
  <c r="W60" i="16" s="1"/>
  <c r="X59" i="16"/>
  <c r="P59" i="16"/>
  <c r="O59" i="16"/>
  <c r="N59" i="16"/>
  <c r="M59" i="16"/>
  <c r="X58" i="16"/>
  <c r="P58" i="16"/>
  <c r="O58" i="16"/>
  <c r="N58" i="16"/>
  <c r="M58" i="16"/>
  <c r="X57" i="16"/>
  <c r="P57" i="16"/>
  <c r="O57" i="16"/>
  <c r="N57" i="16"/>
  <c r="M57" i="16"/>
  <c r="AA57" i="16" s="1"/>
  <c r="X56" i="16"/>
  <c r="P56" i="16"/>
  <c r="O56" i="16"/>
  <c r="N56" i="16"/>
  <c r="M56" i="16"/>
  <c r="W56" i="16" s="1"/>
  <c r="X55" i="16"/>
  <c r="P55" i="16"/>
  <c r="O55" i="16"/>
  <c r="N55" i="16"/>
  <c r="M55" i="16"/>
  <c r="X54" i="16"/>
  <c r="P54" i="16"/>
  <c r="O54" i="16"/>
  <c r="N54" i="16"/>
  <c r="M54" i="16"/>
  <c r="W54" i="16" s="1"/>
  <c r="X53" i="16"/>
  <c r="P53" i="16"/>
  <c r="O53" i="16"/>
  <c r="N53" i="16"/>
  <c r="M53" i="16"/>
  <c r="X52" i="16"/>
  <c r="P52" i="16"/>
  <c r="O52" i="16"/>
  <c r="N52" i="16"/>
  <c r="M52" i="16"/>
  <c r="W52" i="16" s="1"/>
  <c r="X51" i="16"/>
  <c r="P51" i="16"/>
  <c r="O51" i="16"/>
  <c r="N51" i="16"/>
  <c r="M51" i="16"/>
  <c r="X50" i="16"/>
  <c r="P50" i="16"/>
  <c r="O50" i="16"/>
  <c r="N50" i="16"/>
  <c r="M50" i="16"/>
  <c r="X49" i="16"/>
  <c r="P49" i="16"/>
  <c r="O49" i="16"/>
  <c r="N49" i="16"/>
  <c r="M49" i="16"/>
  <c r="AA49" i="16" s="1"/>
  <c r="X48" i="16"/>
  <c r="P48" i="16"/>
  <c r="O48" i="16"/>
  <c r="N48" i="16"/>
  <c r="M48" i="16"/>
  <c r="W48" i="16" s="1"/>
  <c r="X47" i="16"/>
  <c r="P47" i="16"/>
  <c r="O47" i="16"/>
  <c r="N47" i="16"/>
  <c r="M47" i="16"/>
  <c r="N46" i="16"/>
  <c r="P46" i="16" s="1"/>
  <c r="X45" i="16"/>
  <c r="P45" i="16"/>
  <c r="N45" i="16"/>
  <c r="O45" i="16" s="1"/>
  <c r="M45" i="16"/>
  <c r="N44" i="16"/>
  <c r="P44" i="16" s="1"/>
  <c r="S50" i="16"/>
  <c r="N43" i="16"/>
  <c r="O43" i="16" s="1"/>
  <c r="X42" i="16"/>
  <c r="N42" i="16"/>
  <c r="M42" i="16"/>
  <c r="W42" i="16" s="1"/>
  <c r="N41" i="16"/>
  <c r="O41" i="16" s="1"/>
  <c r="X40" i="16"/>
  <c r="N40" i="16"/>
  <c r="O40" i="16" s="1"/>
  <c r="N39" i="16"/>
  <c r="O39" i="16" s="1"/>
  <c r="M39" i="16"/>
  <c r="N38" i="16"/>
  <c r="AC44" i="16"/>
  <c r="AE39" i="16" s="1"/>
  <c r="AG39" i="16" s="1"/>
  <c r="N37" i="16"/>
  <c r="P37" i="16" s="1"/>
  <c r="M37" i="16"/>
  <c r="O36" i="16"/>
  <c r="N36" i="16"/>
  <c r="P36" i="16" s="1"/>
  <c r="X35" i="16"/>
  <c r="N35" i="16"/>
  <c r="O35" i="16" s="1"/>
  <c r="M35" i="16"/>
  <c r="Z35" i="16" s="1"/>
  <c r="X34" i="16"/>
  <c r="N34" i="16"/>
  <c r="O34" i="16" s="1"/>
  <c r="AD40" i="16"/>
  <c r="AD41" i="16" s="1"/>
  <c r="AD42" i="16" s="1"/>
  <c r="AD43" i="16" s="1"/>
  <c r="AD44" i="16" s="1"/>
  <c r="AD45" i="16" s="1"/>
  <c r="AD46" i="16" s="1"/>
  <c r="AD47" i="16" s="1"/>
  <c r="AD48" i="16" s="1"/>
  <c r="AD49" i="16" s="1"/>
  <c r="AD50" i="16" s="1"/>
  <c r="AD51" i="16" s="1"/>
  <c r="AD52" i="16" s="1"/>
  <c r="AD53" i="16" s="1"/>
  <c r="AD54" i="16" s="1"/>
  <c r="AD55" i="16" s="1"/>
  <c r="AD56" i="16" s="1"/>
  <c r="AD57" i="16" s="1"/>
  <c r="AD58" i="16" s="1"/>
  <c r="AD59" i="16" s="1"/>
  <c r="AD60" i="16" s="1"/>
  <c r="AD61" i="16" s="1"/>
  <c r="AD62" i="16" s="1"/>
  <c r="AD63" i="16" s="1"/>
  <c r="N33" i="16"/>
  <c r="O33" i="16" s="1"/>
  <c r="L33" i="16"/>
  <c r="L102" i="16" s="1"/>
  <c r="X32" i="16"/>
  <c r="P32" i="16"/>
  <c r="N32" i="16"/>
  <c r="O32" i="16" s="1"/>
  <c r="M32" i="16"/>
  <c r="W32" i="16" s="1"/>
  <c r="P31" i="16"/>
  <c r="N31" i="16"/>
  <c r="O31" i="16" s="1"/>
  <c r="S37" i="16"/>
  <c r="M33" i="16" s="1"/>
  <c r="N30" i="16"/>
  <c r="X29" i="16"/>
  <c r="S36" i="16"/>
  <c r="M21" i="16" s="1"/>
  <c r="W21" i="16" s="1"/>
  <c r="N29" i="16"/>
  <c r="P29" i="16" s="1"/>
  <c r="S35" i="16"/>
  <c r="M9" i="16" s="1"/>
  <c r="N28" i="16"/>
  <c r="O28" i="16" s="1"/>
  <c r="M28" i="16"/>
  <c r="W28" i="16" s="1"/>
  <c r="S34" i="16"/>
  <c r="M34" i="16" s="1"/>
  <c r="N27" i="16"/>
  <c r="P27" i="16" s="1"/>
  <c r="M27" i="16"/>
  <c r="S33" i="16"/>
  <c r="M38" i="16" s="1"/>
  <c r="W38" i="16" s="1"/>
  <c r="N26" i="16"/>
  <c r="O26" i="16" s="1"/>
  <c r="M26" i="16"/>
  <c r="S32" i="16"/>
  <c r="M46" i="16" s="1"/>
  <c r="N25" i="16"/>
  <c r="P25" i="16" s="1"/>
  <c r="X24" i="16"/>
  <c r="S31" i="16"/>
  <c r="M30" i="16" s="1"/>
  <c r="N24" i="16"/>
  <c r="O24" i="16" s="1"/>
  <c r="S30" i="16"/>
  <c r="M43" i="16" s="1"/>
  <c r="N23" i="16"/>
  <c r="P23" i="16" s="1"/>
  <c r="M23" i="16"/>
  <c r="W23" i="16" s="1"/>
  <c r="X22" i="16"/>
  <c r="S29" i="16"/>
  <c r="M2" i="16" s="1"/>
  <c r="P22" i="16"/>
  <c r="N22" i="16"/>
  <c r="O22" i="16" s="1"/>
  <c r="X21" i="16"/>
  <c r="N21" i="16"/>
  <c r="P21" i="16" s="1"/>
  <c r="N20" i="16"/>
  <c r="P20" i="16" s="1"/>
  <c r="M20" i="16"/>
  <c r="N19" i="16"/>
  <c r="O19" i="16" s="1"/>
  <c r="N18" i="16"/>
  <c r="P18" i="16" s="1"/>
  <c r="O17" i="16"/>
  <c r="AA17" i="16" s="1"/>
  <c r="N17" i="16"/>
  <c r="P17" i="16" s="1"/>
  <c r="M17" i="16"/>
  <c r="X16" i="16"/>
  <c r="N16" i="16"/>
  <c r="P16" i="16" s="1"/>
  <c r="N15" i="16"/>
  <c r="P15" i="16" s="1"/>
  <c r="N14" i="16"/>
  <c r="P14" i="16" s="1"/>
  <c r="W13" i="16"/>
  <c r="N13" i="16"/>
  <c r="P13" i="16" s="1"/>
  <c r="M13" i="16"/>
  <c r="N12" i="16"/>
  <c r="P12" i="16" s="1"/>
  <c r="M12" i="16"/>
  <c r="P11" i="16"/>
  <c r="N11" i="16"/>
  <c r="O11" i="16" s="1"/>
  <c r="M11" i="16"/>
  <c r="N10" i="16"/>
  <c r="P10" i="16" s="1"/>
  <c r="M10" i="16"/>
  <c r="N9" i="16"/>
  <c r="P9" i="16" s="1"/>
  <c r="X8" i="16"/>
  <c r="N8" i="16"/>
  <c r="O8" i="16" s="1"/>
  <c r="M8" i="16"/>
  <c r="X7" i="16"/>
  <c r="N7" i="16"/>
  <c r="O7" i="16" s="1"/>
  <c r="N6" i="16"/>
  <c r="P6" i="16" s="1"/>
  <c r="M6" i="16"/>
  <c r="W6" i="16" s="1"/>
  <c r="X5" i="16"/>
  <c r="N5" i="16"/>
  <c r="P5" i="16" s="1"/>
  <c r="AD4" i="16"/>
  <c r="AD5" i="16" s="1"/>
  <c r="AD6" i="16" s="1"/>
  <c r="AD7" i="16" s="1"/>
  <c r="AD8" i="16" s="1"/>
  <c r="AD9" i="16" s="1"/>
  <c r="AD10" i="16" s="1"/>
  <c r="AD11" i="16" s="1"/>
  <c r="AD12" i="16" s="1"/>
  <c r="AD13" i="16" s="1"/>
  <c r="AD14" i="16" s="1"/>
  <c r="AD15" i="16" s="1"/>
  <c r="AD16" i="16" s="1"/>
  <c r="AD17" i="16" s="1"/>
  <c r="AD18" i="16" s="1"/>
  <c r="AD19" i="16" s="1"/>
  <c r="AD20" i="16" s="1"/>
  <c r="AD21" i="16" s="1"/>
  <c r="AD22" i="16" s="1"/>
  <c r="AD23" i="16" s="1"/>
  <c r="AD24" i="16" s="1"/>
  <c r="AD25" i="16" s="1"/>
  <c r="AD26" i="16" s="1"/>
  <c r="AD27" i="16" s="1"/>
  <c r="P4" i="16"/>
  <c r="N4" i="16"/>
  <c r="O4" i="16" s="1"/>
  <c r="M4" i="16"/>
  <c r="W4" i="16" s="1"/>
  <c r="X3" i="16"/>
  <c r="N3" i="16"/>
  <c r="O3" i="16" s="1"/>
  <c r="N2" i="16"/>
  <c r="P2" i="16" s="1"/>
  <c r="U3" i="15"/>
  <c r="W3" i="15" s="1"/>
  <c r="U4" i="15"/>
  <c r="W4" i="15" s="1"/>
  <c r="U5" i="15"/>
  <c r="U6" i="15"/>
  <c r="U7" i="15"/>
  <c r="U8" i="15"/>
  <c r="U9" i="15"/>
  <c r="U10" i="15"/>
  <c r="W10" i="15" s="1"/>
  <c r="U11" i="15"/>
  <c r="W11" i="15" s="1"/>
  <c r="U12" i="15"/>
  <c r="W12" i="15" s="1"/>
  <c r="U13" i="15"/>
  <c r="U14" i="15"/>
  <c r="W14" i="15" s="1"/>
  <c r="U15" i="15"/>
  <c r="W15" i="15" s="1"/>
  <c r="U16" i="15"/>
  <c r="W16" i="15" s="1"/>
  <c r="U17" i="15"/>
  <c r="W17" i="15" s="1"/>
  <c r="U18" i="15"/>
  <c r="U19" i="15"/>
  <c r="W19" i="15" s="1"/>
  <c r="U20" i="15"/>
  <c r="W20" i="15" s="1"/>
  <c r="U21" i="15"/>
  <c r="U22" i="15"/>
  <c r="U23" i="15"/>
  <c r="W23" i="15" s="1"/>
  <c r="U24" i="15"/>
  <c r="W24" i="15" s="1"/>
  <c r="U25" i="15"/>
  <c r="W25" i="15" s="1"/>
  <c r="U26" i="15"/>
  <c r="W26" i="15" s="1"/>
  <c r="U27" i="15"/>
  <c r="W27" i="15" s="1"/>
  <c r="U28" i="15"/>
  <c r="W28" i="15" s="1"/>
  <c r="U29" i="15"/>
  <c r="W29" i="15" s="1"/>
  <c r="U30" i="15"/>
  <c r="U31" i="15"/>
  <c r="W31" i="15" s="1"/>
  <c r="U32" i="15"/>
  <c r="W32" i="15" s="1"/>
  <c r="U33" i="15"/>
  <c r="W33" i="15" s="1"/>
  <c r="U34" i="15"/>
  <c r="W34" i="15" s="1"/>
  <c r="U35" i="15"/>
  <c r="W35" i="15" s="1"/>
  <c r="U36" i="15"/>
  <c r="W36" i="15" s="1"/>
  <c r="U37" i="15"/>
  <c r="W37" i="15" s="1"/>
  <c r="U38" i="15"/>
  <c r="W38" i="15" s="1"/>
  <c r="U39" i="15"/>
  <c r="W39" i="15" s="1"/>
  <c r="U40" i="15"/>
  <c r="W40" i="15" s="1"/>
  <c r="U41" i="15"/>
  <c r="W41" i="15" s="1"/>
  <c r="U42" i="15"/>
  <c r="W42" i="15" s="1"/>
  <c r="U43" i="15"/>
  <c r="W43" i="15" s="1"/>
  <c r="U44" i="15"/>
  <c r="W44" i="15" s="1"/>
  <c r="U45" i="15"/>
  <c r="U46" i="15"/>
  <c r="W46" i="15" s="1"/>
  <c r="W2" i="15"/>
  <c r="T102" i="15"/>
  <c r="S102" i="15"/>
  <c r="Q102" i="15"/>
  <c r="P102" i="15"/>
  <c r="J102" i="15"/>
  <c r="C102" i="15"/>
  <c r="B102" i="15"/>
  <c r="W100" i="15"/>
  <c r="O100" i="15"/>
  <c r="N100" i="15"/>
  <c r="M100" i="15"/>
  <c r="L100" i="15"/>
  <c r="W99" i="15"/>
  <c r="O99" i="15"/>
  <c r="N99" i="15"/>
  <c r="M99" i="15"/>
  <c r="L99" i="15"/>
  <c r="W98" i="15"/>
  <c r="O98" i="15"/>
  <c r="N98" i="15"/>
  <c r="M98" i="15"/>
  <c r="L98" i="15"/>
  <c r="V98" i="15" s="1"/>
  <c r="W97" i="15"/>
  <c r="O97" i="15"/>
  <c r="N97" i="15"/>
  <c r="M97" i="15"/>
  <c r="L97" i="15"/>
  <c r="W96" i="15"/>
  <c r="O96" i="15"/>
  <c r="N96" i="15"/>
  <c r="M96" i="15"/>
  <c r="L96" i="15"/>
  <c r="Y96" i="15" s="1"/>
  <c r="W95" i="15"/>
  <c r="O95" i="15"/>
  <c r="N95" i="15"/>
  <c r="M95" i="15"/>
  <c r="L95" i="15"/>
  <c r="W94" i="15"/>
  <c r="O94" i="15"/>
  <c r="N94" i="15"/>
  <c r="M94" i="15"/>
  <c r="L94" i="15"/>
  <c r="V94" i="15" s="1"/>
  <c r="W93" i="15"/>
  <c r="O93" i="15"/>
  <c r="N93" i="15"/>
  <c r="M93" i="15"/>
  <c r="L93" i="15"/>
  <c r="W92" i="15"/>
  <c r="O92" i="15"/>
  <c r="N92" i="15"/>
  <c r="M92" i="15"/>
  <c r="L92" i="15"/>
  <c r="W91" i="15"/>
  <c r="X91" i="15" s="1"/>
  <c r="O91" i="15"/>
  <c r="N91" i="15"/>
  <c r="M91" i="15"/>
  <c r="L91" i="15"/>
  <c r="V91" i="15" s="1"/>
  <c r="W90" i="15"/>
  <c r="O90" i="15"/>
  <c r="N90" i="15"/>
  <c r="M90" i="15"/>
  <c r="L90" i="15"/>
  <c r="V90" i="15" s="1"/>
  <c r="W89" i="15"/>
  <c r="O89" i="15"/>
  <c r="N89" i="15"/>
  <c r="M89" i="15"/>
  <c r="L89" i="15"/>
  <c r="V89" i="15" s="1"/>
  <c r="W88" i="15"/>
  <c r="O88" i="15"/>
  <c r="N88" i="15"/>
  <c r="M88" i="15"/>
  <c r="L88" i="15"/>
  <c r="W87" i="15"/>
  <c r="O87" i="15"/>
  <c r="N87" i="15"/>
  <c r="M87" i="15"/>
  <c r="L87" i="15"/>
  <c r="W86" i="15"/>
  <c r="O86" i="15"/>
  <c r="N86" i="15"/>
  <c r="M86" i="15"/>
  <c r="L86" i="15"/>
  <c r="V86" i="15" s="1"/>
  <c r="W85" i="15"/>
  <c r="O85" i="15"/>
  <c r="N85" i="15"/>
  <c r="M85" i="15"/>
  <c r="L85" i="15"/>
  <c r="W84" i="15"/>
  <c r="O84" i="15"/>
  <c r="N84" i="15"/>
  <c r="M84" i="15"/>
  <c r="L84" i="15"/>
  <c r="W83" i="15"/>
  <c r="O83" i="15"/>
  <c r="N83" i="15"/>
  <c r="M83" i="15"/>
  <c r="L83" i="15"/>
  <c r="V83" i="15" s="1"/>
  <c r="W82" i="15"/>
  <c r="O82" i="15"/>
  <c r="N82" i="15"/>
  <c r="M82" i="15"/>
  <c r="L82" i="15"/>
  <c r="W81" i="15"/>
  <c r="O81" i="15"/>
  <c r="N81" i="15"/>
  <c r="M81" i="15"/>
  <c r="L81" i="15"/>
  <c r="W80" i="15"/>
  <c r="O80" i="15"/>
  <c r="N80" i="15"/>
  <c r="M80" i="15"/>
  <c r="L80" i="15"/>
  <c r="W79" i="15"/>
  <c r="O79" i="15"/>
  <c r="N79" i="15"/>
  <c r="M79" i="15"/>
  <c r="L79" i="15"/>
  <c r="W78" i="15"/>
  <c r="O78" i="15"/>
  <c r="N78" i="15"/>
  <c r="M78" i="15"/>
  <c r="L78" i="15"/>
  <c r="V78" i="15" s="1"/>
  <c r="W77" i="15"/>
  <c r="O77" i="15"/>
  <c r="N77" i="15"/>
  <c r="M77" i="15"/>
  <c r="L77" i="15"/>
  <c r="W76" i="15"/>
  <c r="O76" i="15"/>
  <c r="N76" i="15"/>
  <c r="M76" i="15"/>
  <c r="L76" i="15"/>
  <c r="W75" i="15"/>
  <c r="O75" i="15"/>
  <c r="N75" i="15"/>
  <c r="M75" i="15"/>
  <c r="L75" i="15"/>
  <c r="W74" i="15"/>
  <c r="O74" i="15"/>
  <c r="N74" i="15"/>
  <c r="M74" i="15"/>
  <c r="L74" i="15"/>
  <c r="V74" i="15" s="1"/>
  <c r="W73" i="15"/>
  <c r="O73" i="15"/>
  <c r="N73" i="15"/>
  <c r="M73" i="15"/>
  <c r="L73" i="15"/>
  <c r="V73" i="15" s="1"/>
  <c r="W72" i="15"/>
  <c r="O72" i="15"/>
  <c r="N72" i="15"/>
  <c r="M72" i="15"/>
  <c r="L72" i="15"/>
  <c r="V72" i="15" s="1"/>
  <c r="W71" i="15"/>
  <c r="O71" i="15"/>
  <c r="N71" i="15"/>
  <c r="M71" i="15"/>
  <c r="L71" i="15"/>
  <c r="W70" i="15"/>
  <c r="O70" i="15"/>
  <c r="N70" i="15"/>
  <c r="M70" i="15"/>
  <c r="L70" i="15"/>
  <c r="V70" i="15" s="1"/>
  <c r="W69" i="15"/>
  <c r="O69" i="15"/>
  <c r="N69" i="15"/>
  <c r="M69" i="15"/>
  <c r="L69" i="15"/>
  <c r="W68" i="15"/>
  <c r="O68" i="15"/>
  <c r="N68" i="15"/>
  <c r="M68" i="15"/>
  <c r="L68" i="15"/>
  <c r="W67" i="15"/>
  <c r="O67" i="15"/>
  <c r="N67" i="15"/>
  <c r="M67" i="15"/>
  <c r="L67" i="15"/>
  <c r="W66" i="15"/>
  <c r="O66" i="15"/>
  <c r="N66" i="15"/>
  <c r="M66" i="15"/>
  <c r="L66" i="15"/>
  <c r="V66" i="15" s="1"/>
  <c r="W65" i="15"/>
  <c r="O65" i="15"/>
  <c r="N65" i="15"/>
  <c r="M65" i="15"/>
  <c r="L65" i="15"/>
  <c r="V65" i="15" s="1"/>
  <c r="W64" i="15"/>
  <c r="O64" i="15"/>
  <c r="N64" i="15"/>
  <c r="M64" i="15"/>
  <c r="L64" i="15"/>
  <c r="W63" i="15"/>
  <c r="O63" i="15"/>
  <c r="N63" i="15"/>
  <c r="M63" i="15"/>
  <c r="L63" i="15"/>
  <c r="W62" i="15"/>
  <c r="O62" i="15"/>
  <c r="N62" i="15"/>
  <c r="M62" i="15"/>
  <c r="L62" i="15"/>
  <c r="V62" i="15" s="1"/>
  <c r="W61" i="15"/>
  <c r="O61" i="15"/>
  <c r="N61" i="15"/>
  <c r="M61" i="15"/>
  <c r="L61" i="15"/>
  <c r="W60" i="15"/>
  <c r="O60" i="15"/>
  <c r="N60" i="15"/>
  <c r="M60" i="15"/>
  <c r="L60" i="15"/>
  <c r="W59" i="15"/>
  <c r="O59" i="15"/>
  <c r="N59" i="15"/>
  <c r="M59" i="15"/>
  <c r="L59" i="15"/>
  <c r="V59" i="15" s="1"/>
  <c r="W58" i="15"/>
  <c r="O58" i="15"/>
  <c r="N58" i="15"/>
  <c r="M58" i="15"/>
  <c r="L58" i="15"/>
  <c r="V58" i="15" s="1"/>
  <c r="W57" i="15"/>
  <c r="O57" i="15"/>
  <c r="N57" i="15"/>
  <c r="M57" i="15"/>
  <c r="L57" i="15"/>
  <c r="W56" i="15"/>
  <c r="X56" i="15" s="1"/>
  <c r="V56" i="15"/>
  <c r="O56" i="15"/>
  <c r="N56" i="15"/>
  <c r="M56" i="15"/>
  <c r="L56" i="15"/>
  <c r="W55" i="15"/>
  <c r="O55" i="15"/>
  <c r="N55" i="15"/>
  <c r="M55" i="15"/>
  <c r="L55" i="15"/>
  <c r="W54" i="15"/>
  <c r="O54" i="15"/>
  <c r="N54" i="15"/>
  <c r="M54" i="15"/>
  <c r="L54" i="15"/>
  <c r="V54" i="15" s="1"/>
  <c r="W53" i="15"/>
  <c r="O53" i="15"/>
  <c r="N53" i="15"/>
  <c r="M53" i="15"/>
  <c r="L53" i="15"/>
  <c r="V53" i="15" s="1"/>
  <c r="W52" i="15"/>
  <c r="O52" i="15"/>
  <c r="N52" i="15"/>
  <c r="M52" i="15"/>
  <c r="L52" i="15"/>
  <c r="W51" i="15"/>
  <c r="O51" i="15"/>
  <c r="N51" i="15"/>
  <c r="M51" i="15"/>
  <c r="L51" i="15"/>
  <c r="X51" i="15" s="1"/>
  <c r="X50" i="15"/>
  <c r="W50" i="15"/>
  <c r="O50" i="15"/>
  <c r="N50" i="15"/>
  <c r="M50" i="15"/>
  <c r="L50" i="15"/>
  <c r="V50" i="15" s="1"/>
  <c r="W49" i="15"/>
  <c r="O49" i="15"/>
  <c r="N49" i="15"/>
  <c r="M49" i="15"/>
  <c r="L49" i="15"/>
  <c r="W48" i="15"/>
  <c r="O48" i="15"/>
  <c r="N48" i="15"/>
  <c r="M48" i="15"/>
  <c r="L48" i="15"/>
  <c r="V48" i="15" s="1"/>
  <c r="W47" i="15"/>
  <c r="X47" i="15" s="1"/>
  <c r="O47" i="15"/>
  <c r="N47" i="15"/>
  <c r="M47" i="15"/>
  <c r="L47" i="15"/>
  <c r="M46" i="15"/>
  <c r="O46" i="15" s="1"/>
  <c r="W45" i="15"/>
  <c r="M45" i="15"/>
  <c r="O45" i="15" s="1"/>
  <c r="L45" i="15"/>
  <c r="M44" i="15"/>
  <c r="N44" i="15" s="1"/>
  <c r="R43" i="15"/>
  <c r="M43" i="15"/>
  <c r="N43" i="15" s="1"/>
  <c r="M42" i="15"/>
  <c r="N42" i="15" s="1"/>
  <c r="L42" i="15"/>
  <c r="M41" i="15"/>
  <c r="M40" i="15"/>
  <c r="O40" i="15" s="1"/>
  <c r="M39" i="15"/>
  <c r="L39" i="15"/>
  <c r="M38" i="15"/>
  <c r="N38" i="15" s="1"/>
  <c r="AB37" i="15"/>
  <c r="M37" i="15"/>
  <c r="O37" i="15" s="1"/>
  <c r="L37" i="15"/>
  <c r="V37" i="15" s="1"/>
  <c r="M36" i="15"/>
  <c r="N36" i="15" s="1"/>
  <c r="M35" i="15"/>
  <c r="O35" i="15" s="1"/>
  <c r="L35" i="15"/>
  <c r="AB34" i="15"/>
  <c r="AD31" i="15" s="1"/>
  <c r="AJ31" i="15" s="1"/>
  <c r="M34" i="15"/>
  <c r="O34" i="15" s="1"/>
  <c r="AC33" i="15"/>
  <c r="AC34" i="15" s="1"/>
  <c r="AC35" i="15" s="1"/>
  <c r="AC36" i="15" s="1"/>
  <c r="AC37" i="15" s="1"/>
  <c r="AC38" i="15" s="1"/>
  <c r="AC39" i="15" s="1"/>
  <c r="M33" i="15"/>
  <c r="O33" i="15" s="1"/>
  <c r="K33" i="15"/>
  <c r="K102" i="15" s="1"/>
  <c r="M32" i="15"/>
  <c r="N32" i="15" s="1"/>
  <c r="L32" i="15"/>
  <c r="M31" i="15"/>
  <c r="O31" i="15" s="1"/>
  <c r="W30" i="15"/>
  <c r="R30" i="15"/>
  <c r="L33" i="15" s="1"/>
  <c r="M30" i="15"/>
  <c r="O30" i="15" s="1"/>
  <c r="R29" i="15"/>
  <c r="L21" i="15" s="1"/>
  <c r="M29" i="15"/>
  <c r="O29" i="15" s="1"/>
  <c r="R28" i="15"/>
  <c r="L9" i="15" s="1"/>
  <c r="O28" i="15"/>
  <c r="M28" i="15"/>
  <c r="N28" i="15" s="1"/>
  <c r="L28" i="15"/>
  <c r="R27" i="15"/>
  <c r="L34" i="15" s="1"/>
  <c r="N27" i="15"/>
  <c r="M27" i="15"/>
  <c r="O27" i="15" s="1"/>
  <c r="L27" i="15"/>
  <c r="R26" i="15"/>
  <c r="L29" i="15" s="1"/>
  <c r="M26" i="15"/>
  <c r="O26" i="15" s="1"/>
  <c r="L26" i="15"/>
  <c r="R25" i="15"/>
  <c r="L46" i="15" s="1"/>
  <c r="M25" i="15"/>
  <c r="O25" i="15" s="1"/>
  <c r="R24" i="15"/>
  <c r="L25" i="15" s="1"/>
  <c r="M24" i="15"/>
  <c r="N24" i="15" s="1"/>
  <c r="R23" i="15"/>
  <c r="L43" i="15" s="1"/>
  <c r="M23" i="15"/>
  <c r="O23" i="15" s="1"/>
  <c r="L23" i="15"/>
  <c r="W22" i="15"/>
  <c r="R22" i="15"/>
  <c r="L31" i="15" s="1"/>
  <c r="M22" i="15"/>
  <c r="N22" i="15" s="1"/>
  <c r="W21" i="15"/>
  <c r="M21" i="15"/>
  <c r="M20" i="15"/>
  <c r="L20" i="15"/>
  <c r="M19" i="15"/>
  <c r="O19" i="15" s="1"/>
  <c r="L19" i="15"/>
  <c r="M18" i="15"/>
  <c r="O18" i="15" s="1"/>
  <c r="M17" i="15"/>
  <c r="O17" i="15" s="1"/>
  <c r="L17" i="15"/>
  <c r="M16" i="15"/>
  <c r="O16" i="15" s="1"/>
  <c r="M15" i="15"/>
  <c r="O15" i="15" s="1"/>
  <c r="M14" i="15"/>
  <c r="N14" i="15" s="1"/>
  <c r="W13" i="15"/>
  <c r="M13" i="15"/>
  <c r="O13" i="15" s="1"/>
  <c r="L13" i="15"/>
  <c r="M12" i="15"/>
  <c r="L12" i="15"/>
  <c r="N11" i="15"/>
  <c r="M11" i="15"/>
  <c r="O11" i="15" s="1"/>
  <c r="L11" i="15"/>
  <c r="M10" i="15"/>
  <c r="N10" i="15" s="1"/>
  <c r="L10" i="15"/>
  <c r="M9" i="15"/>
  <c r="N9" i="15" s="1"/>
  <c r="M8" i="15"/>
  <c r="O8" i="15" s="1"/>
  <c r="L8" i="15"/>
  <c r="V8" i="15" s="1"/>
  <c r="W7" i="15"/>
  <c r="M7" i="15"/>
  <c r="N7" i="15" s="1"/>
  <c r="W6" i="15"/>
  <c r="M6" i="15"/>
  <c r="O6" i="15" s="1"/>
  <c r="L6" i="15"/>
  <c r="AC5" i="15"/>
  <c r="AC6" i="15" s="1"/>
  <c r="AC7" i="15" s="1"/>
  <c r="AC8" i="15" s="1"/>
  <c r="W5" i="15"/>
  <c r="M5" i="15"/>
  <c r="O5" i="15" s="1"/>
  <c r="AC4" i="15"/>
  <c r="M4" i="15"/>
  <c r="O4" i="15" s="1"/>
  <c r="L4" i="15"/>
  <c r="O3" i="15"/>
  <c r="M3" i="15"/>
  <c r="N3" i="15" s="1"/>
  <c r="M2" i="15"/>
  <c r="H52" i="14"/>
  <c r="N30" i="14"/>
  <c r="N29" i="14"/>
  <c r="N28" i="14"/>
  <c r="H9" i="14" s="1"/>
  <c r="N27" i="14"/>
  <c r="N26" i="14"/>
  <c r="N25" i="14"/>
  <c r="N24" i="14"/>
  <c r="N23" i="14"/>
  <c r="N22" i="14"/>
  <c r="H5" i="14" s="1"/>
  <c r="T5" i="14" s="1"/>
  <c r="Q102" i="14"/>
  <c r="P102" i="14"/>
  <c r="O102" i="14"/>
  <c r="M102" i="14"/>
  <c r="L102" i="14"/>
  <c r="F102" i="14"/>
  <c r="C102" i="14"/>
  <c r="B102" i="14"/>
  <c r="S100" i="14"/>
  <c r="K100" i="14"/>
  <c r="J100" i="14"/>
  <c r="I100" i="14"/>
  <c r="S99" i="14"/>
  <c r="K99" i="14"/>
  <c r="J99" i="14"/>
  <c r="I99" i="14"/>
  <c r="H99" i="14"/>
  <c r="S98" i="14"/>
  <c r="K98" i="14"/>
  <c r="J98" i="14"/>
  <c r="I98" i="14"/>
  <c r="S97" i="14"/>
  <c r="K97" i="14"/>
  <c r="J97" i="14"/>
  <c r="I97" i="14"/>
  <c r="S96" i="14"/>
  <c r="K96" i="14"/>
  <c r="J96" i="14"/>
  <c r="I96" i="14"/>
  <c r="S95" i="14"/>
  <c r="K95" i="14"/>
  <c r="J95" i="14"/>
  <c r="I95" i="14"/>
  <c r="S94" i="14"/>
  <c r="K94" i="14"/>
  <c r="J94" i="14"/>
  <c r="I94" i="14"/>
  <c r="S93" i="14"/>
  <c r="K93" i="14"/>
  <c r="J93" i="14"/>
  <c r="I93" i="14"/>
  <c r="S92" i="14"/>
  <c r="K92" i="14"/>
  <c r="J92" i="14"/>
  <c r="I92" i="14"/>
  <c r="S91" i="14"/>
  <c r="K91" i="14"/>
  <c r="J91" i="14"/>
  <c r="I91" i="14"/>
  <c r="S90" i="14"/>
  <c r="K90" i="14"/>
  <c r="J90" i="14"/>
  <c r="I90" i="14"/>
  <c r="S89" i="14"/>
  <c r="K89" i="14"/>
  <c r="J89" i="14"/>
  <c r="I89" i="14"/>
  <c r="S88" i="14"/>
  <c r="K88" i="14"/>
  <c r="J88" i="14"/>
  <c r="I88" i="14"/>
  <c r="S87" i="14"/>
  <c r="K87" i="14"/>
  <c r="J87" i="14"/>
  <c r="I87" i="14"/>
  <c r="S86" i="14"/>
  <c r="K86" i="14"/>
  <c r="J86" i="14"/>
  <c r="I86" i="14"/>
  <c r="S85" i="14"/>
  <c r="K85" i="14"/>
  <c r="J85" i="14"/>
  <c r="I85" i="14"/>
  <c r="S84" i="14"/>
  <c r="K84" i="14"/>
  <c r="J84" i="14"/>
  <c r="I84" i="14"/>
  <c r="S83" i="14"/>
  <c r="K83" i="14"/>
  <c r="J83" i="14"/>
  <c r="I83" i="14"/>
  <c r="S82" i="14"/>
  <c r="K82" i="14"/>
  <c r="J82" i="14"/>
  <c r="I82" i="14"/>
  <c r="S81" i="14"/>
  <c r="K81" i="14"/>
  <c r="J81" i="14"/>
  <c r="I81" i="14"/>
  <c r="S80" i="14"/>
  <c r="K80" i="14"/>
  <c r="J80" i="14"/>
  <c r="I80" i="14"/>
  <c r="S79" i="14"/>
  <c r="K79" i="14"/>
  <c r="J79" i="14"/>
  <c r="I79" i="14"/>
  <c r="S78" i="14"/>
  <c r="K78" i="14"/>
  <c r="J78" i="14"/>
  <c r="I78" i="14"/>
  <c r="S77" i="14"/>
  <c r="K77" i="14"/>
  <c r="J77" i="14"/>
  <c r="I77" i="14"/>
  <c r="S76" i="14"/>
  <c r="K76" i="14"/>
  <c r="J76" i="14"/>
  <c r="I76" i="14"/>
  <c r="S75" i="14"/>
  <c r="K75" i="14"/>
  <c r="J75" i="14"/>
  <c r="I75" i="14"/>
  <c r="S74" i="14"/>
  <c r="K74" i="14"/>
  <c r="J74" i="14"/>
  <c r="I74" i="14"/>
  <c r="S73" i="14"/>
  <c r="K73" i="14"/>
  <c r="J73" i="14"/>
  <c r="I73" i="14"/>
  <c r="S72" i="14"/>
  <c r="K72" i="14"/>
  <c r="J72" i="14"/>
  <c r="I72" i="14"/>
  <c r="S71" i="14"/>
  <c r="K71" i="14"/>
  <c r="J71" i="14"/>
  <c r="I71" i="14"/>
  <c r="S70" i="14"/>
  <c r="K70" i="14"/>
  <c r="J70" i="14"/>
  <c r="I70" i="14"/>
  <c r="S69" i="14"/>
  <c r="K69" i="14"/>
  <c r="J69" i="14"/>
  <c r="I69" i="14"/>
  <c r="S68" i="14"/>
  <c r="K68" i="14"/>
  <c r="J68" i="14"/>
  <c r="I68" i="14"/>
  <c r="S67" i="14"/>
  <c r="K67" i="14"/>
  <c r="J67" i="14"/>
  <c r="I67" i="14"/>
  <c r="H67" i="14"/>
  <c r="S66" i="14"/>
  <c r="K66" i="14"/>
  <c r="J66" i="14"/>
  <c r="I66" i="14"/>
  <c r="S65" i="14"/>
  <c r="K65" i="14"/>
  <c r="J65" i="14"/>
  <c r="I65" i="14"/>
  <c r="S64" i="14"/>
  <c r="K64" i="14"/>
  <c r="J64" i="14"/>
  <c r="I64" i="14"/>
  <c r="S63" i="14"/>
  <c r="K63" i="14"/>
  <c r="J63" i="14"/>
  <c r="I63" i="14"/>
  <c r="S62" i="14"/>
  <c r="K62" i="14"/>
  <c r="J62" i="14"/>
  <c r="I62" i="14"/>
  <c r="S61" i="14"/>
  <c r="K61" i="14"/>
  <c r="J61" i="14"/>
  <c r="I61" i="14"/>
  <c r="S60" i="14"/>
  <c r="K60" i="14"/>
  <c r="J60" i="14"/>
  <c r="I60" i="14"/>
  <c r="S59" i="14"/>
  <c r="K59" i="14"/>
  <c r="J59" i="14"/>
  <c r="I59" i="14"/>
  <c r="S58" i="14"/>
  <c r="K58" i="14"/>
  <c r="J58" i="14"/>
  <c r="I58" i="14"/>
  <c r="S57" i="14"/>
  <c r="K57" i="14"/>
  <c r="J57" i="14"/>
  <c r="I57" i="14"/>
  <c r="S56" i="14"/>
  <c r="K56" i="14"/>
  <c r="J56" i="14"/>
  <c r="I56" i="14"/>
  <c r="S55" i="14"/>
  <c r="K55" i="14"/>
  <c r="J55" i="14"/>
  <c r="I55" i="14"/>
  <c r="S54" i="14"/>
  <c r="K54" i="14"/>
  <c r="J54" i="14"/>
  <c r="I54" i="14"/>
  <c r="S53" i="14"/>
  <c r="K53" i="14"/>
  <c r="J53" i="14"/>
  <c r="I53" i="14"/>
  <c r="S52" i="14"/>
  <c r="K52" i="14"/>
  <c r="J52" i="14"/>
  <c r="I52" i="14"/>
  <c r="S51" i="14"/>
  <c r="K51" i="14"/>
  <c r="J51" i="14"/>
  <c r="I51" i="14"/>
  <c r="S50" i="14"/>
  <c r="K50" i="14"/>
  <c r="J50" i="14"/>
  <c r="I50" i="14"/>
  <c r="S49" i="14"/>
  <c r="K49" i="14"/>
  <c r="J49" i="14"/>
  <c r="I49" i="14"/>
  <c r="S48" i="14"/>
  <c r="K48" i="14"/>
  <c r="J48" i="14"/>
  <c r="I48" i="14"/>
  <c r="S47" i="14"/>
  <c r="K47" i="14"/>
  <c r="J47" i="14"/>
  <c r="I47" i="14"/>
  <c r="S46" i="14"/>
  <c r="J46" i="14"/>
  <c r="I46" i="14"/>
  <c r="K46" i="14" s="1"/>
  <c r="S45" i="14"/>
  <c r="I45" i="14"/>
  <c r="J45" i="14" s="1"/>
  <c r="S44" i="14"/>
  <c r="I44" i="14"/>
  <c r="K44" i="14" s="1"/>
  <c r="S43" i="14"/>
  <c r="N43" i="14"/>
  <c r="I43" i="14"/>
  <c r="K43" i="14" s="1"/>
  <c r="S42" i="14"/>
  <c r="K42" i="14"/>
  <c r="J42" i="14"/>
  <c r="I42" i="14"/>
  <c r="S41" i="14"/>
  <c r="I41" i="14"/>
  <c r="J41" i="14" s="1"/>
  <c r="S40" i="14"/>
  <c r="I40" i="14"/>
  <c r="K40" i="14" s="1"/>
  <c r="S39" i="14"/>
  <c r="K39" i="14"/>
  <c r="I39" i="14"/>
  <c r="J39" i="14" s="1"/>
  <c r="S38" i="14"/>
  <c r="I38" i="14"/>
  <c r="K38" i="14" s="1"/>
  <c r="X37" i="14"/>
  <c r="S37" i="14"/>
  <c r="I37" i="14"/>
  <c r="S36" i="14"/>
  <c r="I36" i="14"/>
  <c r="K36" i="14" s="1"/>
  <c r="S35" i="14"/>
  <c r="K35" i="14"/>
  <c r="J35" i="14"/>
  <c r="I35" i="14"/>
  <c r="X34" i="14"/>
  <c r="S34" i="14"/>
  <c r="I34" i="14"/>
  <c r="K34" i="14" s="1"/>
  <c r="Y33" i="14"/>
  <c r="Y34" i="14" s="1"/>
  <c r="Y35" i="14" s="1"/>
  <c r="Y36" i="14" s="1"/>
  <c r="Y37" i="14" s="1"/>
  <c r="Y38" i="14" s="1"/>
  <c r="S33" i="14"/>
  <c r="K33" i="14"/>
  <c r="J33" i="14"/>
  <c r="I33" i="14"/>
  <c r="G33" i="14"/>
  <c r="G102" i="14" s="1"/>
  <c r="S32" i="14"/>
  <c r="I32" i="14"/>
  <c r="K32" i="14" s="1"/>
  <c r="AF31" i="14"/>
  <c r="AD31" i="14"/>
  <c r="Z31" i="14"/>
  <c r="AC31" i="14" s="1"/>
  <c r="S31" i="14"/>
  <c r="I31" i="14"/>
  <c r="K31" i="14" s="1"/>
  <c r="S30" i="14"/>
  <c r="K30" i="14"/>
  <c r="J30" i="14"/>
  <c r="I30" i="14"/>
  <c r="S29" i="14"/>
  <c r="I29" i="14"/>
  <c r="K29" i="14" s="1"/>
  <c r="S28" i="14"/>
  <c r="I28" i="14"/>
  <c r="K28" i="14" s="1"/>
  <c r="H28" i="14"/>
  <c r="R28" i="14" s="1"/>
  <c r="S27" i="14"/>
  <c r="I27" i="14"/>
  <c r="J27" i="14" s="1"/>
  <c r="S26" i="14"/>
  <c r="I26" i="14"/>
  <c r="K26" i="14" s="1"/>
  <c r="S25" i="14"/>
  <c r="I25" i="14"/>
  <c r="K25" i="14" s="1"/>
  <c r="S24" i="14"/>
  <c r="I24" i="14"/>
  <c r="J24" i="14" s="1"/>
  <c r="S23" i="14"/>
  <c r="K23" i="14"/>
  <c r="I23" i="14"/>
  <c r="J23" i="14" s="1"/>
  <c r="S22" i="14"/>
  <c r="K22" i="14"/>
  <c r="I22" i="14"/>
  <c r="J22" i="14" s="1"/>
  <c r="S21" i="14"/>
  <c r="I21" i="14"/>
  <c r="K21" i="14" s="1"/>
  <c r="S20" i="14"/>
  <c r="I20" i="14"/>
  <c r="K20" i="14" s="1"/>
  <c r="S19" i="14"/>
  <c r="K19" i="14"/>
  <c r="J19" i="14"/>
  <c r="I19" i="14"/>
  <c r="S18" i="14"/>
  <c r="I18" i="14"/>
  <c r="J18" i="14" s="1"/>
  <c r="H18" i="14"/>
  <c r="T18" i="14" s="1"/>
  <c r="S17" i="14"/>
  <c r="I17" i="14"/>
  <c r="K17" i="14" s="1"/>
  <c r="S16" i="14"/>
  <c r="I16" i="14"/>
  <c r="J16" i="14" s="1"/>
  <c r="S15" i="14"/>
  <c r="I15" i="14"/>
  <c r="K15" i="14" s="1"/>
  <c r="S14" i="14"/>
  <c r="K14" i="14"/>
  <c r="J14" i="14"/>
  <c r="I14" i="14"/>
  <c r="S13" i="14"/>
  <c r="I13" i="14"/>
  <c r="K13" i="14" s="1"/>
  <c r="S12" i="14"/>
  <c r="I12" i="14"/>
  <c r="K12" i="14" s="1"/>
  <c r="S11" i="14"/>
  <c r="H92" i="14"/>
  <c r="I11" i="14"/>
  <c r="J11" i="14" s="1"/>
  <c r="H11" i="14"/>
  <c r="R11" i="14" s="1"/>
  <c r="S10" i="14"/>
  <c r="I10" i="14"/>
  <c r="K10" i="14" s="1"/>
  <c r="S9" i="14"/>
  <c r="I9" i="14"/>
  <c r="X8" i="14"/>
  <c r="AD33" i="14" s="1"/>
  <c r="AE33" i="14" s="1"/>
  <c r="S8" i="14"/>
  <c r="K8" i="14"/>
  <c r="J8" i="14"/>
  <c r="I8" i="14"/>
  <c r="S7" i="14"/>
  <c r="I7" i="14"/>
  <c r="K7" i="14" s="1"/>
  <c r="S6" i="14"/>
  <c r="J6" i="14"/>
  <c r="I6" i="14"/>
  <c r="K6" i="14" s="1"/>
  <c r="S5" i="14"/>
  <c r="K5" i="14"/>
  <c r="I5" i="14"/>
  <c r="J5" i="14" s="1"/>
  <c r="Y4" i="14"/>
  <c r="AD4" i="14" s="1"/>
  <c r="AE4" i="14" s="1"/>
  <c r="S4" i="14"/>
  <c r="I4" i="14"/>
  <c r="K4" i="14" s="1"/>
  <c r="H4" i="14"/>
  <c r="AD3" i="14"/>
  <c r="AE3" i="14" s="1"/>
  <c r="S3" i="14"/>
  <c r="I3" i="14"/>
  <c r="K3" i="14" s="1"/>
  <c r="S2" i="14"/>
  <c r="S102" i="14" s="1"/>
  <c r="K2" i="14"/>
  <c r="J2" i="14"/>
  <c r="I2" i="14"/>
  <c r="G46" i="13"/>
  <c r="G44" i="13"/>
  <c r="G43" i="13"/>
  <c r="G41" i="13"/>
  <c r="G40" i="13"/>
  <c r="G38" i="13"/>
  <c r="G36" i="13"/>
  <c r="G34" i="13"/>
  <c r="G33" i="13"/>
  <c r="G31" i="13"/>
  <c r="G30" i="13"/>
  <c r="G29" i="13"/>
  <c r="G25" i="13"/>
  <c r="G24" i="13"/>
  <c r="G22" i="13"/>
  <c r="G21" i="13"/>
  <c r="Q21" i="13" s="1"/>
  <c r="G19" i="13"/>
  <c r="G18" i="13"/>
  <c r="G16" i="13"/>
  <c r="G15" i="13"/>
  <c r="G14" i="13"/>
  <c r="G10" i="13"/>
  <c r="G9" i="13"/>
  <c r="G7" i="13"/>
  <c r="G5" i="13"/>
  <c r="G3" i="13"/>
  <c r="G2" i="13"/>
  <c r="M11" i="13"/>
  <c r="G8" i="13"/>
  <c r="G20" i="13"/>
  <c r="G26" i="13"/>
  <c r="G37" i="13"/>
  <c r="G42" i="13"/>
  <c r="G4" i="13"/>
  <c r="P102" i="13"/>
  <c r="O102" i="13"/>
  <c r="L102" i="13"/>
  <c r="K102" i="13"/>
  <c r="E102" i="13"/>
  <c r="C102" i="13"/>
  <c r="B102" i="13"/>
  <c r="R100" i="13"/>
  <c r="J100" i="13"/>
  <c r="I100" i="13"/>
  <c r="H100" i="13"/>
  <c r="R99" i="13"/>
  <c r="J99" i="13"/>
  <c r="I99" i="13"/>
  <c r="H99" i="13"/>
  <c r="R98" i="13"/>
  <c r="J98" i="13"/>
  <c r="I98" i="13"/>
  <c r="H98" i="13"/>
  <c r="R97" i="13"/>
  <c r="J97" i="13"/>
  <c r="I97" i="13"/>
  <c r="H97" i="13"/>
  <c r="R96" i="13"/>
  <c r="J96" i="13"/>
  <c r="I96" i="13"/>
  <c r="H96" i="13"/>
  <c r="R95" i="13"/>
  <c r="J95" i="13"/>
  <c r="I95" i="13"/>
  <c r="H95" i="13"/>
  <c r="R94" i="13"/>
  <c r="J94" i="13"/>
  <c r="I94" i="13"/>
  <c r="H94" i="13"/>
  <c r="R93" i="13"/>
  <c r="J93" i="13"/>
  <c r="I93" i="13"/>
  <c r="H93" i="13"/>
  <c r="R92" i="13"/>
  <c r="J92" i="13"/>
  <c r="I92" i="13"/>
  <c r="H92" i="13"/>
  <c r="R91" i="13"/>
  <c r="J91" i="13"/>
  <c r="I91" i="13"/>
  <c r="H91" i="13"/>
  <c r="R90" i="13"/>
  <c r="J90" i="13"/>
  <c r="I90" i="13"/>
  <c r="H90" i="13"/>
  <c r="R89" i="13"/>
  <c r="J89" i="13"/>
  <c r="I89" i="13"/>
  <c r="H89" i="13"/>
  <c r="R88" i="13"/>
  <c r="J88" i="13"/>
  <c r="I88" i="13"/>
  <c r="H88" i="13"/>
  <c r="R87" i="13"/>
  <c r="J87" i="13"/>
  <c r="I87" i="13"/>
  <c r="H87" i="13"/>
  <c r="R86" i="13"/>
  <c r="J86" i="13"/>
  <c r="I86" i="13"/>
  <c r="H86" i="13"/>
  <c r="R85" i="13"/>
  <c r="J85" i="13"/>
  <c r="I85" i="13"/>
  <c r="H85" i="13"/>
  <c r="R84" i="13"/>
  <c r="J84" i="13"/>
  <c r="I84" i="13"/>
  <c r="H84" i="13"/>
  <c r="R83" i="13"/>
  <c r="J83" i="13"/>
  <c r="I83" i="13"/>
  <c r="H83" i="13"/>
  <c r="R82" i="13"/>
  <c r="J82" i="13"/>
  <c r="I82" i="13"/>
  <c r="H82" i="13"/>
  <c r="R81" i="13"/>
  <c r="J81" i="13"/>
  <c r="I81" i="13"/>
  <c r="H81" i="13"/>
  <c r="R80" i="13"/>
  <c r="J80" i="13"/>
  <c r="I80" i="13"/>
  <c r="H80" i="13"/>
  <c r="R79" i="13"/>
  <c r="J79" i="13"/>
  <c r="I79" i="13"/>
  <c r="H79" i="13"/>
  <c r="R78" i="13"/>
  <c r="J78" i="13"/>
  <c r="I78" i="13"/>
  <c r="H78" i="13"/>
  <c r="R77" i="13"/>
  <c r="J77" i="13"/>
  <c r="I77" i="13"/>
  <c r="H77" i="13"/>
  <c r="R76" i="13"/>
  <c r="J76" i="13"/>
  <c r="I76" i="13"/>
  <c r="H76" i="13"/>
  <c r="R75" i="13"/>
  <c r="J75" i="13"/>
  <c r="I75" i="13"/>
  <c r="H75" i="13"/>
  <c r="R74" i="13"/>
  <c r="J74" i="13"/>
  <c r="I74" i="13"/>
  <c r="H74" i="13"/>
  <c r="R73" i="13"/>
  <c r="J73" i="13"/>
  <c r="I73" i="13"/>
  <c r="H73" i="13"/>
  <c r="R72" i="13"/>
  <c r="J72" i="13"/>
  <c r="I72" i="13"/>
  <c r="H72" i="13"/>
  <c r="R71" i="13"/>
  <c r="J71" i="13"/>
  <c r="I71" i="13"/>
  <c r="H71" i="13"/>
  <c r="R70" i="13"/>
  <c r="J70" i="13"/>
  <c r="I70" i="13"/>
  <c r="H70" i="13"/>
  <c r="R69" i="13"/>
  <c r="J69" i="13"/>
  <c r="I69" i="13"/>
  <c r="H69" i="13"/>
  <c r="R68" i="13"/>
  <c r="J68" i="13"/>
  <c r="I68" i="13"/>
  <c r="H68" i="13"/>
  <c r="R67" i="13"/>
  <c r="J67" i="13"/>
  <c r="I67" i="13"/>
  <c r="H67" i="13"/>
  <c r="R66" i="13"/>
  <c r="J66" i="13"/>
  <c r="I66" i="13"/>
  <c r="H66" i="13"/>
  <c r="R65" i="13"/>
  <c r="J65" i="13"/>
  <c r="I65" i="13"/>
  <c r="H65" i="13"/>
  <c r="R64" i="13"/>
  <c r="J64" i="13"/>
  <c r="I64" i="13"/>
  <c r="H64" i="13"/>
  <c r="R63" i="13"/>
  <c r="J63" i="13"/>
  <c r="I63" i="13"/>
  <c r="H63" i="13"/>
  <c r="R62" i="13"/>
  <c r="J62" i="13"/>
  <c r="I62" i="13"/>
  <c r="H62" i="13"/>
  <c r="R61" i="13"/>
  <c r="J61" i="13"/>
  <c r="I61" i="13"/>
  <c r="H61" i="13"/>
  <c r="R60" i="13"/>
  <c r="J60" i="13"/>
  <c r="I60" i="13"/>
  <c r="H60" i="13"/>
  <c r="R59" i="13"/>
  <c r="J59" i="13"/>
  <c r="I59" i="13"/>
  <c r="H59" i="13"/>
  <c r="R58" i="13"/>
  <c r="J58" i="13"/>
  <c r="I58" i="13"/>
  <c r="H58" i="13"/>
  <c r="R57" i="13"/>
  <c r="J57" i="13"/>
  <c r="I57" i="13"/>
  <c r="H57" i="13"/>
  <c r="R56" i="13"/>
  <c r="J56" i="13"/>
  <c r="I56" i="13"/>
  <c r="H56" i="13"/>
  <c r="R55" i="13"/>
  <c r="J55" i="13"/>
  <c r="I55" i="13"/>
  <c r="H55" i="13"/>
  <c r="R54" i="13"/>
  <c r="J54" i="13"/>
  <c r="I54" i="13"/>
  <c r="H54" i="13"/>
  <c r="R53" i="13"/>
  <c r="J53" i="13"/>
  <c r="I53" i="13"/>
  <c r="H53" i="13"/>
  <c r="R52" i="13"/>
  <c r="J52" i="13"/>
  <c r="I52" i="13"/>
  <c r="H52" i="13"/>
  <c r="R51" i="13"/>
  <c r="J51" i="13"/>
  <c r="I51" i="13"/>
  <c r="H51" i="13"/>
  <c r="R50" i="13"/>
  <c r="J50" i="13"/>
  <c r="I50" i="13"/>
  <c r="H50" i="13"/>
  <c r="R49" i="13"/>
  <c r="J49" i="13"/>
  <c r="I49" i="13"/>
  <c r="H49" i="13"/>
  <c r="R48" i="13"/>
  <c r="J48" i="13"/>
  <c r="I48" i="13"/>
  <c r="H48" i="13"/>
  <c r="R47" i="13"/>
  <c r="J47" i="13"/>
  <c r="I47" i="13"/>
  <c r="H47" i="13"/>
  <c r="R46" i="13"/>
  <c r="H46" i="13"/>
  <c r="R45" i="13"/>
  <c r="H45" i="13"/>
  <c r="J45" i="13" s="1"/>
  <c r="R44" i="13"/>
  <c r="I44" i="13"/>
  <c r="H44" i="13"/>
  <c r="J44" i="13" s="1"/>
  <c r="R43" i="13"/>
  <c r="H43" i="13"/>
  <c r="I43" i="13" s="1"/>
  <c r="R42" i="13"/>
  <c r="H42" i="13"/>
  <c r="J42" i="13" s="1"/>
  <c r="R41" i="13"/>
  <c r="H41" i="13"/>
  <c r="I41" i="13" s="1"/>
  <c r="R40" i="13"/>
  <c r="M43" i="13"/>
  <c r="H40" i="13"/>
  <c r="J40" i="13" s="1"/>
  <c r="R39" i="13"/>
  <c r="H39" i="13"/>
  <c r="X38" i="13"/>
  <c r="X39" i="13" s="1"/>
  <c r="X40" i="13" s="1"/>
  <c r="X41" i="13" s="1"/>
  <c r="X42" i="13" s="1"/>
  <c r="X43" i="13" s="1"/>
  <c r="X44" i="13" s="1"/>
  <c r="X45" i="13" s="1"/>
  <c r="X46" i="13" s="1"/>
  <c r="X47" i="13" s="1"/>
  <c r="X48" i="13" s="1"/>
  <c r="X49" i="13" s="1"/>
  <c r="X50" i="13" s="1"/>
  <c r="X51" i="13" s="1"/>
  <c r="X52" i="13" s="1"/>
  <c r="X53" i="13" s="1"/>
  <c r="X54" i="13" s="1"/>
  <c r="X55" i="13" s="1"/>
  <c r="X56" i="13" s="1"/>
  <c r="R38" i="13"/>
  <c r="H38" i="13"/>
  <c r="J38" i="13" s="1"/>
  <c r="W37" i="13"/>
  <c r="AC32" i="13" s="1"/>
  <c r="AD32" i="13" s="1"/>
  <c r="R37" i="13"/>
  <c r="J37" i="13"/>
  <c r="H37" i="13"/>
  <c r="I37" i="13" s="1"/>
  <c r="R36" i="13"/>
  <c r="H36" i="13"/>
  <c r="Q36" i="13"/>
  <c r="R35" i="13"/>
  <c r="I35" i="13"/>
  <c r="H35" i="13"/>
  <c r="J35" i="13" s="1"/>
  <c r="W34" i="13"/>
  <c r="Y31" i="13" s="1"/>
  <c r="R34" i="13"/>
  <c r="H34" i="13"/>
  <c r="J34" i="13" s="1"/>
  <c r="X33" i="13"/>
  <c r="X34" i="13" s="1"/>
  <c r="X35" i="13" s="1"/>
  <c r="X36" i="13" s="1"/>
  <c r="X37" i="13" s="1"/>
  <c r="R33" i="13"/>
  <c r="H33" i="13"/>
  <c r="F33" i="13"/>
  <c r="F102" i="13" s="1"/>
  <c r="R32" i="13"/>
  <c r="H32" i="13"/>
  <c r="J32" i="13" s="1"/>
  <c r="R31" i="13"/>
  <c r="H31" i="13"/>
  <c r="I31" i="13" s="1"/>
  <c r="R30" i="13"/>
  <c r="H30" i="13"/>
  <c r="R29" i="13"/>
  <c r="H29" i="13"/>
  <c r="J29" i="13" s="1"/>
  <c r="R28" i="13"/>
  <c r="I28" i="13"/>
  <c r="H28" i="13"/>
  <c r="J28" i="13" s="1"/>
  <c r="R27" i="13"/>
  <c r="H27" i="13"/>
  <c r="I27" i="13" s="1"/>
  <c r="R26" i="13"/>
  <c r="H26" i="13"/>
  <c r="J26" i="13" s="1"/>
  <c r="R25" i="13"/>
  <c r="H25" i="13"/>
  <c r="R24" i="13"/>
  <c r="H24" i="13"/>
  <c r="R23" i="13"/>
  <c r="I23" i="13"/>
  <c r="H23" i="13"/>
  <c r="J23" i="13" s="1"/>
  <c r="R22" i="13"/>
  <c r="H22" i="13"/>
  <c r="J22" i="13" s="1"/>
  <c r="R21" i="13"/>
  <c r="H21" i="13"/>
  <c r="I21" i="13" s="1"/>
  <c r="R20" i="13"/>
  <c r="H20" i="13"/>
  <c r="J20" i="13" s="1"/>
  <c r="R19" i="13"/>
  <c r="H19" i="13"/>
  <c r="J19" i="13" s="1"/>
  <c r="R18" i="13"/>
  <c r="H18" i="13"/>
  <c r="J18" i="13" s="1"/>
  <c r="R17" i="13"/>
  <c r="H17" i="13"/>
  <c r="J17" i="13" s="1"/>
  <c r="R16" i="13"/>
  <c r="H16" i="13"/>
  <c r="J16" i="13" s="1"/>
  <c r="R15" i="13"/>
  <c r="H15" i="13"/>
  <c r="I15" i="13" s="1"/>
  <c r="R14" i="13"/>
  <c r="H14" i="13"/>
  <c r="J14" i="13" s="1"/>
  <c r="R13" i="13"/>
  <c r="H13" i="13"/>
  <c r="J13" i="13" s="1"/>
  <c r="R12" i="13"/>
  <c r="I12" i="13"/>
  <c r="H12" i="13"/>
  <c r="J12" i="13" s="1"/>
  <c r="R11" i="13"/>
  <c r="N102" i="13"/>
  <c r="H11" i="13"/>
  <c r="J11" i="13" s="1"/>
  <c r="R10" i="13"/>
  <c r="H10" i="13"/>
  <c r="J10" i="13" s="1"/>
  <c r="R9" i="13"/>
  <c r="H9" i="13"/>
  <c r="J9" i="13" s="1"/>
  <c r="W8" i="13"/>
  <c r="AC56" i="13" s="1"/>
  <c r="AD56" i="13" s="1"/>
  <c r="R8" i="13"/>
  <c r="H8" i="13"/>
  <c r="R7" i="13"/>
  <c r="H7" i="13"/>
  <c r="J7" i="13" s="1"/>
  <c r="R6" i="13"/>
  <c r="I6" i="13"/>
  <c r="H6" i="13"/>
  <c r="J6" i="13" s="1"/>
  <c r="R5" i="13"/>
  <c r="H5" i="13"/>
  <c r="J5" i="13" s="1"/>
  <c r="X4" i="13"/>
  <c r="X5" i="13" s="1"/>
  <c r="X6" i="13" s="1"/>
  <c r="X7" i="13" s="1"/>
  <c r="X8" i="13" s="1"/>
  <c r="X9" i="13" s="1"/>
  <c r="X10" i="13" s="1"/>
  <c r="X11" i="13" s="1"/>
  <c r="X12" i="13" s="1"/>
  <c r="X13" i="13" s="1"/>
  <c r="X14" i="13" s="1"/>
  <c r="X15" i="13" s="1"/>
  <c r="X16" i="13" s="1"/>
  <c r="X17" i="13" s="1"/>
  <c r="X18" i="13" s="1"/>
  <c r="X19" i="13" s="1"/>
  <c r="X20" i="13" s="1"/>
  <c r="X21" i="13" s="1"/>
  <c r="X22" i="13" s="1"/>
  <c r="X23" i="13" s="1"/>
  <c r="X24" i="13" s="1"/>
  <c r="X25" i="13" s="1"/>
  <c r="X26" i="13" s="1"/>
  <c r="X27" i="13" s="1"/>
  <c r="R4" i="13"/>
  <c r="I4" i="13"/>
  <c r="H4" i="13"/>
  <c r="J4" i="13" s="1"/>
  <c r="R3" i="13"/>
  <c r="H3" i="13"/>
  <c r="J3" i="13" s="1"/>
  <c r="R2" i="13"/>
  <c r="H2" i="13"/>
  <c r="J2" i="13" s="1"/>
  <c r="N16" i="12"/>
  <c r="N15" i="12"/>
  <c r="N14" i="12"/>
  <c r="N13" i="12"/>
  <c r="N12" i="12"/>
  <c r="N11" i="12"/>
  <c r="N102" i="12" s="1"/>
  <c r="P102" i="12"/>
  <c r="O102" i="12"/>
  <c r="L102" i="12"/>
  <c r="K102" i="12"/>
  <c r="E102" i="12"/>
  <c r="C102" i="12"/>
  <c r="B102" i="12"/>
  <c r="R100" i="12"/>
  <c r="J100" i="12"/>
  <c r="I100" i="12"/>
  <c r="H100" i="12"/>
  <c r="R99" i="12"/>
  <c r="J99" i="12"/>
  <c r="I99" i="12"/>
  <c r="H99" i="12"/>
  <c r="R98" i="12"/>
  <c r="J98" i="12"/>
  <c r="I98" i="12"/>
  <c r="H98" i="12"/>
  <c r="R97" i="12"/>
  <c r="J97" i="12"/>
  <c r="I97" i="12"/>
  <c r="H97" i="12"/>
  <c r="R96" i="12"/>
  <c r="J96" i="12"/>
  <c r="I96" i="12"/>
  <c r="H96" i="12"/>
  <c r="R95" i="12"/>
  <c r="J95" i="12"/>
  <c r="I95" i="12"/>
  <c r="H95" i="12"/>
  <c r="G95" i="12"/>
  <c r="Q95" i="12" s="1"/>
  <c r="R94" i="12"/>
  <c r="J94" i="12"/>
  <c r="I94" i="12"/>
  <c r="H94" i="12"/>
  <c r="R93" i="12"/>
  <c r="J93" i="12"/>
  <c r="I93" i="12"/>
  <c r="H93" i="12"/>
  <c r="R92" i="12"/>
  <c r="J92" i="12"/>
  <c r="I92" i="12"/>
  <c r="H92" i="12"/>
  <c r="R91" i="12"/>
  <c r="J91" i="12"/>
  <c r="I91" i="12"/>
  <c r="H91" i="12"/>
  <c r="R90" i="12"/>
  <c r="J90" i="12"/>
  <c r="I90" i="12"/>
  <c r="H90" i="12"/>
  <c r="R89" i="12"/>
  <c r="J89" i="12"/>
  <c r="I89" i="12"/>
  <c r="H89" i="12"/>
  <c r="R88" i="12"/>
  <c r="J88" i="12"/>
  <c r="I88" i="12"/>
  <c r="H88" i="12"/>
  <c r="R87" i="12"/>
  <c r="J87" i="12"/>
  <c r="I87" i="12"/>
  <c r="H87" i="12"/>
  <c r="G87" i="12"/>
  <c r="Q87" i="12" s="1"/>
  <c r="R86" i="12"/>
  <c r="J86" i="12"/>
  <c r="I86" i="12"/>
  <c r="H86" i="12"/>
  <c r="G86" i="12"/>
  <c r="R85" i="12"/>
  <c r="J85" i="12"/>
  <c r="I85" i="12"/>
  <c r="H85" i="12"/>
  <c r="R84" i="12"/>
  <c r="J84" i="12"/>
  <c r="I84" i="12"/>
  <c r="H84" i="12"/>
  <c r="R83" i="12"/>
  <c r="J83" i="12"/>
  <c r="I83" i="12"/>
  <c r="H83" i="12"/>
  <c r="R82" i="12"/>
  <c r="J82" i="12"/>
  <c r="I82" i="12"/>
  <c r="H82" i="12"/>
  <c r="R81" i="12"/>
  <c r="J81" i="12"/>
  <c r="I81" i="12"/>
  <c r="H81" i="12"/>
  <c r="R80" i="12"/>
  <c r="J80" i="12"/>
  <c r="I80" i="12"/>
  <c r="H80" i="12"/>
  <c r="R79" i="12"/>
  <c r="J79" i="12"/>
  <c r="I79" i="12"/>
  <c r="H79" i="12"/>
  <c r="R78" i="12"/>
  <c r="J78" i="12"/>
  <c r="I78" i="12"/>
  <c r="H78" i="12"/>
  <c r="G78" i="12"/>
  <c r="U78" i="12" s="1"/>
  <c r="R77" i="12"/>
  <c r="J77" i="12"/>
  <c r="I77" i="12"/>
  <c r="H77" i="12"/>
  <c r="R76" i="12"/>
  <c r="J76" i="12"/>
  <c r="I76" i="12"/>
  <c r="H76" i="12"/>
  <c r="R75" i="12"/>
  <c r="J75" i="12"/>
  <c r="I75" i="12"/>
  <c r="H75" i="12"/>
  <c r="R74" i="12"/>
  <c r="J74" i="12"/>
  <c r="I74" i="12"/>
  <c r="H74" i="12"/>
  <c r="R73" i="12"/>
  <c r="J73" i="12"/>
  <c r="I73" i="12"/>
  <c r="H73" i="12"/>
  <c r="R72" i="12"/>
  <c r="J72" i="12"/>
  <c r="I72" i="12"/>
  <c r="H72" i="12"/>
  <c r="R71" i="12"/>
  <c r="J71" i="12"/>
  <c r="I71" i="12"/>
  <c r="H71" i="12"/>
  <c r="R70" i="12"/>
  <c r="J70" i="12"/>
  <c r="I70" i="12"/>
  <c r="H70" i="12"/>
  <c r="R69" i="12"/>
  <c r="J69" i="12"/>
  <c r="I69" i="12"/>
  <c r="H69" i="12"/>
  <c r="R68" i="12"/>
  <c r="J68" i="12"/>
  <c r="I68" i="12"/>
  <c r="H68" i="12"/>
  <c r="R67" i="12"/>
  <c r="J67" i="12"/>
  <c r="I67" i="12"/>
  <c r="H67" i="12"/>
  <c r="R66" i="12"/>
  <c r="J66" i="12"/>
  <c r="I66" i="12"/>
  <c r="H66" i="12"/>
  <c r="R65" i="12"/>
  <c r="J65" i="12"/>
  <c r="I65" i="12"/>
  <c r="H65" i="12"/>
  <c r="R64" i="12"/>
  <c r="J64" i="12"/>
  <c r="I64" i="12"/>
  <c r="H64" i="12"/>
  <c r="R63" i="12"/>
  <c r="J63" i="12"/>
  <c r="I63" i="12"/>
  <c r="H63" i="12"/>
  <c r="G63" i="12"/>
  <c r="Q63" i="12" s="1"/>
  <c r="R62" i="12"/>
  <c r="J62" i="12"/>
  <c r="I62" i="12"/>
  <c r="H62" i="12"/>
  <c r="R61" i="12"/>
  <c r="J61" i="12"/>
  <c r="I61" i="12"/>
  <c r="H61" i="12"/>
  <c r="R60" i="12"/>
  <c r="J60" i="12"/>
  <c r="I60" i="12"/>
  <c r="H60" i="12"/>
  <c r="R59" i="12"/>
  <c r="J59" i="12"/>
  <c r="I59" i="12"/>
  <c r="H59" i="12"/>
  <c r="R58" i="12"/>
  <c r="J58" i="12"/>
  <c r="I58" i="12"/>
  <c r="H58" i="12"/>
  <c r="R57" i="12"/>
  <c r="J57" i="12"/>
  <c r="I57" i="12"/>
  <c r="H57" i="12"/>
  <c r="R56" i="12"/>
  <c r="J56" i="12"/>
  <c r="I56" i="12"/>
  <c r="H56" i="12"/>
  <c r="U55" i="12"/>
  <c r="T55" i="12"/>
  <c r="R55" i="12"/>
  <c r="S55" i="12" s="1"/>
  <c r="J55" i="12"/>
  <c r="I55" i="12"/>
  <c r="H55" i="12"/>
  <c r="G55" i="12"/>
  <c r="Q55" i="12" s="1"/>
  <c r="U54" i="12"/>
  <c r="R54" i="12"/>
  <c r="J54" i="12"/>
  <c r="I54" i="12"/>
  <c r="H54" i="12"/>
  <c r="G54" i="12"/>
  <c r="R53" i="12"/>
  <c r="J53" i="12"/>
  <c r="I53" i="12"/>
  <c r="H53" i="12"/>
  <c r="R52" i="12"/>
  <c r="J52" i="12"/>
  <c r="I52" i="12"/>
  <c r="H52" i="12"/>
  <c r="R51" i="12"/>
  <c r="J51" i="12"/>
  <c r="I51" i="12"/>
  <c r="H51" i="12"/>
  <c r="R50" i="12"/>
  <c r="J50" i="12"/>
  <c r="I50" i="12"/>
  <c r="H50" i="12"/>
  <c r="R49" i="12"/>
  <c r="J49" i="12"/>
  <c r="I49" i="12"/>
  <c r="H49" i="12"/>
  <c r="R48" i="12"/>
  <c r="J48" i="12"/>
  <c r="I48" i="12"/>
  <c r="H48" i="12"/>
  <c r="R47" i="12"/>
  <c r="J47" i="12"/>
  <c r="I47" i="12"/>
  <c r="H47" i="12"/>
  <c r="G47" i="12"/>
  <c r="Q47" i="12" s="1"/>
  <c r="R46" i="12"/>
  <c r="I46" i="12"/>
  <c r="H46" i="12"/>
  <c r="J46" i="12" s="1"/>
  <c r="R45" i="12"/>
  <c r="J45" i="12"/>
  <c r="H45" i="12"/>
  <c r="I45" i="12" s="1"/>
  <c r="R44" i="12"/>
  <c r="J44" i="12"/>
  <c r="I44" i="12"/>
  <c r="H44" i="12"/>
  <c r="G44" i="12"/>
  <c r="T44" i="12" s="1"/>
  <c r="R43" i="12"/>
  <c r="H43" i="12"/>
  <c r="I43" i="12" s="1"/>
  <c r="R42" i="12"/>
  <c r="J42" i="12"/>
  <c r="I42" i="12"/>
  <c r="H42" i="12"/>
  <c r="R41" i="12"/>
  <c r="J41" i="12"/>
  <c r="H41" i="12"/>
  <c r="I41" i="12" s="1"/>
  <c r="R40" i="12"/>
  <c r="M40" i="12"/>
  <c r="H40" i="12"/>
  <c r="R39" i="12"/>
  <c r="I39" i="12"/>
  <c r="H39" i="12"/>
  <c r="J39" i="12" s="1"/>
  <c r="G39" i="12"/>
  <c r="U39" i="12" s="1"/>
  <c r="R38" i="12"/>
  <c r="J38" i="12"/>
  <c r="H38" i="12"/>
  <c r="I38" i="12" s="1"/>
  <c r="W37" i="12"/>
  <c r="AC32" i="12" s="1"/>
  <c r="R37" i="12"/>
  <c r="H37" i="12"/>
  <c r="G37" i="12"/>
  <c r="X36" i="12"/>
  <c r="X37" i="12" s="1"/>
  <c r="X38" i="12" s="1"/>
  <c r="X39" i="12" s="1"/>
  <c r="X40" i="12" s="1"/>
  <c r="X41" i="12" s="1"/>
  <c r="X42" i="12" s="1"/>
  <c r="X43" i="12" s="1"/>
  <c r="X44" i="12" s="1"/>
  <c r="X45" i="12" s="1"/>
  <c r="X46" i="12" s="1"/>
  <c r="X47" i="12" s="1"/>
  <c r="X48" i="12" s="1"/>
  <c r="X49" i="12" s="1"/>
  <c r="X50" i="12" s="1"/>
  <c r="X51" i="12" s="1"/>
  <c r="X52" i="12" s="1"/>
  <c r="X53" i="12" s="1"/>
  <c r="X54" i="12" s="1"/>
  <c r="X55" i="12" s="1"/>
  <c r="X56" i="12" s="1"/>
  <c r="R36" i="12"/>
  <c r="H36" i="12"/>
  <c r="J36" i="12" s="1"/>
  <c r="R35" i="12"/>
  <c r="J35" i="12"/>
  <c r="I35" i="12"/>
  <c r="H35" i="12"/>
  <c r="AC34" i="12"/>
  <c r="AD34" i="12" s="1"/>
  <c r="W34" i="12"/>
  <c r="R34" i="12"/>
  <c r="H34" i="12"/>
  <c r="G34" i="12"/>
  <c r="Q34" i="12" s="1"/>
  <c r="X33" i="12"/>
  <c r="X34" i="12" s="1"/>
  <c r="X35" i="12" s="1"/>
  <c r="U33" i="12"/>
  <c r="R33" i="12"/>
  <c r="S33" i="12" s="1"/>
  <c r="I33" i="12"/>
  <c r="H33" i="12"/>
  <c r="J33" i="12" s="1"/>
  <c r="G33" i="12"/>
  <c r="F33" i="12"/>
  <c r="F102" i="12" s="1"/>
  <c r="AD32" i="12"/>
  <c r="AA32" i="12"/>
  <c r="Y32" i="12"/>
  <c r="Y33" i="12" s="1"/>
  <c r="R32" i="12"/>
  <c r="I32" i="12"/>
  <c r="H32" i="12"/>
  <c r="J32" i="12" s="1"/>
  <c r="AE31" i="12"/>
  <c r="AE32" i="12" s="1"/>
  <c r="AC31" i="12"/>
  <c r="Y31" i="12"/>
  <c r="R31" i="12"/>
  <c r="H31" i="12"/>
  <c r="R30" i="12"/>
  <c r="I30" i="12"/>
  <c r="H30" i="12"/>
  <c r="J30" i="12" s="1"/>
  <c r="R29" i="12"/>
  <c r="H29" i="12"/>
  <c r="J29" i="12" s="1"/>
  <c r="T28" i="12"/>
  <c r="R28" i="12"/>
  <c r="S28" i="12" s="1"/>
  <c r="Q28" i="12"/>
  <c r="J28" i="12"/>
  <c r="I28" i="12"/>
  <c r="H28" i="12"/>
  <c r="G28" i="12"/>
  <c r="U28" i="12" s="1"/>
  <c r="R27" i="12"/>
  <c r="I27" i="12"/>
  <c r="H27" i="12"/>
  <c r="J27" i="12" s="1"/>
  <c r="R26" i="12"/>
  <c r="S26" i="12" s="1"/>
  <c r="J26" i="12"/>
  <c r="H26" i="12"/>
  <c r="I26" i="12" s="1"/>
  <c r="G26" i="12"/>
  <c r="T26" i="12" s="1"/>
  <c r="R25" i="12"/>
  <c r="G38" i="12"/>
  <c r="T38" i="12" s="1"/>
  <c r="J25" i="12"/>
  <c r="I25" i="12"/>
  <c r="H25" i="12"/>
  <c r="G25" i="12"/>
  <c r="R24" i="12"/>
  <c r="J24" i="12"/>
  <c r="I24" i="12"/>
  <c r="H24" i="12"/>
  <c r="R23" i="12"/>
  <c r="S23" i="12" s="1"/>
  <c r="Q23" i="12"/>
  <c r="J23" i="12"/>
  <c r="I23" i="12"/>
  <c r="H23" i="12"/>
  <c r="G23" i="12"/>
  <c r="U23" i="12" s="1"/>
  <c r="R22" i="12"/>
  <c r="G15" i="12"/>
  <c r="H22" i="12"/>
  <c r="J22" i="12" s="1"/>
  <c r="U21" i="12"/>
  <c r="T21" i="12"/>
  <c r="R21" i="12"/>
  <c r="J21" i="12"/>
  <c r="I21" i="12"/>
  <c r="H21" i="12"/>
  <c r="G21" i="12"/>
  <c r="R20" i="12"/>
  <c r="H20" i="12"/>
  <c r="G20" i="12"/>
  <c r="R19" i="12"/>
  <c r="H19" i="12"/>
  <c r="J19" i="12" s="1"/>
  <c r="G19" i="12"/>
  <c r="R18" i="12"/>
  <c r="J18" i="12"/>
  <c r="I18" i="12"/>
  <c r="H18" i="12"/>
  <c r="R17" i="12"/>
  <c r="J17" i="12"/>
  <c r="H17" i="12"/>
  <c r="I17" i="12" s="1"/>
  <c r="R16" i="12"/>
  <c r="J16" i="12"/>
  <c r="I16" i="12"/>
  <c r="H16" i="12"/>
  <c r="G16" i="12"/>
  <c r="U16" i="12" s="1"/>
  <c r="R15" i="12"/>
  <c r="J15" i="12"/>
  <c r="H15" i="12"/>
  <c r="I15" i="12" s="1"/>
  <c r="R14" i="12"/>
  <c r="H14" i="12"/>
  <c r="J14" i="12" s="1"/>
  <c r="G14" i="12"/>
  <c r="Q14" i="12" s="1"/>
  <c r="R13" i="12"/>
  <c r="J13" i="12"/>
  <c r="I13" i="12"/>
  <c r="H13" i="12"/>
  <c r="G13" i="12"/>
  <c r="Q13" i="12" s="1"/>
  <c r="R12" i="12"/>
  <c r="H12" i="12"/>
  <c r="G12" i="12"/>
  <c r="R11" i="12"/>
  <c r="S11" i="12" s="1"/>
  <c r="M11" i="12"/>
  <c r="J11" i="12"/>
  <c r="I11" i="12"/>
  <c r="H11" i="12"/>
  <c r="G11" i="12"/>
  <c r="U11" i="12" s="1"/>
  <c r="R10" i="12"/>
  <c r="S10" i="12" s="1"/>
  <c r="Q10" i="12"/>
  <c r="J10" i="12"/>
  <c r="H10" i="12"/>
  <c r="I10" i="12" s="1"/>
  <c r="G10" i="12"/>
  <c r="U10" i="12" s="1"/>
  <c r="R9" i="12"/>
  <c r="J9" i="12"/>
  <c r="I9" i="12"/>
  <c r="H9" i="12"/>
  <c r="G9" i="12"/>
  <c r="U9" i="12" s="1"/>
  <c r="W8" i="12"/>
  <c r="AC56" i="12" s="1"/>
  <c r="AD56" i="12" s="1"/>
  <c r="S8" i="12"/>
  <c r="R8" i="12"/>
  <c r="Q8" i="12"/>
  <c r="H8" i="12"/>
  <c r="J8" i="12" s="1"/>
  <c r="G8" i="12"/>
  <c r="R7" i="12"/>
  <c r="J7" i="12"/>
  <c r="I7" i="12"/>
  <c r="H7" i="12"/>
  <c r="X6" i="12"/>
  <c r="X7" i="12" s="1"/>
  <c r="X8" i="12" s="1"/>
  <c r="X9" i="12" s="1"/>
  <c r="X10" i="12" s="1"/>
  <c r="X11" i="12" s="1"/>
  <c r="X12" i="12" s="1"/>
  <c r="R6" i="12"/>
  <c r="H6" i="12"/>
  <c r="G6" i="12"/>
  <c r="Q6" i="12" s="1"/>
  <c r="X5" i="12"/>
  <c r="R5" i="12"/>
  <c r="I5" i="12"/>
  <c r="H5" i="12"/>
  <c r="J5" i="12" s="1"/>
  <c r="X4" i="12"/>
  <c r="R4" i="12"/>
  <c r="S4" i="12" s="1"/>
  <c r="Q4" i="12"/>
  <c r="I4" i="12"/>
  <c r="T4" i="12" s="1"/>
  <c r="H4" i="12"/>
  <c r="J4" i="12" s="1"/>
  <c r="G4" i="12"/>
  <c r="R3" i="12"/>
  <c r="S3" i="12" s="1"/>
  <c r="Q3" i="12"/>
  <c r="H3" i="12"/>
  <c r="J3" i="12" s="1"/>
  <c r="G3" i="12"/>
  <c r="R2" i="12"/>
  <c r="H2" i="12"/>
  <c r="I2" i="12" s="1"/>
  <c r="G2" i="12"/>
  <c r="D7" i="26" l="1"/>
  <c r="D9" i="26" s="1"/>
  <c r="F7" i="26"/>
  <c r="F9" i="26" s="1"/>
  <c r="F11" i="26" s="1"/>
  <c r="AM4" i="21"/>
  <c r="AN4" i="21" s="1"/>
  <c r="AM5" i="21"/>
  <c r="AN5" i="21" s="1"/>
  <c r="AM3" i="21"/>
  <c r="AN3" i="21" s="1"/>
  <c r="AC5" i="25"/>
  <c r="O45" i="25"/>
  <c r="O27" i="25"/>
  <c r="Z27" i="25" s="1"/>
  <c r="Z50" i="25"/>
  <c r="AA98" i="25"/>
  <c r="O35" i="25"/>
  <c r="AA35" i="25" s="1"/>
  <c r="Z58" i="25"/>
  <c r="AA61" i="25"/>
  <c r="AA66" i="25"/>
  <c r="AA73" i="25"/>
  <c r="O6" i="25"/>
  <c r="AA6" i="25" s="1"/>
  <c r="AA26" i="25"/>
  <c r="AA72" i="25"/>
  <c r="AA8" i="25"/>
  <c r="AA37" i="25"/>
  <c r="AA45" i="25"/>
  <c r="AA64" i="25"/>
  <c r="Z86" i="25"/>
  <c r="AA94" i="25"/>
  <c r="O12" i="25"/>
  <c r="AA12" i="25" s="1"/>
  <c r="AA23" i="25"/>
  <c r="O32" i="25"/>
  <c r="Z32" i="25" s="1"/>
  <c r="P37" i="25"/>
  <c r="AA63" i="25"/>
  <c r="AA4" i="25"/>
  <c r="AA11" i="25"/>
  <c r="AA28" i="25"/>
  <c r="P23" i="25"/>
  <c r="AA56" i="25"/>
  <c r="AA70" i="25"/>
  <c r="AA81" i="25"/>
  <c r="P4" i="25"/>
  <c r="P11" i="25"/>
  <c r="P17" i="25"/>
  <c r="M29" i="25"/>
  <c r="Y7" i="25"/>
  <c r="Y29" i="25"/>
  <c r="Y33" i="25"/>
  <c r="Y9" i="25"/>
  <c r="M14" i="25"/>
  <c r="AA50" i="25"/>
  <c r="Z11" i="25"/>
  <c r="AA15" i="25"/>
  <c r="Z17" i="25"/>
  <c r="W18" i="25"/>
  <c r="Y38" i="25"/>
  <c r="Y59" i="25"/>
  <c r="W67" i="25"/>
  <c r="W78" i="25"/>
  <c r="W80" i="25"/>
  <c r="W94" i="25"/>
  <c r="Y96" i="25"/>
  <c r="Y100" i="25"/>
  <c r="W28" i="25"/>
  <c r="AA38" i="25"/>
  <c r="Z54" i="25"/>
  <c r="W55" i="25"/>
  <c r="W56" i="25"/>
  <c r="Y57" i="25"/>
  <c r="W58" i="25"/>
  <c r="Z59" i="25"/>
  <c r="Y66" i="25"/>
  <c r="Z72" i="25"/>
  <c r="Y79" i="25"/>
  <c r="Y80" i="25"/>
  <c r="Y84" i="25"/>
  <c r="Y95" i="25"/>
  <c r="W11" i="25"/>
  <c r="Z20" i="25"/>
  <c r="Z23" i="25"/>
  <c r="Y28" i="25"/>
  <c r="Z34" i="25"/>
  <c r="Y55" i="25"/>
  <c r="Z57" i="25"/>
  <c r="Y78" i="25"/>
  <c r="Z79" i="25"/>
  <c r="Y94" i="25"/>
  <c r="W10" i="25"/>
  <c r="Y17" i="25"/>
  <c r="W26" i="25"/>
  <c r="AA58" i="25"/>
  <c r="Z55" i="25"/>
  <c r="Y56" i="25"/>
  <c r="AA57" i="25"/>
  <c r="Y58" i="25"/>
  <c r="W70" i="25"/>
  <c r="W72" i="25"/>
  <c r="Z87" i="25"/>
  <c r="Z94" i="25"/>
  <c r="Y99" i="25"/>
  <c r="Y10" i="25"/>
  <c r="Y11" i="25"/>
  <c r="W50" i="25"/>
  <c r="Y71" i="25"/>
  <c r="Y72" i="25"/>
  <c r="Z10" i="25"/>
  <c r="Y70" i="25"/>
  <c r="Z71" i="25"/>
  <c r="Y8" i="25"/>
  <c r="Y23" i="25"/>
  <c r="Y34" i="25"/>
  <c r="Y45" i="25"/>
  <c r="Y48" i="25"/>
  <c r="Y50" i="25"/>
  <c r="Y64" i="25"/>
  <c r="Z70" i="25"/>
  <c r="Z80" i="25"/>
  <c r="Y87" i="25"/>
  <c r="Z95" i="25"/>
  <c r="AD6" i="25"/>
  <c r="Y3" i="25"/>
  <c r="W5" i="25"/>
  <c r="AA5" i="25"/>
  <c r="Z5" i="25"/>
  <c r="Y5" i="25"/>
  <c r="Z22" i="25"/>
  <c r="W22" i="25"/>
  <c r="M25" i="25"/>
  <c r="Y25" i="25" s="1"/>
  <c r="M41" i="25"/>
  <c r="M30" i="25"/>
  <c r="O33" i="25"/>
  <c r="Z33" i="25" s="1"/>
  <c r="P33" i="25"/>
  <c r="W51" i="25"/>
  <c r="AA51" i="25"/>
  <c r="W90" i="25"/>
  <c r="Z90" i="25"/>
  <c r="AA90" i="25"/>
  <c r="M3" i="25"/>
  <c r="W4" i="25"/>
  <c r="Z9" i="25"/>
  <c r="W12" i="25"/>
  <c r="O13" i="25"/>
  <c r="AA13" i="25" s="1"/>
  <c r="W19" i="25"/>
  <c r="P20" i="25"/>
  <c r="O21" i="25"/>
  <c r="Z35" i="25"/>
  <c r="AD42" i="25"/>
  <c r="P43" i="25"/>
  <c r="Y74" i="25"/>
  <c r="W2" i="25"/>
  <c r="W7" i="25"/>
  <c r="Z8" i="25"/>
  <c r="M16" i="25"/>
  <c r="Z18" i="25"/>
  <c r="W21" i="25"/>
  <c r="Z24" i="25"/>
  <c r="W46" i="25"/>
  <c r="AA46" i="25"/>
  <c r="Z46" i="25"/>
  <c r="Y42" i="25"/>
  <c r="W48" i="25"/>
  <c r="AA48" i="25"/>
  <c r="Z48" i="25"/>
  <c r="X102" i="25"/>
  <c r="Y4" i="25"/>
  <c r="Y12" i="25"/>
  <c r="Y19" i="25"/>
  <c r="P24" i="25"/>
  <c r="O24" i="25"/>
  <c r="AA24" i="25" s="1"/>
  <c r="Z28" i="25"/>
  <c r="Y32" i="25"/>
  <c r="Y37" i="25"/>
  <c r="W39" i="25"/>
  <c r="AA39" i="25"/>
  <c r="Y44" i="25"/>
  <c r="AA54" i="25"/>
  <c r="Z89" i="25"/>
  <c r="W89" i="25"/>
  <c r="AA89" i="25"/>
  <c r="Y89" i="25"/>
  <c r="Y2" i="25"/>
  <c r="Z4" i="25"/>
  <c r="W6" i="25"/>
  <c r="AA17" i="25"/>
  <c r="W24" i="25"/>
  <c r="W29" i="25"/>
  <c r="Z29" i="25"/>
  <c r="Y51" i="25"/>
  <c r="W82" i="25"/>
  <c r="Z82" i="25"/>
  <c r="AA82" i="25"/>
  <c r="AA88" i="25"/>
  <c r="Y90" i="25"/>
  <c r="Z7" i="25"/>
  <c r="Z19" i="25"/>
  <c r="Y22" i="25"/>
  <c r="P29" i="25"/>
  <c r="O29" i="25"/>
  <c r="Z44" i="25"/>
  <c r="AA44" i="25"/>
  <c r="W44" i="25"/>
  <c r="Z51" i="25"/>
  <c r="W74" i="25"/>
  <c r="Z74" i="25"/>
  <c r="AA74" i="25"/>
  <c r="AA2" i="25"/>
  <c r="Y6" i="25"/>
  <c r="S102" i="25"/>
  <c r="AA22" i="25"/>
  <c r="M36" i="25"/>
  <c r="M31" i="25"/>
  <c r="Y31" i="25" s="1"/>
  <c r="M40" i="25"/>
  <c r="Y40" i="25" s="1"/>
  <c r="W43" i="25"/>
  <c r="AA43" i="25"/>
  <c r="Z43" i="25"/>
  <c r="Z37" i="25"/>
  <c r="W37" i="25"/>
  <c r="Z81" i="25"/>
  <c r="W81" i="25"/>
  <c r="Y81" i="25"/>
  <c r="N102" i="25"/>
  <c r="T10" i="25"/>
  <c r="AA20" i="25"/>
  <c r="P25" i="25"/>
  <c r="AA32" i="25"/>
  <c r="W32" i="25"/>
  <c r="AA33" i="25"/>
  <c r="AA34" i="25"/>
  <c r="AA42" i="25"/>
  <c r="Z42" i="25"/>
  <c r="W42" i="25"/>
  <c r="Z73" i="25"/>
  <c r="W73" i="25"/>
  <c r="Y73" i="25"/>
  <c r="H118" i="25"/>
  <c r="G122" i="25"/>
  <c r="H122" i="25" s="1"/>
  <c r="AA27" i="25"/>
  <c r="Z38" i="25"/>
  <c r="Z47" i="25"/>
  <c r="W47" i="25"/>
  <c r="Y49" i="25"/>
  <c r="AA69" i="25"/>
  <c r="W76" i="25"/>
  <c r="AA76" i="25"/>
  <c r="Z76" i="25"/>
  <c r="AA97" i="25"/>
  <c r="Y43" i="25"/>
  <c r="W68" i="25"/>
  <c r="AA68" i="25"/>
  <c r="Z68" i="25"/>
  <c r="W98" i="25"/>
  <c r="Z98" i="25"/>
  <c r="G124" i="25"/>
  <c r="H120" i="25"/>
  <c r="Y54" i="25"/>
  <c r="W54" i="25"/>
  <c r="W66" i="25"/>
  <c r="Z66" i="25"/>
  <c r="Y82" i="25"/>
  <c r="AA96" i="25"/>
  <c r="Z97" i="25"/>
  <c r="Y97" i="25"/>
  <c r="W97" i="25"/>
  <c r="P39" i="25"/>
  <c r="Y47" i="25"/>
  <c r="AA53" i="25"/>
  <c r="AA62" i="25"/>
  <c r="Y76" i="25"/>
  <c r="AA85" i="25"/>
  <c r="AA86" i="25"/>
  <c r="W92" i="25"/>
  <c r="AA92" i="25"/>
  <c r="Z92" i="25"/>
  <c r="Z45" i="25"/>
  <c r="W49" i="25"/>
  <c r="Z52" i="25"/>
  <c r="AA52" i="25"/>
  <c r="AA60" i="25"/>
  <c r="Y68" i="25"/>
  <c r="AA77" i="25"/>
  <c r="AA78" i="25"/>
  <c r="W84" i="25"/>
  <c r="AA84" i="25"/>
  <c r="Z84" i="25"/>
  <c r="K117" i="25"/>
  <c r="Y46" i="25"/>
  <c r="AA59" i="25"/>
  <c r="Y65" i="25"/>
  <c r="W69" i="25"/>
  <c r="AA71" i="25"/>
  <c r="W77" i="25"/>
  <c r="AA79" i="25"/>
  <c r="W85" i="25"/>
  <c r="AA87" i="25"/>
  <c r="W93" i="25"/>
  <c r="AA95" i="25"/>
  <c r="AW103" i="25"/>
  <c r="AW99" i="25"/>
  <c r="AW91" i="25"/>
  <c r="AW83" i="25"/>
  <c r="AW75" i="25"/>
  <c r="AW67" i="25"/>
  <c r="AW58" i="25"/>
  <c r="AW50" i="25"/>
  <c r="AW47" i="25"/>
  <c r="AW94" i="25"/>
  <c r="AW86" i="25"/>
  <c r="AW78" i="25"/>
  <c r="AW70" i="25"/>
  <c r="AW97" i="25"/>
  <c r="AW89" i="25"/>
  <c r="AW81" i="25"/>
  <c r="AW73" i="25"/>
  <c r="AW65" i="25"/>
  <c r="AW64" i="25"/>
  <c r="AW56" i="25"/>
  <c r="AW45" i="25"/>
  <c r="G108" i="25"/>
  <c r="H108" i="25" s="1"/>
  <c r="H110" i="25" s="1"/>
  <c r="AC44" i="25" s="1"/>
  <c r="Z60" i="25"/>
  <c r="Y62" i="25"/>
  <c r="Z65" i="25"/>
  <c r="AA67" i="25"/>
  <c r="AA75" i="25"/>
  <c r="AA83" i="25"/>
  <c r="AA91" i="25"/>
  <c r="AA99" i="25"/>
  <c r="Z100" i="25"/>
  <c r="Z62" i="25"/>
  <c r="AA65" i="25"/>
  <c r="AA100" i="25"/>
  <c r="Y98" i="25"/>
  <c r="Z69" i="25"/>
  <c r="Y69" i="25"/>
  <c r="Z77" i="25"/>
  <c r="Y77" i="25"/>
  <c r="Z85" i="25"/>
  <c r="Y85" i="25"/>
  <c r="Z93" i="25"/>
  <c r="Y93" i="25"/>
  <c r="G123" i="25"/>
  <c r="H125" i="25"/>
  <c r="AC8" i="25" s="1"/>
  <c r="Z67" i="25"/>
  <c r="Z75" i="25"/>
  <c r="Z83" i="25"/>
  <c r="Z91" i="25"/>
  <c r="Z99" i="25"/>
  <c r="AH3" i="24"/>
  <c r="AE3" i="23"/>
  <c r="AE4" i="23" s="1"/>
  <c r="AE5" i="23" s="1"/>
  <c r="AG5" i="23" s="1"/>
  <c r="AB3" i="24"/>
  <c r="AB8" i="24"/>
  <c r="X9" i="24"/>
  <c r="AB9" i="24"/>
  <c r="AA9" i="24"/>
  <c r="AB30" i="24"/>
  <c r="X30" i="24"/>
  <c r="AA30" i="24"/>
  <c r="Z30" i="24"/>
  <c r="X41" i="24"/>
  <c r="X34" i="24"/>
  <c r="AB34" i="24"/>
  <c r="AA34" i="24"/>
  <c r="Z34" i="24"/>
  <c r="Z5" i="24"/>
  <c r="AB7" i="24"/>
  <c r="AA7" i="24"/>
  <c r="Z7" i="24"/>
  <c r="X7" i="24"/>
  <c r="X29" i="24"/>
  <c r="AB29" i="24"/>
  <c r="AA29" i="24"/>
  <c r="Z29" i="24"/>
  <c r="AB4" i="24"/>
  <c r="AA4" i="24"/>
  <c r="Z4" i="24"/>
  <c r="X4" i="24"/>
  <c r="X33" i="24"/>
  <c r="AB33" i="24"/>
  <c r="AA33" i="24"/>
  <c r="AH40" i="24"/>
  <c r="AF41" i="24"/>
  <c r="AB6" i="24"/>
  <c r="AA6" i="24"/>
  <c r="X6" i="24"/>
  <c r="X10" i="24"/>
  <c r="X31" i="24"/>
  <c r="AB31" i="24"/>
  <c r="AA31" i="24"/>
  <c r="Z31" i="24"/>
  <c r="AA38" i="24"/>
  <c r="X38" i="24"/>
  <c r="AB38" i="24"/>
  <c r="Z38" i="24"/>
  <c r="AH4" i="24"/>
  <c r="AF5" i="24"/>
  <c r="AE6" i="24"/>
  <c r="AB16" i="24"/>
  <c r="AB35" i="24"/>
  <c r="AB13" i="24"/>
  <c r="AB15" i="24"/>
  <c r="P40" i="24"/>
  <c r="Q40" i="24"/>
  <c r="Z41" i="24"/>
  <c r="AA52" i="24"/>
  <c r="X52" i="24"/>
  <c r="O102" i="24"/>
  <c r="AA3" i="24"/>
  <c r="P4" i="24"/>
  <c r="AA8" i="24"/>
  <c r="P10" i="24"/>
  <c r="AA10" i="24" s="1"/>
  <c r="X16" i="24"/>
  <c r="AB18" i="24"/>
  <c r="X20" i="24"/>
  <c r="P21" i="24"/>
  <c r="AB21" i="24" s="1"/>
  <c r="P22" i="24"/>
  <c r="P26" i="24"/>
  <c r="P34" i="24"/>
  <c r="AA35" i="24"/>
  <c r="P39" i="24"/>
  <c r="AA49" i="24"/>
  <c r="X49" i="24"/>
  <c r="AA60" i="24"/>
  <c r="X60" i="24"/>
  <c r="Z60" i="24"/>
  <c r="X74" i="24"/>
  <c r="AA74" i="24"/>
  <c r="X75" i="24"/>
  <c r="AA75" i="24"/>
  <c r="X2" i="24"/>
  <c r="Z14" i="24"/>
  <c r="Z16" i="24"/>
  <c r="Z19" i="24"/>
  <c r="AA45" i="24"/>
  <c r="X45" i="24"/>
  <c r="AB45" i="24"/>
  <c r="AA77" i="24"/>
  <c r="X77" i="24"/>
  <c r="Y102" i="24"/>
  <c r="P9" i="24"/>
  <c r="T102" i="24"/>
  <c r="AB12" i="24"/>
  <c r="AA16" i="24"/>
  <c r="Z20" i="24"/>
  <c r="X23" i="24"/>
  <c r="X25" i="24"/>
  <c r="X27" i="24"/>
  <c r="X46" i="24"/>
  <c r="AB46" i="24"/>
  <c r="AE42" i="24"/>
  <c r="AB98" i="24"/>
  <c r="AA98" i="24"/>
  <c r="Z2" i="24"/>
  <c r="M5" i="24"/>
  <c r="N5" i="24" s="1"/>
  <c r="AJ5" i="24"/>
  <c r="AK5" i="24" s="1"/>
  <c r="U10" i="24"/>
  <c r="U102" i="24" s="1"/>
  <c r="X11" i="24"/>
  <c r="X13" i="24"/>
  <c r="X15" i="24"/>
  <c r="X17" i="24"/>
  <c r="AA20" i="24"/>
  <c r="Z25" i="24"/>
  <c r="AJ41" i="24"/>
  <c r="AK41" i="24" s="1"/>
  <c r="X43" i="24"/>
  <c r="AA43" i="24"/>
  <c r="AA65" i="24"/>
  <c r="AA90" i="24"/>
  <c r="AA100" i="24"/>
  <c r="X100" i="24"/>
  <c r="AB100" i="24"/>
  <c r="Z100" i="24"/>
  <c r="M102" i="24"/>
  <c r="AA2" i="24"/>
  <c r="AJ4" i="24"/>
  <c r="AK4" i="24" s="1"/>
  <c r="Z11" i="24"/>
  <c r="Z23" i="24"/>
  <c r="Z24" i="24"/>
  <c r="AA25" i="24"/>
  <c r="Z27" i="24"/>
  <c r="Z28" i="24"/>
  <c r="Z32" i="24"/>
  <c r="X47" i="24"/>
  <c r="AA47" i="24"/>
  <c r="Z52" i="24"/>
  <c r="X58" i="24"/>
  <c r="AA58" i="24"/>
  <c r="AA84" i="24"/>
  <c r="X84" i="24"/>
  <c r="AB84" i="24"/>
  <c r="AA85" i="24"/>
  <c r="X85" i="24"/>
  <c r="AB85" i="24"/>
  <c r="Z85" i="24"/>
  <c r="AA11" i="24"/>
  <c r="Z13" i="24"/>
  <c r="Z15" i="24"/>
  <c r="Z17" i="24"/>
  <c r="AB23" i="24"/>
  <c r="AA24" i="24"/>
  <c r="AB27" i="24"/>
  <c r="AA28" i="24"/>
  <c r="M36" i="24"/>
  <c r="N36" i="24" s="1"/>
  <c r="Z36" i="24" s="1"/>
  <c r="M22" i="24"/>
  <c r="N22" i="24" s="1"/>
  <c r="AA32" i="24"/>
  <c r="Q33" i="24"/>
  <c r="M40" i="24"/>
  <c r="N40" i="24" s="1"/>
  <c r="AA51" i="24"/>
  <c r="X51" i="24"/>
  <c r="AB51" i="24"/>
  <c r="AB52" i="24"/>
  <c r="AB64" i="24"/>
  <c r="AA68" i="24"/>
  <c r="X68" i="24"/>
  <c r="AB68" i="24"/>
  <c r="AA69" i="24"/>
  <c r="X69" i="24"/>
  <c r="AB69" i="24"/>
  <c r="Z69" i="24"/>
  <c r="P14" i="24"/>
  <c r="AA14" i="24" s="1"/>
  <c r="AA17" i="24"/>
  <c r="P19" i="24"/>
  <c r="AB19" i="24" s="1"/>
  <c r="AA21" i="24"/>
  <c r="X21" i="24"/>
  <c r="AB24" i="24"/>
  <c r="AB26" i="24"/>
  <c r="AA26" i="24"/>
  <c r="AB28" i="24"/>
  <c r="Q31" i="24"/>
  <c r="Q102" i="24" s="1"/>
  <c r="AB32" i="24"/>
  <c r="AB37" i="24"/>
  <c r="AA37" i="24"/>
  <c r="AB44" i="24"/>
  <c r="AA44" i="24"/>
  <c r="AA48" i="24"/>
  <c r="X48" i="24"/>
  <c r="AB48" i="24"/>
  <c r="AB99" i="24"/>
  <c r="AA57" i="24"/>
  <c r="AA59" i="24"/>
  <c r="X59" i="24"/>
  <c r="Z58" i="24"/>
  <c r="AB66" i="24"/>
  <c r="AB67" i="24"/>
  <c r="AB71" i="24"/>
  <c r="AA76" i="24"/>
  <c r="X76" i="24"/>
  <c r="AB81" i="24"/>
  <c r="AB82" i="24"/>
  <c r="AB83" i="24"/>
  <c r="X91" i="24"/>
  <c r="AA91" i="24"/>
  <c r="AB96" i="24"/>
  <c r="AA92" i="24"/>
  <c r="X92" i="24"/>
  <c r="Z44" i="24"/>
  <c r="AB55" i="24"/>
  <c r="AB72" i="24"/>
  <c r="Z74" i="24"/>
  <c r="AB78" i="24"/>
  <c r="AA93" i="24"/>
  <c r="X93" i="24"/>
  <c r="AB97" i="24"/>
  <c r="AA39" i="24"/>
  <c r="AB39" i="24"/>
  <c r="P41" i="24"/>
  <c r="AB41" i="24" s="1"/>
  <c r="AA42" i="24"/>
  <c r="X42" i="24"/>
  <c r="Z47" i="24"/>
  <c r="Z57" i="24"/>
  <c r="AB61" i="24"/>
  <c r="Z65" i="24"/>
  <c r="X67" i="24"/>
  <c r="AA67" i="24"/>
  <c r="Z75" i="24"/>
  <c r="X83" i="24"/>
  <c r="AA83" i="24"/>
  <c r="AB88" i="24"/>
  <c r="Z90" i="24"/>
  <c r="AB94" i="24"/>
  <c r="X99" i="24"/>
  <c r="AA99" i="24"/>
  <c r="AA53" i="24"/>
  <c r="AA61" i="24"/>
  <c r="AX102" i="24"/>
  <c r="AA50" i="24"/>
  <c r="AX97" i="24"/>
  <c r="AD6" i="23"/>
  <c r="AI5" i="23"/>
  <c r="AJ5" i="23" s="1"/>
  <c r="AA6" i="23"/>
  <c r="AA3" i="23"/>
  <c r="O2" i="23"/>
  <c r="Z2" i="23" s="1"/>
  <c r="Z4" i="23"/>
  <c r="W6" i="23"/>
  <c r="AI4" i="23"/>
  <c r="AJ4" i="23" s="1"/>
  <c r="AA9" i="23"/>
  <c r="Z16" i="23"/>
  <c r="Z17" i="23"/>
  <c r="AA26" i="23"/>
  <c r="M43" i="23"/>
  <c r="M24" i="23"/>
  <c r="M18" i="23"/>
  <c r="M102" i="23" s="1"/>
  <c r="M15" i="23"/>
  <c r="AA35" i="23"/>
  <c r="W35" i="23"/>
  <c r="AG39" i="23"/>
  <c r="AE40" i="23"/>
  <c r="Z67" i="23"/>
  <c r="AA67" i="23"/>
  <c r="W67" i="23"/>
  <c r="W100" i="23"/>
  <c r="AA100" i="23"/>
  <c r="Z100" i="23"/>
  <c r="Y100" i="23"/>
  <c r="Y5" i="23"/>
  <c r="Y10" i="23"/>
  <c r="W11" i="23"/>
  <c r="W13" i="23"/>
  <c r="AA17" i="23"/>
  <c r="W31" i="23"/>
  <c r="W36" i="23"/>
  <c r="AA36" i="23"/>
  <c r="Z36" i="23"/>
  <c r="AI40" i="23"/>
  <c r="AJ40" i="23" s="1"/>
  <c r="AD41" i="23"/>
  <c r="AA47" i="23"/>
  <c r="W47" i="23"/>
  <c r="W57" i="23"/>
  <c r="Z57" i="23"/>
  <c r="Z58" i="23"/>
  <c r="W58" i="23"/>
  <c r="W2" i="23"/>
  <c r="AA10" i="23"/>
  <c r="Y13" i="23"/>
  <c r="Y31" i="23"/>
  <c r="P43" i="23"/>
  <c r="O43" i="23"/>
  <c r="W48" i="23"/>
  <c r="Z48" i="23"/>
  <c r="AA48" i="23"/>
  <c r="W65" i="23"/>
  <c r="AA65" i="23"/>
  <c r="Z65" i="23"/>
  <c r="X102" i="23"/>
  <c r="O3" i="23"/>
  <c r="Z3" i="23" s="1"/>
  <c r="AA5" i="23"/>
  <c r="O8" i="23"/>
  <c r="Z8" i="23" s="1"/>
  <c r="Y11" i="23"/>
  <c r="Z13" i="23"/>
  <c r="Z14" i="23"/>
  <c r="Z31" i="23"/>
  <c r="Y2" i="23"/>
  <c r="AG3" i="23"/>
  <c r="Y7" i="23"/>
  <c r="P9" i="23"/>
  <c r="P102" i="23" s="1"/>
  <c r="Z11" i="23"/>
  <c r="AA14" i="23"/>
  <c r="Y20" i="23"/>
  <c r="W27" i="23"/>
  <c r="AA27" i="23"/>
  <c r="Z27" i="23"/>
  <c r="AA30" i="23"/>
  <c r="W30" i="23"/>
  <c r="Z30" i="23"/>
  <c r="M29" i="23"/>
  <c r="M38" i="23"/>
  <c r="AA34" i="23"/>
  <c r="W34" i="23"/>
  <c r="Z34" i="23"/>
  <c r="W40" i="23"/>
  <c r="P42" i="23"/>
  <c r="O42" i="23"/>
  <c r="Z42" i="23" s="1"/>
  <c r="Z6" i="23"/>
  <c r="Z7" i="23"/>
  <c r="W9" i="23"/>
  <c r="W22" i="23"/>
  <c r="Z28" i="23"/>
  <c r="AA28" i="23"/>
  <c r="Y28" i="23"/>
  <c r="O29" i="23"/>
  <c r="P29" i="23"/>
  <c r="O40" i="23"/>
  <c r="Z40" i="23" s="1"/>
  <c r="P40" i="23"/>
  <c r="Y9" i="23"/>
  <c r="S102" i="23"/>
  <c r="T10" i="23"/>
  <c r="N102" i="23"/>
  <c r="Y4" i="23"/>
  <c r="O6" i="23"/>
  <c r="W10" i="23"/>
  <c r="Y16" i="23"/>
  <c r="Y17" i="23"/>
  <c r="P28" i="23"/>
  <c r="W32" i="23"/>
  <c r="Y32" i="23"/>
  <c r="AA8" i="23"/>
  <c r="AA12" i="23"/>
  <c r="AA21" i="23"/>
  <c r="O22" i="23"/>
  <c r="Z22" i="23" s="1"/>
  <c r="Y30" i="23"/>
  <c r="Y54" i="23"/>
  <c r="W54" i="23"/>
  <c r="AA77" i="23"/>
  <c r="W90" i="23"/>
  <c r="AA90" i="23"/>
  <c r="Z90" i="23"/>
  <c r="Z26" i="23"/>
  <c r="Y35" i="23"/>
  <c r="Y44" i="23"/>
  <c r="AA45" i="23"/>
  <c r="Y57" i="23"/>
  <c r="W59" i="23"/>
  <c r="AA59" i="23"/>
  <c r="W84" i="23"/>
  <c r="AA84" i="23"/>
  <c r="Z84" i="23"/>
  <c r="Y84" i="23"/>
  <c r="Y33" i="23"/>
  <c r="Z37" i="23"/>
  <c r="Z46" i="23"/>
  <c r="W46" i="23"/>
  <c r="AA60" i="23"/>
  <c r="W68" i="23"/>
  <c r="Z68" i="23"/>
  <c r="AA23" i="23"/>
  <c r="AA25" i="23"/>
  <c r="AA44" i="23"/>
  <c r="Z44" i="23"/>
  <c r="AA41" i="23"/>
  <c r="Y43" i="23"/>
  <c r="W74" i="23"/>
  <c r="AA74" i="23"/>
  <c r="Z75" i="23"/>
  <c r="AA75" i="23"/>
  <c r="Z91" i="23"/>
  <c r="AA91" i="23"/>
  <c r="W91" i="23"/>
  <c r="Z49" i="23"/>
  <c r="W49" i="23"/>
  <c r="AA51" i="23"/>
  <c r="Z52" i="23"/>
  <c r="W52" i="23"/>
  <c r="Y62" i="23"/>
  <c r="AA66" i="23"/>
  <c r="Y67" i="23"/>
  <c r="Z69" i="23"/>
  <c r="W69" i="23"/>
  <c r="W71" i="23"/>
  <c r="AA82" i="23"/>
  <c r="Y83" i="23"/>
  <c r="Z85" i="23"/>
  <c r="W85" i="23"/>
  <c r="W87" i="23"/>
  <c r="Z92" i="23"/>
  <c r="AA98" i="23"/>
  <c r="Y99" i="23"/>
  <c r="Y46" i="23"/>
  <c r="AA76" i="23"/>
  <c r="AA83" i="23"/>
  <c r="AA99" i="23"/>
  <c r="AA42" i="23"/>
  <c r="Y47" i="23"/>
  <c r="Y58" i="23"/>
  <c r="AA63" i="23"/>
  <c r="Y65" i="23"/>
  <c r="AA70" i="23"/>
  <c r="Y71" i="23"/>
  <c r="Y74" i="23"/>
  <c r="AA86" i="23"/>
  <c r="Y87" i="23"/>
  <c r="Y90" i="23"/>
  <c r="AA39" i="23"/>
  <c r="Z39" i="23"/>
  <c r="Y40" i="23"/>
  <c r="Z60" i="23"/>
  <c r="W60" i="23"/>
  <c r="Y75" i="23"/>
  <c r="Z77" i="23"/>
  <c r="W77" i="23"/>
  <c r="Y91" i="23"/>
  <c r="Z93" i="23"/>
  <c r="W93" i="23"/>
  <c r="Z53" i="23"/>
  <c r="Z61" i="23"/>
  <c r="Z70" i="23"/>
  <c r="Z78" i="23"/>
  <c r="Z86" i="23"/>
  <c r="Z94" i="23"/>
  <c r="AJ41" i="22"/>
  <c r="AK41" i="22" s="1"/>
  <c r="AJ39" i="22"/>
  <c r="AK39" i="22" s="1"/>
  <c r="AF39" i="22"/>
  <c r="AF40" i="22" s="1"/>
  <c r="J131" i="21"/>
  <c r="AC8" i="21" s="1"/>
  <c r="I114" i="21"/>
  <c r="I113" i="21" s="1"/>
  <c r="J113" i="21" s="1"/>
  <c r="N131" i="21"/>
  <c r="I115" i="21"/>
  <c r="W24" i="21"/>
  <c r="X7" i="21"/>
  <c r="Y7" i="21" s="1"/>
  <c r="G125" i="21"/>
  <c r="L115" i="21"/>
  <c r="J127" i="21"/>
  <c r="W22" i="21"/>
  <c r="W6" i="21"/>
  <c r="W30" i="21"/>
  <c r="AJ6" i="22"/>
  <c r="AK6" i="22" s="1"/>
  <c r="AJ4" i="22"/>
  <c r="AK4" i="22" s="1"/>
  <c r="X83" i="22"/>
  <c r="Z83" i="22"/>
  <c r="AA83" i="22"/>
  <c r="AB83" i="22"/>
  <c r="X28" i="22"/>
  <c r="AB28" i="22"/>
  <c r="AA28" i="22"/>
  <c r="O102" i="22"/>
  <c r="AA11" i="22"/>
  <c r="AB11" i="22"/>
  <c r="X11" i="22"/>
  <c r="Q21" i="22"/>
  <c r="P21" i="22"/>
  <c r="Z27" i="22"/>
  <c r="P37" i="22"/>
  <c r="AA37" i="22" s="1"/>
  <c r="Z72" i="22"/>
  <c r="AA96" i="22"/>
  <c r="AB96" i="22"/>
  <c r="X96" i="22"/>
  <c r="P8" i="22"/>
  <c r="AA8" i="22" s="1"/>
  <c r="X23" i="22"/>
  <c r="AA23" i="22"/>
  <c r="P38" i="22"/>
  <c r="AB38" i="22" s="1"/>
  <c r="Q38" i="22"/>
  <c r="AX98" i="22"/>
  <c r="AX90" i="22"/>
  <c r="AX82" i="22"/>
  <c r="AX74" i="22"/>
  <c r="AX66" i="22"/>
  <c r="AX57" i="22"/>
  <c r="AX46" i="22"/>
  <c r="AX103" i="22"/>
  <c r="AX101" i="22"/>
  <c r="AX96" i="22"/>
  <c r="AX88" i="22"/>
  <c r="AX80" i="22"/>
  <c r="AX72" i="22"/>
  <c r="AX63" i="22"/>
  <c r="AX55" i="22"/>
  <c r="AX93" i="22"/>
  <c r="AX78" i="22"/>
  <c r="AX59" i="22"/>
  <c r="AX58" i="22"/>
  <c r="AX49" i="22"/>
  <c r="AX42" i="22"/>
  <c r="AX73" i="22"/>
  <c r="AX89" i="22"/>
  <c r="AX81" i="22"/>
  <c r="AX77" i="22"/>
  <c r="AX68" i="22"/>
  <c r="AX50" i="22"/>
  <c r="AX44" i="22"/>
  <c r="AX38" i="22"/>
  <c r="AX34" i="22"/>
  <c r="AX32" i="22"/>
  <c r="AX99" i="22"/>
  <c r="AX79" i="22"/>
  <c r="AX52" i="22"/>
  <c r="AX39" i="22"/>
  <c r="AX35" i="22"/>
  <c r="AX31" i="22"/>
  <c r="AX26" i="22"/>
  <c r="AX17" i="22"/>
  <c r="AX4" i="22"/>
  <c r="AX67" i="22"/>
  <c r="AX47" i="22"/>
  <c r="AX102" i="22"/>
  <c r="AX71" i="22"/>
  <c r="AX70" i="22"/>
  <c r="AX53" i="22"/>
  <c r="AX45" i="22"/>
  <c r="AX36" i="22"/>
  <c r="AX22" i="22"/>
  <c r="AX18" i="22"/>
  <c r="AX13" i="22"/>
  <c r="AX6" i="22"/>
  <c r="AX5" i="22"/>
  <c r="AX92" i="22"/>
  <c r="AX95" i="22"/>
  <c r="AX94" i="22"/>
  <c r="AX69" i="22"/>
  <c r="AX56" i="22"/>
  <c r="AX41" i="22"/>
  <c r="AX27" i="22"/>
  <c r="AX23" i="22"/>
  <c r="AX14" i="22"/>
  <c r="AX85" i="22"/>
  <c r="AX83" i="22"/>
  <c r="AX48" i="22"/>
  <c r="AX37" i="22"/>
  <c r="AX28" i="22"/>
  <c r="AX3" i="22"/>
  <c r="AX100" i="22"/>
  <c r="AX86" i="22"/>
  <c r="AX76" i="22"/>
  <c r="AX43" i="22"/>
  <c r="AX40" i="22"/>
  <c r="AX33" i="22"/>
  <c r="AX25" i="22"/>
  <c r="AX19" i="22"/>
  <c r="AX97" i="22"/>
  <c r="AX91" i="22"/>
  <c r="AX87" i="22"/>
  <c r="AX30" i="22"/>
  <c r="AX20" i="22"/>
  <c r="AX11" i="22"/>
  <c r="AX8" i="22"/>
  <c r="AX64" i="22"/>
  <c r="AX29" i="22"/>
  <c r="AX21" i="22"/>
  <c r="AX61" i="22"/>
  <c r="AX51" i="22"/>
  <c r="AX9" i="22"/>
  <c r="AX2" i="22"/>
  <c r="AX54" i="22"/>
  <c r="AX12" i="22"/>
  <c r="AX10" i="22"/>
  <c r="AX7" i="22"/>
  <c r="AX62" i="22"/>
  <c r="AX60" i="22"/>
  <c r="AX15" i="22"/>
  <c r="Z7" i="22"/>
  <c r="Q14" i="22"/>
  <c r="P14" i="22"/>
  <c r="X27" i="22"/>
  <c r="AB31" i="22"/>
  <c r="AA31" i="22"/>
  <c r="X31" i="22"/>
  <c r="AA76" i="22"/>
  <c r="AB76" i="22"/>
  <c r="Z76" i="22"/>
  <c r="X76" i="22"/>
  <c r="X5" i="22"/>
  <c r="AB5" i="22"/>
  <c r="X36" i="22"/>
  <c r="X56" i="22"/>
  <c r="AA56" i="22"/>
  <c r="AB56" i="22"/>
  <c r="Q11" i="22"/>
  <c r="P11" i="22"/>
  <c r="Z12" i="22"/>
  <c r="Z13" i="22"/>
  <c r="Z20" i="22"/>
  <c r="X20" i="22"/>
  <c r="AB20" i="22"/>
  <c r="AA20" i="22"/>
  <c r="X19" i="22"/>
  <c r="P34" i="22"/>
  <c r="Q34" i="22"/>
  <c r="AA38" i="22"/>
  <c r="X38" i="22"/>
  <c r="Z38" i="22"/>
  <c r="X45" i="22"/>
  <c r="AB45" i="22"/>
  <c r="AA45" i="22"/>
  <c r="X7" i="22"/>
  <c r="AB7" i="22"/>
  <c r="AA7" i="22"/>
  <c r="X33" i="22"/>
  <c r="AB33" i="22"/>
  <c r="AA33" i="22"/>
  <c r="Z33" i="22"/>
  <c r="Z63" i="22"/>
  <c r="Z3" i="22"/>
  <c r="X3" i="22"/>
  <c r="AB3" i="22"/>
  <c r="AB12" i="22"/>
  <c r="AA12" i="22"/>
  <c r="X12" i="22"/>
  <c r="X14" i="22"/>
  <c r="AB14" i="22"/>
  <c r="AA14" i="22"/>
  <c r="Z19" i="22"/>
  <c r="X32" i="22"/>
  <c r="AB32" i="22"/>
  <c r="AH39" i="22"/>
  <c r="AX75" i="22"/>
  <c r="Z6" i="22"/>
  <c r="X6" i="22"/>
  <c r="AB13" i="22"/>
  <c r="AA13" i="22"/>
  <c r="X13" i="22"/>
  <c r="AX24" i="22"/>
  <c r="X47" i="22"/>
  <c r="AB47" i="22"/>
  <c r="AA47" i="22"/>
  <c r="AA84" i="22"/>
  <c r="X84" i="22"/>
  <c r="AB84" i="22"/>
  <c r="Z84" i="22"/>
  <c r="AA100" i="22"/>
  <c r="X100" i="22"/>
  <c r="AB100" i="22"/>
  <c r="Z100" i="22"/>
  <c r="AB2" i="22"/>
  <c r="AE8" i="22"/>
  <c r="AJ7" i="22"/>
  <c r="AK7" i="22" s="1"/>
  <c r="Z14" i="22"/>
  <c r="AB21" i="22"/>
  <c r="AF5" i="22"/>
  <c r="AH4" i="22"/>
  <c r="Z5" i="22"/>
  <c r="M95" i="22"/>
  <c r="Z95" i="22" s="1"/>
  <c r="M87" i="22"/>
  <c r="M79" i="22"/>
  <c r="M71" i="22"/>
  <c r="Z71" i="22" s="1"/>
  <c r="M62" i="22"/>
  <c r="M54" i="22"/>
  <c r="M93" i="22"/>
  <c r="M85" i="22"/>
  <c r="M77" i="22"/>
  <c r="Z77" i="22" s="1"/>
  <c r="M69" i="22"/>
  <c r="M60" i="22"/>
  <c r="M52" i="22"/>
  <c r="Z52" i="22" s="1"/>
  <c r="M49" i="22"/>
  <c r="T102" i="22"/>
  <c r="M90" i="22"/>
  <c r="M81" i="22"/>
  <c r="Z81" i="22" s="1"/>
  <c r="M55" i="22"/>
  <c r="Z55" i="22" s="1"/>
  <c r="M94" i="22"/>
  <c r="M89" i="22"/>
  <c r="M72" i="22"/>
  <c r="M65" i="22"/>
  <c r="M97" i="22"/>
  <c r="Z97" i="22" s="1"/>
  <c r="M68" i="22"/>
  <c r="M64" i="22"/>
  <c r="Z64" i="22" s="1"/>
  <c r="M63" i="22"/>
  <c r="M74" i="22"/>
  <c r="M70" i="22"/>
  <c r="M57" i="22"/>
  <c r="Z57" i="22" s="1"/>
  <c r="M86" i="22"/>
  <c r="M66" i="22"/>
  <c r="M51" i="22"/>
  <c r="M92" i="22"/>
  <c r="M91" i="22"/>
  <c r="M88" i="22"/>
  <c r="M67" i="22"/>
  <c r="M61" i="22"/>
  <c r="M58" i="22"/>
  <c r="M48" i="22"/>
  <c r="M99" i="22"/>
  <c r="M82" i="22"/>
  <c r="Z82" i="22" s="1"/>
  <c r="M59" i="22"/>
  <c r="M50" i="22"/>
  <c r="M98" i="22"/>
  <c r="M78" i="22"/>
  <c r="M53" i="22"/>
  <c r="M80" i="22"/>
  <c r="M75" i="22"/>
  <c r="M73" i="22"/>
  <c r="U10" i="22"/>
  <c r="Q20" i="22"/>
  <c r="P20" i="22"/>
  <c r="M43" i="22"/>
  <c r="N43" i="22" s="1"/>
  <c r="M15" i="22"/>
  <c r="N15" i="22" s="1"/>
  <c r="M24" i="22"/>
  <c r="N24" i="22" s="1"/>
  <c r="M18" i="22"/>
  <c r="N18" i="22" s="1"/>
  <c r="Z31" i="22"/>
  <c r="AA32" i="22"/>
  <c r="Y102" i="22"/>
  <c r="X39" i="22"/>
  <c r="AA39" i="22"/>
  <c r="Z2" i="22"/>
  <c r="Q7" i="22"/>
  <c r="P7" i="22"/>
  <c r="Q28" i="22"/>
  <c r="M25" i="22"/>
  <c r="N25" i="22" s="1"/>
  <c r="M16" i="22"/>
  <c r="N16" i="22" s="1"/>
  <c r="M41" i="22"/>
  <c r="N41" i="22" s="1"/>
  <c r="M30" i="22"/>
  <c r="N30" i="22" s="1"/>
  <c r="Q6" i="22"/>
  <c r="P6" i="22"/>
  <c r="AB6" i="22" s="1"/>
  <c r="Z10" i="22"/>
  <c r="Q19" i="22"/>
  <c r="P19" i="22"/>
  <c r="AA19" i="22" s="1"/>
  <c r="Z28" i="22"/>
  <c r="AH3" i="22"/>
  <c r="AB8" i="22"/>
  <c r="AB10" i="22"/>
  <c r="Z11" i="22"/>
  <c r="Q25" i="22"/>
  <c r="M9" i="22"/>
  <c r="N9" i="22" s="1"/>
  <c r="M44" i="22"/>
  <c r="N44" i="22" s="1"/>
  <c r="Q36" i="22"/>
  <c r="P36" i="22"/>
  <c r="AB36" i="22" s="1"/>
  <c r="Q39" i="22"/>
  <c r="Z96" i="22"/>
  <c r="AB26" i="22"/>
  <c r="AA26" i="22"/>
  <c r="AB29" i="22"/>
  <c r="AA29" i="22"/>
  <c r="AB35" i="22"/>
  <c r="AA35" i="22"/>
  <c r="AB42" i="22"/>
  <c r="X42" i="22"/>
  <c r="AB4" i="22"/>
  <c r="AA4" i="22"/>
  <c r="AB17" i="22"/>
  <c r="AA17" i="22"/>
  <c r="Z47" i="22"/>
  <c r="U6" i="22"/>
  <c r="U102" i="22" s="1"/>
  <c r="AJ5" i="22"/>
  <c r="AK5" i="22" s="1"/>
  <c r="AJ3" i="22"/>
  <c r="AK3" i="22" s="1"/>
  <c r="P24" i="22"/>
  <c r="X26" i="22"/>
  <c r="X35" i="22"/>
  <c r="AB37" i="22"/>
  <c r="Z42" i="22"/>
  <c r="X4" i="22"/>
  <c r="AB22" i="22"/>
  <c r="Q23" i="22"/>
  <c r="P23" i="22"/>
  <c r="AB23" i="22" s="1"/>
  <c r="Z25" i="22"/>
  <c r="X29" i="22"/>
  <c r="M34" i="22"/>
  <c r="N34" i="22" s="1"/>
  <c r="Z39" i="22"/>
  <c r="Z40" i="22"/>
  <c r="AA42" i="22"/>
  <c r="AA46" i="22"/>
  <c r="X46" i="22"/>
  <c r="Z89" i="22"/>
  <c r="Z93" i="22"/>
  <c r="P43" i="22"/>
  <c r="Z45" i="22"/>
  <c r="P2" i="22"/>
  <c r="AA2" i="22" s="1"/>
  <c r="P5" i="22"/>
  <c r="AA5" i="22" s="1"/>
  <c r="P18" i="22"/>
  <c r="AA21" i="22"/>
  <c r="P27" i="22"/>
  <c r="AB27" i="22" s="1"/>
  <c r="Q32" i="22"/>
  <c r="Z56" i="22"/>
  <c r="Z79" i="22"/>
  <c r="Z98" i="22"/>
  <c r="Q2" i="22"/>
  <c r="AE42" i="22"/>
  <c r="AJ40" i="22"/>
  <c r="AK40" i="22" s="1"/>
  <c r="Z49" i="22"/>
  <c r="Z91" i="22"/>
  <c r="Z87" i="22"/>
  <c r="W17" i="21"/>
  <c r="X33" i="21"/>
  <c r="Y33" i="21" s="1"/>
  <c r="Y27" i="21"/>
  <c r="X11" i="21"/>
  <c r="Y11" i="21" s="1"/>
  <c r="W16" i="21"/>
  <c r="W23" i="21"/>
  <c r="AD7" i="21"/>
  <c r="AD8" i="21" s="1"/>
  <c r="AD9" i="21" s="1"/>
  <c r="AD10" i="21" s="1"/>
  <c r="AD11" i="21" s="1"/>
  <c r="AM6" i="21"/>
  <c r="AN6" i="21" s="1"/>
  <c r="AA2" i="21"/>
  <c r="W2" i="21"/>
  <c r="P4" i="21"/>
  <c r="O4" i="21"/>
  <c r="Z4" i="21" s="1"/>
  <c r="P18" i="21"/>
  <c r="O18" i="21"/>
  <c r="Z44" i="21"/>
  <c r="AA44" i="21"/>
  <c r="W76" i="21"/>
  <c r="Y76" i="21"/>
  <c r="AA76" i="21"/>
  <c r="Z76" i="21"/>
  <c r="W8" i="21"/>
  <c r="P24" i="21"/>
  <c r="O24" i="21"/>
  <c r="AA24" i="21" s="1"/>
  <c r="X35" i="21"/>
  <c r="Y35" i="21" s="1"/>
  <c r="W35" i="21"/>
  <c r="AA68" i="21"/>
  <c r="Z68" i="21"/>
  <c r="W68" i="21"/>
  <c r="Z91" i="21"/>
  <c r="AA91" i="21"/>
  <c r="W91" i="21"/>
  <c r="M9" i="21"/>
  <c r="P27" i="21"/>
  <c r="O27" i="21"/>
  <c r="Y34" i="21"/>
  <c r="W66" i="21"/>
  <c r="Z66" i="21"/>
  <c r="Y66" i="21"/>
  <c r="X40" i="21"/>
  <c r="Y40" i="21" s="1"/>
  <c r="W40" i="21"/>
  <c r="AD43" i="21"/>
  <c r="N102" i="21"/>
  <c r="X5" i="21"/>
  <c r="Y5" i="21" s="1"/>
  <c r="W5" i="21"/>
  <c r="AA6" i="21"/>
  <c r="W12" i="21"/>
  <c r="AA13" i="21"/>
  <c r="Z13" i="21"/>
  <c r="P25" i="21"/>
  <c r="O25" i="21"/>
  <c r="AA25" i="21" s="1"/>
  <c r="P29" i="21"/>
  <c r="O29" i="21"/>
  <c r="AA36" i="21"/>
  <c r="Z36" i="21"/>
  <c r="AA38" i="21"/>
  <c r="W50" i="21"/>
  <c r="Z50" i="21"/>
  <c r="Y50" i="21"/>
  <c r="AA72" i="21"/>
  <c r="Z72" i="21"/>
  <c r="Y24" i="21"/>
  <c r="M43" i="21"/>
  <c r="W43" i="21" s="1"/>
  <c r="M15" i="21"/>
  <c r="Z40" i="21"/>
  <c r="M34" i="21"/>
  <c r="M10" i="21"/>
  <c r="Y10" i="21" s="1"/>
  <c r="X43" i="21"/>
  <c r="Z75" i="21"/>
  <c r="AA75" i="21"/>
  <c r="W75" i="21"/>
  <c r="W98" i="21"/>
  <c r="AA98" i="21"/>
  <c r="Z98" i="21"/>
  <c r="S102" i="21"/>
  <c r="Y88" i="21"/>
  <c r="W88" i="21"/>
  <c r="Z88" i="21"/>
  <c r="AA88" i="21"/>
  <c r="T10" i="21"/>
  <c r="M19" i="21"/>
  <c r="Z25" i="21"/>
  <c r="W25" i="21"/>
  <c r="Y2" i="21"/>
  <c r="O3" i="21"/>
  <c r="Z3" i="21" s="1"/>
  <c r="Z27" i="21"/>
  <c r="AA32" i="21"/>
  <c r="Z32" i="21"/>
  <c r="P36" i="21"/>
  <c r="O36" i="21"/>
  <c r="AA39" i="21"/>
  <c r="Z39" i="21"/>
  <c r="W39" i="21"/>
  <c r="Y61" i="21"/>
  <c r="AA61" i="21"/>
  <c r="Z61" i="21"/>
  <c r="W61" i="21"/>
  <c r="Z2" i="21"/>
  <c r="W9" i="21"/>
  <c r="Y15" i="21"/>
  <c r="AA27" i="21"/>
  <c r="AA31" i="21"/>
  <c r="Z31" i="21"/>
  <c r="X44" i="21"/>
  <c r="Y44" i="21" s="1"/>
  <c r="W44" i="21"/>
  <c r="P14" i="21"/>
  <c r="O14" i="21"/>
  <c r="Z14" i="21" s="1"/>
  <c r="P8" i="21"/>
  <c r="O8" i="21"/>
  <c r="P16" i="21"/>
  <c r="O16" i="21"/>
  <c r="AA16" i="21" s="1"/>
  <c r="M18" i="21"/>
  <c r="Y18" i="21" s="1"/>
  <c r="P23" i="21"/>
  <c r="O23" i="21"/>
  <c r="P26" i="21"/>
  <c r="O26" i="21"/>
  <c r="Z26" i="21" s="1"/>
  <c r="W63" i="21"/>
  <c r="Z63" i="21"/>
  <c r="AA63" i="21"/>
  <c r="AA66" i="21"/>
  <c r="V102" i="21"/>
  <c r="X3" i="21"/>
  <c r="W3" i="21"/>
  <c r="X13" i="21"/>
  <c r="Y13" i="21" s="1"/>
  <c r="W13" i="21"/>
  <c r="P19" i="21"/>
  <c r="O19" i="21"/>
  <c r="X36" i="21"/>
  <c r="Y36" i="21" s="1"/>
  <c r="W36" i="21"/>
  <c r="AA47" i="21"/>
  <c r="Z47" i="21"/>
  <c r="Y79" i="21"/>
  <c r="W79" i="21"/>
  <c r="Y80" i="21"/>
  <c r="AA80" i="21"/>
  <c r="Z80" i="21"/>
  <c r="W80" i="21"/>
  <c r="Y98" i="21"/>
  <c r="X46" i="21"/>
  <c r="Y46" i="21" s="1"/>
  <c r="W46" i="21"/>
  <c r="AA74" i="21"/>
  <c r="Z74" i="21"/>
  <c r="AM7" i="21"/>
  <c r="AN7" i="21" s="1"/>
  <c r="P20" i="21"/>
  <c r="O20" i="21"/>
  <c r="W42" i="21"/>
  <c r="Y84" i="21"/>
  <c r="W84" i="21"/>
  <c r="X4" i="21"/>
  <c r="Y4" i="21" s="1"/>
  <c r="W4" i="21"/>
  <c r="O5" i="21"/>
  <c r="P7" i="21"/>
  <c r="P102" i="21" s="1"/>
  <c r="O7" i="21"/>
  <c r="Z7" i="21" s="1"/>
  <c r="AM10" i="21"/>
  <c r="AN10" i="21" s="1"/>
  <c r="X14" i="21"/>
  <c r="Y14" i="21" s="1"/>
  <c r="W14" i="21"/>
  <c r="AA17" i="21"/>
  <c r="P21" i="21"/>
  <c r="O21" i="21"/>
  <c r="Z21" i="21" s="1"/>
  <c r="W32" i="21"/>
  <c r="Z56" i="21"/>
  <c r="W56" i="21"/>
  <c r="AA56" i="21"/>
  <c r="Y63" i="21"/>
  <c r="W85" i="21"/>
  <c r="Z85" i="21"/>
  <c r="Y85" i="21"/>
  <c r="Z99" i="21"/>
  <c r="W99" i="21"/>
  <c r="AA99" i="21"/>
  <c r="P22" i="21"/>
  <c r="O22" i="21"/>
  <c r="O38" i="21"/>
  <c r="Z38" i="21" s="1"/>
  <c r="O42" i="21"/>
  <c r="Z42" i="21" s="1"/>
  <c r="Y91" i="21"/>
  <c r="AA35" i="21"/>
  <c r="Z35" i="21"/>
  <c r="Z37" i="21"/>
  <c r="Y68" i="21"/>
  <c r="Y75" i="21"/>
  <c r="Y96" i="21"/>
  <c r="W96" i="21"/>
  <c r="W27" i="21"/>
  <c r="X29" i="21"/>
  <c r="Y29" i="21" s="1"/>
  <c r="W29" i="21"/>
  <c r="O33" i="21"/>
  <c r="W34" i="21"/>
  <c r="W38" i="21"/>
  <c r="O40" i="21"/>
  <c r="AA40" i="21" s="1"/>
  <c r="W41" i="21"/>
  <c r="Y42" i="21"/>
  <c r="O44" i="21"/>
  <c r="Z52" i="21"/>
  <c r="AA57" i="21"/>
  <c r="AA78" i="21"/>
  <c r="X31" i="21"/>
  <c r="Y31" i="21" s="1"/>
  <c r="W31" i="21"/>
  <c r="Y49" i="21"/>
  <c r="Y55" i="21"/>
  <c r="W82" i="21"/>
  <c r="AA82" i="21"/>
  <c r="Z82" i="21"/>
  <c r="Z83" i="21"/>
  <c r="W83" i="21"/>
  <c r="AA45" i="21"/>
  <c r="AA59" i="21"/>
  <c r="Z67" i="21"/>
  <c r="AA77" i="21"/>
  <c r="AA90" i="21"/>
  <c r="AA100" i="21"/>
  <c r="P41" i="21"/>
  <c r="O41" i="21"/>
  <c r="P46" i="21"/>
  <c r="O46" i="21"/>
  <c r="Z46" i="21" s="1"/>
  <c r="Y56" i="21"/>
  <c r="Y83" i="21"/>
  <c r="AA97" i="21"/>
  <c r="Z48" i="21"/>
  <c r="Z59" i="21"/>
  <c r="Z70" i="21"/>
  <c r="Z78" i="21"/>
  <c r="Z86" i="21"/>
  <c r="Z94" i="21"/>
  <c r="Z54" i="19"/>
  <c r="AA62" i="19"/>
  <c r="Z77" i="19"/>
  <c r="X94" i="19"/>
  <c r="Z86" i="19"/>
  <c r="AA65" i="19"/>
  <c r="Z93" i="19"/>
  <c r="X70" i="19"/>
  <c r="Z78" i="19"/>
  <c r="Z85" i="19"/>
  <c r="Z94" i="19"/>
  <c r="AA87" i="19"/>
  <c r="Z73" i="19"/>
  <c r="AA77" i="19"/>
  <c r="Z62" i="19"/>
  <c r="AA56" i="19"/>
  <c r="Z72" i="19"/>
  <c r="AB95" i="19"/>
  <c r="AA55" i="19"/>
  <c r="AA80" i="19"/>
  <c r="Z56" i="19"/>
  <c r="X65" i="19"/>
  <c r="AB72" i="19"/>
  <c r="Z82" i="19"/>
  <c r="AA89" i="19"/>
  <c r="Z90" i="19"/>
  <c r="AA49" i="19"/>
  <c r="Z64" i="19"/>
  <c r="X79" i="19"/>
  <c r="X80" i="19"/>
  <c r="Z81" i="19"/>
  <c r="AA97" i="19"/>
  <c r="Z87" i="19"/>
  <c r="AB96" i="19"/>
  <c r="Z50" i="19"/>
  <c r="AA64" i="19"/>
  <c r="Z79" i="19"/>
  <c r="AA88" i="19"/>
  <c r="X95" i="19"/>
  <c r="X96" i="19"/>
  <c r="Z98" i="19"/>
  <c r="AB80" i="19"/>
  <c r="Z95" i="19"/>
  <c r="AA96" i="19"/>
  <c r="Z44" i="19"/>
  <c r="AD27" i="19"/>
  <c r="W102" i="19"/>
  <c r="X39" i="19"/>
  <c r="X2" i="19"/>
  <c r="X25" i="19"/>
  <c r="Y2" i="19"/>
  <c r="Z2" i="19" s="1"/>
  <c r="AE6" i="19"/>
  <c r="AJ6" i="19" s="1"/>
  <c r="AK6" i="19" s="1"/>
  <c r="AB7" i="19"/>
  <c r="AA7" i="19"/>
  <c r="Z7" i="19"/>
  <c r="X7" i="19"/>
  <c r="X10" i="19"/>
  <c r="AB10" i="19"/>
  <c r="AA10" i="19"/>
  <c r="AB34" i="19"/>
  <c r="AA34" i="19"/>
  <c r="X34" i="19"/>
  <c r="AB5" i="19"/>
  <c r="AA5" i="19"/>
  <c r="X5" i="19"/>
  <c r="X18" i="19"/>
  <c r="AA18" i="19"/>
  <c r="AB18" i="19"/>
  <c r="Z18" i="19"/>
  <c r="AA21" i="19"/>
  <c r="X21" i="19"/>
  <c r="AB21" i="19"/>
  <c r="Z10" i="19"/>
  <c r="AB3" i="19"/>
  <c r="AB6" i="19"/>
  <c r="X6" i="19"/>
  <c r="AA3" i="19"/>
  <c r="AA6" i="19"/>
  <c r="M38" i="19"/>
  <c r="N38" i="19" s="1"/>
  <c r="Q40" i="19"/>
  <c r="AB83" i="19"/>
  <c r="AB75" i="19"/>
  <c r="AB70" i="19"/>
  <c r="AB62" i="19"/>
  <c r="AB98" i="19"/>
  <c r="AB87" i="19"/>
  <c r="AB82" i="19"/>
  <c r="AB61" i="19"/>
  <c r="AB79" i="19"/>
  <c r="AB57" i="19"/>
  <c r="AB76" i="19"/>
  <c r="AB78" i="19"/>
  <c r="AB93" i="19"/>
  <c r="AB99" i="19"/>
  <c r="X9" i="19"/>
  <c r="AB9" i="19"/>
  <c r="AF3" i="19"/>
  <c r="X4" i="19"/>
  <c r="P8" i="19"/>
  <c r="AB8" i="19" s="1"/>
  <c r="X13" i="19"/>
  <c r="M14" i="19"/>
  <c r="N14" i="19" s="1"/>
  <c r="Q24" i="19"/>
  <c r="P24" i="19"/>
  <c r="M30" i="19"/>
  <c r="N30" i="19" s="1"/>
  <c r="AA46" i="19"/>
  <c r="X46" i="19"/>
  <c r="Z46" i="19"/>
  <c r="Z34" i="19"/>
  <c r="Z41" i="19"/>
  <c r="AB53" i="19"/>
  <c r="AB58" i="19"/>
  <c r="AB86" i="19"/>
  <c r="AB90" i="19"/>
  <c r="AJ5" i="19"/>
  <c r="AK5" i="19" s="1"/>
  <c r="X8" i="19"/>
  <c r="X15" i="19"/>
  <c r="AB15" i="19"/>
  <c r="AB33" i="19"/>
  <c r="AA33" i="19"/>
  <c r="X33" i="19"/>
  <c r="AB40" i="19"/>
  <c r="AA45" i="19"/>
  <c r="Z45" i="19"/>
  <c r="X45" i="19"/>
  <c r="AB45" i="19"/>
  <c r="AA57" i="19"/>
  <c r="X57" i="19"/>
  <c r="AB63" i="19"/>
  <c r="AJ4" i="19"/>
  <c r="AK4" i="19" s="1"/>
  <c r="Q10" i="19"/>
  <c r="Q102" i="19" s="1"/>
  <c r="AA11" i="19"/>
  <c r="X12" i="19"/>
  <c r="P13" i="19"/>
  <c r="AA13" i="19" s="1"/>
  <c r="M16" i="19"/>
  <c r="N16" i="19" s="1"/>
  <c r="X17" i="19"/>
  <c r="M19" i="19"/>
  <c r="N19" i="19" s="1"/>
  <c r="X20" i="19"/>
  <c r="AB20" i="19"/>
  <c r="Q21" i="19"/>
  <c r="P22" i="19"/>
  <c r="X23" i="19"/>
  <c r="Z25" i="19"/>
  <c r="AA40" i="19"/>
  <c r="Z40" i="19"/>
  <c r="X40" i="19"/>
  <c r="P30" i="19"/>
  <c r="Z32" i="19"/>
  <c r="Z37" i="19"/>
  <c r="AD41" i="19"/>
  <c r="AF38" i="19" s="1"/>
  <c r="AB50" i="19"/>
  <c r="AB88" i="19"/>
  <c r="AA91" i="19"/>
  <c r="X91" i="19"/>
  <c r="AB91" i="19"/>
  <c r="AA4" i="19"/>
  <c r="U102" i="19"/>
  <c r="Z8" i="19"/>
  <c r="T102" i="19"/>
  <c r="AA25" i="19"/>
  <c r="X26" i="19"/>
  <c r="AA26" i="19"/>
  <c r="Z29" i="19"/>
  <c r="M43" i="19"/>
  <c r="N43" i="19" s="1"/>
  <c r="M24" i="19"/>
  <c r="N24" i="19" s="1"/>
  <c r="X35" i="19"/>
  <c r="AB36" i="19"/>
  <c r="AA36" i="19"/>
  <c r="AF41" i="19"/>
  <c r="AH40" i="19"/>
  <c r="X59" i="19"/>
  <c r="AB59" i="19"/>
  <c r="AA59" i="19"/>
  <c r="AB84" i="19"/>
  <c r="AA86" i="19"/>
  <c r="X86" i="19"/>
  <c r="O102" i="19"/>
  <c r="Z9" i="19"/>
  <c r="Z12" i="19"/>
  <c r="Z17" i="19"/>
  <c r="Z21" i="19"/>
  <c r="AB25" i="19"/>
  <c r="AA29" i="19"/>
  <c r="Z30" i="19"/>
  <c r="X41" i="19"/>
  <c r="AB32" i="19"/>
  <c r="X32" i="19"/>
  <c r="Q35" i="19"/>
  <c r="P35" i="19"/>
  <c r="AA35" i="19" s="1"/>
  <c r="X47" i="19"/>
  <c r="AA47" i="19"/>
  <c r="P2" i="19"/>
  <c r="AB2" i="19" s="1"/>
  <c r="Z6" i="19"/>
  <c r="AA9" i="19"/>
  <c r="AB12" i="19"/>
  <c r="Z14" i="19"/>
  <c r="AB17" i="19"/>
  <c r="X44" i="19"/>
  <c r="AB44" i="19"/>
  <c r="AA44" i="19"/>
  <c r="X37" i="19"/>
  <c r="AB37" i="19"/>
  <c r="Z51" i="19"/>
  <c r="X51" i="19"/>
  <c r="AB51" i="19"/>
  <c r="AA51" i="19"/>
  <c r="Z27" i="19"/>
  <c r="M31" i="19"/>
  <c r="N31" i="19" s="1"/>
  <c r="Z38" i="19"/>
  <c r="Z47" i="19"/>
  <c r="AB48" i="19"/>
  <c r="AB54" i="19"/>
  <c r="AB67" i="19"/>
  <c r="AB68" i="19"/>
  <c r="AB71" i="19"/>
  <c r="AA71" i="19"/>
  <c r="X71" i="19"/>
  <c r="M22" i="19"/>
  <c r="N22" i="19" s="1"/>
  <c r="Z22" i="19" s="1"/>
  <c r="AB28" i="19"/>
  <c r="AB39" i="19"/>
  <c r="AA39" i="19"/>
  <c r="AA66" i="19"/>
  <c r="AB66" i="19"/>
  <c r="Z66" i="19"/>
  <c r="X66" i="19"/>
  <c r="AA76" i="19"/>
  <c r="Z76" i="19"/>
  <c r="X76" i="19"/>
  <c r="AE42" i="19"/>
  <c r="AB52" i="19"/>
  <c r="AA53" i="19"/>
  <c r="Z55" i="19"/>
  <c r="X63" i="19"/>
  <c r="AB65" i="19"/>
  <c r="X68" i="19"/>
  <c r="AA72" i="19"/>
  <c r="X90" i="19"/>
  <c r="AB94" i="19"/>
  <c r="AB42" i="19"/>
  <c r="X42" i="19"/>
  <c r="AJ41" i="19"/>
  <c r="AK41" i="19" s="1"/>
  <c r="AB69" i="19"/>
  <c r="X78" i="19"/>
  <c r="X83" i="19"/>
  <c r="X88" i="19"/>
  <c r="X99" i="19"/>
  <c r="P39" i="19"/>
  <c r="P41" i="19"/>
  <c r="AB41" i="19" s="1"/>
  <c r="AB60" i="19"/>
  <c r="AA61" i="19"/>
  <c r="Z63" i="19"/>
  <c r="Z68" i="19"/>
  <c r="AA82" i="19"/>
  <c r="Z83" i="19"/>
  <c r="Z99" i="19"/>
  <c r="AB49" i="19"/>
  <c r="Z58" i="19"/>
  <c r="AA63" i="19"/>
  <c r="AA68" i="19"/>
  <c r="AA70" i="19"/>
  <c r="Z71" i="19"/>
  <c r="AB77" i="19"/>
  <c r="Z88" i="19"/>
  <c r="AA98" i="19"/>
  <c r="AA99" i="19"/>
  <c r="AA90" i="19"/>
  <c r="Z91" i="19"/>
  <c r="AA78" i="19"/>
  <c r="AB85" i="19"/>
  <c r="X49" i="19"/>
  <c r="X52" i="19"/>
  <c r="AB56" i="19"/>
  <c r="X60" i="19"/>
  <c r="AB64" i="19"/>
  <c r="X69" i="19"/>
  <c r="AB73" i="19"/>
  <c r="X77" i="19"/>
  <c r="AB81" i="19"/>
  <c r="X85" i="19"/>
  <c r="AB89" i="19"/>
  <c r="X93" i="19"/>
  <c r="AB97" i="19"/>
  <c r="AX102" i="19"/>
  <c r="AX101" i="19"/>
  <c r="M7" i="18"/>
  <c r="AF39" i="18"/>
  <c r="AX44" i="18"/>
  <c r="AX50" i="18"/>
  <c r="AX54" i="18"/>
  <c r="AX59" i="18"/>
  <c r="AX63" i="18"/>
  <c r="AA66" i="18"/>
  <c r="AX69" i="18"/>
  <c r="AX74" i="18"/>
  <c r="AX78" i="18"/>
  <c r="Z82" i="18"/>
  <c r="AX83" i="18"/>
  <c r="M9" i="18"/>
  <c r="Q37" i="18"/>
  <c r="Z48" i="18"/>
  <c r="AB50" i="18"/>
  <c r="AX53" i="18"/>
  <c r="AA57" i="18"/>
  <c r="AX62" i="18"/>
  <c r="AX68" i="18"/>
  <c r="AX73" i="18"/>
  <c r="AX77" i="18"/>
  <c r="Z81" i="18"/>
  <c r="Z83" i="18"/>
  <c r="X100" i="18"/>
  <c r="Q14" i="18"/>
  <c r="AX48" i="18"/>
  <c r="AA54" i="18"/>
  <c r="Z56" i="18"/>
  <c r="AX57" i="18"/>
  <c r="AX67" i="18"/>
  <c r="AA74" i="18"/>
  <c r="Z80" i="18"/>
  <c r="AX81" i="18"/>
  <c r="AX86" i="18"/>
  <c r="X90" i="18"/>
  <c r="AX92" i="18"/>
  <c r="AX96" i="18"/>
  <c r="Z100" i="18"/>
  <c r="AX45" i="18"/>
  <c r="AB49" i="18"/>
  <c r="AX52" i="18"/>
  <c r="AX56" i="18"/>
  <c r="AX61" i="18"/>
  <c r="AX72" i="18"/>
  <c r="AX76" i="18"/>
  <c r="AX80" i="18"/>
  <c r="AA88" i="18"/>
  <c r="Z90" i="18"/>
  <c r="AX91" i="18"/>
  <c r="Z95" i="18"/>
  <c r="AA98" i="18"/>
  <c r="AX100" i="18"/>
  <c r="M2" i="18"/>
  <c r="AJ40" i="18"/>
  <c r="AK40" i="18" s="1"/>
  <c r="X70" i="18"/>
  <c r="Z79" i="18"/>
  <c r="Z84" i="18"/>
  <c r="AA92" i="18"/>
  <c r="AB70" i="18"/>
  <c r="Z64" i="18"/>
  <c r="Z70" i="18"/>
  <c r="AX75" i="18"/>
  <c r="AX79" i="18"/>
  <c r="AX89" i="18"/>
  <c r="AX90" i="18"/>
  <c r="M10" i="18"/>
  <c r="Q17" i="18"/>
  <c r="P38" i="18"/>
  <c r="AB55" i="18"/>
  <c r="AB61" i="18"/>
  <c r="AB76" i="18"/>
  <c r="Z92" i="18"/>
  <c r="O102" i="18"/>
  <c r="AA80" i="18"/>
  <c r="P5" i="18"/>
  <c r="P8" i="18"/>
  <c r="Q20" i="18"/>
  <c r="P28" i="18"/>
  <c r="AA48" i="18"/>
  <c r="AA51" i="18"/>
  <c r="Z58" i="18"/>
  <c r="AB65" i="18"/>
  <c r="AB84" i="18"/>
  <c r="M19" i="18"/>
  <c r="Q23" i="18"/>
  <c r="Q27" i="18"/>
  <c r="P31" i="18"/>
  <c r="Z52" i="18"/>
  <c r="P3" i="18"/>
  <c r="P4" i="18"/>
  <c r="Q15" i="18"/>
  <c r="P36" i="18"/>
  <c r="M41" i="18"/>
  <c r="Z49" i="18"/>
  <c r="X50" i="18"/>
  <c r="AA58" i="18"/>
  <c r="Z61" i="18"/>
  <c r="AA71" i="18"/>
  <c r="X75" i="18"/>
  <c r="X76" i="18"/>
  <c r="Z77" i="18"/>
  <c r="AA85" i="18"/>
  <c r="AB87" i="18"/>
  <c r="AX97" i="18"/>
  <c r="AX98" i="18"/>
  <c r="AX101" i="18"/>
  <c r="AX103" i="18"/>
  <c r="AJ4" i="18"/>
  <c r="AK4" i="18" s="1"/>
  <c r="M14" i="18"/>
  <c r="Q19" i="18"/>
  <c r="Q35" i="18"/>
  <c r="Z51" i="18"/>
  <c r="Z74" i="18"/>
  <c r="Z76" i="18"/>
  <c r="AA77" i="18"/>
  <c r="Z78" i="18"/>
  <c r="AA79" i="18"/>
  <c r="AA82" i="18"/>
  <c r="AA83" i="18"/>
  <c r="AB98" i="18"/>
  <c r="Q22" i="18"/>
  <c r="Q26" i="18"/>
  <c r="AA50" i="18"/>
  <c r="X58" i="18"/>
  <c r="Z59" i="18"/>
  <c r="AB62" i="18"/>
  <c r="Z73" i="18"/>
  <c r="AA75" i="18"/>
  <c r="AA76" i="18"/>
  <c r="AB77" i="18"/>
  <c r="X84" i="18"/>
  <c r="Z85" i="18"/>
  <c r="AB94" i="18"/>
  <c r="AF3" i="18"/>
  <c r="M5" i="18"/>
  <c r="P6" i="18"/>
  <c r="T102" i="18"/>
  <c r="M22" i="18"/>
  <c r="M31" i="18"/>
  <c r="Y102" i="18"/>
  <c r="AD41" i="18"/>
  <c r="AF38" i="18" s="1"/>
  <c r="Q41" i="18"/>
  <c r="P41" i="18"/>
  <c r="AJ3" i="18"/>
  <c r="AK3" i="18" s="1"/>
  <c r="Q13" i="18"/>
  <c r="M36" i="18"/>
  <c r="P2" i="18"/>
  <c r="P7" i="18"/>
  <c r="P10" i="18"/>
  <c r="P11" i="18"/>
  <c r="Q2" i="18"/>
  <c r="AJ5" i="18"/>
  <c r="AK5" i="18" s="1"/>
  <c r="AE6" i="18"/>
  <c r="Q12" i="18"/>
  <c r="Q18" i="18"/>
  <c r="P18" i="18"/>
  <c r="Q21" i="18"/>
  <c r="P21" i="18"/>
  <c r="Q24" i="18"/>
  <c r="P24" i="18"/>
  <c r="AF40" i="18"/>
  <c r="AH39" i="18"/>
  <c r="Q32" i="18"/>
  <c r="AJ41" i="18"/>
  <c r="AK41" i="18" s="1"/>
  <c r="X49" i="18"/>
  <c r="AA49" i="18"/>
  <c r="AB88" i="18"/>
  <c r="AB85" i="18"/>
  <c r="AB83" i="18"/>
  <c r="AB58" i="18"/>
  <c r="AB80" i="18"/>
  <c r="AB78" i="18"/>
  <c r="AB63" i="18"/>
  <c r="AA53" i="18"/>
  <c r="AB53" i="18"/>
  <c r="X53" i="18"/>
  <c r="X55" i="18"/>
  <c r="AA55" i="18"/>
  <c r="X60" i="18"/>
  <c r="AB60" i="18"/>
  <c r="X69" i="18"/>
  <c r="AB69" i="18"/>
  <c r="AB72" i="18"/>
  <c r="X82" i="18"/>
  <c r="AA86" i="18"/>
  <c r="AB86" i="18"/>
  <c r="X86" i="18"/>
  <c r="Z99" i="18"/>
  <c r="AA99" i="18"/>
  <c r="X99" i="18"/>
  <c r="AB57" i="18"/>
  <c r="X62" i="18"/>
  <c r="X72" i="18"/>
  <c r="AA72" i="18"/>
  <c r="M29" i="18"/>
  <c r="Q43" i="18"/>
  <c r="P43" i="18"/>
  <c r="AB59" i="18"/>
  <c r="AA61" i="18"/>
  <c r="X61" i="18"/>
  <c r="Z62" i="18"/>
  <c r="X66" i="18"/>
  <c r="AB74" i="18"/>
  <c r="AB75" i="18"/>
  <c r="AB81" i="18"/>
  <c r="AB82" i="18"/>
  <c r="AB90" i="18"/>
  <c r="Q30" i="18"/>
  <c r="P33" i="18"/>
  <c r="P40" i="18"/>
  <c r="Q45" i="18"/>
  <c r="AB54" i="18"/>
  <c r="AA62" i="18"/>
  <c r="Z66" i="18"/>
  <c r="Z91" i="18"/>
  <c r="AB91" i="18"/>
  <c r="AA91" i="18"/>
  <c r="AB97" i="18"/>
  <c r="P29" i="18"/>
  <c r="AE42" i="18"/>
  <c r="X52" i="18"/>
  <c r="AA52" i="18"/>
  <c r="Z55" i="18"/>
  <c r="Z60" i="18"/>
  <c r="AB66" i="18"/>
  <c r="Z69" i="18"/>
  <c r="X71" i="18"/>
  <c r="Z87" i="18"/>
  <c r="AB92" i="18"/>
  <c r="X93" i="18"/>
  <c r="AB93" i="18"/>
  <c r="AA93" i="18"/>
  <c r="AB95" i="18"/>
  <c r="X96" i="18"/>
  <c r="AB96" i="18"/>
  <c r="AA96" i="18"/>
  <c r="Z96" i="18"/>
  <c r="AB99" i="18"/>
  <c r="AB47" i="18"/>
  <c r="AA47" i="18"/>
  <c r="Z71" i="18"/>
  <c r="Z67" i="18"/>
  <c r="AB67" i="18"/>
  <c r="X67" i="18"/>
  <c r="AB71" i="18"/>
  <c r="Z47" i="18"/>
  <c r="AB56" i="18"/>
  <c r="AB100" i="18"/>
  <c r="Z53" i="18"/>
  <c r="X54" i="18"/>
  <c r="X65" i="18"/>
  <c r="X74" i="18"/>
  <c r="X79" i="18"/>
  <c r="Z86" i="18"/>
  <c r="AB51" i="18"/>
  <c r="AB64" i="18"/>
  <c r="AB68" i="18"/>
  <c r="AB73" i="18"/>
  <c r="AA78" i="18"/>
  <c r="Z94" i="18"/>
  <c r="Q46" i="18"/>
  <c r="P46" i="18"/>
  <c r="AB48" i="18"/>
  <c r="Z50" i="18"/>
  <c r="AB89" i="18"/>
  <c r="AA94" i="18"/>
  <c r="AA56" i="18"/>
  <c r="AA64" i="18"/>
  <c r="AA73" i="18"/>
  <c r="AA81" i="18"/>
  <c r="AX87" i="18"/>
  <c r="AA89" i="18"/>
  <c r="AX95" i="18"/>
  <c r="AA97" i="18"/>
  <c r="T102" i="17"/>
  <c r="AE39" i="17"/>
  <c r="AG39" i="17" s="1"/>
  <c r="AJ41" i="17"/>
  <c r="AH39" i="16"/>
  <c r="Y87" i="16"/>
  <c r="AI39" i="16"/>
  <c r="AJ39" i="16" s="1"/>
  <c r="Y43" i="17"/>
  <c r="W40" i="17"/>
  <c r="Y40" i="17"/>
  <c r="AD7" i="17"/>
  <c r="AD8" i="17" s="1"/>
  <c r="AD9" i="17" s="1"/>
  <c r="AD10" i="17" s="1"/>
  <c r="AD11" i="17" s="1"/>
  <c r="AD12" i="17" s="1"/>
  <c r="AD13" i="17" s="1"/>
  <c r="AD14" i="17" s="1"/>
  <c r="AD15" i="17" s="1"/>
  <c r="AA7" i="17"/>
  <c r="AJ61" i="17"/>
  <c r="AJ53" i="17"/>
  <c r="AJ46" i="17"/>
  <c r="AJ60" i="17"/>
  <c r="AJ52" i="17"/>
  <c r="AJ42" i="17"/>
  <c r="AJ59" i="17"/>
  <c r="AJ51" i="17"/>
  <c r="AJ45" i="17"/>
  <c r="AJ57" i="17"/>
  <c r="AJ44" i="17"/>
  <c r="AI5" i="17"/>
  <c r="AJ5" i="17" s="1"/>
  <c r="AJ62" i="17"/>
  <c r="AJ56" i="17"/>
  <c r="AJ47" i="17"/>
  <c r="AJ58" i="17"/>
  <c r="AJ54" i="17"/>
  <c r="AI7" i="17"/>
  <c r="AJ7" i="17" s="1"/>
  <c r="AJ55" i="17"/>
  <c r="AI12" i="17"/>
  <c r="AJ12" i="17" s="1"/>
  <c r="AI11" i="17"/>
  <c r="AJ11" i="17" s="1"/>
  <c r="AI8" i="17"/>
  <c r="AJ8" i="17" s="1"/>
  <c r="AJ49" i="17"/>
  <c r="AJ43" i="17"/>
  <c r="AI3" i="17"/>
  <c r="AJ3" i="17" s="1"/>
  <c r="AJ48" i="17"/>
  <c r="AI14" i="17"/>
  <c r="AJ14" i="17" s="1"/>
  <c r="AI13" i="17"/>
  <c r="AJ13" i="17" s="1"/>
  <c r="AJ63" i="17"/>
  <c r="AI9" i="17"/>
  <c r="AJ9" i="17" s="1"/>
  <c r="AI4" i="17"/>
  <c r="AJ4" i="17" s="1"/>
  <c r="AI10" i="17"/>
  <c r="AJ10" i="17" s="1"/>
  <c r="AE3" i="17"/>
  <c r="AJ50" i="17"/>
  <c r="AI15" i="17"/>
  <c r="AJ15" i="17" s="1"/>
  <c r="AI6" i="17"/>
  <c r="AJ6" i="17" s="1"/>
  <c r="AA26" i="17"/>
  <c r="Y24" i="17"/>
  <c r="P4" i="17"/>
  <c r="Z7" i="17"/>
  <c r="AA8" i="17"/>
  <c r="O14" i="17"/>
  <c r="AA14" i="17" s="1"/>
  <c r="Z17" i="17"/>
  <c r="P19" i="17"/>
  <c r="P102" i="17" s="1"/>
  <c r="M22" i="17"/>
  <c r="Y22" i="17" s="1"/>
  <c r="P23" i="17"/>
  <c r="O38" i="17"/>
  <c r="Z88" i="17"/>
  <c r="Y88" i="17"/>
  <c r="Y93" i="17"/>
  <c r="W93" i="17"/>
  <c r="V102" i="17"/>
  <c r="X2" i="17"/>
  <c r="W15" i="17"/>
  <c r="M34" i="17"/>
  <c r="W36" i="17"/>
  <c r="P40" i="17"/>
  <c r="O40" i="17"/>
  <c r="Z40" i="17" s="1"/>
  <c r="P46" i="17"/>
  <c r="O46" i="17"/>
  <c r="Z46" i="17" s="1"/>
  <c r="Y84" i="17"/>
  <c r="N102" i="17"/>
  <c r="O2" i="17"/>
  <c r="AA2" i="17" s="1"/>
  <c r="W78" i="17"/>
  <c r="AA78" i="17"/>
  <c r="Z78" i="17"/>
  <c r="W2" i="17"/>
  <c r="W4" i="17"/>
  <c r="Y15" i="17"/>
  <c r="W19" i="17"/>
  <c r="W26" i="17"/>
  <c r="Z30" i="17"/>
  <c r="AA30" i="17"/>
  <c r="Y44" i="17"/>
  <c r="Y60" i="17"/>
  <c r="Z61" i="17"/>
  <c r="Y77" i="17"/>
  <c r="W77" i="17"/>
  <c r="AA77" i="17"/>
  <c r="Z77" i="17"/>
  <c r="W86" i="17"/>
  <c r="Z86" i="17"/>
  <c r="Y86" i="17"/>
  <c r="Z92" i="17"/>
  <c r="AA92" i="17"/>
  <c r="W96" i="17"/>
  <c r="O3" i="17"/>
  <c r="Z3" i="17" s="1"/>
  <c r="Y4" i="17"/>
  <c r="W9" i="17"/>
  <c r="O12" i="17"/>
  <c r="AA12" i="17" s="1"/>
  <c r="Z15" i="17"/>
  <c r="Z16" i="17"/>
  <c r="Y19" i="17"/>
  <c r="X25" i="17"/>
  <c r="Y25" i="17" s="1"/>
  <c r="W25" i="17"/>
  <c r="S102" i="17"/>
  <c r="M5" i="17"/>
  <c r="AE2" i="17" s="1"/>
  <c r="O33" i="17"/>
  <c r="Z33" i="17" s="1"/>
  <c r="Z10" i="17"/>
  <c r="X35" i="17"/>
  <c r="Y35" i="17" s="1"/>
  <c r="W35" i="17"/>
  <c r="Y36" i="17"/>
  <c r="X39" i="17"/>
  <c r="Y39" i="17" s="1"/>
  <c r="W39" i="17"/>
  <c r="O43" i="17"/>
  <c r="Z43" i="17" s="1"/>
  <c r="P43" i="17"/>
  <c r="Z2" i="17"/>
  <c r="AA6" i="17"/>
  <c r="O7" i="17"/>
  <c r="W8" i="17"/>
  <c r="AA10" i="17"/>
  <c r="W13" i="17"/>
  <c r="P17" i="17"/>
  <c r="Z20" i="17"/>
  <c r="Z25" i="17"/>
  <c r="O26" i="17"/>
  <c r="Z26" i="17" s="1"/>
  <c r="M24" i="17"/>
  <c r="M18" i="17"/>
  <c r="Y31" i="17"/>
  <c r="AA35" i="17"/>
  <c r="AA39" i="17"/>
  <c r="W54" i="17"/>
  <c r="Y54" i="17"/>
  <c r="W56" i="17"/>
  <c r="Y69" i="17"/>
  <c r="W69" i="17"/>
  <c r="AA69" i="17"/>
  <c r="Y78" i="17"/>
  <c r="Z80" i="17"/>
  <c r="AA80" i="17"/>
  <c r="W88" i="17"/>
  <c r="Z9" i="17"/>
  <c r="Y29" i="17"/>
  <c r="Z31" i="17"/>
  <c r="AK38" i="17"/>
  <c r="AK39" i="17" s="1"/>
  <c r="AI38" i="17"/>
  <c r="AF38" i="17"/>
  <c r="AE40" i="17"/>
  <c r="X41" i="17"/>
  <c r="Y41" i="17" s="1"/>
  <c r="W41" i="17"/>
  <c r="Z60" i="17"/>
  <c r="AA60" i="17"/>
  <c r="Y61" i="17"/>
  <c r="W61" i="17"/>
  <c r="Z84" i="17"/>
  <c r="W84" i="17"/>
  <c r="P27" i="17"/>
  <c r="O27" i="17"/>
  <c r="Z27" i="17" s="1"/>
  <c r="Z14" i="17"/>
  <c r="W17" i="17"/>
  <c r="AA23" i="17"/>
  <c r="W24" i="17"/>
  <c r="W30" i="17"/>
  <c r="AA31" i="17"/>
  <c r="P36" i="17"/>
  <c r="O36" i="17"/>
  <c r="Z36" i="17" s="1"/>
  <c r="AH38" i="17"/>
  <c r="AA43" i="17"/>
  <c r="Z68" i="17"/>
  <c r="AA68" i="17"/>
  <c r="Z96" i="17"/>
  <c r="Y96" i="17"/>
  <c r="Z28" i="17"/>
  <c r="AA45" i="17"/>
  <c r="AA28" i="17"/>
  <c r="AA51" i="17"/>
  <c r="AA65" i="17"/>
  <c r="Y68" i="17"/>
  <c r="AA70" i="17"/>
  <c r="AA72" i="17"/>
  <c r="AA74" i="17"/>
  <c r="AA83" i="17"/>
  <c r="P44" i="17"/>
  <c r="O44" i="17"/>
  <c r="Z44" i="17" s="1"/>
  <c r="X46" i="17"/>
  <c r="Y46" i="17" s="1"/>
  <c r="W46" i="17"/>
  <c r="Z52" i="17"/>
  <c r="AA59" i="17"/>
  <c r="AA82" i="17"/>
  <c r="AA91" i="17"/>
  <c r="AA99" i="17"/>
  <c r="AA32" i="17"/>
  <c r="X38" i="17"/>
  <c r="Y38" i="17" s="1"/>
  <c r="W38" i="17"/>
  <c r="Z45" i="17"/>
  <c r="AA48" i="17"/>
  <c r="W49" i="17"/>
  <c r="AA50" i="17"/>
  <c r="Y53" i="17"/>
  <c r="W53" i="17"/>
  <c r="AA63" i="17"/>
  <c r="W64" i="17"/>
  <c r="Z76" i="17"/>
  <c r="Y85" i="17"/>
  <c r="W85" i="17"/>
  <c r="Y100" i="17"/>
  <c r="W51" i="17"/>
  <c r="W59" i="17"/>
  <c r="W67" i="17"/>
  <c r="W75" i="17"/>
  <c r="W83" i="17"/>
  <c r="W91" i="17"/>
  <c r="AA95" i="17"/>
  <c r="Z50" i="17"/>
  <c r="W29" i="17"/>
  <c r="Z32" i="17"/>
  <c r="O34" i="17"/>
  <c r="Z37" i="17"/>
  <c r="O41" i="17"/>
  <c r="Z41" i="17" s="1"/>
  <c r="W43" i="17"/>
  <c r="Z51" i="17"/>
  <c r="Z59" i="17"/>
  <c r="Z67" i="17"/>
  <c r="Z75" i="17"/>
  <c r="Z83" i="17"/>
  <c r="Z91" i="17"/>
  <c r="Z99" i="17"/>
  <c r="M16" i="16"/>
  <c r="Y93" i="16"/>
  <c r="Y66" i="16"/>
  <c r="M19" i="16"/>
  <c r="AA19" i="16" s="1"/>
  <c r="T102" i="16"/>
  <c r="O14" i="16"/>
  <c r="P24" i="16"/>
  <c r="P26" i="16"/>
  <c r="Z52" i="16"/>
  <c r="AA71" i="16"/>
  <c r="AA95" i="16"/>
  <c r="Y28" i="16"/>
  <c r="Y20" i="16"/>
  <c r="AA76" i="16"/>
  <c r="AA100" i="16"/>
  <c r="P19" i="16"/>
  <c r="AA59" i="16"/>
  <c r="Y74" i="16"/>
  <c r="Y90" i="16"/>
  <c r="O9" i="16"/>
  <c r="Z9" i="16" s="1"/>
  <c r="O25" i="16"/>
  <c r="P35" i="16"/>
  <c r="Y42" i="16"/>
  <c r="AA50" i="16"/>
  <c r="AA58" i="16"/>
  <c r="Y61" i="16"/>
  <c r="Y79" i="16"/>
  <c r="Y35" i="16"/>
  <c r="Y47" i="16"/>
  <c r="Y55" i="16"/>
  <c r="AA66" i="16"/>
  <c r="Y84" i="16"/>
  <c r="P7" i="16"/>
  <c r="AA63" i="16"/>
  <c r="AA77" i="16"/>
  <c r="Y85" i="16"/>
  <c r="AA93" i="16"/>
  <c r="AI38" i="16"/>
  <c r="AF38" i="16"/>
  <c r="AF39" i="16" s="1"/>
  <c r="AK38" i="16"/>
  <c r="AK39" i="16" s="1"/>
  <c r="X83" i="15"/>
  <c r="Y66" i="15"/>
  <c r="Y74" i="15"/>
  <c r="X98" i="15"/>
  <c r="AA61" i="16"/>
  <c r="Z90" i="16"/>
  <c r="AA51" i="16"/>
  <c r="W57" i="16"/>
  <c r="W66" i="16"/>
  <c r="Z70" i="16"/>
  <c r="W95" i="16"/>
  <c r="AA26" i="16"/>
  <c r="AA34" i="16"/>
  <c r="Y48" i="16"/>
  <c r="Z74" i="16"/>
  <c r="AA8" i="16"/>
  <c r="Y34" i="16"/>
  <c r="Z82" i="16"/>
  <c r="Y50" i="16"/>
  <c r="Y68" i="16"/>
  <c r="W71" i="16"/>
  <c r="Y32" i="16"/>
  <c r="Z45" i="16"/>
  <c r="Y62" i="16"/>
  <c r="Y65" i="16"/>
  <c r="Z68" i="16"/>
  <c r="Y69" i="16"/>
  <c r="AA75" i="16"/>
  <c r="Y82" i="16"/>
  <c r="Z84" i="16"/>
  <c r="Y58" i="16"/>
  <c r="Z60" i="16"/>
  <c r="Y78" i="16"/>
  <c r="Y94" i="16"/>
  <c r="Y95" i="16"/>
  <c r="Y98" i="16"/>
  <c r="W17" i="16"/>
  <c r="Y45" i="16"/>
  <c r="Y52" i="16"/>
  <c r="Y64" i="16"/>
  <c r="Z94" i="16"/>
  <c r="W87" i="16"/>
  <c r="Y60" i="16"/>
  <c r="Y71" i="16"/>
  <c r="Y8" i="16"/>
  <c r="AA32" i="16"/>
  <c r="Y56" i="16"/>
  <c r="Z98" i="16"/>
  <c r="Y12" i="16"/>
  <c r="Y4" i="16"/>
  <c r="Y11" i="16"/>
  <c r="AA33" i="16"/>
  <c r="M5" i="16"/>
  <c r="W5" i="16" s="1"/>
  <c r="M15" i="16"/>
  <c r="Y15" i="16" s="1"/>
  <c r="M18" i="16"/>
  <c r="W18" i="16" s="1"/>
  <c r="Y21" i="16"/>
  <c r="W43" i="16"/>
  <c r="W33" i="16"/>
  <c r="W2" i="16"/>
  <c r="Y27" i="16"/>
  <c r="Y39" i="16"/>
  <c r="Y9" i="16"/>
  <c r="P3" i="16"/>
  <c r="O44" i="16"/>
  <c r="M3" i="16"/>
  <c r="AA3" i="16" s="1"/>
  <c r="Z13" i="16"/>
  <c r="X17" i="16"/>
  <c r="Y17" i="16" s="1"/>
  <c r="O29" i="16"/>
  <c r="P40" i="16"/>
  <c r="M44" i="16"/>
  <c r="W44" i="16" s="1"/>
  <c r="Y57" i="16"/>
  <c r="Z62" i="16"/>
  <c r="AA68" i="16"/>
  <c r="Z76" i="16"/>
  <c r="AA82" i="16"/>
  <c r="AA87" i="16"/>
  <c r="Z100" i="16"/>
  <c r="O13" i="16"/>
  <c r="AA13" i="16" s="1"/>
  <c r="O2" i="16"/>
  <c r="X6" i="16"/>
  <c r="Y6" i="16" s="1"/>
  <c r="W8" i="16"/>
  <c r="O10" i="16"/>
  <c r="Z10" i="16" s="1"/>
  <c r="W11" i="16"/>
  <c r="Y16" i="16"/>
  <c r="O18" i="16"/>
  <c r="O23" i="16"/>
  <c r="Z23" i="16" s="1"/>
  <c r="O27" i="16"/>
  <c r="O37" i="16"/>
  <c r="P39" i="16"/>
  <c r="P41" i="16"/>
  <c r="W47" i="16"/>
  <c r="W55" i="16"/>
  <c r="Y88" i="16"/>
  <c r="W92" i="16"/>
  <c r="P28" i="16"/>
  <c r="AA4" i="16"/>
  <c r="M7" i="16"/>
  <c r="Y7" i="16" s="1"/>
  <c r="X13" i="16"/>
  <c r="Y13" i="16" s="1"/>
  <c r="O15" i="16"/>
  <c r="Z17" i="16"/>
  <c r="O46" i="16"/>
  <c r="AA46" i="16" s="1"/>
  <c r="AA85" i="16"/>
  <c r="AA89" i="16"/>
  <c r="AA91" i="16"/>
  <c r="Y92" i="16"/>
  <c r="W10" i="16"/>
  <c r="M14" i="16"/>
  <c r="AA14" i="16" s="1"/>
  <c r="M25" i="16"/>
  <c r="W25" i="16" s="1"/>
  <c r="Z32" i="16"/>
  <c r="W39" i="16"/>
  <c r="P43" i="16"/>
  <c r="AA52" i="16"/>
  <c r="Y54" i="16"/>
  <c r="AA60" i="16"/>
  <c r="W63" i="16"/>
  <c r="AA65" i="16"/>
  <c r="AA74" i="16"/>
  <c r="Z78" i="16"/>
  <c r="AA84" i="16"/>
  <c r="AA98" i="16"/>
  <c r="AA10" i="16"/>
  <c r="AA9" i="16"/>
  <c r="AA11" i="16"/>
  <c r="Y23" i="16"/>
  <c r="M29" i="16"/>
  <c r="W30" i="16"/>
  <c r="AA35" i="16"/>
  <c r="AA39" i="16"/>
  <c r="Z54" i="16"/>
  <c r="Y72" i="16"/>
  <c r="W76" i="16"/>
  <c r="Y77" i="16"/>
  <c r="AA79" i="16"/>
  <c r="W81" i="16"/>
  <c r="Y86" i="16"/>
  <c r="W90" i="16"/>
  <c r="Y96" i="16"/>
  <c r="W100" i="16"/>
  <c r="AA37" i="16"/>
  <c r="W9" i="16"/>
  <c r="W49" i="16"/>
  <c r="Z50" i="16"/>
  <c r="AA55" i="16"/>
  <c r="Z58" i="16"/>
  <c r="Y63" i="16"/>
  <c r="AA69" i="16"/>
  <c r="AA73" i="16"/>
  <c r="Y76" i="16"/>
  <c r="Z86" i="16"/>
  <c r="AA92" i="16"/>
  <c r="AA97" i="16"/>
  <c r="Y100" i="16"/>
  <c r="Z8" i="16"/>
  <c r="V102" i="16"/>
  <c r="O5" i="16"/>
  <c r="P8" i="16"/>
  <c r="X10" i="16"/>
  <c r="Y10" i="16" s="1"/>
  <c r="O12" i="16"/>
  <c r="Z12" i="16" s="1"/>
  <c r="X14" i="16"/>
  <c r="O16" i="16"/>
  <c r="AA16" i="16" s="1"/>
  <c r="X18" i="16"/>
  <c r="O20" i="16"/>
  <c r="Z20" i="16" s="1"/>
  <c r="AA43" i="16"/>
  <c r="Z43" i="16"/>
  <c r="M24" i="16"/>
  <c r="Z27" i="16"/>
  <c r="AA27" i="16"/>
  <c r="W35" i="16"/>
  <c r="Z39" i="16"/>
  <c r="X43" i="16"/>
  <c r="Y43" i="16" s="1"/>
  <c r="W45" i="16"/>
  <c r="AA47" i="16"/>
  <c r="Z67" i="16"/>
  <c r="Y67" i="16"/>
  <c r="W67" i="16"/>
  <c r="Z83" i="16"/>
  <c r="Y83" i="16"/>
  <c r="W83" i="16"/>
  <c r="Z99" i="16"/>
  <c r="Y99" i="16"/>
  <c r="W99" i="16"/>
  <c r="AC8" i="16"/>
  <c r="AA20" i="16"/>
  <c r="X37" i="16"/>
  <c r="Y37" i="16" s="1"/>
  <c r="W37" i="16"/>
  <c r="Z61" i="16"/>
  <c r="W61" i="16"/>
  <c r="Z77" i="16"/>
  <c r="W77" i="16"/>
  <c r="Z93" i="16"/>
  <c r="W93" i="16"/>
  <c r="P38" i="16"/>
  <c r="O38" i="16"/>
  <c r="Z38" i="16" s="1"/>
  <c r="O21" i="16"/>
  <c r="AA21" i="16" s="1"/>
  <c r="M22" i="16"/>
  <c r="M40" i="16"/>
  <c r="Y40" i="16" s="1"/>
  <c r="M36" i="16"/>
  <c r="M31" i="16"/>
  <c r="W31" i="16" s="1"/>
  <c r="S102" i="16"/>
  <c r="P30" i="16"/>
  <c r="O30" i="16"/>
  <c r="Z30" i="16" s="1"/>
  <c r="P33" i="16"/>
  <c r="X36" i="16"/>
  <c r="Z37" i="16"/>
  <c r="Z42" i="16"/>
  <c r="W46" i="16"/>
  <c r="Z49" i="16"/>
  <c r="Y49" i="16"/>
  <c r="Z53" i="16"/>
  <c r="W53" i="16"/>
  <c r="Y2" i="16"/>
  <c r="O6" i="16"/>
  <c r="Z6" i="16" s="1"/>
  <c r="W12" i="16"/>
  <c r="W16" i="16"/>
  <c r="W20" i="16"/>
  <c r="AA30" i="16"/>
  <c r="X26" i="16"/>
  <c r="Y26" i="16" s="1"/>
  <c r="W26" i="16"/>
  <c r="Z34" i="16"/>
  <c r="W34" i="16"/>
  <c r="Z33" i="16"/>
  <c r="X31" i="16"/>
  <c r="Y33" i="16"/>
  <c r="P34" i="16"/>
  <c r="AJ41" i="16"/>
  <c r="Y38" i="16"/>
  <c r="P42" i="16"/>
  <c r="O42" i="16"/>
  <c r="AA42" i="16" s="1"/>
  <c r="X46" i="16"/>
  <c r="Y46" i="16" s="1"/>
  <c r="Y53" i="16"/>
  <c r="Z2" i="16"/>
  <c r="Z4" i="16"/>
  <c r="Z11" i="16"/>
  <c r="Z26" i="16"/>
  <c r="AA45" i="16"/>
  <c r="AA53" i="16"/>
  <c r="Z59" i="16"/>
  <c r="Y59" i="16"/>
  <c r="W59" i="16"/>
  <c r="Z75" i="16"/>
  <c r="Y75" i="16"/>
  <c r="W75" i="16"/>
  <c r="Z91" i="16"/>
  <c r="Y91" i="16"/>
  <c r="W91" i="16"/>
  <c r="X44" i="16"/>
  <c r="N102" i="16"/>
  <c r="AA2" i="16"/>
  <c r="W27" i="16"/>
  <c r="AA28" i="16"/>
  <c r="Z28" i="16"/>
  <c r="X30" i="16"/>
  <c r="Y30" i="16" s="1"/>
  <c r="Z51" i="16"/>
  <c r="Y51" i="16"/>
  <c r="W51" i="16"/>
  <c r="AA67" i="16"/>
  <c r="Z69" i="16"/>
  <c r="W69" i="16"/>
  <c r="AA83" i="16"/>
  <c r="Z85" i="16"/>
  <c r="W85" i="16"/>
  <c r="AA99" i="16"/>
  <c r="Z47" i="16"/>
  <c r="W50" i="16"/>
  <c r="AA54" i="16"/>
  <c r="Z55" i="16"/>
  <c r="W58" i="16"/>
  <c r="AA62" i="16"/>
  <c r="Z63" i="16"/>
  <c r="AA70" i="16"/>
  <c r="Z71" i="16"/>
  <c r="AA78" i="16"/>
  <c r="Z79" i="16"/>
  <c r="AA86" i="16"/>
  <c r="Z87" i="16"/>
  <c r="AA94" i="16"/>
  <c r="Z95" i="16"/>
  <c r="Z48" i="16"/>
  <c r="Z56" i="16"/>
  <c r="Z64" i="16"/>
  <c r="Z72" i="16"/>
  <c r="Y73" i="16"/>
  <c r="Z80" i="16"/>
  <c r="Y81" i="16"/>
  <c r="Z88" i="16"/>
  <c r="Y89" i="16"/>
  <c r="Z96" i="16"/>
  <c r="Y97" i="16"/>
  <c r="AA48" i="16"/>
  <c r="AA56" i="16"/>
  <c r="Z57" i="16"/>
  <c r="AA64" i="16"/>
  <c r="Z65" i="16"/>
  <c r="AA72" i="16"/>
  <c r="Z73" i="16"/>
  <c r="AA80" i="16"/>
  <c r="Z81" i="16"/>
  <c r="AA88" i="16"/>
  <c r="Z89" i="16"/>
  <c r="AA96" i="16"/>
  <c r="Z97" i="16"/>
  <c r="M41" i="16"/>
  <c r="N30" i="15"/>
  <c r="O36" i="15"/>
  <c r="O14" i="15"/>
  <c r="N26" i="15"/>
  <c r="N5" i="15"/>
  <c r="N35" i="15"/>
  <c r="X10" i="15"/>
  <c r="N17" i="15"/>
  <c r="Y17" i="15" s="1"/>
  <c r="N34" i="15"/>
  <c r="Y34" i="15" s="1"/>
  <c r="X87" i="15"/>
  <c r="O7" i="15"/>
  <c r="L18" i="15"/>
  <c r="V18" i="15" s="1"/>
  <c r="N29" i="15"/>
  <c r="Z29" i="15" s="1"/>
  <c r="Y85" i="15"/>
  <c r="Y93" i="15"/>
  <c r="L15" i="15"/>
  <c r="V15" i="15" s="1"/>
  <c r="O32" i="15"/>
  <c r="N45" i="15"/>
  <c r="Y45" i="15" s="1"/>
  <c r="Z60" i="15"/>
  <c r="Z68" i="15"/>
  <c r="O38" i="15"/>
  <c r="N19" i="15"/>
  <c r="Y19" i="15" s="1"/>
  <c r="O22" i="15"/>
  <c r="Y27" i="15"/>
  <c r="O42" i="15"/>
  <c r="Y56" i="15"/>
  <c r="X95" i="15"/>
  <c r="Z99" i="15"/>
  <c r="X60" i="15"/>
  <c r="Z81" i="15"/>
  <c r="Z84" i="15"/>
  <c r="O9" i="15"/>
  <c r="O24" i="15"/>
  <c r="X57" i="15"/>
  <c r="Z64" i="15"/>
  <c r="X74" i="15"/>
  <c r="Z61" i="15"/>
  <c r="X65" i="15"/>
  <c r="Z75" i="15"/>
  <c r="Y94" i="15"/>
  <c r="Z35" i="15"/>
  <c r="X73" i="15"/>
  <c r="Z80" i="15"/>
  <c r="X90" i="15"/>
  <c r="Z92" i="15"/>
  <c r="Z71" i="15"/>
  <c r="Z88" i="15"/>
  <c r="N4" i="15"/>
  <c r="Y4" i="15" s="1"/>
  <c r="O10" i="15"/>
  <c r="N18" i="15"/>
  <c r="N33" i="15"/>
  <c r="Y33" i="15" s="1"/>
  <c r="N37" i="15"/>
  <c r="O43" i="15"/>
  <c r="Z74" i="15"/>
  <c r="Z87" i="15"/>
  <c r="X52" i="15"/>
  <c r="Z57" i="15"/>
  <c r="X66" i="15"/>
  <c r="X72" i="15"/>
  <c r="V96" i="15"/>
  <c r="Z9" i="15"/>
  <c r="Z11" i="15"/>
  <c r="Z32" i="15"/>
  <c r="Y42" i="15"/>
  <c r="L44" i="15"/>
  <c r="Y44" i="15" s="1"/>
  <c r="Z56" i="15"/>
  <c r="Z67" i="15"/>
  <c r="Z73" i="15"/>
  <c r="Z77" i="15"/>
  <c r="Z79" i="15"/>
  <c r="V81" i="15"/>
  <c r="X96" i="15"/>
  <c r="V99" i="15"/>
  <c r="L7" i="15"/>
  <c r="X7" i="15" s="1"/>
  <c r="L14" i="15"/>
  <c r="Y14" i="15" s="1"/>
  <c r="L24" i="15"/>
  <c r="Y24" i="15" s="1"/>
  <c r="Y28" i="15"/>
  <c r="Y50" i="15"/>
  <c r="V51" i="15"/>
  <c r="Y61" i="15"/>
  <c r="V64" i="15"/>
  <c r="V80" i="15"/>
  <c r="X81" i="15"/>
  <c r="X84" i="15"/>
  <c r="Y88" i="15"/>
  <c r="Y98" i="15"/>
  <c r="X99" i="15"/>
  <c r="V45" i="15"/>
  <c r="Z49" i="15"/>
  <c r="X54" i="15"/>
  <c r="X64" i="15"/>
  <c r="Z69" i="15"/>
  <c r="Z72" i="15"/>
  <c r="X80" i="15"/>
  <c r="Z82" i="15"/>
  <c r="Z89" i="15"/>
  <c r="Z93" i="15"/>
  <c r="Z97" i="15"/>
  <c r="X20" i="15"/>
  <c r="X12" i="15"/>
  <c r="Z10" i="15"/>
  <c r="Z52" i="15"/>
  <c r="Z55" i="15"/>
  <c r="Z65" i="15"/>
  <c r="Y80" i="15"/>
  <c r="Z85" i="15"/>
  <c r="Z96" i="15"/>
  <c r="V23" i="15"/>
  <c r="X45" i="15"/>
  <c r="V12" i="15"/>
  <c r="L16" i="15"/>
  <c r="X16" i="15" s="1"/>
  <c r="X21" i="15"/>
  <c r="L30" i="15"/>
  <c r="X30" i="15" s="1"/>
  <c r="Z47" i="15"/>
  <c r="Y48" i="15"/>
  <c r="V57" i="15"/>
  <c r="Y62" i="15"/>
  <c r="Y70" i="15"/>
  <c r="Y86" i="15"/>
  <c r="Y90" i="15"/>
  <c r="X97" i="15"/>
  <c r="X34" i="15"/>
  <c r="V10" i="15"/>
  <c r="Z48" i="15"/>
  <c r="V9" i="15"/>
  <c r="X25" i="15"/>
  <c r="X17" i="15"/>
  <c r="Y9" i="15"/>
  <c r="Z27" i="15"/>
  <c r="X55" i="15"/>
  <c r="Y58" i="15"/>
  <c r="Y64" i="15"/>
  <c r="X79" i="15"/>
  <c r="Y82" i="15"/>
  <c r="V88" i="15"/>
  <c r="X28" i="15"/>
  <c r="X23" i="15"/>
  <c r="X59" i="15"/>
  <c r="X63" i="15"/>
  <c r="X71" i="15"/>
  <c r="Y72" i="15"/>
  <c r="X88" i="15"/>
  <c r="X89" i="15"/>
  <c r="X94" i="15"/>
  <c r="X11" i="15"/>
  <c r="X19" i="15"/>
  <c r="V27" i="15"/>
  <c r="V49" i="15"/>
  <c r="V67" i="15"/>
  <c r="V75" i="15"/>
  <c r="X78" i="15"/>
  <c r="V82" i="15"/>
  <c r="X4" i="15"/>
  <c r="Y10" i="15"/>
  <c r="Y35" i="15"/>
  <c r="X37" i="15"/>
  <c r="X39" i="15"/>
  <c r="X48" i="15"/>
  <c r="Y54" i="15"/>
  <c r="X58" i="15"/>
  <c r="X62" i="15"/>
  <c r="X67" i="15"/>
  <c r="X70" i="15"/>
  <c r="X75" i="15"/>
  <c r="Y78" i="15"/>
  <c r="X82" i="15"/>
  <c r="X86" i="15"/>
  <c r="X92" i="15"/>
  <c r="V97" i="15"/>
  <c r="X43" i="15"/>
  <c r="X35" i="15"/>
  <c r="W18" i="15"/>
  <c r="X18" i="15" s="1"/>
  <c r="V43" i="15"/>
  <c r="V35" i="15"/>
  <c r="X33" i="15"/>
  <c r="W9" i="15"/>
  <c r="X9" i="15" s="1"/>
  <c r="W8" i="15"/>
  <c r="X8" i="15" s="1"/>
  <c r="V39" i="15"/>
  <c r="U102" i="15"/>
  <c r="V25" i="15"/>
  <c r="V4" i="15"/>
  <c r="V17" i="15"/>
  <c r="V20" i="15"/>
  <c r="X42" i="15"/>
  <c r="AB8" i="15"/>
  <c r="AH4" i="15" s="1"/>
  <c r="AI4" i="15" s="1"/>
  <c r="X32" i="15"/>
  <c r="X53" i="15"/>
  <c r="M102" i="15"/>
  <c r="N2" i="15"/>
  <c r="O2" i="15"/>
  <c r="AH31" i="15"/>
  <c r="AG31" i="15"/>
  <c r="AE31" i="15"/>
  <c r="N12" i="15"/>
  <c r="Z12" i="15" s="1"/>
  <c r="O12" i="15"/>
  <c r="V31" i="15"/>
  <c r="Z19" i="15"/>
  <c r="AC40" i="15"/>
  <c r="AC41" i="15" s="1"/>
  <c r="AC42" i="15" s="1"/>
  <c r="AC43" i="15" s="1"/>
  <c r="AC44" i="15" s="1"/>
  <c r="AC45" i="15" s="1"/>
  <c r="AC46" i="15" s="1"/>
  <c r="AC47" i="15" s="1"/>
  <c r="N20" i="15"/>
  <c r="Z20" i="15" s="1"/>
  <c r="O20" i="15"/>
  <c r="X31" i="15"/>
  <c r="Z45" i="15"/>
  <c r="X13" i="15"/>
  <c r="V13" i="15"/>
  <c r="L36" i="15"/>
  <c r="R102" i="15"/>
  <c r="L2" i="15"/>
  <c r="L5" i="15"/>
  <c r="X5" i="15" s="1"/>
  <c r="L22" i="15"/>
  <c r="X22" i="15" s="1"/>
  <c r="L40" i="15"/>
  <c r="AC9" i="15"/>
  <c r="AC10" i="15" s="1"/>
  <c r="AC11" i="15" s="1"/>
  <c r="AC12" i="15" s="1"/>
  <c r="AC13" i="15" s="1"/>
  <c r="AC14" i="15" s="1"/>
  <c r="AC15" i="15" s="1"/>
  <c r="Z21" i="15"/>
  <c r="N39" i="15"/>
  <c r="Y39" i="15" s="1"/>
  <c r="O39" i="15"/>
  <c r="V26" i="15"/>
  <c r="Z26" i="15"/>
  <c r="Y26" i="15"/>
  <c r="X26" i="15"/>
  <c r="Y6" i="15"/>
  <c r="X6" i="15"/>
  <c r="V6" i="15"/>
  <c r="N21" i="15"/>
  <c r="Y21" i="15" s="1"/>
  <c r="O21" i="15"/>
  <c r="V63" i="15"/>
  <c r="Y63" i="15"/>
  <c r="Z7" i="15"/>
  <c r="V34" i="15"/>
  <c r="N6" i="15"/>
  <c r="Z6" i="15" s="1"/>
  <c r="V11" i="15"/>
  <c r="N13" i="15"/>
  <c r="Z13" i="15" s="1"/>
  <c r="V19" i="15"/>
  <c r="V21" i="15"/>
  <c r="X27" i="15"/>
  <c r="Z28" i="15"/>
  <c r="V28" i="15"/>
  <c r="N31" i="15"/>
  <c r="Y31" i="15" s="1"/>
  <c r="L38" i="15"/>
  <c r="X38" i="15" s="1"/>
  <c r="Z51" i="15"/>
  <c r="X61" i="15"/>
  <c r="V61" i="15"/>
  <c r="Y68" i="15"/>
  <c r="V68" i="15"/>
  <c r="V87" i="15"/>
  <c r="Y87" i="15"/>
  <c r="X93" i="15"/>
  <c r="V93" i="15"/>
  <c r="Y100" i="15"/>
  <c r="V100" i="15"/>
  <c r="Y77" i="15"/>
  <c r="Y76" i="15"/>
  <c r="V76" i="15"/>
  <c r="N8" i="15"/>
  <c r="Y8" i="15" s="1"/>
  <c r="N15" i="15"/>
  <c r="N23" i="15"/>
  <c r="V33" i="15"/>
  <c r="Z33" i="15"/>
  <c r="AH32" i="15"/>
  <c r="AI32" i="15" s="1"/>
  <c r="AJ32" i="15" s="1"/>
  <c r="AH34" i="15"/>
  <c r="AI34" i="15" s="1"/>
  <c r="AD32" i="15"/>
  <c r="N46" i="15"/>
  <c r="Y46" i="15" s="1"/>
  <c r="V55" i="15"/>
  <c r="Y55" i="15"/>
  <c r="Y60" i="15"/>
  <c r="V60" i="15"/>
  <c r="X76" i="15"/>
  <c r="V79" i="15"/>
  <c r="Y79" i="15"/>
  <c r="X85" i="15"/>
  <c r="V85" i="15"/>
  <c r="Y92" i="15"/>
  <c r="V92" i="15"/>
  <c r="X2" i="15"/>
  <c r="L3" i="15"/>
  <c r="Y11" i="15"/>
  <c r="N16" i="15"/>
  <c r="Z43" i="15"/>
  <c r="Y43" i="15"/>
  <c r="V29" i="15"/>
  <c r="V32" i="15"/>
  <c r="N40" i="15"/>
  <c r="V42" i="15"/>
  <c r="O44" i="15"/>
  <c r="X49" i="15"/>
  <c r="Z50" i="15"/>
  <c r="Y52" i="15"/>
  <c r="V52" i="15"/>
  <c r="Y53" i="15"/>
  <c r="Z59" i="15"/>
  <c r="Z66" i="15"/>
  <c r="Y69" i="15"/>
  <c r="Z76" i="15"/>
  <c r="Z91" i="15"/>
  <c r="Z98" i="15"/>
  <c r="X100" i="15"/>
  <c r="V95" i="15"/>
  <c r="Y95" i="15"/>
  <c r="Y20" i="15"/>
  <c r="N25" i="15"/>
  <c r="Y25" i="15" s="1"/>
  <c r="X29" i="15"/>
  <c r="Z34" i="15"/>
  <c r="Z37" i="15"/>
  <c r="L41" i="15"/>
  <c r="X41" i="15" s="1"/>
  <c r="V44" i="15"/>
  <c r="V47" i="15"/>
  <c r="Y47" i="15"/>
  <c r="Y49" i="15"/>
  <c r="Z53" i="15"/>
  <c r="Z63" i="15"/>
  <c r="X68" i="15"/>
  <c r="V71" i="15"/>
  <c r="Y71" i="15"/>
  <c r="X77" i="15"/>
  <c r="V77" i="15"/>
  <c r="Y84" i="15"/>
  <c r="V84" i="15"/>
  <c r="Z95" i="15"/>
  <c r="Z100" i="15"/>
  <c r="X69" i="15"/>
  <c r="V69" i="15"/>
  <c r="Z42" i="15"/>
  <c r="V46" i="15"/>
  <c r="Z46" i="15"/>
  <c r="Y32" i="15"/>
  <c r="O41" i="15"/>
  <c r="N41" i="15"/>
  <c r="X46" i="15"/>
  <c r="Z58" i="15"/>
  <c r="Z83" i="15"/>
  <c r="Z90" i="15"/>
  <c r="Z54" i="15"/>
  <c r="Z62" i="15"/>
  <c r="Z70" i="15"/>
  <c r="Z78" i="15"/>
  <c r="Z86" i="15"/>
  <c r="Z94" i="15"/>
  <c r="Y57" i="15"/>
  <c r="Y65" i="15"/>
  <c r="Y73" i="15"/>
  <c r="Y81" i="15"/>
  <c r="Y89" i="15"/>
  <c r="Y97" i="15"/>
  <c r="Y37" i="15"/>
  <c r="Y51" i="15"/>
  <c r="Y59" i="15"/>
  <c r="Y67" i="15"/>
  <c r="Y75" i="15"/>
  <c r="Y83" i="15"/>
  <c r="Y91" i="15"/>
  <c r="Y99" i="15"/>
  <c r="J15" i="14"/>
  <c r="J20" i="14"/>
  <c r="J25" i="14"/>
  <c r="Z3" i="14"/>
  <c r="AB3" i="14" s="1"/>
  <c r="K18" i="14"/>
  <c r="J28" i="14"/>
  <c r="U28" i="14" s="1"/>
  <c r="J12" i="14"/>
  <c r="K11" i="14"/>
  <c r="K41" i="14"/>
  <c r="K45" i="14"/>
  <c r="V67" i="14"/>
  <c r="K24" i="14"/>
  <c r="H8" i="14"/>
  <c r="T11" i="14"/>
  <c r="H17" i="14"/>
  <c r="T17" i="14" s="1"/>
  <c r="H76" i="14"/>
  <c r="V76" i="14" s="1"/>
  <c r="H3" i="14"/>
  <c r="R3" i="14" s="1"/>
  <c r="H27" i="14"/>
  <c r="U27" i="14" s="1"/>
  <c r="H51" i="14"/>
  <c r="V51" i="14" s="1"/>
  <c r="H10" i="14"/>
  <c r="R10" i="14" s="1"/>
  <c r="U5" i="14"/>
  <c r="U18" i="14"/>
  <c r="J9" i="14"/>
  <c r="K9" i="14"/>
  <c r="Y39" i="14"/>
  <c r="AD38" i="14"/>
  <c r="AE38" i="14" s="1"/>
  <c r="T4" i="14"/>
  <c r="U4" i="14"/>
  <c r="R4" i="14"/>
  <c r="T92" i="14"/>
  <c r="R92" i="14"/>
  <c r="U92" i="14"/>
  <c r="V92" i="14"/>
  <c r="V9" i="14"/>
  <c r="T52" i="14"/>
  <c r="R52" i="14"/>
  <c r="U99" i="14"/>
  <c r="R99" i="14"/>
  <c r="H2" i="14"/>
  <c r="J3" i="14"/>
  <c r="J4" i="14"/>
  <c r="V4" i="14" s="1"/>
  <c r="Z4" i="14"/>
  <c r="J10" i="14"/>
  <c r="V11" i="14"/>
  <c r="K16" i="14"/>
  <c r="J17" i="14"/>
  <c r="H19" i="14"/>
  <c r="J36" i="14"/>
  <c r="AD32" i="14"/>
  <c r="AE32" i="14" s="1"/>
  <c r="AF32" i="14" s="1"/>
  <c r="AF33" i="14" s="1"/>
  <c r="AD34" i="14"/>
  <c r="AE34" i="14" s="1"/>
  <c r="Z32" i="14"/>
  <c r="H44" i="14"/>
  <c r="H75" i="14"/>
  <c r="T75" i="14" s="1"/>
  <c r="H84" i="14"/>
  <c r="T76" i="14"/>
  <c r="R76" i="14"/>
  <c r="I102" i="14"/>
  <c r="Y5" i="14"/>
  <c r="H6" i="14"/>
  <c r="R9" i="14"/>
  <c r="H12" i="14"/>
  <c r="H20" i="14"/>
  <c r="J26" i="14"/>
  <c r="K27" i="14"/>
  <c r="V5" i="14"/>
  <c r="H7" i="14"/>
  <c r="T7" i="14" s="1"/>
  <c r="H13" i="14"/>
  <c r="T13" i="14" s="1"/>
  <c r="H21" i="14"/>
  <c r="T21" i="14" s="1"/>
  <c r="T27" i="14"/>
  <c r="T28" i="14"/>
  <c r="J43" i="14"/>
  <c r="H60" i="14"/>
  <c r="T67" i="14"/>
  <c r="H83" i="14"/>
  <c r="T83" i="14" s="1"/>
  <c r="T99" i="14"/>
  <c r="U11" i="14"/>
  <c r="V18" i="14"/>
  <c r="R5" i="14"/>
  <c r="T9" i="14"/>
  <c r="H98" i="14"/>
  <c r="H90" i="14"/>
  <c r="H82" i="14"/>
  <c r="H74" i="14"/>
  <c r="T74" i="14" s="1"/>
  <c r="H66" i="14"/>
  <c r="T66" i="14" s="1"/>
  <c r="H58" i="14"/>
  <c r="H50" i="14"/>
  <c r="H43" i="14"/>
  <c r="T43" i="14" s="1"/>
  <c r="H36" i="14"/>
  <c r="H26" i="14"/>
  <c r="H97" i="14"/>
  <c r="H89" i="14"/>
  <c r="H81" i="14"/>
  <c r="H73" i="14"/>
  <c r="H65" i="14"/>
  <c r="H57" i="14"/>
  <c r="T57" i="14" s="1"/>
  <c r="H49" i="14"/>
  <c r="H42" i="14"/>
  <c r="H35" i="14"/>
  <c r="H25" i="14"/>
  <c r="T25" i="14" s="1"/>
  <c r="H96" i="14"/>
  <c r="H88" i="14"/>
  <c r="H80" i="14"/>
  <c r="T80" i="14" s="1"/>
  <c r="H72" i="14"/>
  <c r="T72" i="14" s="1"/>
  <c r="H64" i="14"/>
  <c r="H56" i="14"/>
  <c r="T56" i="14" s="1"/>
  <c r="H48" i="14"/>
  <c r="H41" i="14"/>
  <c r="H24" i="14"/>
  <c r="H95" i="14"/>
  <c r="T95" i="14" s="1"/>
  <c r="H87" i="14"/>
  <c r="H79" i="14"/>
  <c r="T79" i="14" s="1"/>
  <c r="H71" i="14"/>
  <c r="T71" i="14" s="1"/>
  <c r="H63" i="14"/>
  <c r="H55" i="14"/>
  <c r="H47" i="14"/>
  <c r="T47" i="14" s="1"/>
  <c r="H40" i="14"/>
  <c r="T40" i="14" s="1"/>
  <c r="H34" i="14"/>
  <c r="H31" i="14"/>
  <c r="T31" i="14" s="1"/>
  <c r="N102" i="14"/>
  <c r="H94" i="14"/>
  <c r="H86" i="14"/>
  <c r="H78" i="14"/>
  <c r="H70" i="14"/>
  <c r="H62" i="14"/>
  <c r="H54" i="14"/>
  <c r="H46" i="14"/>
  <c r="H39" i="14"/>
  <c r="H33" i="14"/>
  <c r="T33" i="14" s="1"/>
  <c r="H30" i="14"/>
  <c r="H93" i="14"/>
  <c r="H85" i="14"/>
  <c r="H77" i="14"/>
  <c r="H69" i="14"/>
  <c r="H61" i="14"/>
  <c r="H53" i="14"/>
  <c r="H45" i="14"/>
  <c r="H38" i="14"/>
  <c r="H32" i="14"/>
  <c r="H29" i="14"/>
  <c r="H14" i="14"/>
  <c r="T14" i="14" s="1"/>
  <c r="R18" i="14"/>
  <c r="H22" i="14"/>
  <c r="V27" i="14"/>
  <c r="U52" i="14"/>
  <c r="T88" i="14"/>
  <c r="V99" i="14"/>
  <c r="U67" i="14"/>
  <c r="R67" i="14"/>
  <c r="J7" i="14"/>
  <c r="AD37" i="14"/>
  <c r="AE37" i="14" s="1"/>
  <c r="AD36" i="14"/>
  <c r="AE36" i="14" s="1"/>
  <c r="AD35" i="14"/>
  <c r="AE35" i="14" s="1"/>
  <c r="U9" i="14"/>
  <c r="J13" i="14"/>
  <c r="H15" i="14"/>
  <c r="J21" i="14"/>
  <c r="H23" i="14"/>
  <c r="H37" i="14"/>
  <c r="V52" i="14"/>
  <c r="H59" i="14"/>
  <c r="H68" i="14"/>
  <c r="H91" i="14"/>
  <c r="T91" i="14" s="1"/>
  <c r="H100" i="14"/>
  <c r="H16" i="14"/>
  <c r="T34" i="14"/>
  <c r="K37" i="14"/>
  <c r="J37" i="14"/>
  <c r="J44" i="14"/>
  <c r="J29" i="14"/>
  <c r="J32" i="14"/>
  <c r="J38" i="14"/>
  <c r="J31" i="14"/>
  <c r="AA31" i="14"/>
  <c r="J34" i="14"/>
  <c r="J40" i="14"/>
  <c r="Q5" i="13"/>
  <c r="G45" i="13"/>
  <c r="Q34" i="13"/>
  <c r="G23" i="13"/>
  <c r="G13" i="13"/>
  <c r="G32" i="13"/>
  <c r="G12" i="13"/>
  <c r="S7" i="13"/>
  <c r="G39" i="13"/>
  <c r="S39" i="13" s="1"/>
  <c r="Q29" i="13"/>
  <c r="G6" i="13"/>
  <c r="Q3" i="13"/>
  <c r="Q38" i="13"/>
  <c r="G28" i="13"/>
  <c r="Q16" i="13"/>
  <c r="Q43" i="13"/>
  <c r="G35" i="13"/>
  <c r="G27" i="13"/>
  <c r="S27" i="13" s="1"/>
  <c r="Q19" i="13"/>
  <c r="G11" i="13"/>
  <c r="S21" i="13"/>
  <c r="Q10" i="13"/>
  <c r="Q2" i="13"/>
  <c r="U41" i="13"/>
  <c r="S33" i="13"/>
  <c r="Q25" i="13"/>
  <c r="G17" i="13"/>
  <c r="Q17" i="13" s="1"/>
  <c r="S14" i="13"/>
  <c r="S3" i="13"/>
  <c r="S19" i="13"/>
  <c r="S41" i="13"/>
  <c r="S36" i="13"/>
  <c r="I22" i="13"/>
  <c r="U21" i="13"/>
  <c r="U31" i="13"/>
  <c r="I10" i="13"/>
  <c r="T10" i="13" s="1"/>
  <c r="Z31" i="13"/>
  <c r="Z32" i="13" s="1"/>
  <c r="AC31" i="13"/>
  <c r="AB31" i="13"/>
  <c r="AE31" i="13"/>
  <c r="J41" i="13"/>
  <c r="T8" i="13"/>
  <c r="S8" i="13"/>
  <c r="I14" i="13"/>
  <c r="U14" i="13" s="1"/>
  <c r="I16" i="13"/>
  <c r="U16" i="13" s="1"/>
  <c r="U27" i="13"/>
  <c r="Y32" i="13"/>
  <c r="I42" i="13"/>
  <c r="AC10" i="13"/>
  <c r="AD10" i="13" s="1"/>
  <c r="G55" i="13"/>
  <c r="Q55" i="13" s="1"/>
  <c r="G94" i="13"/>
  <c r="Q94" i="13" s="1"/>
  <c r="G62" i="13"/>
  <c r="S62" i="13" s="1"/>
  <c r="AC4" i="13"/>
  <c r="AD4" i="13" s="1"/>
  <c r="S9" i="13"/>
  <c r="S16" i="13"/>
  <c r="J21" i="13"/>
  <c r="S24" i="13"/>
  <c r="J27" i="13"/>
  <c r="I29" i="13"/>
  <c r="T29" i="13" s="1"/>
  <c r="S38" i="13"/>
  <c r="T13" i="13"/>
  <c r="I3" i="13"/>
  <c r="T3" i="13" s="1"/>
  <c r="I7" i="13"/>
  <c r="T7" i="13" s="1"/>
  <c r="J15" i="13"/>
  <c r="I19" i="13"/>
  <c r="S30" i="13"/>
  <c r="J43" i="13"/>
  <c r="G54" i="13"/>
  <c r="U54" i="13" s="1"/>
  <c r="G71" i="13"/>
  <c r="Q71" i="13" s="1"/>
  <c r="U7" i="13"/>
  <c r="J31" i="13"/>
  <c r="I9" i="13"/>
  <c r="T9" i="13" s="1"/>
  <c r="S18" i="13"/>
  <c r="U15" i="13"/>
  <c r="I18" i="13"/>
  <c r="U22" i="13"/>
  <c r="AE32" i="13"/>
  <c r="S5" i="13"/>
  <c r="S29" i="13"/>
  <c r="Q15" i="13"/>
  <c r="Q7" i="13"/>
  <c r="Q14" i="13"/>
  <c r="R102" i="13"/>
  <c r="J8" i="13"/>
  <c r="I8" i="13"/>
  <c r="I25" i="13"/>
  <c r="J25" i="13"/>
  <c r="AC54" i="13"/>
  <c r="AD54" i="13" s="1"/>
  <c r="AC46" i="13"/>
  <c r="AD46" i="13" s="1"/>
  <c r="AC39" i="13"/>
  <c r="AD39" i="13" s="1"/>
  <c r="AC33" i="13"/>
  <c r="AD33" i="13" s="1"/>
  <c r="AE33" i="13" s="1"/>
  <c r="AC53" i="13"/>
  <c r="AD53" i="13" s="1"/>
  <c r="AC45" i="13"/>
  <c r="AD45" i="13" s="1"/>
  <c r="AC38" i="13"/>
  <c r="AD38" i="13" s="1"/>
  <c r="AC52" i="13"/>
  <c r="AD52" i="13" s="1"/>
  <c r="AC44" i="13"/>
  <c r="AD44" i="13" s="1"/>
  <c r="AC37" i="13"/>
  <c r="AD37" i="13" s="1"/>
  <c r="AC51" i="13"/>
  <c r="AD51" i="13" s="1"/>
  <c r="AC43" i="13"/>
  <c r="AD43" i="13" s="1"/>
  <c r="AC27" i="13"/>
  <c r="AD27" i="13" s="1"/>
  <c r="AC50" i="13"/>
  <c r="AD50" i="13" s="1"/>
  <c r="AC42" i="13"/>
  <c r="AD42" i="13" s="1"/>
  <c r="AC36" i="13"/>
  <c r="AD36" i="13" s="1"/>
  <c r="AC55" i="13"/>
  <c r="AD55" i="13" s="1"/>
  <c r="AC47" i="13"/>
  <c r="AD47" i="13" s="1"/>
  <c r="AC41" i="13"/>
  <c r="AD41" i="13" s="1"/>
  <c r="AC26" i="13"/>
  <c r="AD26" i="13" s="1"/>
  <c r="AC18" i="13"/>
  <c r="AD18" i="13" s="1"/>
  <c r="AC13" i="13"/>
  <c r="AD13" i="13" s="1"/>
  <c r="AC9" i="13"/>
  <c r="AD9" i="13" s="1"/>
  <c r="AC3" i="13"/>
  <c r="AD3" i="13" s="1"/>
  <c r="AC20" i="13"/>
  <c r="AD20" i="13" s="1"/>
  <c r="AC49" i="13"/>
  <c r="AD49" i="13" s="1"/>
  <c r="AC48" i="13"/>
  <c r="AD48" i="13" s="1"/>
  <c r="AC40" i="13"/>
  <c r="AD40" i="13" s="1"/>
  <c r="AC17" i="13"/>
  <c r="AD17" i="13" s="1"/>
  <c r="AC8" i="13"/>
  <c r="AD8" i="13" s="1"/>
  <c r="AC14" i="13"/>
  <c r="AD14" i="13" s="1"/>
  <c r="AC35" i="13"/>
  <c r="AD35" i="13" s="1"/>
  <c r="AC16" i="13"/>
  <c r="AD16" i="13" s="1"/>
  <c r="AC12" i="13"/>
  <c r="AD12" i="13" s="1"/>
  <c r="AC24" i="13"/>
  <c r="AD24" i="13" s="1"/>
  <c r="AC23" i="13"/>
  <c r="AD23" i="13" s="1"/>
  <c r="AC7" i="13"/>
  <c r="AD7" i="13" s="1"/>
  <c r="AC22" i="13"/>
  <c r="AD22" i="13" s="1"/>
  <c r="AC15" i="13"/>
  <c r="AD15" i="13" s="1"/>
  <c r="AC11" i="13"/>
  <c r="AD11" i="13" s="1"/>
  <c r="AC6" i="13"/>
  <c r="AD6" i="13" s="1"/>
  <c r="Y3" i="13"/>
  <c r="AC25" i="13"/>
  <c r="AD25" i="13" s="1"/>
  <c r="AC21" i="13"/>
  <c r="AD21" i="13" s="1"/>
  <c r="AC5" i="13"/>
  <c r="AD5" i="13" s="1"/>
  <c r="U23" i="13"/>
  <c r="T23" i="13"/>
  <c r="S23" i="13"/>
  <c r="Q23" i="13"/>
  <c r="AC19" i="13"/>
  <c r="AD19" i="13" s="1"/>
  <c r="Y33" i="13"/>
  <c r="AA32" i="13"/>
  <c r="I24" i="13"/>
  <c r="U24" i="13" s="1"/>
  <c r="J24" i="13"/>
  <c r="Q40" i="13"/>
  <c r="S40" i="13"/>
  <c r="U9" i="13"/>
  <c r="S46" i="13"/>
  <c r="Q46" i="13"/>
  <c r="I13" i="13"/>
  <c r="U13" i="13" s="1"/>
  <c r="I17" i="13"/>
  <c r="J46" i="13"/>
  <c r="I46" i="13"/>
  <c r="T46" i="13" s="1"/>
  <c r="Q8" i="13"/>
  <c r="S15" i="13"/>
  <c r="T21" i="13"/>
  <c r="Q24" i="13"/>
  <c r="J39" i="13"/>
  <c r="I39" i="13"/>
  <c r="G70" i="13"/>
  <c r="G79" i="13"/>
  <c r="T15" i="13"/>
  <c r="S26" i="13"/>
  <c r="Q27" i="13"/>
  <c r="J30" i="13"/>
  <c r="I30" i="13"/>
  <c r="U30" i="13" s="1"/>
  <c r="Q31" i="13"/>
  <c r="AC34" i="13"/>
  <c r="AD34" i="13" s="1"/>
  <c r="M102" i="13"/>
  <c r="AB32" i="13"/>
  <c r="H102" i="13"/>
  <c r="I5" i="13"/>
  <c r="U5" i="13" s="1"/>
  <c r="Q9" i="13"/>
  <c r="I11" i="13"/>
  <c r="Q18" i="13"/>
  <c r="I20" i="13"/>
  <c r="Q30" i="13"/>
  <c r="S31" i="13"/>
  <c r="I32" i="13"/>
  <c r="I38" i="13"/>
  <c r="U44" i="13"/>
  <c r="I45" i="13"/>
  <c r="G78" i="13"/>
  <c r="G87" i="13"/>
  <c r="S87" i="13" s="1"/>
  <c r="I2" i="13"/>
  <c r="S12" i="13"/>
  <c r="I26" i="13"/>
  <c r="T27" i="13"/>
  <c r="T31" i="13"/>
  <c r="J33" i="13"/>
  <c r="I33" i="13"/>
  <c r="G100" i="13"/>
  <c r="S100" i="13" s="1"/>
  <c r="G92" i="13"/>
  <c r="S92" i="13" s="1"/>
  <c r="G84" i="13"/>
  <c r="G76" i="13"/>
  <c r="G68" i="13"/>
  <c r="G60" i="13"/>
  <c r="G52" i="13"/>
  <c r="G99" i="13"/>
  <c r="S99" i="13" s="1"/>
  <c r="G91" i="13"/>
  <c r="S91" i="13" s="1"/>
  <c r="G83" i="13"/>
  <c r="G75" i="13"/>
  <c r="S75" i="13" s="1"/>
  <c r="G67" i="13"/>
  <c r="S67" i="13" s="1"/>
  <c r="G59" i="13"/>
  <c r="S59" i="13" s="1"/>
  <c r="G51" i="13"/>
  <c r="S51" i="13" s="1"/>
  <c r="S37" i="13"/>
  <c r="G98" i="13"/>
  <c r="S98" i="13" s="1"/>
  <c r="G90" i="13"/>
  <c r="S90" i="13" s="1"/>
  <c r="G82" i="13"/>
  <c r="S82" i="13" s="1"/>
  <c r="G74" i="13"/>
  <c r="G66" i="13"/>
  <c r="S66" i="13" s="1"/>
  <c r="G58" i="13"/>
  <c r="S58" i="13" s="1"/>
  <c r="G50" i="13"/>
  <c r="S50" i="13" s="1"/>
  <c r="S42" i="13"/>
  <c r="G97" i="13"/>
  <c r="G89" i="13"/>
  <c r="S89" i="13" s="1"/>
  <c r="G81" i="13"/>
  <c r="G73" i="13"/>
  <c r="G65" i="13"/>
  <c r="G57" i="13"/>
  <c r="S57" i="13" s="1"/>
  <c r="G49" i="13"/>
  <c r="G96" i="13"/>
  <c r="G88" i="13"/>
  <c r="G80" i="13"/>
  <c r="G72" i="13"/>
  <c r="G64" i="13"/>
  <c r="G56" i="13"/>
  <c r="G48" i="13"/>
  <c r="G93" i="13"/>
  <c r="G85" i="13"/>
  <c r="G77" i="13"/>
  <c r="G69" i="13"/>
  <c r="G61" i="13"/>
  <c r="G53" i="13"/>
  <c r="S34" i="13"/>
  <c r="I36" i="13"/>
  <c r="U36" i="13" s="1"/>
  <c r="J36" i="13"/>
  <c r="G47" i="13"/>
  <c r="S47" i="13" s="1"/>
  <c r="U55" i="13"/>
  <c r="G63" i="13"/>
  <c r="G86" i="13"/>
  <c r="G95" i="13"/>
  <c r="S95" i="13" s="1"/>
  <c r="Q41" i="13"/>
  <c r="Q44" i="13"/>
  <c r="I34" i="13"/>
  <c r="I40" i="13"/>
  <c r="U40" i="13" s="1"/>
  <c r="S44" i="13"/>
  <c r="T44" i="13"/>
  <c r="T16" i="12"/>
  <c r="Q9" i="12"/>
  <c r="S14" i="12"/>
  <c r="Q16" i="12"/>
  <c r="S9" i="12"/>
  <c r="S16" i="12"/>
  <c r="S38" i="12"/>
  <c r="T9" i="12"/>
  <c r="T10" i="12"/>
  <c r="S19" i="12"/>
  <c r="AC39" i="12"/>
  <c r="AD39" i="12" s="1"/>
  <c r="AC4" i="12"/>
  <c r="AD4" i="12" s="1"/>
  <c r="AC8" i="12"/>
  <c r="AD8" i="12" s="1"/>
  <c r="AC36" i="12"/>
  <c r="AD36" i="12" s="1"/>
  <c r="AC42" i="12"/>
  <c r="AD42" i="12" s="1"/>
  <c r="Y3" i="12"/>
  <c r="Y4" i="12" s="1"/>
  <c r="AA4" i="12" s="1"/>
  <c r="AC6" i="12"/>
  <c r="AD6" i="12" s="1"/>
  <c r="AC49" i="12"/>
  <c r="AD49" i="12" s="1"/>
  <c r="U20" i="12"/>
  <c r="AC12" i="12"/>
  <c r="AD12" i="12" s="1"/>
  <c r="X13" i="12"/>
  <c r="Y5" i="12"/>
  <c r="Q2" i="12"/>
  <c r="J20" i="12"/>
  <c r="I20" i="12"/>
  <c r="G41" i="12"/>
  <c r="S41" i="12" s="1"/>
  <c r="G18" i="12"/>
  <c r="G46" i="12"/>
  <c r="Y34" i="12"/>
  <c r="AA33" i="12"/>
  <c r="S53" i="12"/>
  <c r="I3" i="12"/>
  <c r="T3" i="12" s="1"/>
  <c r="J6" i="12"/>
  <c r="I6" i="12"/>
  <c r="J12" i="12"/>
  <c r="I12" i="12"/>
  <c r="U12" i="12" s="1"/>
  <c r="S65" i="12"/>
  <c r="Q15" i="12"/>
  <c r="U15" i="12"/>
  <c r="T15" i="12"/>
  <c r="S12" i="12"/>
  <c r="Q12" i="12"/>
  <c r="U4" i="12"/>
  <c r="G7" i="12"/>
  <c r="S13" i="12"/>
  <c r="S15" i="12"/>
  <c r="S73" i="12"/>
  <c r="S97" i="12"/>
  <c r="J31" i="12"/>
  <c r="I31" i="12"/>
  <c r="T2" i="12"/>
  <c r="S6" i="12"/>
  <c r="AC7" i="12"/>
  <c r="AD7" i="12" s="1"/>
  <c r="T13" i="12"/>
  <c r="I19" i="12"/>
  <c r="U19" i="12" s="1"/>
  <c r="G30" i="12"/>
  <c r="AC48" i="12"/>
  <c r="AD48" i="12" s="1"/>
  <c r="U3" i="12"/>
  <c r="U14" i="12"/>
  <c r="T20" i="12"/>
  <c r="S20" i="12"/>
  <c r="Q20" i="12"/>
  <c r="H102" i="12"/>
  <c r="J2" i="12"/>
  <c r="U2" i="12"/>
  <c r="T6" i="12"/>
  <c r="U13" i="12"/>
  <c r="J34" i="12"/>
  <c r="I34" i="12"/>
  <c r="U34" i="12" s="1"/>
  <c r="G5" i="12"/>
  <c r="S5" i="12" s="1"/>
  <c r="U6" i="12"/>
  <c r="S21" i="12"/>
  <c r="Q21" i="12"/>
  <c r="U25" i="12"/>
  <c r="Q37" i="12"/>
  <c r="S68" i="12"/>
  <c r="S83" i="12"/>
  <c r="S18" i="12"/>
  <c r="S30" i="12"/>
  <c r="I37" i="12"/>
  <c r="T37" i="12" s="1"/>
  <c r="J37" i="12"/>
  <c r="S86" i="12"/>
  <c r="Q86" i="12"/>
  <c r="T86" i="12"/>
  <c r="AC3" i="12"/>
  <c r="AD3" i="12" s="1"/>
  <c r="AC9" i="12"/>
  <c r="AD9" i="12" s="1"/>
  <c r="G100" i="12"/>
  <c r="S100" i="12" s="1"/>
  <c r="G92" i="12"/>
  <c r="G84" i="12"/>
  <c r="G76" i="12"/>
  <c r="G68" i="12"/>
  <c r="G60" i="12"/>
  <c r="G52" i="12"/>
  <c r="G99" i="12"/>
  <c r="S99" i="12" s="1"/>
  <c r="G91" i="12"/>
  <c r="S91" i="12" s="1"/>
  <c r="G83" i="12"/>
  <c r="G75" i="12"/>
  <c r="G67" i="12"/>
  <c r="G59" i="12"/>
  <c r="G51" i="12"/>
  <c r="G98" i="12"/>
  <c r="S98" i="12" s="1"/>
  <c r="G90" i="12"/>
  <c r="G82" i="12"/>
  <c r="S82" i="12" s="1"/>
  <c r="G74" i="12"/>
  <c r="G66" i="12"/>
  <c r="S66" i="12" s="1"/>
  <c r="G58" i="12"/>
  <c r="G50" i="12"/>
  <c r="G42" i="12"/>
  <c r="G27" i="12"/>
  <c r="G97" i="12"/>
  <c r="G89" i="12"/>
  <c r="G81" i="12"/>
  <c r="G73" i="12"/>
  <c r="G65" i="12"/>
  <c r="G57" i="12"/>
  <c r="G49" i="12"/>
  <c r="G35" i="12"/>
  <c r="G96" i="12"/>
  <c r="G88" i="12"/>
  <c r="G80" i="12"/>
  <c r="G72" i="12"/>
  <c r="G64" i="12"/>
  <c r="G56" i="12"/>
  <c r="G48" i="12"/>
  <c r="M102" i="12"/>
  <c r="G93" i="12"/>
  <c r="G85" i="12"/>
  <c r="G77" i="12"/>
  <c r="G69" i="12"/>
  <c r="G61" i="12"/>
  <c r="G53" i="12"/>
  <c r="G45" i="12"/>
  <c r="G32" i="12"/>
  <c r="G22" i="12"/>
  <c r="Q38" i="12"/>
  <c r="U38" i="12"/>
  <c r="S34" i="12"/>
  <c r="G40" i="12"/>
  <c r="J43" i="12"/>
  <c r="S59" i="12"/>
  <c r="AC54" i="12"/>
  <c r="AD54" i="12" s="1"/>
  <c r="AC53" i="12"/>
  <c r="AD53" i="12" s="1"/>
  <c r="AC45" i="12"/>
  <c r="AD45" i="12" s="1"/>
  <c r="AC52" i="12"/>
  <c r="AD52" i="12" s="1"/>
  <c r="AC44" i="12"/>
  <c r="AD44" i="12" s="1"/>
  <c r="AC37" i="12"/>
  <c r="AD37" i="12" s="1"/>
  <c r="AC51" i="12"/>
  <c r="AD51" i="12" s="1"/>
  <c r="AC43" i="12"/>
  <c r="AD43" i="12" s="1"/>
  <c r="AC50" i="12"/>
  <c r="AD50" i="12" s="1"/>
  <c r="AC55" i="12"/>
  <c r="AD55" i="12" s="1"/>
  <c r="AC47" i="12"/>
  <c r="AD47" i="12" s="1"/>
  <c r="AC10" i="12"/>
  <c r="AD10" i="12" s="1"/>
  <c r="Q11" i="12"/>
  <c r="Q19" i="12"/>
  <c r="Q25" i="12"/>
  <c r="T34" i="12"/>
  <c r="S39" i="12"/>
  <c r="J40" i="12"/>
  <c r="I40" i="12"/>
  <c r="AC40" i="12"/>
  <c r="AD40" i="12" s="1"/>
  <c r="S47" i="12"/>
  <c r="S54" i="12"/>
  <c r="Q54" i="12"/>
  <c r="T54" i="12"/>
  <c r="G62" i="12"/>
  <c r="G71" i="12"/>
  <c r="S87" i="12"/>
  <c r="G94" i="12"/>
  <c r="R102" i="12"/>
  <c r="I8" i="12"/>
  <c r="T8" i="12" s="1"/>
  <c r="I14" i="12"/>
  <c r="T14" i="12" s="1"/>
  <c r="I22" i="12"/>
  <c r="T23" i="12"/>
  <c r="S25" i="12"/>
  <c r="U26" i="12"/>
  <c r="Q26" i="12"/>
  <c r="I29" i="12"/>
  <c r="Q33" i="12"/>
  <c r="T33" i="12"/>
  <c r="AC35" i="12"/>
  <c r="AD35" i="12" s="1"/>
  <c r="S37" i="12"/>
  <c r="S43" i="12"/>
  <c r="T47" i="12"/>
  <c r="S67" i="12"/>
  <c r="T87" i="12"/>
  <c r="S2" i="12"/>
  <c r="AC5" i="12"/>
  <c r="AD5" i="12" s="1"/>
  <c r="AC11" i="12"/>
  <c r="AD11" i="12" s="1"/>
  <c r="G17" i="12"/>
  <c r="T25" i="12"/>
  <c r="AB31" i="12"/>
  <c r="AB32" i="12" s="1"/>
  <c r="Z31" i="12"/>
  <c r="Z32" i="12" s="1"/>
  <c r="Z33" i="12" s="1"/>
  <c r="AC33" i="12"/>
  <c r="AD33" i="12" s="1"/>
  <c r="AE33" i="12" s="1"/>
  <c r="AE34" i="12" s="1"/>
  <c r="AC38" i="12"/>
  <c r="AD38" i="12" s="1"/>
  <c r="AC41" i="12"/>
  <c r="AD41" i="12" s="1"/>
  <c r="Q44" i="12"/>
  <c r="AC46" i="12"/>
  <c r="AD46" i="12" s="1"/>
  <c r="U47" i="12"/>
  <c r="S50" i="12"/>
  <c r="S58" i="12"/>
  <c r="S63" i="12"/>
  <c r="G70" i="12"/>
  <c r="G79" i="12"/>
  <c r="U87" i="12"/>
  <c r="S90" i="12"/>
  <c r="S95" i="12"/>
  <c r="T11" i="12"/>
  <c r="G43" i="12"/>
  <c r="G36" i="12"/>
  <c r="G24" i="12"/>
  <c r="S24" i="12" s="1"/>
  <c r="S44" i="12"/>
  <c r="T63" i="12"/>
  <c r="U86" i="12"/>
  <c r="S92" i="12"/>
  <c r="T95" i="12"/>
  <c r="G31" i="12"/>
  <c r="I36" i="12"/>
  <c r="Q39" i="12"/>
  <c r="T39" i="12"/>
  <c r="U44" i="12"/>
  <c r="U63" i="12"/>
  <c r="S71" i="12"/>
  <c r="S78" i="12"/>
  <c r="Q78" i="12"/>
  <c r="T78" i="12"/>
  <c r="U95" i="12"/>
  <c r="G29" i="12"/>
  <c r="Z6" i="25" l="1"/>
  <c r="Z13" i="25"/>
  <c r="Z12" i="25"/>
  <c r="P102" i="25"/>
  <c r="Y14" i="25"/>
  <c r="Z14" i="25"/>
  <c r="W14" i="25"/>
  <c r="AA29" i="25"/>
  <c r="AA14" i="25"/>
  <c r="M102" i="25"/>
  <c r="AI46" i="25"/>
  <c r="AJ46" i="25" s="1"/>
  <c r="AI58" i="25"/>
  <c r="AJ58" i="25" s="1"/>
  <c r="AI40" i="25"/>
  <c r="AJ40" i="25" s="1"/>
  <c r="AI54" i="25"/>
  <c r="AJ54" i="25" s="1"/>
  <c r="AI41" i="25"/>
  <c r="AJ41" i="25" s="1"/>
  <c r="AE39" i="25"/>
  <c r="AI62" i="25"/>
  <c r="AJ62" i="25" s="1"/>
  <c r="AI51" i="25"/>
  <c r="AJ51" i="25" s="1"/>
  <c r="AI42" i="25"/>
  <c r="AJ42" i="25" s="1"/>
  <c r="AI50" i="25"/>
  <c r="AJ50" i="25" s="1"/>
  <c r="AI39" i="25"/>
  <c r="AJ39" i="25" s="1"/>
  <c r="T102" i="25"/>
  <c r="AC41" i="25"/>
  <c r="AE38" i="25" s="1"/>
  <c r="AE2" i="25"/>
  <c r="Z31" i="25"/>
  <c r="AA31" i="25"/>
  <c r="W31" i="25"/>
  <c r="Z36" i="25"/>
  <c r="AA36" i="25"/>
  <c r="Y36" i="25"/>
  <c r="W36" i="25"/>
  <c r="AA21" i="25"/>
  <c r="Z21" i="25"/>
  <c r="AI10" i="25"/>
  <c r="AJ10" i="25" s="1"/>
  <c r="AI6" i="25"/>
  <c r="AJ6" i="25" s="1"/>
  <c r="AI3" i="25"/>
  <c r="AJ3" i="25" s="1"/>
  <c r="AI9" i="25"/>
  <c r="AJ9" i="25" s="1"/>
  <c r="AI14" i="25"/>
  <c r="AJ14" i="25" s="1"/>
  <c r="AI4" i="25"/>
  <c r="AJ4" i="25" s="1"/>
  <c r="AI12" i="25"/>
  <c r="AJ12" i="25" s="1"/>
  <c r="AE3" i="25"/>
  <c r="AI11" i="25"/>
  <c r="AJ11" i="25" s="1"/>
  <c r="AI5" i="25"/>
  <c r="AJ5" i="25" s="1"/>
  <c r="W3" i="25"/>
  <c r="AA3" i="25"/>
  <c r="Z3" i="25"/>
  <c r="Z16" i="25"/>
  <c r="W16" i="25"/>
  <c r="AA16" i="25"/>
  <c r="Y16" i="25"/>
  <c r="Y102" i="25" s="1"/>
  <c r="Z30" i="25"/>
  <c r="W30" i="25"/>
  <c r="AA30" i="25"/>
  <c r="Y30" i="25"/>
  <c r="Z41" i="25"/>
  <c r="AA41" i="25"/>
  <c r="Y41" i="25"/>
  <c r="W41" i="25"/>
  <c r="AD7" i="25"/>
  <c r="AD8" i="25" s="1"/>
  <c r="AD9" i="25" s="1"/>
  <c r="AD10" i="25" s="1"/>
  <c r="AD11" i="25" s="1"/>
  <c r="AD12" i="25" s="1"/>
  <c r="AD13" i="25" s="1"/>
  <c r="AD14" i="25" s="1"/>
  <c r="AD15" i="25" s="1"/>
  <c r="AI15" i="25" s="1"/>
  <c r="AJ15" i="25" s="1"/>
  <c r="W40" i="25"/>
  <c r="Z40" i="25"/>
  <c r="AA40" i="25"/>
  <c r="AD43" i="25"/>
  <c r="AD44" i="25" s="1"/>
  <c r="AD45" i="25" s="1"/>
  <c r="AD46" i="25" s="1"/>
  <c r="AD47" i="25" s="1"/>
  <c r="AD48" i="25" s="1"/>
  <c r="AD49" i="25" s="1"/>
  <c r="AD50" i="25" s="1"/>
  <c r="AD51" i="25" s="1"/>
  <c r="AD52" i="25" s="1"/>
  <c r="AD53" i="25" s="1"/>
  <c r="AD54" i="25" s="1"/>
  <c r="AD55" i="25" s="1"/>
  <c r="AD56" i="25" s="1"/>
  <c r="AD57" i="25" s="1"/>
  <c r="AD58" i="25" s="1"/>
  <c r="AD59" i="25" s="1"/>
  <c r="AD60" i="25" s="1"/>
  <c r="AD61" i="25" s="1"/>
  <c r="AD62" i="25" s="1"/>
  <c r="AD63" i="25" s="1"/>
  <c r="AI63" i="25" s="1"/>
  <c r="AJ63" i="25" s="1"/>
  <c r="AA25" i="25"/>
  <c r="Z25" i="25"/>
  <c r="W25" i="25"/>
  <c r="AE6" i="23"/>
  <c r="AG4" i="23"/>
  <c r="AB5" i="24"/>
  <c r="AA5" i="24"/>
  <c r="X5" i="24"/>
  <c r="AB10" i="24"/>
  <c r="AA41" i="24"/>
  <c r="AB14" i="24"/>
  <c r="Z102" i="24"/>
  <c r="X102" i="24"/>
  <c r="AE7" i="24"/>
  <c r="AJ6" i="24"/>
  <c r="AK6" i="24" s="1"/>
  <c r="AF6" i="24"/>
  <c r="AH5" i="24"/>
  <c r="X40" i="24"/>
  <c r="AB40" i="24"/>
  <c r="AA40" i="24"/>
  <c r="AE43" i="24"/>
  <c r="AJ42" i="24"/>
  <c r="AK42" i="24" s="1"/>
  <c r="Z40" i="24"/>
  <c r="AA19" i="24"/>
  <c r="AF42" i="24"/>
  <c r="AH41" i="24"/>
  <c r="AB22" i="24"/>
  <c r="AA22" i="24"/>
  <c r="Z22" i="24"/>
  <c r="X22" i="24"/>
  <c r="AF38" i="24"/>
  <c r="AF2" i="24"/>
  <c r="AA36" i="24"/>
  <c r="X36" i="24"/>
  <c r="AB36" i="24"/>
  <c r="AA2" i="23"/>
  <c r="AI41" i="23"/>
  <c r="AJ41" i="23" s="1"/>
  <c r="AD42" i="23"/>
  <c r="Z15" i="23"/>
  <c r="W15" i="23"/>
  <c r="AA15" i="23"/>
  <c r="Y15" i="23"/>
  <c r="Z18" i="23"/>
  <c r="W18" i="23"/>
  <c r="AA18" i="23"/>
  <c r="Y18" i="23"/>
  <c r="Y102" i="23" s="1"/>
  <c r="Z38" i="23"/>
  <c r="AA38" i="23"/>
  <c r="W38" i="23"/>
  <c r="Y38" i="23"/>
  <c r="AA24" i="23"/>
  <c r="W24" i="23"/>
  <c r="Z24" i="23"/>
  <c r="Y24" i="23"/>
  <c r="Z29" i="23"/>
  <c r="AA29" i="23"/>
  <c r="W29" i="23"/>
  <c r="W102" i="23" s="1"/>
  <c r="AA43" i="23"/>
  <c r="Z43" i="23"/>
  <c r="W43" i="23"/>
  <c r="Y29" i="23"/>
  <c r="AD7" i="23"/>
  <c r="AI6" i="23"/>
  <c r="AJ6" i="23" s="1"/>
  <c r="AC41" i="23"/>
  <c r="AE38" i="23" s="1"/>
  <c r="T102" i="23"/>
  <c r="AE2" i="23"/>
  <c r="AE41" i="23"/>
  <c r="AG40" i="23"/>
  <c r="AA22" i="23"/>
  <c r="AE7" i="23"/>
  <c r="AG6" i="23"/>
  <c r="AA40" i="23"/>
  <c r="J116" i="21"/>
  <c r="AC44" i="21" s="1"/>
  <c r="AE39" i="21" s="1"/>
  <c r="C105" i="21"/>
  <c r="L113" i="21"/>
  <c r="X73" i="22"/>
  <c r="AB73" i="22"/>
  <c r="AA73" i="22"/>
  <c r="AA92" i="22"/>
  <c r="X92" i="22"/>
  <c r="AB92" i="22"/>
  <c r="Z92" i="22"/>
  <c r="AB85" i="22"/>
  <c r="AA85" i="22"/>
  <c r="X85" i="22"/>
  <c r="X34" i="22"/>
  <c r="AB34" i="22"/>
  <c r="AA34" i="22"/>
  <c r="M102" i="22"/>
  <c r="X75" i="22"/>
  <c r="AB75" i="22"/>
  <c r="AA75" i="22"/>
  <c r="AA51" i="22"/>
  <c r="X51" i="22"/>
  <c r="AB51" i="22"/>
  <c r="Z51" i="22"/>
  <c r="AA90" i="22"/>
  <c r="AB90" i="22"/>
  <c r="X90" i="22"/>
  <c r="AB93" i="22"/>
  <c r="AA93" i="22"/>
  <c r="X93" i="22"/>
  <c r="AA44" i="22"/>
  <c r="AB44" i="22"/>
  <c r="Z44" i="22"/>
  <c r="X44" i="22"/>
  <c r="AB54" i="22"/>
  <c r="AA54" i="22"/>
  <c r="X54" i="22"/>
  <c r="Z75" i="22"/>
  <c r="AA9" i="22"/>
  <c r="AB9" i="22"/>
  <c r="X9" i="22"/>
  <c r="Z34" i="22"/>
  <c r="X43" i="22"/>
  <c r="AB43" i="22"/>
  <c r="AA43" i="22"/>
  <c r="Z43" i="22"/>
  <c r="X58" i="22"/>
  <c r="AA58" i="22"/>
  <c r="AB58" i="22"/>
  <c r="Z58" i="22"/>
  <c r="AA65" i="22"/>
  <c r="AB65" i="22"/>
  <c r="X65" i="22"/>
  <c r="Z65" i="22"/>
  <c r="AB62" i="22"/>
  <c r="AA62" i="22"/>
  <c r="X62" i="22"/>
  <c r="AF6" i="22"/>
  <c r="AH5" i="22"/>
  <c r="AA16" i="22"/>
  <c r="AB16" i="22"/>
  <c r="X16" i="22"/>
  <c r="X61" i="22"/>
  <c r="AB61" i="22"/>
  <c r="AA61" i="22"/>
  <c r="Z61" i="22"/>
  <c r="AB72" i="22"/>
  <c r="AA72" i="22"/>
  <c r="X72" i="22"/>
  <c r="AA6" i="22"/>
  <c r="Z62" i="22"/>
  <c r="AA25" i="22"/>
  <c r="X25" i="22"/>
  <c r="AB25" i="22"/>
  <c r="AA98" i="22"/>
  <c r="AB98" i="22"/>
  <c r="X98" i="22"/>
  <c r="X67" i="22"/>
  <c r="AB67" i="22"/>
  <c r="Z67" i="22"/>
  <c r="AA67" i="22"/>
  <c r="AA70" i="22"/>
  <c r="X70" i="22"/>
  <c r="Z70" i="22"/>
  <c r="AB70" i="22"/>
  <c r="X89" i="22"/>
  <c r="AB89" i="22"/>
  <c r="AA89" i="22"/>
  <c r="AB60" i="22"/>
  <c r="AA60" i="22"/>
  <c r="Z60" i="22"/>
  <c r="X60" i="22"/>
  <c r="AB79" i="22"/>
  <c r="AA79" i="22"/>
  <c r="X79" i="22"/>
  <c r="AA36" i="22"/>
  <c r="AA82" i="22"/>
  <c r="AB82" i="22"/>
  <c r="X82" i="22"/>
  <c r="X64" i="22"/>
  <c r="AB64" i="22"/>
  <c r="AA64" i="22"/>
  <c r="Q102" i="22"/>
  <c r="X99" i="22"/>
  <c r="AB99" i="22"/>
  <c r="Z99" i="22"/>
  <c r="AA99" i="22"/>
  <c r="AA68" i="22"/>
  <c r="AB68" i="22"/>
  <c r="Z68" i="22"/>
  <c r="X68" i="22"/>
  <c r="AB30" i="22"/>
  <c r="AA30" i="22"/>
  <c r="X30" i="22"/>
  <c r="X15" i="22"/>
  <c r="Z15" i="22"/>
  <c r="AB15" i="22"/>
  <c r="AA15" i="22"/>
  <c r="X80" i="22"/>
  <c r="AB80" i="22"/>
  <c r="AA80" i="22"/>
  <c r="AA48" i="22"/>
  <c r="AB48" i="22"/>
  <c r="X48" i="22"/>
  <c r="Z48" i="22"/>
  <c r="AA66" i="22"/>
  <c r="X66" i="22"/>
  <c r="AB66" i="22"/>
  <c r="Z66" i="22"/>
  <c r="X97" i="22"/>
  <c r="AB97" i="22"/>
  <c r="AA97" i="22"/>
  <c r="Z90" i="22"/>
  <c r="AB41" i="22"/>
  <c r="Z41" i="22"/>
  <c r="AA41" i="22"/>
  <c r="X41" i="22"/>
  <c r="AA53" i="22"/>
  <c r="Z53" i="22"/>
  <c r="X53" i="22"/>
  <c r="AB53" i="22"/>
  <c r="AA86" i="22"/>
  <c r="Z86" i="22"/>
  <c r="X86" i="22"/>
  <c r="AB86" i="22"/>
  <c r="AB49" i="22"/>
  <c r="X49" i="22"/>
  <c r="AA49" i="22"/>
  <c r="AA27" i="22"/>
  <c r="Z85" i="22"/>
  <c r="Z30" i="22"/>
  <c r="Z78" i="22"/>
  <c r="AA78" i="22"/>
  <c r="X78" i="22"/>
  <c r="AB78" i="22"/>
  <c r="AA57" i="22"/>
  <c r="AB57" i="22"/>
  <c r="X57" i="22"/>
  <c r="AB52" i="22"/>
  <c r="AA52" i="22"/>
  <c r="X52" i="22"/>
  <c r="AB71" i="22"/>
  <c r="X71" i="22"/>
  <c r="AA71" i="22"/>
  <c r="Z54" i="22"/>
  <c r="Z9" i="22"/>
  <c r="Z16" i="22"/>
  <c r="X50" i="22"/>
  <c r="Z50" i="22"/>
  <c r="AB50" i="22"/>
  <c r="AA50" i="22"/>
  <c r="AA88" i="22"/>
  <c r="AB88" i="22"/>
  <c r="Z88" i="22"/>
  <c r="X88" i="22"/>
  <c r="AA74" i="22"/>
  <c r="X74" i="22"/>
  <c r="Z74" i="22"/>
  <c r="AB74" i="22"/>
  <c r="AB94" i="22"/>
  <c r="AA94" i="22"/>
  <c r="Z94" i="22"/>
  <c r="X94" i="22"/>
  <c r="AB69" i="22"/>
  <c r="Z69" i="22"/>
  <c r="AA69" i="22"/>
  <c r="X69" i="22"/>
  <c r="AB87" i="22"/>
  <c r="X87" i="22"/>
  <c r="AA87" i="22"/>
  <c r="AB19" i="22"/>
  <c r="AH40" i="22"/>
  <c r="AF41" i="22"/>
  <c r="Z80" i="22"/>
  <c r="X18" i="22"/>
  <c r="AB18" i="22"/>
  <c r="Z18" i="22"/>
  <c r="AA18" i="22"/>
  <c r="X81" i="22"/>
  <c r="AB81" i="22"/>
  <c r="AA81" i="22"/>
  <c r="X24" i="22"/>
  <c r="AB24" i="22"/>
  <c r="Z24" i="22"/>
  <c r="AA24" i="22"/>
  <c r="Z73" i="22"/>
  <c r="AJ42" i="22"/>
  <c r="AK42" i="22" s="1"/>
  <c r="AE43" i="22"/>
  <c r="AD41" i="22"/>
  <c r="AF38" i="22" s="1"/>
  <c r="AF2" i="22"/>
  <c r="AA59" i="22"/>
  <c r="Z59" i="22"/>
  <c r="AB59" i="22"/>
  <c r="X59" i="22"/>
  <c r="X91" i="22"/>
  <c r="AA91" i="22"/>
  <c r="AB91" i="22"/>
  <c r="AB63" i="22"/>
  <c r="AA63" i="22"/>
  <c r="X63" i="22"/>
  <c r="AB55" i="22"/>
  <c r="X55" i="22"/>
  <c r="AA55" i="22"/>
  <c r="AB77" i="22"/>
  <c r="X77" i="22"/>
  <c r="AA77" i="22"/>
  <c r="AB95" i="22"/>
  <c r="X95" i="22"/>
  <c r="AA95" i="22"/>
  <c r="AE9" i="22"/>
  <c r="AJ8" i="22"/>
  <c r="AK8" i="22" s="1"/>
  <c r="AC41" i="21"/>
  <c r="AE38" i="21" s="1"/>
  <c r="T6" i="21"/>
  <c r="T102" i="21" s="1"/>
  <c r="AE2" i="21"/>
  <c r="Z16" i="21"/>
  <c r="AA46" i="21"/>
  <c r="W15" i="21"/>
  <c r="AA15" i="21"/>
  <c r="Z15" i="21"/>
  <c r="AA5" i="21"/>
  <c r="Z5" i="21"/>
  <c r="AA42" i="21"/>
  <c r="AA3" i="21"/>
  <c r="AB3" i="21" s="1"/>
  <c r="AD12" i="21"/>
  <c r="AM11" i="21"/>
  <c r="AN11" i="21" s="1"/>
  <c r="AM8" i="21"/>
  <c r="AN8" i="21" s="1"/>
  <c r="AD44" i="21"/>
  <c r="AA14" i="21"/>
  <c r="AA7" i="21"/>
  <c r="Y3" i="21"/>
  <c r="X102" i="21"/>
  <c r="AM9" i="21"/>
  <c r="AN9" i="21" s="1"/>
  <c r="AA23" i="21"/>
  <c r="Z23" i="21"/>
  <c r="AA8" i="21"/>
  <c r="Z8" i="21"/>
  <c r="AA21" i="21"/>
  <c r="Y43" i="21"/>
  <c r="Z24" i="21"/>
  <c r="Z29" i="21"/>
  <c r="AA29" i="21"/>
  <c r="Z41" i="21"/>
  <c r="AA41" i="21"/>
  <c r="Z33" i="21"/>
  <c r="AA33" i="21"/>
  <c r="AA20" i="21"/>
  <c r="Z20" i="21"/>
  <c r="W19" i="21"/>
  <c r="Y19" i="21"/>
  <c r="AA19" i="21"/>
  <c r="Z19" i="21"/>
  <c r="Z10" i="21"/>
  <c r="AA10" i="21"/>
  <c r="W10" i="21"/>
  <c r="Z43" i="21"/>
  <c r="AA43" i="21"/>
  <c r="AA22" i="21"/>
  <c r="Z22" i="21"/>
  <c r="W18" i="21"/>
  <c r="AA18" i="21"/>
  <c r="Z18" i="21"/>
  <c r="Z34" i="21"/>
  <c r="AA34" i="21"/>
  <c r="AA26" i="21"/>
  <c r="AA9" i="21"/>
  <c r="Z9" i="21"/>
  <c r="Y9" i="21"/>
  <c r="M102" i="21"/>
  <c r="AA4" i="21"/>
  <c r="Y102" i="19"/>
  <c r="AA2" i="19"/>
  <c r="AB13" i="19"/>
  <c r="AA38" i="19"/>
  <c r="AB38" i="19"/>
  <c r="X38" i="19"/>
  <c r="AE43" i="19"/>
  <c r="AJ42" i="19"/>
  <c r="AK42" i="19" s="1"/>
  <c r="AA22" i="19"/>
  <c r="AB22" i="19"/>
  <c r="X22" i="19"/>
  <c r="AB16" i="19"/>
  <c r="AA16" i="19"/>
  <c r="Z16" i="19"/>
  <c r="X16" i="19"/>
  <c r="M102" i="19"/>
  <c r="AA30" i="19"/>
  <c r="X30" i="19"/>
  <c r="AB30" i="19"/>
  <c r="AE7" i="19"/>
  <c r="AB35" i="19"/>
  <c r="AH3" i="19"/>
  <c r="AF4" i="19"/>
  <c r="AA8" i="19"/>
  <c r="AB31" i="19"/>
  <c r="Z31" i="19"/>
  <c r="X31" i="19"/>
  <c r="AA31" i="19"/>
  <c r="AA41" i="19"/>
  <c r="AA24" i="19"/>
  <c r="AB24" i="19"/>
  <c r="Z24" i="19"/>
  <c r="X24" i="19"/>
  <c r="AH41" i="19"/>
  <c r="AF42" i="19"/>
  <c r="AB43" i="19"/>
  <c r="X43" i="19"/>
  <c r="AA43" i="19"/>
  <c r="Z43" i="19"/>
  <c r="AB19" i="19"/>
  <c r="AA19" i="19"/>
  <c r="X19" i="19"/>
  <c r="X14" i="19"/>
  <c r="AB14" i="19"/>
  <c r="AA14" i="19"/>
  <c r="AL38" i="19"/>
  <c r="AL39" i="19" s="1"/>
  <c r="AL40" i="19" s="1"/>
  <c r="AL41" i="19" s="1"/>
  <c r="AJ38" i="19"/>
  <c r="AI38" i="19"/>
  <c r="AI39" i="19" s="1"/>
  <c r="AI40" i="19" s="1"/>
  <c r="AI41" i="19" s="1"/>
  <c r="AG38" i="19"/>
  <c r="AG39" i="19" s="1"/>
  <c r="AG40" i="19" s="1"/>
  <c r="AG41" i="19" s="1"/>
  <c r="Z19" i="19"/>
  <c r="AD5" i="19"/>
  <c r="AF2" i="19" s="1"/>
  <c r="N2" i="18"/>
  <c r="U6" i="18"/>
  <c r="U102" i="18" s="1"/>
  <c r="AF41" i="18"/>
  <c r="AH40" i="18"/>
  <c r="M102" i="18"/>
  <c r="AF2" i="18"/>
  <c r="AE7" i="18"/>
  <c r="Q102" i="18"/>
  <c r="AE43" i="18"/>
  <c r="AJ42" i="18"/>
  <c r="AK42" i="18" s="1"/>
  <c r="AJ6" i="18"/>
  <c r="AK6" i="18" s="1"/>
  <c r="AL38" i="18"/>
  <c r="AL39" i="18" s="1"/>
  <c r="AL40" i="18" s="1"/>
  <c r="AL41" i="18" s="1"/>
  <c r="AJ38" i="18"/>
  <c r="AI38" i="18"/>
  <c r="AI39" i="18" s="1"/>
  <c r="AI40" i="18" s="1"/>
  <c r="AG38" i="18"/>
  <c r="AG39" i="18" s="1"/>
  <c r="AG40" i="18" s="1"/>
  <c r="AF4" i="18"/>
  <c r="AH3" i="18"/>
  <c r="AK41" i="17"/>
  <c r="AK42" i="17" s="1"/>
  <c r="AF39" i="17"/>
  <c r="AF40" i="17" s="1"/>
  <c r="AK43" i="17"/>
  <c r="AK44" i="17" s="1"/>
  <c r="AK45" i="17" s="1"/>
  <c r="AK46" i="17" s="1"/>
  <c r="AK47" i="17" s="1"/>
  <c r="AK48" i="17" s="1"/>
  <c r="AK49" i="17" s="1"/>
  <c r="AK50" i="17" s="1"/>
  <c r="AK51" i="17" s="1"/>
  <c r="AK52" i="17" s="1"/>
  <c r="AK53" i="17" s="1"/>
  <c r="AK54" i="17" s="1"/>
  <c r="AK55" i="17" s="1"/>
  <c r="AK56" i="17" s="1"/>
  <c r="AK57" i="17" s="1"/>
  <c r="AK58" i="17" s="1"/>
  <c r="AK59" i="17" s="1"/>
  <c r="AK60" i="17" s="1"/>
  <c r="AK61" i="17" s="1"/>
  <c r="AK62" i="17" s="1"/>
  <c r="AK63" i="17" s="1"/>
  <c r="AV2" i="17" s="1"/>
  <c r="AK2" i="17"/>
  <c r="AK3" i="17" s="1"/>
  <c r="AK4" i="17" s="1"/>
  <c r="AK5" i="17" s="1"/>
  <c r="AK6" i="17" s="1"/>
  <c r="AK7" i="17" s="1"/>
  <c r="AK8" i="17" s="1"/>
  <c r="AK9" i="17" s="1"/>
  <c r="AK10" i="17" s="1"/>
  <c r="AK11" i="17" s="1"/>
  <c r="AK12" i="17" s="1"/>
  <c r="AK13" i="17" s="1"/>
  <c r="AK14" i="17" s="1"/>
  <c r="AK15" i="17" s="1"/>
  <c r="AF2" i="17"/>
  <c r="AF3" i="17" s="1"/>
  <c r="AH2" i="17"/>
  <c r="AI2" i="17"/>
  <c r="Z18" i="17"/>
  <c r="W18" i="17"/>
  <c r="AA18" i="17"/>
  <c r="Z24" i="17"/>
  <c r="AA24" i="17"/>
  <c r="AK29" i="17"/>
  <c r="AD16" i="17"/>
  <c r="AA3" i="17"/>
  <c r="AE4" i="17"/>
  <c r="AG3" i="17"/>
  <c r="AG40" i="17"/>
  <c r="AE41" i="17"/>
  <c r="AA34" i="17"/>
  <c r="Z34" i="17"/>
  <c r="Y34" i="17"/>
  <c r="W34" i="17"/>
  <c r="AA36" i="17"/>
  <c r="AA40" i="17"/>
  <c r="AA27" i="17"/>
  <c r="AA38" i="17"/>
  <c r="Z38" i="17"/>
  <c r="AH39" i="17"/>
  <c r="Z12" i="17"/>
  <c r="AA33" i="17"/>
  <c r="AA44" i="17"/>
  <c r="X102" i="17"/>
  <c r="Y2" i="17"/>
  <c r="Y18" i="17"/>
  <c r="M102" i="17"/>
  <c r="AA41" i="17"/>
  <c r="Z5" i="17"/>
  <c r="AA5" i="17"/>
  <c r="W5" i="17"/>
  <c r="W22" i="17"/>
  <c r="AA22" i="17"/>
  <c r="Z22" i="17"/>
  <c r="AA46" i="17"/>
  <c r="Y5" i="17"/>
  <c r="Z19" i="16"/>
  <c r="AE2" i="16"/>
  <c r="Y19" i="16"/>
  <c r="W19" i="16"/>
  <c r="Z21" i="16"/>
  <c r="Z29" i="16"/>
  <c r="Z16" i="16"/>
  <c r="Z18" i="15"/>
  <c r="W15" i="16"/>
  <c r="Y3" i="16"/>
  <c r="Z18" i="16"/>
  <c r="W7" i="16"/>
  <c r="Y18" i="16"/>
  <c r="Y44" i="16"/>
  <c r="Z25" i="16"/>
  <c r="Z7" i="16"/>
  <c r="Z5" i="16"/>
  <c r="AA44" i="16"/>
  <c r="AA5" i="16"/>
  <c r="AA7" i="16"/>
  <c r="Y5" i="16"/>
  <c r="AA25" i="16"/>
  <c r="Z14" i="16"/>
  <c r="Y25" i="16"/>
  <c r="AA15" i="16"/>
  <c r="Z15" i="16"/>
  <c r="P102" i="16"/>
  <c r="W14" i="16"/>
  <c r="AA12" i="16"/>
  <c r="Z46" i="16"/>
  <c r="AA23" i="16"/>
  <c r="AA29" i="16"/>
  <c r="Y29" i="16"/>
  <c r="W3" i="16"/>
  <c r="AA18" i="16"/>
  <c r="Z3" i="16"/>
  <c r="Z44" i="16"/>
  <c r="AA38" i="16"/>
  <c r="W29" i="16"/>
  <c r="Y14" i="16"/>
  <c r="AE40" i="16"/>
  <c r="M102" i="16"/>
  <c r="Y36" i="16"/>
  <c r="AJ61" i="16"/>
  <c r="AJ53" i="16"/>
  <c r="AJ42" i="16"/>
  <c r="AJ22" i="16"/>
  <c r="AJ59" i="16"/>
  <c r="AJ52" i="16"/>
  <c r="AJ58" i="16"/>
  <c r="AJ57" i="16"/>
  <c r="AJ51" i="16"/>
  <c r="AI26" i="16"/>
  <c r="AJ26" i="16" s="1"/>
  <c r="AJ56" i="16"/>
  <c r="AJ47" i="16"/>
  <c r="AJ40" i="16"/>
  <c r="AK40" i="16" s="1"/>
  <c r="AK41" i="16" s="1"/>
  <c r="AI23" i="16"/>
  <c r="AJ23" i="16" s="1"/>
  <c r="AJ63" i="16"/>
  <c r="AJ55" i="16"/>
  <c r="AJ50" i="16"/>
  <c r="AJ43" i="16"/>
  <c r="AJ60" i="16"/>
  <c r="AJ44" i="16"/>
  <c r="AI21" i="16"/>
  <c r="AJ21" i="16" s="1"/>
  <c r="AI20" i="16"/>
  <c r="AJ20" i="16" s="1"/>
  <c r="AI16" i="16"/>
  <c r="AJ16" i="16" s="1"/>
  <c r="AJ12" i="16"/>
  <c r="AI8" i="16"/>
  <c r="AJ8" i="16" s="1"/>
  <c r="AE3" i="16"/>
  <c r="AJ62" i="16"/>
  <c r="AJ45" i="16"/>
  <c r="AI19" i="16"/>
  <c r="AJ19" i="16" s="1"/>
  <c r="AI15" i="16"/>
  <c r="AJ15" i="16" s="1"/>
  <c r="AI11" i="16"/>
  <c r="AJ11" i="16" s="1"/>
  <c r="AI4" i="16"/>
  <c r="AJ4" i="16" s="1"/>
  <c r="AI17" i="16"/>
  <c r="AJ17" i="16" s="1"/>
  <c r="AJ49" i="16"/>
  <c r="AI27" i="16"/>
  <c r="AJ27" i="16" s="1"/>
  <c r="AI24" i="16"/>
  <c r="AJ24" i="16" s="1"/>
  <c r="AI7" i="16"/>
  <c r="AJ7" i="16" s="1"/>
  <c r="AI25" i="16"/>
  <c r="AJ25" i="16" s="1"/>
  <c r="AJ54" i="16"/>
  <c r="AI18" i="16"/>
  <c r="AJ18" i="16" s="1"/>
  <c r="AI14" i="16"/>
  <c r="AJ14" i="16" s="1"/>
  <c r="AI10" i="16"/>
  <c r="AJ10" i="16" s="1"/>
  <c r="AI3" i="16"/>
  <c r="AJ3" i="16" s="1"/>
  <c r="AI13" i="16"/>
  <c r="AJ13" i="16" s="1"/>
  <c r="AJ48" i="16"/>
  <c r="AJ46" i="16"/>
  <c r="AI6" i="16"/>
  <c r="AJ6" i="16" s="1"/>
  <c r="AI9" i="16"/>
  <c r="AJ9" i="16" s="1"/>
  <c r="AI5" i="16"/>
  <c r="AJ5" i="16" s="1"/>
  <c r="Y22" i="16"/>
  <c r="AA31" i="16"/>
  <c r="Z31" i="16"/>
  <c r="Z41" i="16"/>
  <c r="W41" i="16"/>
  <c r="Y41" i="16"/>
  <c r="AA41" i="16"/>
  <c r="AA36" i="16"/>
  <c r="Z36" i="16"/>
  <c r="Y31" i="16"/>
  <c r="Z40" i="16"/>
  <c r="AA40" i="16"/>
  <c r="W40" i="16"/>
  <c r="W36" i="16"/>
  <c r="AA24" i="16"/>
  <c r="W24" i="16"/>
  <c r="Z24" i="16"/>
  <c r="Y24" i="16"/>
  <c r="AA6" i="16"/>
  <c r="AA22" i="16"/>
  <c r="W22" i="16"/>
  <c r="Z22" i="16"/>
  <c r="X102" i="16"/>
  <c r="Z17" i="15"/>
  <c r="X44" i="15"/>
  <c r="X24" i="15"/>
  <c r="X15" i="15"/>
  <c r="Y15" i="15"/>
  <c r="Z44" i="15"/>
  <c r="Z39" i="15"/>
  <c r="Z24" i="15"/>
  <c r="Y29" i="15"/>
  <c r="Y12" i="15"/>
  <c r="V7" i="15"/>
  <c r="V24" i="15"/>
  <c r="Z4" i="15"/>
  <c r="Z16" i="15"/>
  <c r="Y18" i="15"/>
  <c r="Z30" i="15"/>
  <c r="V30" i="15"/>
  <c r="Y30" i="15"/>
  <c r="Z25" i="15"/>
  <c r="X14" i="15"/>
  <c r="Z14" i="15"/>
  <c r="V14" i="15"/>
  <c r="Y13" i="15"/>
  <c r="Y7" i="15"/>
  <c r="Z31" i="15"/>
  <c r="V16" i="15"/>
  <c r="AH13" i="15"/>
  <c r="AI13" i="15" s="1"/>
  <c r="AH11" i="15"/>
  <c r="AI11" i="15" s="1"/>
  <c r="AH35" i="15"/>
  <c r="AI35" i="15" s="1"/>
  <c r="AH9" i="15"/>
  <c r="AI9" i="15" s="1"/>
  <c r="AH10" i="15"/>
  <c r="AI10" i="15" s="1"/>
  <c r="AH33" i="15"/>
  <c r="AI33" i="15" s="1"/>
  <c r="AJ33" i="15" s="1"/>
  <c r="AJ34" i="15" s="1"/>
  <c r="AH37" i="15"/>
  <c r="AI37" i="15" s="1"/>
  <c r="AH14" i="15"/>
  <c r="AI14" i="15" s="1"/>
  <c r="AH8" i="15"/>
  <c r="AI8" i="15" s="1"/>
  <c r="W102" i="15"/>
  <c r="AH6" i="15"/>
  <c r="AI6" i="15" s="1"/>
  <c r="AH36" i="15"/>
  <c r="AI36" i="15" s="1"/>
  <c r="AH44" i="15"/>
  <c r="AI44" i="15" s="1"/>
  <c r="AD3" i="15"/>
  <c r="AF3" i="15" s="1"/>
  <c r="AH38" i="15"/>
  <c r="AI38" i="15" s="1"/>
  <c r="AH3" i="15"/>
  <c r="AI3" i="15" s="1"/>
  <c r="AH12" i="15"/>
  <c r="AI12" i="15" s="1"/>
  <c r="AH7" i="15"/>
  <c r="AI7" i="15" s="1"/>
  <c r="AH42" i="15"/>
  <c r="AI42" i="15" s="1"/>
  <c r="AH39" i="15"/>
  <c r="AI39" i="15" s="1"/>
  <c r="AH5" i="15"/>
  <c r="AI5" i="15" s="1"/>
  <c r="AH43" i="15"/>
  <c r="AI43" i="15" s="1"/>
  <c r="AH41" i="15"/>
  <c r="AI41" i="15" s="1"/>
  <c r="V38" i="15"/>
  <c r="Z38" i="15"/>
  <c r="Y38" i="15"/>
  <c r="Y16" i="15"/>
  <c r="V22" i="15"/>
  <c r="Z22" i="15"/>
  <c r="Y22" i="15"/>
  <c r="V40" i="15"/>
  <c r="Y40" i="15"/>
  <c r="X40" i="15"/>
  <c r="Z40" i="15"/>
  <c r="AH46" i="15"/>
  <c r="AI46" i="15" s="1"/>
  <c r="AH45" i="15"/>
  <c r="AI45" i="15" s="1"/>
  <c r="Z5" i="15"/>
  <c r="Y5" i="15"/>
  <c r="V5" i="15"/>
  <c r="Z3" i="15"/>
  <c r="Y3" i="15"/>
  <c r="V3" i="15"/>
  <c r="X3" i="15"/>
  <c r="L102" i="15"/>
  <c r="AB5" i="15"/>
  <c r="AD2" i="15" s="1"/>
  <c r="Z2" i="15"/>
  <c r="Y2" i="15"/>
  <c r="V2" i="15"/>
  <c r="AC48" i="15"/>
  <c r="AH47" i="15"/>
  <c r="AI47" i="15" s="1"/>
  <c r="O102" i="15"/>
  <c r="Z41" i="15"/>
  <c r="Y41" i="15"/>
  <c r="V41" i="15"/>
  <c r="AH40" i="15"/>
  <c r="AI40" i="15" s="1"/>
  <c r="Z15" i="15"/>
  <c r="Z36" i="15"/>
  <c r="V36" i="15"/>
  <c r="X36" i="15"/>
  <c r="Y36" i="15"/>
  <c r="AD33" i="15"/>
  <c r="AF32" i="15"/>
  <c r="AG32" i="15" s="1"/>
  <c r="Z23" i="15"/>
  <c r="Y23" i="15"/>
  <c r="AC16" i="15"/>
  <c r="AH15" i="15"/>
  <c r="AI15" i="15" s="1"/>
  <c r="Z8" i="15"/>
  <c r="AE32" i="15"/>
  <c r="R17" i="14"/>
  <c r="V17" i="14"/>
  <c r="V28" i="14"/>
  <c r="V3" i="14"/>
  <c r="U17" i="14"/>
  <c r="K102" i="14"/>
  <c r="U76" i="14"/>
  <c r="T51" i="14"/>
  <c r="R27" i="14"/>
  <c r="R51" i="14"/>
  <c r="U51" i="14"/>
  <c r="V8" i="14"/>
  <c r="R8" i="14"/>
  <c r="U8" i="14"/>
  <c r="T3" i="14"/>
  <c r="T10" i="14"/>
  <c r="U10" i="14"/>
  <c r="T8" i="14"/>
  <c r="U37" i="14"/>
  <c r="R37" i="14"/>
  <c r="V37" i="14"/>
  <c r="R32" i="14"/>
  <c r="V32" i="14"/>
  <c r="U32" i="14"/>
  <c r="T32" i="14"/>
  <c r="R93" i="14"/>
  <c r="V93" i="14"/>
  <c r="T93" i="14"/>
  <c r="U93" i="14"/>
  <c r="R78" i="14"/>
  <c r="V78" i="14"/>
  <c r="U78" i="14"/>
  <c r="V55" i="14"/>
  <c r="U55" i="14"/>
  <c r="R55" i="14"/>
  <c r="V48" i="14"/>
  <c r="U48" i="14"/>
  <c r="R48" i="14"/>
  <c r="V35" i="14"/>
  <c r="U35" i="14"/>
  <c r="R35" i="14"/>
  <c r="V97" i="14"/>
  <c r="U97" i="14"/>
  <c r="T97" i="14"/>
  <c r="R97" i="14"/>
  <c r="V82" i="14"/>
  <c r="U82" i="14"/>
  <c r="T82" i="14"/>
  <c r="R82" i="14"/>
  <c r="V13" i="14"/>
  <c r="U13" i="14"/>
  <c r="R13" i="14"/>
  <c r="R12" i="14"/>
  <c r="V12" i="14"/>
  <c r="U12" i="14"/>
  <c r="AF34" i="14"/>
  <c r="AF35" i="14" s="1"/>
  <c r="AF36" i="14" s="1"/>
  <c r="AF37" i="14" s="1"/>
  <c r="AF38" i="14" s="1"/>
  <c r="AA32" i="14"/>
  <c r="AA33" i="14" s="1"/>
  <c r="T35" i="14"/>
  <c r="R38" i="14"/>
  <c r="V38" i="14"/>
  <c r="T38" i="14"/>
  <c r="U38" i="14"/>
  <c r="R30" i="14"/>
  <c r="V30" i="14"/>
  <c r="U30" i="14"/>
  <c r="T30" i="14"/>
  <c r="R86" i="14"/>
  <c r="V86" i="14"/>
  <c r="U86" i="14"/>
  <c r="T86" i="14"/>
  <c r="V63" i="14"/>
  <c r="U63" i="14"/>
  <c r="R63" i="14"/>
  <c r="V56" i="14"/>
  <c r="U56" i="14"/>
  <c r="R56" i="14"/>
  <c r="V42" i="14"/>
  <c r="U42" i="14"/>
  <c r="R42" i="14"/>
  <c r="V26" i="14"/>
  <c r="U26" i="14"/>
  <c r="T26" i="14"/>
  <c r="R26" i="14"/>
  <c r="V90" i="14"/>
  <c r="U90" i="14"/>
  <c r="T90" i="14"/>
  <c r="R90" i="14"/>
  <c r="T84" i="14"/>
  <c r="R84" i="14"/>
  <c r="U84" i="14"/>
  <c r="V84" i="14"/>
  <c r="R94" i="14"/>
  <c r="V94" i="14"/>
  <c r="U94" i="14"/>
  <c r="T94" i="14"/>
  <c r="V36" i="14"/>
  <c r="U36" i="14"/>
  <c r="T36" i="14"/>
  <c r="R36" i="14"/>
  <c r="V7" i="14"/>
  <c r="U7" i="14"/>
  <c r="R7" i="14"/>
  <c r="U75" i="14"/>
  <c r="R75" i="14"/>
  <c r="V75" i="14"/>
  <c r="T78" i="14"/>
  <c r="R45" i="14"/>
  <c r="V45" i="14"/>
  <c r="U45" i="14"/>
  <c r="T45" i="14"/>
  <c r="R33" i="14"/>
  <c r="V33" i="14"/>
  <c r="U33" i="14"/>
  <c r="V71" i="14"/>
  <c r="U71" i="14"/>
  <c r="R71" i="14"/>
  <c r="V64" i="14"/>
  <c r="U64" i="14"/>
  <c r="T64" i="14"/>
  <c r="R64" i="14"/>
  <c r="V49" i="14"/>
  <c r="U49" i="14"/>
  <c r="T49" i="14"/>
  <c r="R49" i="14"/>
  <c r="V98" i="14"/>
  <c r="U98" i="14"/>
  <c r="T98" i="14"/>
  <c r="R98" i="14"/>
  <c r="R6" i="14"/>
  <c r="V6" i="14"/>
  <c r="U6" i="14"/>
  <c r="T68" i="14"/>
  <c r="R68" i="14"/>
  <c r="V68" i="14"/>
  <c r="U68" i="14"/>
  <c r="R53" i="14"/>
  <c r="V53" i="14"/>
  <c r="U53" i="14"/>
  <c r="T53" i="14"/>
  <c r="R39" i="14"/>
  <c r="V39" i="14"/>
  <c r="U39" i="14"/>
  <c r="T39" i="14"/>
  <c r="V79" i="14"/>
  <c r="U79" i="14"/>
  <c r="R79" i="14"/>
  <c r="V72" i="14"/>
  <c r="U72" i="14"/>
  <c r="R72" i="14"/>
  <c r="V57" i="14"/>
  <c r="U57" i="14"/>
  <c r="R57" i="14"/>
  <c r="U43" i="14"/>
  <c r="R43" i="14"/>
  <c r="V43" i="14"/>
  <c r="U83" i="14"/>
  <c r="R83" i="14"/>
  <c r="V83" i="14"/>
  <c r="Y6" i="14"/>
  <c r="AD5" i="14"/>
  <c r="AE5" i="14" s="1"/>
  <c r="T63" i="14"/>
  <c r="V10" i="14"/>
  <c r="U3" i="14"/>
  <c r="V16" i="14"/>
  <c r="U16" i="14"/>
  <c r="T16" i="14"/>
  <c r="R16" i="14"/>
  <c r="U59" i="14"/>
  <c r="R59" i="14"/>
  <c r="V59" i="14"/>
  <c r="V23" i="14"/>
  <c r="U23" i="14"/>
  <c r="R23" i="14"/>
  <c r="R22" i="14"/>
  <c r="V22" i="14"/>
  <c r="U22" i="14"/>
  <c r="R61" i="14"/>
  <c r="V61" i="14"/>
  <c r="T61" i="14"/>
  <c r="U61" i="14"/>
  <c r="R46" i="14"/>
  <c r="V46" i="14"/>
  <c r="U46" i="14"/>
  <c r="T46" i="14"/>
  <c r="V31" i="14"/>
  <c r="U31" i="14"/>
  <c r="R31" i="14"/>
  <c r="V87" i="14"/>
  <c r="U87" i="14"/>
  <c r="R87" i="14"/>
  <c r="V80" i="14"/>
  <c r="U80" i="14"/>
  <c r="R80" i="14"/>
  <c r="V65" i="14"/>
  <c r="U65" i="14"/>
  <c r="R65" i="14"/>
  <c r="V50" i="14"/>
  <c r="U50" i="14"/>
  <c r="T50" i="14"/>
  <c r="R50" i="14"/>
  <c r="T23" i="14"/>
  <c r="T59" i="14"/>
  <c r="Z5" i="14"/>
  <c r="AB4" i="14"/>
  <c r="T12" i="14"/>
  <c r="T87" i="14"/>
  <c r="T37" i="14"/>
  <c r="R69" i="14"/>
  <c r="V69" i="14"/>
  <c r="T69" i="14"/>
  <c r="U69" i="14"/>
  <c r="R54" i="14"/>
  <c r="V54" i="14"/>
  <c r="U54" i="14"/>
  <c r="T54" i="14"/>
  <c r="V34" i="14"/>
  <c r="U34" i="14"/>
  <c r="R34" i="14"/>
  <c r="V95" i="14"/>
  <c r="U95" i="14"/>
  <c r="R95" i="14"/>
  <c r="V88" i="14"/>
  <c r="U88" i="14"/>
  <c r="R88" i="14"/>
  <c r="V73" i="14"/>
  <c r="U73" i="14"/>
  <c r="T73" i="14"/>
  <c r="R73" i="14"/>
  <c r="V58" i="14"/>
  <c r="U58" i="14"/>
  <c r="T58" i="14"/>
  <c r="R58" i="14"/>
  <c r="V21" i="14"/>
  <c r="U21" i="14"/>
  <c r="R21" i="14"/>
  <c r="T42" i="14"/>
  <c r="T22" i="14"/>
  <c r="T6" i="14"/>
  <c r="T100" i="14"/>
  <c r="R100" i="14"/>
  <c r="V100" i="14"/>
  <c r="U100" i="14"/>
  <c r="V14" i="14"/>
  <c r="U14" i="14"/>
  <c r="R14" i="14"/>
  <c r="R77" i="14"/>
  <c r="V77" i="14"/>
  <c r="U77" i="14"/>
  <c r="T77" i="14"/>
  <c r="R62" i="14"/>
  <c r="V62" i="14"/>
  <c r="U62" i="14"/>
  <c r="T62" i="14"/>
  <c r="V40" i="14"/>
  <c r="U40" i="14"/>
  <c r="R40" i="14"/>
  <c r="V24" i="14"/>
  <c r="U24" i="14"/>
  <c r="T24" i="14"/>
  <c r="R24" i="14"/>
  <c r="V96" i="14"/>
  <c r="U96" i="14"/>
  <c r="R96" i="14"/>
  <c r="V81" i="14"/>
  <c r="U81" i="14"/>
  <c r="T81" i="14"/>
  <c r="R81" i="14"/>
  <c r="V66" i="14"/>
  <c r="U66" i="14"/>
  <c r="R66" i="14"/>
  <c r="T60" i="14"/>
  <c r="R60" i="14"/>
  <c r="U60" i="14"/>
  <c r="V60" i="14"/>
  <c r="R20" i="14"/>
  <c r="V20" i="14"/>
  <c r="U20" i="14"/>
  <c r="T44" i="14"/>
  <c r="R44" i="14"/>
  <c r="V44" i="14"/>
  <c r="U44" i="14"/>
  <c r="U19" i="14"/>
  <c r="R19" i="14"/>
  <c r="T19" i="14"/>
  <c r="V19" i="14"/>
  <c r="T96" i="14"/>
  <c r="U91" i="14"/>
  <c r="R91" i="14"/>
  <c r="V91" i="14"/>
  <c r="V15" i="14"/>
  <c r="U15" i="14"/>
  <c r="T15" i="14"/>
  <c r="R15" i="14"/>
  <c r="R29" i="14"/>
  <c r="V29" i="14"/>
  <c r="T29" i="14"/>
  <c r="U29" i="14"/>
  <c r="R85" i="14"/>
  <c r="V85" i="14"/>
  <c r="U85" i="14"/>
  <c r="T85" i="14"/>
  <c r="R70" i="14"/>
  <c r="V70" i="14"/>
  <c r="U70" i="14"/>
  <c r="T70" i="14"/>
  <c r="V47" i="14"/>
  <c r="U47" i="14"/>
  <c r="R47" i="14"/>
  <c r="V41" i="14"/>
  <c r="U41" i="14"/>
  <c r="T41" i="14"/>
  <c r="R41" i="14"/>
  <c r="V25" i="14"/>
  <c r="U25" i="14"/>
  <c r="R25" i="14"/>
  <c r="V89" i="14"/>
  <c r="U89" i="14"/>
  <c r="T89" i="14"/>
  <c r="R89" i="14"/>
  <c r="V74" i="14"/>
  <c r="U74" i="14"/>
  <c r="R74" i="14"/>
  <c r="T48" i="14"/>
  <c r="T55" i="14"/>
  <c r="T65" i="14"/>
  <c r="Z33" i="14"/>
  <c r="AB32" i="14"/>
  <c r="AC32" i="14" s="1"/>
  <c r="H102" i="14"/>
  <c r="R2" i="14"/>
  <c r="X5" i="14"/>
  <c r="Z2" i="14" s="1"/>
  <c r="V2" i="14"/>
  <c r="U2" i="14"/>
  <c r="T2" i="14"/>
  <c r="T20" i="14"/>
  <c r="Y40" i="14"/>
  <c r="AD39" i="14"/>
  <c r="AE39" i="14" s="1"/>
  <c r="Q22" i="13"/>
  <c r="S22" i="13"/>
  <c r="U43" i="13"/>
  <c r="T54" i="13"/>
  <c r="T18" i="13"/>
  <c r="S10" i="13"/>
  <c r="S25" i="13"/>
  <c r="U25" i="13"/>
  <c r="T22" i="13"/>
  <c r="T38" i="13"/>
  <c r="Q33" i="13"/>
  <c r="T41" i="13"/>
  <c r="T71" i="13"/>
  <c r="T2" i="13"/>
  <c r="T19" i="13"/>
  <c r="U33" i="13"/>
  <c r="S2" i="13"/>
  <c r="U62" i="13"/>
  <c r="S71" i="13"/>
  <c r="T43" i="13"/>
  <c r="U71" i="13"/>
  <c r="S43" i="13"/>
  <c r="T62" i="13"/>
  <c r="S17" i="13"/>
  <c r="Q62" i="13"/>
  <c r="U17" i="13"/>
  <c r="U3" i="13"/>
  <c r="U10" i="13"/>
  <c r="S94" i="13"/>
  <c r="U19" i="13"/>
  <c r="U94" i="13"/>
  <c r="Q13" i="13"/>
  <c r="U38" i="13"/>
  <c r="S55" i="13"/>
  <c r="Q54" i="13"/>
  <c r="T25" i="13"/>
  <c r="S13" i="13"/>
  <c r="T16" i="13"/>
  <c r="U29" i="13"/>
  <c r="T55" i="13"/>
  <c r="S54" i="13"/>
  <c r="T5" i="13"/>
  <c r="U8" i="13"/>
  <c r="T14" i="13"/>
  <c r="T94" i="13"/>
  <c r="T36" i="13"/>
  <c r="U18" i="13"/>
  <c r="AE34" i="13"/>
  <c r="AE35" i="13" s="1"/>
  <c r="AE36" i="13" s="1"/>
  <c r="AE37" i="13" s="1"/>
  <c r="AE38" i="13" s="1"/>
  <c r="AE39" i="13" s="1"/>
  <c r="AE40" i="13" s="1"/>
  <c r="AE41" i="13" s="1"/>
  <c r="AE42" i="13" s="1"/>
  <c r="AE43" i="13" s="1"/>
  <c r="AE44" i="13" s="1"/>
  <c r="AE45" i="13" s="1"/>
  <c r="AE46" i="13" s="1"/>
  <c r="AE47" i="13" s="1"/>
  <c r="AE48" i="13" s="1"/>
  <c r="AE49" i="13" s="1"/>
  <c r="AE50" i="13" s="1"/>
  <c r="AE51" i="13" s="1"/>
  <c r="AE52" i="13" s="1"/>
  <c r="AE53" i="13" s="1"/>
  <c r="AE54" i="13" s="1"/>
  <c r="AE55" i="13" s="1"/>
  <c r="AE56" i="13" s="1"/>
  <c r="T24" i="13"/>
  <c r="J102" i="13"/>
  <c r="Q20" i="13"/>
  <c r="U20" i="13"/>
  <c r="T20" i="13"/>
  <c r="T32" i="13"/>
  <c r="Q32" i="13"/>
  <c r="U32" i="13"/>
  <c r="S32" i="13"/>
  <c r="U49" i="13"/>
  <c r="T49" i="13"/>
  <c r="Q49" i="13"/>
  <c r="S49" i="13"/>
  <c r="U50" i="13"/>
  <c r="T50" i="13"/>
  <c r="Q50" i="13"/>
  <c r="S20" i="13"/>
  <c r="Q47" i="13"/>
  <c r="U47" i="13"/>
  <c r="T47" i="13"/>
  <c r="T45" i="13"/>
  <c r="S45" i="13"/>
  <c r="Q45" i="13"/>
  <c r="U45" i="13"/>
  <c r="Q56" i="13"/>
  <c r="U56" i="13"/>
  <c r="T56" i="13"/>
  <c r="S56" i="13"/>
  <c r="U57" i="13"/>
  <c r="T57" i="13"/>
  <c r="Q57" i="13"/>
  <c r="U58" i="13"/>
  <c r="T58" i="13"/>
  <c r="Q58" i="13"/>
  <c r="U59" i="13"/>
  <c r="T59" i="13"/>
  <c r="Q59" i="13"/>
  <c r="U68" i="13"/>
  <c r="T68" i="13"/>
  <c r="S68" i="13"/>
  <c r="Q68" i="13"/>
  <c r="U12" i="13"/>
  <c r="T12" i="13"/>
  <c r="Q12" i="13"/>
  <c r="Q6" i="13"/>
  <c r="U6" i="13"/>
  <c r="T6" i="13"/>
  <c r="S6" i="13"/>
  <c r="U11" i="13"/>
  <c r="T11" i="13"/>
  <c r="S11" i="13"/>
  <c r="Q11" i="13"/>
  <c r="T40" i="13"/>
  <c r="T17" i="13"/>
  <c r="U35" i="13"/>
  <c r="T35" i="13"/>
  <c r="Q35" i="13"/>
  <c r="Q48" i="13"/>
  <c r="U48" i="13"/>
  <c r="T48" i="13"/>
  <c r="S48" i="13"/>
  <c r="U51" i="13"/>
  <c r="T51" i="13"/>
  <c r="Q51" i="13"/>
  <c r="Q4" i="13"/>
  <c r="T4" i="13"/>
  <c r="U4" i="13"/>
  <c r="S4" i="13"/>
  <c r="Y34" i="13"/>
  <c r="AA33" i="13"/>
  <c r="Q95" i="13"/>
  <c r="U95" i="13"/>
  <c r="T95" i="13"/>
  <c r="T53" i="13"/>
  <c r="S53" i="13"/>
  <c r="Q53" i="13"/>
  <c r="U53" i="13"/>
  <c r="Q64" i="13"/>
  <c r="U64" i="13"/>
  <c r="T64" i="13"/>
  <c r="S64" i="13"/>
  <c r="U65" i="13"/>
  <c r="T65" i="13"/>
  <c r="Q65" i="13"/>
  <c r="S65" i="13"/>
  <c r="U66" i="13"/>
  <c r="T66" i="13"/>
  <c r="Q66" i="13"/>
  <c r="U67" i="13"/>
  <c r="T67" i="13"/>
  <c r="Q67" i="13"/>
  <c r="U76" i="13"/>
  <c r="T76" i="13"/>
  <c r="S76" i="13"/>
  <c r="Q76" i="13"/>
  <c r="T26" i="13"/>
  <c r="Q26" i="13"/>
  <c r="U26" i="13"/>
  <c r="Q39" i="13"/>
  <c r="T39" i="13"/>
  <c r="U39" i="13"/>
  <c r="T93" i="13"/>
  <c r="S93" i="13"/>
  <c r="Q93" i="13"/>
  <c r="U93" i="13"/>
  <c r="U73" i="13"/>
  <c r="T73" i="13"/>
  <c r="Q73" i="13"/>
  <c r="U75" i="13"/>
  <c r="T75" i="13"/>
  <c r="Q75" i="13"/>
  <c r="U84" i="13"/>
  <c r="T84" i="13"/>
  <c r="Q84" i="13"/>
  <c r="Q28" i="13"/>
  <c r="U28" i="13"/>
  <c r="T28" i="13"/>
  <c r="S28" i="13"/>
  <c r="U46" i="13"/>
  <c r="Q79" i="13"/>
  <c r="U79" i="13"/>
  <c r="T79" i="13"/>
  <c r="Q63" i="13"/>
  <c r="U63" i="13"/>
  <c r="T63" i="13"/>
  <c r="U52" i="13"/>
  <c r="T52" i="13"/>
  <c r="S52" i="13"/>
  <c r="Q52" i="13"/>
  <c r="U60" i="13"/>
  <c r="T60" i="13"/>
  <c r="S60" i="13"/>
  <c r="Q60" i="13"/>
  <c r="S86" i="13"/>
  <c r="Q86" i="13"/>
  <c r="T86" i="13"/>
  <c r="U86" i="13"/>
  <c r="T61" i="13"/>
  <c r="S61" i="13"/>
  <c r="Q61" i="13"/>
  <c r="U61" i="13"/>
  <c r="U74" i="13"/>
  <c r="T74" i="13"/>
  <c r="Q74" i="13"/>
  <c r="U34" i="13"/>
  <c r="T34" i="13"/>
  <c r="S79" i="13"/>
  <c r="T69" i="13"/>
  <c r="S69" i="13"/>
  <c r="Q69" i="13"/>
  <c r="U69" i="13"/>
  <c r="Q80" i="13"/>
  <c r="U80" i="13"/>
  <c r="T80" i="13"/>
  <c r="S80" i="13"/>
  <c r="U81" i="13"/>
  <c r="T81" i="13"/>
  <c r="Q81" i="13"/>
  <c r="S81" i="13"/>
  <c r="U82" i="13"/>
  <c r="T82" i="13"/>
  <c r="Q82" i="13"/>
  <c r="U83" i="13"/>
  <c r="T83" i="13"/>
  <c r="Q83" i="13"/>
  <c r="U92" i="13"/>
  <c r="T92" i="13"/>
  <c r="Q92" i="13"/>
  <c r="W5" i="13"/>
  <c r="Y2" i="13" s="1"/>
  <c r="S70" i="13"/>
  <c r="Q70" i="13"/>
  <c r="T70" i="13"/>
  <c r="U70" i="13"/>
  <c r="T30" i="13"/>
  <c r="S35" i="13"/>
  <c r="AA3" i="13"/>
  <c r="Y4" i="13"/>
  <c r="U42" i="13"/>
  <c r="T42" i="13"/>
  <c r="Q42" i="13"/>
  <c r="Q72" i="13"/>
  <c r="U72" i="13"/>
  <c r="T72" i="13"/>
  <c r="S72" i="13"/>
  <c r="S74" i="13"/>
  <c r="T77" i="13"/>
  <c r="S77" i="13"/>
  <c r="Q77" i="13"/>
  <c r="U77" i="13"/>
  <c r="Q88" i="13"/>
  <c r="U88" i="13"/>
  <c r="T88" i="13"/>
  <c r="S88" i="13"/>
  <c r="U89" i="13"/>
  <c r="T89" i="13"/>
  <c r="Q89" i="13"/>
  <c r="U90" i="13"/>
  <c r="T90" i="13"/>
  <c r="Q90" i="13"/>
  <c r="U91" i="13"/>
  <c r="T91" i="13"/>
  <c r="Q91" i="13"/>
  <c r="U100" i="13"/>
  <c r="T100" i="13"/>
  <c r="Q100" i="13"/>
  <c r="S83" i="13"/>
  <c r="Q87" i="13"/>
  <c r="U87" i="13"/>
  <c r="T87" i="13"/>
  <c r="U2" i="13"/>
  <c r="S63" i="13"/>
  <c r="S84" i="13"/>
  <c r="S73" i="13"/>
  <c r="U37" i="13"/>
  <c r="T37" i="13"/>
  <c r="Q37" i="13"/>
  <c r="AB33" i="13"/>
  <c r="T85" i="13"/>
  <c r="S85" i="13"/>
  <c r="Q85" i="13"/>
  <c r="U85" i="13"/>
  <c r="Q96" i="13"/>
  <c r="U96" i="13"/>
  <c r="T96" i="13"/>
  <c r="S96" i="13"/>
  <c r="U97" i="13"/>
  <c r="T97" i="13"/>
  <c r="Q97" i="13"/>
  <c r="S97" i="13"/>
  <c r="U98" i="13"/>
  <c r="T98" i="13"/>
  <c r="Q98" i="13"/>
  <c r="U99" i="13"/>
  <c r="T99" i="13"/>
  <c r="Q99" i="13"/>
  <c r="S78" i="13"/>
  <c r="Q78" i="13"/>
  <c r="T78" i="13"/>
  <c r="U78" i="13"/>
  <c r="T33" i="13"/>
  <c r="G102" i="13"/>
  <c r="Z33" i="13"/>
  <c r="G102" i="12"/>
  <c r="W5" i="12"/>
  <c r="Y2" i="12" s="1"/>
  <c r="AA3" i="12"/>
  <c r="AE35" i="12"/>
  <c r="AE36" i="12" s="1"/>
  <c r="AE37" i="12" s="1"/>
  <c r="AE38" i="12" s="1"/>
  <c r="AE39" i="12" s="1"/>
  <c r="AE40" i="12" s="1"/>
  <c r="AE41" i="12" s="1"/>
  <c r="AE42" i="12" s="1"/>
  <c r="AE43" i="12" s="1"/>
  <c r="AE44" i="12" s="1"/>
  <c r="AE45" i="12" s="1"/>
  <c r="AE46" i="12" s="1"/>
  <c r="AE47" i="12" s="1"/>
  <c r="AE48" i="12" s="1"/>
  <c r="AE49" i="12" s="1"/>
  <c r="AE50" i="12" s="1"/>
  <c r="AE51" i="12" s="1"/>
  <c r="AE52" i="12" s="1"/>
  <c r="AE53" i="12" s="1"/>
  <c r="AE54" i="12" s="1"/>
  <c r="AE55" i="12" s="1"/>
  <c r="AE56" i="12" s="1"/>
  <c r="AE2" i="12"/>
  <c r="AE3" i="12" s="1"/>
  <c r="AE4" i="12" s="1"/>
  <c r="AE5" i="12" s="1"/>
  <c r="AE6" i="12" s="1"/>
  <c r="AE7" i="12" s="1"/>
  <c r="AE8" i="12" s="1"/>
  <c r="AE9" i="12" s="1"/>
  <c r="AE10" i="12" s="1"/>
  <c r="AE11" i="12" s="1"/>
  <c r="AE12" i="12" s="1"/>
  <c r="AC2" i="12"/>
  <c r="AB2" i="12"/>
  <c r="Z2" i="12"/>
  <c r="Z3" i="12" s="1"/>
  <c r="Z4" i="12" s="1"/>
  <c r="Z5" i="12" s="1"/>
  <c r="U31" i="12"/>
  <c r="T31" i="12"/>
  <c r="Q31" i="12"/>
  <c r="Q45" i="12"/>
  <c r="U45" i="12"/>
  <c r="T45" i="12"/>
  <c r="U60" i="12"/>
  <c r="T60" i="12"/>
  <c r="Q60" i="12"/>
  <c r="Q29" i="12"/>
  <c r="U29" i="12"/>
  <c r="S29" i="12"/>
  <c r="T29" i="12"/>
  <c r="U36" i="12"/>
  <c r="T36" i="12"/>
  <c r="Q36" i="12"/>
  <c r="S70" i="12"/>
  <c r="Q70" i="12"/>
  <c r="T70" i="12"/>
  <c r="U70" i="12"/>
  <c r="T53" i="12"/>
  <c r="Q53" i="12"/>
  <c r="U53" i="12"/>
  <c r="Q56" i="12"/>
  <c r="U56" i="12"/>
  <c r="T56" i="12"/>
  <c r="S56" i="12"/>
  <c r="U57" i="12"/>
  <c r="T57" i="12"/>
  <c r="Q57" i="12"/>
  <c r="S57" i="12"/>
  <c r="U50" i="12"/>
  <c r="T50" i="12"/>
  <c r="Q50" i="12"/>
  <c r="U59" i="12"/>
  <c r="T59" i="12"/>
  <c r="Q59" i="12"/>
  <c r="U68" i="12"/>
  <c r="T68" i="12"/>
  <c r="Q68" i="12"/>
  <c r="U8" i="12"/>
  <c r="S36" i="12"/>
  <c r="T12" i="12"/>
  <c r="U18" i="12"/>
  <c r="T18" i="12"/>
  <c r="Q18" i="12"/>
  <c r="Q48" i="12"/>
  <c r="U48" i="12"/>
  <c r="T48" i="12"/>
  <c r="S48" i="12"/>
  <c r="U51" i="12"/>
  <c r="T51" i="12"/>
  <c r="Q51" i="12"/>
  <c r="Q46" i="12"/>
  <c r="T46" i="12"/>
  <c r="S46" i="12"/>
  <c r="U46" i="12"/>
  <c r="U43" i="12"/>
  <c r="T43" i="12"/>
  <c r="Q43" i="12"/>
  <c r="S94" i="12"/>
  <c r="Q94" i="12"/>
  <c r="T94" i="12"/>
  <c r="U94" i="12"/>
  <c r="S31" i="12"/>
  <c r="T61" i="12"/>
  <c r="S61" i="12"/>
  <c r="Q61" i="12"/>
  <c r="U61" i="12"/>
  <c r="Q64" i="12"/>
  <c r="U64" i="12"/>
  <c r="T64" i="12"/>
  <c r="S64" i="12"/>
  <c r="U65" i="12"/>
  <c r="T65" i="12"/>
  <c r="Q65" i="12"/>
  <c r="U58" i="12"/>
  <c r="T58" i="12"/>
  <c r="Q58" i="12"/>
  <c r="U67" i="12"/>
  <c r="T67" i="12"/>
  <c r="Q67" i="12"/>
  <c r="U76" i="12"/>
  <c r="T76" i="12"/>
  <c r="Q76" i="12"/>
  <c r="U41" i="12"/>
  <c r="Q41" i="12"/>
  <c r="T41" i="12"/>
  <c r="AA5" i="12"/>
  <c r="Y6" i="12"/>
  <c r="U17" i="12"/>
  <c r="T17" i="12"/>
  <c r="S17" i="12"/>
  <c r="Q17" i="12"/>
  <c r="U35" i="12"/>
  <c r="Q35" i="12"/>
  <c r="T35" i="12"/>
  <c r="Q79" i="12"/>
  <c r="U79" i="12"/>
  <c r="T79" i="12"/>
  <c r="U42" i="12"/>
  <c r="T42" i="12"/>
  <c r="Q42" i="12"/>
  <c r="S45" i="12"/>
  <c r="T19" i="12"/>
  <c r="Z34" i="12"/>
  <c r="T69" i="12"/>
  <c r="S69" i="12"/>
  <c r="Q69" i="12"/>
  <c r="U69" i="12"/>
  <c r="Q72" i="12"/>
  <c r="U72" i="12"/>
  <c r="T72" i="12"/>
  <c r="S72" i="12"/>
  <c r="U73" i="12"/>
  <c r="T73" i="12"/>
  <c r="Q73" i="12"/>
  <c r="U66" i="12"/>
  <c r="T66" i="12"/>
  <c r="Q66" i="12"/>
  <c r="U75" i="12"/>
  <c r="T75" i="12"/>
  <c r="Q75" i="12"/>
  <c r="U84" i="12"/>
  <c r="T84" i="12"/>
  <c r="Q84" i="12"/>
  <c r="S79" i="12"/>
  <c r="J102" i="12"/>
  <c r="AC13" i="12"/>
  <c r="AD13" i="12" s="1"/>
  <c r="X14" i="12"/>
  <c r="T27" i="12"/>
  <c r="U27" i="12"/>
  <c r="Q27" i="12"/>
  <c r="S35" i="12"/>
  <c r="AA34" i="12"/>
  <c r="Y35" i="12"/>
  <c r="U24" i="12"/>
  <c r="T24" i="12"/>
  <c r="Q24" i="12"/>
  <c r="S40" i="12"/>
  <c r="Q40" i="12"/>
  <c r="U40" i="12"/>
  <c r="T40" i="12"/>
  <c r="U49" i="12"/>
  <c r="T49" i="12"/>
  <c r="Q49" i="12"/>
  <c r="S49" i="12"/>
  <c r="S75" i="12"/>
  <c r="AB33" i="12"/>
  <c r="S84" i="12"/>
  <c r="S76" i="12"/>
  <c r="T77" i="12"/>
  <c r="S77" i="12"/>
  <c r="Q77" i="12"/>
  <c r="U77" i="12"/>
  <c r="Q80" i="12"/>
  <c r="U80" i="12"/>
  <c r="T80" i="12"/>
  <c r="S80" i="12"/>
  <c r="U81" i="12"/>
  <c r="T81" i="12"/>
  <c r="Q81" i="12"/>
  <c r="S81" i="12"/>
  <c r="U74" i="12"/>
  <c r="T74" i="12"/>
  <c r="Q74" i="12"/>
  <c r="U83" i="12"/>
  <c r="T83" i="12"/>
  <c r="Q83" i="12"/>
  <c r="U92" i="12"/>
  <c r="T92" i="12"/>
  <c r="Q92" i="12"/>
  <c r="S74" i="12"/>
  <c r="T5" i="12"/>
  <c r="Q5" i="12"/>
  <c r="U5" i="12"/>
  <c r="Q32" i="12"/>
  <c r="U32" i="12"/>
  <c r="T32" i="12"/>
  <c r="S32" i="12"/>
  <c r="U98" i="12"/>
  <c r="T98" i="12"/>
  <c r="Q98" i="12"/>
  <c r="Q71" i="12"/>
  <c r="U71" i="12"/>
  <c r="T71" i="12"/>
  <c r="Q22" i="12"/>
  <c r="U22" i="12"/>
  <c r="T22" i="12"/>
  <c r="T85" i="12"/>
  <c r="S85" i="12"/>
  <c r="Q85" i="12"/>
  <c r="U85" i="12"/>
  <c r="Q88" i="12"/>
  <c r="U88" i="12"/>
  <c r="T88" i="12"/>
  <c r="S88" i="12"/>
  <c r="U89" i="12"/>
  <c r="T89" i="12"/>
  <c r="Q89" i="12"/>
  <c r="S89" i="12"/>
  <c r="U82" i="12"/>
  <c r="T82" i="12"/>
  <c r="Q82" i="12"/>
  <c r="U91" i="12"/>
  <c r="T91" i="12"/>
  <c r="Q91" i="12"/>
  <c r="U100" i="12"/>
  <c r="T100" i="12"/>
  <c r="Q100" i="12"/>
  <c r="U37" i="12"/>
  <c r="Q30" i="12"/>
  <c r="T30" i="12"/>
  <c r="U30" i="12"/>
  <c r="Q7" i="12"/>
  <c r="S7" i="12"/>
  <c r="U7" i="12"/>
  <c r="T7" i="12"/>
  <c r="U52" i="12"/>
  <c r="T52" i="12"/>
  <c r="Q52" i="12"/>
  <c r="S60" i="12"/>
  <c r="S51" i="12"/>
  <c r="S27" i="12"/>
  <c r="S62" i="12"/>
  <c r="Q62" i="12"/>
  <c r="T62" i="12"/>
  <c r="U62" i="12"/>
  <c r="S52" i="12"/>
  <c r="T93" i="12"/>
  <c r="S93" i="12"/>
  <c r="Q93" i="12"/>
  <c r="U93" i="12"/>
  <c r="Q96" i="12"/>
  <c r="U96" i="12"/>
  <c r="T96" i="12"/>
  <c r="S96" i="12"/>
  <c r="U97" i="12"/>
  <c r="T97" i="12"/>
  <c r="Q97" i="12"/>
  <c r="U90" i="12"/>
  <c r="T90" i="12"/>
  <c r="Q90" i="12"/>
  <c r="U99" i="12"/>
  <c r="T99" i="12"/>
  <c r="Q99" i="12"/>
  <c r="S42" i="12"/>
  <c r="S22" i="12"/>
  <c r="W102" i="25" l="1"/>
  <c r="AI49" i="25"/>
  <c r="AJ49" i="25" s="1"/>
  <c r="AI61" i="25"/>
  <c r="AJ61" i="25" s="1"/>
  <c r="AI57" i="25"/>
  <c r="AJ57" i="25" s="1"/>
  <c r="AI56" i="25"/>
  <c r="AJ56" i="25" s="1"/>
  <c r="AI60" i="25"/>
  <c r="AJ60" i="25" s="1"/>
  <c r="AI43" i="25"/>
  <c r="AJ43" i="25" s="1"/>
  <c r="AI13" i="25"/>
  <c r="AJ13" i="25" s="1"/>
  <c r="AG39" i="25"/>
  <c r="AE40" i="25"/>
  <c r="AI59" i="25"/>
  <c r="AJ59" i="25" s="1"/>
  <c r="AK2" i="25"/>
  <c r="AK3" i="25" s="1"/>
  <c r="AK4" i="25" s="1"/>
  <c r="AK5" i="25" s="1"/>
  <c r="AK6" i="25" s="1"/>
  <c r="AI2" i="25"/>
  <c r="AH2" i="25"/>
  <c r="AF2" i="25"/>
  <c r="AF3" i="25" s="1"/>
  <c r="AF4" i="25" s="1"/>
  <c r="AI45" i="25"/>
  <c r="AJ45" i="25" s="1"/>
  <c r="AI44" i="25"/>
  <c r="AJ44" i="25" s="1"/>
  <c r="AE4" i="25"/>
  <c r="AG3" i="25"/>
  <c r="AI38" i="25"/>
  <c r="AH38" i="25"/>
  <c r="AH39" i="25" s="1"/>
  <c r="AF38" i="25"/>
  <c r="AF39" i="25" s="1"/>
  <c r="AF40" i="25" s="1"/>
  <c r="AK38" i="25"/>
  <c r="AK39" i="25" s="1"/>
  <c r="AK40" i="25" s="1"/>
  <c r="AK41" i="25" s="1"/>
  <c r="AI52" i="25"/>
  <c r="AJ52" i="25" s="1"/>
  <c r="AI47" i="25"/>
  <c r="AJ47" i="25" s="1"/>
  <c r="AI55" i="25"/>
  <c r="AJ55" i="25" s="1"/>
  <c r="AD16" i="25"/>
  <c r="AI8" i="25"/>
  <c r="AJ8" i="25" s="1"/>
  <c r="AI7" i="25"/>
  <c r="AJ7" i="25" s="1"/>
  <c r="AI53" i="25"/>
  <c r="AJ53" i="25" s="1"/>
  <c r="AI48" i="25"/>
  <c r="AJ48" i="25" s="1"/>
  <c r="AG38" i="24"/>
  <c r="AG39" i="24" s="1"/>
  <c r="AG40" i="24" s="1"/>
  <c r="AG41" i="24" s="1"/>
  <c r="AL38" i="24"/>
  <c r="AL39" i="24" s="1"/>
  <c r="AL40" i="24" s="1"/>
  <c r="AL41" i="24" s="1"/>
  <c r="AJ38" i="24"/>
  <c r="AI38" i="24"/>
  <c r="AI39" i="24" s="1"/>
  <c r="AI40" i="24" s="1"/>
  <c r="AI41" i="24" s="1"/>
  <c r="AH42" i="24"/>
  <c r="AF43" i="24"/>
  <c r="AF7" i="24"/>
  <c r="AH6" i="24"/>
  <c r="AL2" i="24"/>
  <c r="AL3" i="24" s="1"/>
  <c r="AL4" i="24" s="1"/>
  <c r="AL5" i="24" s="1"/>
  <c r="AL6" i="24" s="1"/>
  <c r="AJ2" i="24"/>
  <c r="AI2" i="24"/>
  <c r="AI3" i="24" s="1"/>
  <c r="AI4" i="24" s="1"/>
  <c r="AI5" i="24" s="1"/>
  <c r="AG2" i="24"/>
  <c r="AG3" i="24" s="1"/>
  <c r="AG4" i="24" s="1"/>
  <c r="AG5" i="24" s="1"/>
  <c r="AE8" i="24"/>
  <c r="AJ7" i="24"/>
  <c r="AK7" i="24" s="1"/>
  <c r="AE44" i="24"/>
  <c r="AJ43" i="24"/>
  <c r="AK43" i="24" s="1"/>
  <c r="AE8" i="23"/>
  <c r="AG7" i="23"/>
  <c r="AE42" i="23"/>
  <c r="AG41" i="23"/>
  <c r="AK2" i="23"/>
  <c r="AK3" i="23" s="1"/>
  <c r="AK4" i="23" s="1"/>
  <c r="AK5" i="23" s="1"/>
  <c r="AK6" i="23" s="1"/>
  <c r="AI2" i="23"/>
  <c r="AH2" i="23"/>
  <c r="AH3" i="23" s="1"/>
  <c r="AH4" i="23" s="1"/>
  <c r="AH5" i="23" s="1"/>
  <c r="AH6" i="23" s="1"/>
  <c r="AF2" i="23"/>
  <c r="AF3" i="23" s="1"/>
  <c r="AF4" i="23" s="1"/>
  <c r="AF5" i="23" s="1"/>
  <c r="AD43" i="23"/>
  <c r="AI42" i="23"/>
  <c r="AJ42" i="23" s="1"/>
  <c r="AI7" i="23"/>
  <c r="AJ7" i="23" s="1"/>
  <c r="AD8" i="23"/>
  <c r="AH38" i="23"/>
  <c r="AH39" i="23" s="1"/>
  <c r="AH40" i="23" s="1"/>
  <c r="AH41" i="23" s="1"/>
  <c r="AI38" i="23"/>
  <c r="AF38" i="23"/>
  <c r="AF39" i="23" s="1"/>
  <c r="AF40" i="23" s="1"/>
  <c r="AF41" i="23" s="1"/>
  <c r="AK38" i="23"/>
  <c r="AK39" i="23" s="1"/>
  <c r="AK40" i="23" s="1"/>
  <c r="AK41" i="23" s="1"/>
  <c r="AI43" i="21"/>
  <c r="AJ43" i="21" s="1"/>
  <c r="AI40" i="21"/>
  <c r="AJ40" i="21" s="1"/>
  <c r="AE40" i="21"/>
  <c r="AE41" i="21" s="1"/>
  <c r="AE42" i="21" s="1"/>
  <c r="AG42" i="21" s="1"/>
  <c r="AG39" i="21"/>
  <c r="AI42" i="21"/>
  <c r="AJ42" i="21" s="1"/>
  <c r="AI39" i="21"/>
  <c r="AJ39" i="21" s="1"/>
  <c r="AI41" i="21"/>
  <c r="AJ41" i="21" s="1"/>
  <c r="Z102" i="22"/>
  <c r="AI2" i="22"/>
  <c r="AI3" i="22" s="1"/>
  <c r="AI4" i="22" s="1"/>
  <c r="AI5" i="22" s="1"/>
  <c r="AG2" i="22"/>
  <c r="AG3" i="22" s="1"/>
  <c r="AG4" i="22" s="1"/>
  <c r="AG5" i="22" s="1"/>
  <c r="AL2" i="22"/>
  <c r="AL3" i="22" s="1"/>
  <c r="AL4" i="22" s="1"/>
  <c r="AL5" i="22" s="1"/>
  <c r="AL6" i="22" s="1"/>
  <c r="AL7" i="22" s="1"/>
  <c r="AJ2" i="22"/>
  <c r="AJ43" i="22"/>
  <c r="AK43" i="22" s="1"/>
  <c r="AE44" i="22"/>
  <c r="X102" i="22"/>
  <c r="AE10" i="22"/>
  <c r="AJ9" i="22"/>
  <c r="AK9" i="22" s="1"/>
  <c r="AF7" i="22"/>
  <c r="AH6" i="22"/>
  <c r="AH41" i="22"/>
  <c r="AF42" i="22"/>
  <c r="AL38" i="22"/>
  <c r="AL39" i="22" s="1"/>
  <c r="AL40" i="22" s="1"/>
  <c r="AL41" i="22" s="1"/>
  <c r="AI38" i="22"/>
  <c r="AI39" i="22" s="1"/>
  <c r="AI40" i="22" s="1"/>
  <c r="AG38" i="22"/>
  <c r="AG39" i="22" s="1"/>
  <c r="AG40" i="22" s="1"/>
  <c r="AG41" i="22" s="1"/>
  <c r="AJ38" i="22"/>
  <c r="Y102" i="21"/>
  <c r="W102" i="21"/>
  <c r="AK2" i="21"/>
  <c r="AF2" i="21"/>
  <c r="AH2" i="21"/>
  <c r="AI2" i="21"/>
  <c r="AD45" i="21"/>
  <c r="AI44" i="21"/>
  <c r="AJ44" i="21" s="1"/>
  <c r="AD13" i="21"/>
  <c r="AM12" i="21"/>
  <c r="AN12" i="21" s="1"/>
  <c r="AI38" i="21"/>
  <c r="AH38" i="21"/>
  <c r="AK38" i="21"/>
  <c r="AF38" i="21"/>
  <c r="AF39" i="21" s="1"/>
  <c r="Z102" i="19"/>
  <c r="X102" i="19"/>
  <c r="AG42" i="19"/>
  <c r="AG65" i="19"/>
  <c r="AE8" i="19"/>
  <c r="AJ7" i="19"/>
  <c r="AK7" i="19" s="1"/>
  <c r="AE44" i="19"/>
  <c r="AJ43" i="19"/>
  <c r="AK43" i="19" s="1"/>
  <c r="AF5" i="19"/>
  <c r="AH4" i="19"/>
  <c r="AL42" i="19"/>
  <c r="AL65" i="19"/>
  <c r="AG2" i="19"/>
  <c r="AG3" i="19" s="1"/>
  <c r="AG4" i="19" s="1"/>
  <c r="AJ2" i="19"/>
  <c r="AL2" i="19"/>
  <c r="AL3" i="19" s="1"/>
  <c r="AL4" i="19" s="1"/>
  <c r="AL5" i="19" s="1"/>
  <c r="AL6" i="19" s="1"/>
  <c r="AI2" i="19"/>
  <c r="AI3" i="19" s="1"/>
  <c r="AF43" i="19"/>
  <c r="AH42" i="19"/>
  <c r="AI42" i="19" s="1"/>
  <c r="AH4" i="18"/>
  <c r="AF5" i="18"/>
  <c r="AH41" i="18"/>
  <c r="AI41" i="18" s="1"/>
  <c r="AF42" i="18"/>
  <c r="AG41" i="18"/>
  <c r="X102" i="18"/>
  <c r="AL42" i="18"/>
  <c r="AL43" i="18" s="1"/>
  <c r="AL65" i="18"/>
  <c r="AE44" i="18"/>
  <c r="AJ43" i="18"/>
  <c r="AK43" i="18" s="1"/>
  <c r="AI2" i="18"/>
  <c r="AI3" i="18" s="1"/>
  <c r="AG2" i="18"/>
  <c r="AG3" i="18" s="1"/>
  <c r="AG4" i="18" s="1"/>
  <c r="AL2" i="18"/>
  <c r="AL3" i="18" s="1"/>
  <c r="AL4" i="18" s="1"/>
  <c r="AL5" i="18" s="1"/>
  <c r="AL6" i="18" s="1"/>
  <c r="AJ2" i="18"/>
  <c r="AE8" i="18"/>
  <c r="AJ7" i="18"/>
  <c r="AK7" i="18" s="1"/>
  <c r="Z102" i="18"/>
  <c r="AX103" i="17"/>
  <c r="AX6" i="17"/>
  <c r="AY6" i="17" s="1"/>
  <c r="AZ6" i="17" s="1"/>
  <c r="AX8" i="17"/>
  <c r="AY8" i="17" s="1"/>
  <c r="AZ8" i="17" s="1"/>
  <c r="AX14" i="17"/>
  <c r="AY14" i="17" s="1"/>
  <c r="AZ14" i="17" s="1"/>
  <c r="AX3" i="17"/>
  <c r="AY3" i="17" s="1"/>
  <c r="AZ3" i="17" s="1"/>
  <c r="AX46" i="17"/>
  <c r="AY46" i="17" s="1"/>
  <c r="AZ46" i="17" s="1"/>
  <c r="AX52" i="17"/>
  <c r="AX68" i="17"/>
  <c r="AX84" i="17"/>
  <c r="AX100" i="17"/>
  <c r="AX19" i="17"/>
  <c r="AY19" i="17" s="1"/>
  <c r="AZ19" i="17" s="1"/>
  <c r="AX35" i="17"/>
  <c r="AY35" i="17" s="1"/>
  <c r="AZ35" i="17" s="1"/>
  <c r="AX51" i="17"/>
  <c r="AX67" i="17"/>
  <c r="AX83" i="17"/>
  <c r="AX99" i="17"/>
  <c r="AX30" i="17"/>
  <c r="AY30" i="17" s="1"/>
  <c r="AZ30" i="17" s="1"/>
  <c r="AX4" i="17"/>
  <c r="AY4" i="17" s="1"/>
  <c r="AZ4" i="17" s="1"/>
  <c r="AX5" i="17"/>
  <c r="AY5" i="17" s="1"/>
  <c r="AZ5" i="17" s="1"/>
  <c r="AX54" i="17"/>
  <c r="AX70" i="17"/>
  <c r="AX86" i="17"/>
  <c r="AX102" i="17"/>
  <c r="AX21" i="17"/>
  <c r="AY21" i="17" s="1"/>
  <c r="AZ21" i="17" s="1"/>
  <c r="AX37" i="17"/>
  <c r="AY37" i="17" s="1"/>
  <c r="AZ37" i="17" s="1"/>
  <c r="AX53" i="17"/>
  <c r="AX69" i="17"/>
  <c r="AX85" i="17"/>
  <c r="AX101" i="17"/>
  <c r="AX38" i="17"/>
  <c r="AY38" i="17" s="1"/>
  <c r="AZ38" i="17" s="1"/>
  <c r="AX10" i="17"/>
  <c r="AY10" i="17" s="1"/>
  <c r="AZ10" i="17" s="1"/>
  <c r="AX12" i="17"/>
  <c r="AY12" i="17" s="1"/>
  <c r="AZ12" i="17" s="1"/>
  <c r="AX56" i="17"/>
  <c r="AX72" i="17"/>
  <c r="AX88" i="17"/>
  <c r="AX7" i="17"/>
  <c r="AY7" i="17" s="1"/>
  <c r="AZ7" i="17" s="1"/>
  <c r="AX23" i="17"/>
  <c r="AY23" i="17" s="1"/>
  <c r="AZ23" i="17" s="1"/>
  <c r="AX39" i="17"/>
  <c r="AY39" i="17" s="1"/>
  <c r="AZ39" i="17" s="1"/>
  <c r="AX55" i="17"/>
  <c r="AX71" i="17"/>
  <c r="AX87" i="17"/>
  <c r="AX48" i="17"/>
  <c r="AX15" i="17"/>
  <c r="AY15" i="17" s="1"/>
  <c r="AZ15" i="17" s="1"/>
  <c r="AX63" i="17"/>
  <c r="AX2" i="17"/>
  <c r="AY2" i="17" s="1"/>
  <c r="AX18" i="17"/>
  <c r="AY18" i="17" s="1"/>
  <c r="AZ18" i="17" s="1"/>
  <c r="AX20" i="17"/>
  <c r="AY20" i="17" s="1"/>
  <c r="AZ20" i="17" s="1"/>
  <c r="AX58" i="17"/>
  <c r="AX74" i="17"/>
  <c r="AX90" i="17"/>
  <c r="AX9" i="17"/>
  <c r="AY9" i="17" s="1"/>
  <c r="AZ9" i="17" s="1"/>
  <c r="AX25" i="17"/>
  <c r="AY25" i="17" s="1"/>
  <c r="AZ25" i="17" s="1"/>
  <c r="AX41" i="17"/>
  <c r="AY41" i="17" s="1"/>
  <c r="AZ41" i="17" s="1"/>
  <c r="AX57" i="17"/>
  <c r="AX73" i="17"/>
  <c r="AX89" i="17"/>
  <c r="AX44" i="17"/>
  <c r="AY44" i="17" s="1"/>
  <c r="AZ44" i="17" s="1"/>
  <c r="AX80" i="17"/>
  <c r="AX47" i="17"/>
  <c r="AX16" i="17"/>
  <c r="AY16" i="17" s="1"/>
  <c r="AZ16" i="17" s="1"/>
  <c r="AX26" i="17"/>
  <c r="AY26" i="17" s="1"/>
  <c r="AZ26" i="17" s="1"/>
  <c r="AX28" i="17"/>
  <c r="AY28" i="17" s="1"/>
  <c r="AZ28" i="17" s="1"/>
  <c r="AX60" i="17"/>
  <c r="AX76" i="17"/>
  <c r="AX92" i="17"/>
  <c r="AX11" i="17"/>
  <c r="AY11" i="17" s="1"/>
  <c r="AZ11" i="17" s="1"/>
  <c r="AX27" i="17"/>
  <c r="AY27" i="17" s="1"/>
  <c r="AZ27" i="17" s="1"/>
  <c r="AX43" i="17"/>
  <c r="AY43" i="17" s="1"/>
  <c r="AZ43" i="17" s="1"/>
  <c r="AX59" i="17"/>
  <c r="AX75" i="17"/>
  <c r="AX91" i="17"/>
  <c r="AX32" i="17"/>
  <c r="AY32" i="17" s="1"/>
  <c r="AZ32" i="17" s="1"/>
  <c r="AX96" i="17"/>
  <c r="AX79" i="17"/>
  <c r="AX24" i="17"/>
  <c r="AY24" i="17" s="1"/>
  <c r="AZ24" i="17" s="1"/>
  <c r="AX34" i="17"/>
  <c r="AY34" i="17" s="1"/>
  <c r="AZ34" i="17" s="1"/>
  <c r="AX36" i="17"/>
  <c r="AY36" i="17" s="1"/>
  <c r="AZ36" i="17" s="1"/>
  <c r="AX62" i="17"/>
  <c r="AX78" i="17"/>
  <c r="AX94" i="17"/>
  <c r="AX13" i="17"/>
  <c r="AY13" i="17" s="1"/>
  <c r="AZ13" i="17" s="1"/>
  <c r="AX29" i="17"/>
  <c r="AY29" i="17" s="1"/>
  <c r="AZ29" i="17" s="1"/>
  <c r="AX45" i="17"/>
  <c r="AY45" i="17" s="1"/>
  <c r="AZ45" i="17" s="1"/>
  <c r="AX61" i="17"/>
  <c r="AX77" i="17"/>
  <c r="AX93" i="17"/>
  <c r="AX42" i="17"/>
  <c r="AY42" i="17" s="1"/>
  <c r="AZ42" i="17" s="1"/>
  <c r="AX64" i="17"/>
  <c r="AX31" i="17"/>
  <c r="AY31" i="17" s="1"/>
  <c r="AZ31" i="17" s="1"/>
  <c r="AX95" i="17"/>
  <c r="AX40" i="17"/>
  <c r="AY40" i="17" s="1"/>
  <c r="AZ40" i="17" s="1"/>
  <c r="AX22" i="17"/>
  <c r="AY22" i="17" s="1"/>
  <c r="AZ22" i="17" s="1"/>
  <c r="AX50" i="17"/>
  <c r="AX66" i="17"/>
  <c r="AX82" i="17"/>
  <c r="AX98" i="17"/>
  <c r="AX17" i="17"/>
  <c r="AY17" i="17" s="1"/>
  <c r="AZ17" i="17" s="1"/>
  <c r="AX33" i="17"/>
  <c r="AY33" i="17" s="1"/>
  <c r="AZ33" i="17" s="1"/>
  <c r="AX49" i="17"/>
  <c r="AX65" i="17"/>
  <c r="AX81" i="17"/>
  <c r="AX97" i="17"/>
  <c r="AF41" i="17"/>
  <c r="W102" i="17"/>
  <c r="AE5" i="17"/>
  <c r="AG4" i="17"/>
  <c r="AH40" i="17"/>
  <c r="AD17" i="17"/>
  <c r="AI16" i="17"/>
  <c r="AJ16" i="17" s="1"/>
  <c r="AH3" i="17"/>
  <c r="Y102" i="17"/>
  <c r="AF4" i="17"/>
  <c r="AE42" i="17"/>
  <c r="AG41" i="17"/>
  <c r="AK16" i="17"/>
  <c r="AK2" i="16"/>
  <c r="AK3" i="16" s="1"/>
  <c r="AK4" i="16" s="1"/>
  <c r="AK5" i="16" s="1"/>
  <c r="AK6" i="16" s="1"/>
  <c r="AK7" i="16" s="1"/>
  <c r="AK8" i="16" s="1"/>
  <c r="AK9" i="16" s="1"/>
  <c r="AK10" i="16" s="1"/>
  <c r="AK11" i="16" s="1"/>
  <c r="AK12" i="16" s="1"/>
  <c r="AK13" i="16" s="1"/>
  <c r="AK14" i="16" s="1"/>
  <c r="AK15" i="16" s="1"/>
  <c r="W102" i="16"/>
  <c r="Y102" i="16"/>
  <c r="AF2" i="16"/>
  <c r="AF3" i="16" s="1"/>
  <c r="AF4" i="16" s="1"/>
  <c r="AH2" i="16"/>
  <c r="AI2" i="16"/>
  <c r="AE41" i="16"/>
  <c r="AG40" i="16"/>
  <c r="AH40" i="16" s="1"/>
  <c r="AK42" i="16"/>
  <c r="AK43" i="16" s="1"/>
  <c r="AK44" i="16" s="1"/>
  <c r="AK45" i="16" s="1"/>
  <c r="AK46" i="16" s="1"/>
  <c r="AK47" i="16" s="1"/>
  <c r="AK48" i="16" s="1"/>
  <c r="AK49" i="16" s="1"/>
  <c r="AK50" i="16" s="1"/>
  <c r="AK51" i="16" s="1"/>
  <c r="AK52" i="16" s="1"/>
  <c r="AF40" i="16"/>
  <c r="AE4" i="16"/>
  <c r="AG3" i="16"/>
  <c r="AD4" i="15"/>
  <c r="AD5" i="15" s="1"/>
  <c r="AJ35" i="15"/>
  <c r="AJ36" i="15" s="1"/>
  <c r="AJ37" i="15" s="1"/>
  <c r="AJ38" i="15" s="1"/>
  <c r="AJ39" i="15" s="1"/>
  <c r="AJ40" i="15" s="1"/>
  <c r="AJ41" i="15" s="1"/>
  <c r="AJ42" i="15" s="1"/>
  <c r="AJ43" i="15" s="1"/>
  <c r="AJ44" i="15" s="1"/>
  <c r="AJ45" i="15" s="1"/>
  <c r="AJ46" i="15" s="1"/>
  <c r="AJ47" i="15" s="1"/>
  <c r="X102" i="15"/>
  <c r="AE33" i="15"/>
  <c r="AJ2" i="15"/>
  <c r="AJ3" i="15" s="1"/>
  <c r="AJ4" i="15" s="1"/>
  <c r="AJ5" i="15" s="1"/>
  <c r="AJ6" i="15" s="1"/>
  <c r="AJ7" i="15" s="1"/>
  <c r="AJ8" i="15" s="1"/>
  <c r="AJ9" i="15" s="1"/>
  <c r="AJ10" i="15" s="1"/>
  <c r="AJ11" i="15" s="1"/>
  <c r="AJ12" i="15" s="1"/>
  <c r="AJ13" i="15" s="1"/>
  <c r="AJ14" i="15" s="1"/>
  <c r="AJ15" i="15" s="1"/>
  <c r="AH2" i="15"/>
  <c r="AE2" i="15"/>
  <c r="AE3" i="15" s="1"/>
  <c r="AG2" i="15"/>
  <c r="AG3" i="15" s="1"/>
  <c r="AC17" i="15"/>
  <c r="AH16" i="15"/>
  <c r="AI16" i="15" s="1"/>
  <c r="AC49" i="15"/>
  <c r="AH48" i="15"/>
  <c r="AI48" i="15" s="1"/>
  <c r="AD34" i="15"/>
  <c r="AF33" i="15"/>
  <c r="AG33" i="15" s="1"/>
  <c r="V102" i="15"/>
  <c r="T102" i="14"/>
  <c r="AF2" i="14"/>
  <c r="AF3" i="14" s="1"/>
  <c r="AF4" i="14" s="1"/>
  <c r="AF5" i="14" s="1"/>
  <c r="AD2" i="14"/>
  <c r="AC2" i="14"/>
  <c r="AC3" i="14" s="1"/>
  <c r="AC4" i="14" s="1"/>
  <c r="AA2" i="14"/>
  <c r="AA3" i="14" s="1"/>
  <c r="AA4" i="14" s="1"/>
  <c r="AA5" i="14" s="1"/>
  <c r="Y41" i="14"/>
  <c r="AD40" i="14"/>
  <c r="AE40" i="14" s="1"/>
  <c r="AD6" i="14"/>
  <c r="AE6" i="14" s="1"/>
  <c r="Y7" i="14"/>
  <c r="R102" i="14"/>
  <c r="AF39" i="14"/>
  <c r="Z34" i="14"/>
  <c r="AB33" i="14"/>
  <c r="AC33" i="14" s="1"/>
  <c r="AB5" i="14"/>
  <c r="Z6" i="14"/>
  <c r="S102" i="13"/>
  <c r="Z34" i="13"/>
  <c r="AB34" i="13"/>
  <c r="Y5" i="13"/>
  <c r="AA4" i="13"/>
  <c r="AB2" i="13"/>
  <c r="AB3" i="13" s="1"/>
  <c r="Z2" i="13"/>
  <c r="Z3" i="13" s="1"/>
  <c r="Z4" i="13" s="1"/>
  <c r="Z5" i="13" s="1"/>
  <c r="AE2" i="13"/>
  <c r="AE3" i="13" s="1"/>
  <c r="AE4" i="13" s="1"/>
  <c r="AE5" i="13" s="1"/>
  <c r="AE6" i="13" s="1"/>
  <c r="AE7" i="13" s="1"/>
  <c r="AE8" i="13" s="1"/>
  <c r="AE9" i="13" s="1"/>
  <c r="AE10" i="13" s="1"/>
  <c r="AE11" i="13" s="1"/>
  <c r="AE12" i="13" s="1"/>
  <c r="AE13" i="13" s="1"/>
  <c r="AE14" i="13" s="1"/>
  <c r="AE15" i="13" s="1"/>
  <c r="AE16" i="13" s="1"/>
  <c r="AE17" i="13" s="1"/>
  <c r="AE18" i="13" s="1"/>
  <c r="AE19" i="13" s="1"/>
  <c r="AE20" i="13" s="1"/>
  <c r="AE21" i="13" s="1"/>
  <c r="AE22" i="13" s="1"/>
  <c r="AE23" i="13" s="1"/>
  <c r="AE24" i="13" s="1"/>
  <c r="AE25" i="13" s="1"/>
  <c r="AE26" i="13" s="1"/>
  <c r="AE27" i="13" s="1"/>
  <c r="AC2" i="13"/>
  <c r="AA34" i="13"/>
  <c r="Y35" i="13"/>
  <c r="Q102" i="13"/>
  <c r="Q102" i="12"/>
  <c r="AB3" i="12"/>
  <c r="AB4" i="12" s="1"/>
  <c r="AB5" i="12" s="1"/>
  <c r="AE13" i="12"/>
  <c r="S102" i="12"/>
  <c r="X15" i="12"/>
  <c r="AC14" i="12"/>
  <c r="AD14" i="12" s="1"/>
  <c r="AE14" i="12" s="1"/>
  <c r="Z35" i="12"/>
  <c r="AA6" i="12"/>
  <c r="Y7" i="12"/>
  <c r="AA35" i="12"/>
  <c r="Y36" i="12"/>
  <c r="AB34" i="12"/>
  <c r="Z6" i="12"/>
  <c r="AF40" i="21" l="1"/>
  <c r="AF41" i="21" s="1"/>
  <c r="AF42" i="21" s="1"/>
  <c r="AE5" i="25"/>
  <c r="AG4" i="25"/>
  <c r="AG40" i="25"/>
  <c r="AH40" i="25" s="1"/>
  <c r="AE41" i="25"/>
  <c r="AF41" i="25"/>
  <c r="AH3" i="25"/>
  <c r="AH4" i="25" s="1"/>
  <c r="AK42" i="25"/>
  <c r="AK43" i="25" s="1"/>
  <c r="AK44" i="25" s="1"/>
  <c r="AK45" i="25" s="1"/>
  <c r="AK46" i="25" s="1"/>
  <c r="AK47" i="25" s="1"/>
  <c r="AK48" i="25" s="1"/>
  <c r="AK49" i="25" s="1"/>
  <c r="AK50" i="25" s="1"/>
  <c r="AK51" i="25" s="1"/>
  <c r="AK52" i="25" s="1"/>
  <c r="AK53" i="25" s="1"/>
  <c r="AK54" i="25" s="1"/>
  <c r="AK55" i="25" s="1"/>
  <c r="AK56" i="25" s="1"/>
  <c r="AK57" i="25" s="1"/>
  <c r="AK58" i="25" s="1"/>
  <c r="AK59" i="25" s="1"/>
  <c r="AK60" i="25" s="1"/>
  <c r="AK61" i="25" s="1"/>
  <c r="AK62" i="25" s="1"/>
  <c r="AK63" i="25" s="1"/>
  <c r="AK65" i="25"/>
  <c r="AF5" i="25"/>
  <c r="AD17" i="25"/>
  <c r="AI16" i="25"/>
  <c r="AJ16" i="25" s="1"/>
  <c r="AK7" i="25"/>
  <c r="AK8" i="25" s="1"/>
  <c r="AK9" i="25" s="1"/>
  <c r="AK10" i="25" s="1"/>
  <c r="AK11" i="25" s="1"/>
  <c r="AK12" i="25" s="1"/>
  <c r="AK13" i="25" s="1"/>
  <c r="AK14" i="25" s="1"/>
  <c r="AK15" i="25" s="1"/>
  <c r="AL7" i="24"/>
  <c r="AK7" i="23"/>
  <c r="AL42" i="24"/>
  <c r="AL43" i="24" s="1"/>
  <c r="AL44" i="24" s="1"/>
  <c r="AL65" i="24"/>
  <c r="AG42" i="24"/>
  <c r="AG43" i="24" s="1"/>
  <c r="AG65" i="24"/>
  <c r="AE45" i="24"/>
  <c r="AJ44" i="24"/>
  <c r="AK44" i="24" s="1"/>
  <c r="AF8" i="24"/>
  <c r="AH7" i="24"/>
  <c r="AE9" i="24"/>
  <c r="AJ8" i="24"/>
  <c r="AK8" i="24" s="1"/>
  <c r="AH43" i="24"/>
  <c r="AF44" i="24"/>
  <c r="AG6" i="24"/>
  <c r="AG7" i="24" s="1"/>
  <c r="AG29" i="24"/>
  <c r="AI6" i="24"/>
  <c r="AI42" i="24"/>
  <c r="AE43" i="23"/>
  <c r="AG42" i="23"/>
  <c r="AH42" i="23" s="1"/>
  <c r="AK42" i="23"/>
  <c r="AK65" i="23"/>
  <c r="AI43" i="23"/>
  <c r="AJ43" i="23" s="1"/>
  <c r="AD44" i="23"/>
  <c r="AF42" i="23"/>
  <c r="AF65" i="23"/>
  <c r="AF6" i="23"/>
  <c r="AF7" i="23" s="1"/>
  <c r="AF8" i="23" s="1"/>
  <c r="AF29" i="23"/>
  <c r="AE9" i="23"/>
  <c r="AG8" i="23"/>
  <c r="AH7" i="23"/>
  <c r="AH29" i="23"/>
  <c r="AI8" i="23"/>
  <c r="AJ8" i="23" s="1"/>
  <c r="AD9" i="23"/>
  <c r="AI41" i="22"/>
  <c r="AE43" i="21"/>
  <c r="AG43" i="21" s="1"/>
  <c r="AG41" i="21"/>
  <c r="AG40" i="21"/>
  <c r="AH39" i="21"/>
  <c r="AK39" i="21"/>
  <c r="AK40" i="21" s="1"/>
  <c r="AK41" i="21" s="1"/>
  <c r="AK42" i="21" s="1"/>
  <c r="AK43" i="21" s="1"/>
  <c r="AK44" i="21" s="1"/>
  <c r="AL42" i="22"/>
  <c r="AL43" i="22" s="1"/>
  <c r="AL65" i="22"/>
  <c r="AL8" i="22"/>
  <c r="AL9" i="22" s="1"/>
  <c r="AH7" i="22"/>
  <c r="AF8" i="22"/>
  <c r="AG6" i="22"/>
  <c r="AG7" i="22" s="1"/>
  <c r="AG29" i="22"/>
  <c r="AI6" i="22"/>
  <c r="AJ44" i="22"/>
  <c r="AK44" i="22" s="1"/>
  <c r="AE45" i="22"/>
  <c r="AF43" i="22"/>
  <c r="AH42" i="22"/>
  <c r="AG42" i="22"/>
  <c r="AG65" i="22"/>
  <c r="AE11" i="22"/>
  <c r="AJ10" i="22"/>
  <c r="AK10" i="22" s="1"/>
  <c r="AD14" i="21"/>
  <c r="AM13" i="21"/>
  <c r="AN13" i="21" s="1"/>
  <c r="AD46" i="21"/>
  <c r="AI45" i="21"/>
  <c r="AJ45" i="21" s="1"/>
  <c r="AG5" i="19"/>
  <c r="AF44" i="19"/>
  <c r="AH43" i="19"/>
  <c r="AI43" i="19" s="1"/>
  <c r="AG43" i="19"/>
  <c r="AG44" i="19" s="1"/>
  <c r="AI4" i="19"/>
  <c r="AH5" i="19"/>
  <c r="AF6" i="19"/>
  <c r="AG29" i="19" s="1"/>
  <c r="AE45" i="19"/>
  <c r="AJ44" i="19"/>
  <c r="AK44" i="19" s="1"/>
  <c r="AE9" i="19"/>
  <c r="AJ8" i="19"/>
  <c r="AK8" i="19" s="1"/>
  <c r="AL43" i="19"/>
  <c r="AL7" i="19"/>
  <c r="AI4" i="18"/>
  <c r="AL7" i="18"/>
  <c r="AH5" i="18"/>
  <c r="AF6" i="18"/>
  <c r="AE9" i="18"/>
  <c r="AJ8" i="18"/>
  <c r="AK8" i="18" s="1"/>
  <c r="AE45" i="18"/>
  <c r="AJ44" i="18"/>
  <c r="AK44" i="18" s="1"/>
  <c r="AL44" i="18" s="1"/>
  <c r="AG42" i="18"/>
  <c r="AG65" i="18"/>
  <c r="AG5" i="18"/>
  <c r="AF43" i="18"/>
  <c r="AH42" i="18"/>
  <c r="AI42" i="18" s="1"/>
  <c r="AK53" i="16"/>
  <c r="AK54" i="16" s="1"/>
  <c r="AK55" i="16" s="1"/>
  <c r="AK56" i="16" s="1"/>
  <c r="AK57" i="16" s="1"/>
  <c r="AK58" i="16" s="1"/>
  <c r="AK59" i="16" s="1"/>
  <c r="AK60" i="16" s="1"/>
  <c r="AK61" i="16" s="1"/>
  <c r="AK62" i="16" s="1"/>
  <c r="AK63" i="16" s="1"/>
  <c r="AV2" i="16" s="1"/>
  <c r="AZ2" i="17"/>
  <c r="AV6" i="17"/>
  <c r="AV10" i="17" s="1"/>
  <c r="AF42" i="17"/>
  <c r="AF5" i="17"/>
  <c r="AE6" i="17"/>
  <c r="AG5" i="17"/>
  <c r="AH4" i="17"/>
  <c r="AH5" i="17" s="1"/>
  <c r="AD18" i="17"/>
  <c r="AI17" i="17"/>
  <c r="AJ17" i="17" s="1"/>
  <c r="AK17" i="17" s="1"/>
  <c r="AG42" i="17"/>
  <c r="AE43" i="17"/>
  <c r="AF43" i="17" s="1"/>
  <c r="AH41" i="17"/>
  <c r="AK16" i="16"/>
  <c r="AK17" i="16" s="1"/>
  <c r="AK18" i="16" s="1"/>
  <c r="AK19" i="16" s="1"/>
  <c r="AK20" i="16" s="1"/>
  <c r="AK21" i="16" s="1"/>
  <c r="AK22" i="16" s="1"/>
  <c r="AK23" i="16" s="1"/>
  <c r="AK24" i="16" s="1"/>
  <c r="AK25" i="16" s="1"/>
  <c r="AK26" i="16" s="1"/>
  <c r="AK27" i="16" s="1"/>
  <c r="AF4" i="15"/>
  <c r="AG4" i="15" s="1"/>
  <c r="AH3" i="16"/>
  <c r="AF41" i="16"/>
  <c r="AE5" i="16"/>
  <c r="AF5" i="16" s="1"/>
  <c r="AG4" i="16"/>
  <c r="AE42" i="16"/>
  <c r="AG41" i="16"/>
  <c r="AH41" i="16" s="1"/>
  <c r="AE4" i="15"/>
  <c r="AE5" i="15" s="1"/>
  <c r="AJ16" i="15"/>
  <c r="AC50" i="15"/>
  <c r="AH49" i="15"/>
  <c r="AI49" i="15" s="1"/>
  <c r="AC18" i="15"/>
  <c r="AH17" i="15"/>
  <c r="AI17" i="15" s="1"/>
  <c r="AD35" i="15"/>
  <c r="AF34" i="15"/>
  <c r="AG34" i="15" s="1"/>
  <c r="AF5" i="15"/>
  <c r="AD6" i="15"/>
  <c r="AE34" i="15"/>
  <c r="AJ48" i="15"/>
  <c r="AF6" i="14"/>
  <c r="AF7" i="14" s="1"/>
  <c r="AB6" i="14"/>
  <c r="Z7" i="14"/>
  <c r="Y8" i="14"/>
  <c r="AD7" i="14"/>
  <c r="AE7" i="14" s="1"/>
  <c r="Z35" i="14"/>
  <c r="AB34" i="14"/>
  <c r="AC34" i="14" s="1"/>
  <c r="Y42" i="14"/>
  <c r="AD41" i="14"/>
  <c r="AE41" i="14" s="1"/>
  <c r="AF40" i="14"/>
  <c r="AA6" i="14"/>
  <c r="AA7" i="14" s="1"/>
  <c r="AA34" i="14"/>
  <c r="AC5" i="14"/>
  <c r="AC6" i="14" s="1"/>
  <c r="Y36" i="13"/>
  <c r="AA35" i="13"/>
  <c r="AB35" i="13" s="1"/>
  <c r="Z35" i="13"/>
  <c r="AB4" i="13"/>
  <c r="Y6" i="13"/>
  <c r="AA5" i="13"/>
  <c r="AB6" i="12"/>
  <c r="Z7" i="12"/>
  <c r="AB35" i="12"/>
  <c r="AB36" i="12" s="1"/>
  <c r="X16" i="12"/>
  <c r="AC15" i="12"/>
  <c r="AD15" i="12" s="1"/>
  <c r="AE15" i="12" s="1"/>
  <c r="Y37" i="12"/>
  <c r="AA36" i="12"/>
  <c r="Y8" i="12"/>
  <c r="AA7" i="12"/>
  <c r="AB7" i="12" s="1"/>
  <c r="Z36" i="12"/>
  <c r="AI42" i="22" l="1"/>
  <c r="AE44" i="21"/>
  <c r="AE45" i="21" s="1"/>
  <c r="AH41" i="25"/>
  <c r="AF6" i="25"/>
  <c r="AG5" i="25"/>
  <c r="AE6" i="25"/>
  <c r="AH5" i="25"/>
  <c r="AK16" i="25"/>
  <c r="AK17" i="25" s="1"/>
  <c r="AF42" i="25"/>
  <c r="AF65" i="25"/>
  <c r="AG41" i="25"/>
  <c r="AE42" i="25"/>
  <c r="AD18" i="25"/>
  <c r="AI17" i="25"/>
  <c r="AJ17" i="25" s="1"/>
  <c r="AL8" i="24"/>
  <c r="AK8" i="23"/>
  <c r="AH8" i="23"/>
  <c r="AF9" i="23"/>
  <c r="AI43" i="24"/>
  <c r="AI65" i="24"/>
  <c r="AI7" i="24"/>
  <c r="AI29" i="24"/>
  <c r="AH8" i="24"/>
  <c r="AF9" i="24"/>
  <c r="AJ9" i="24"/>
  <c r="AK9" i="24" s="1"/>
  <c r="AE10" i="24"/>
  <c r="AG8" i="24"/>
  <c r="AE46" i="24"/>
  <c r="AJ45" i="24"/>
  <c r="AK45" i="24" s="1"/>
  <c r="AL45" i="24" s="1"/>
  <c r="AF45" i="24"/>
  <c r="AH44" i="24"/>
  <c r="AG44" i="24"/>
  <c r="AE44" i="23"/>
  <c r="AG43" i="23"/>
  <c r="AH43" i="23" s="1"/>
  <c r="AD10" i="23"/>
  <c r="AI9" i="23"/>
  <c r="AJ9" i="23" s="1"/>
  <c r="AF43" i="23"/>
  <c r="AD45" i="23"/>
  <c r="AI44" i="23"/>
  <c r="AJ44" i="23" s="1"/>
  <c r="AE10" i="23"/>
  <c r="AG9" i="23"/>
  <c r="AH9" i="23" s="1"/>
  <c r="AK43" i="23"/>
  <c r="AG8" i="22"/>
  <c r="AF43" i="21"/>
  <c r="AH40" i="21"/>
  <c r="AH41" i="21" s="1"/>
  <c r="AH42" i="21" s="1"/>
  <c r="AH43" i="21" s="1"/>
  <c r="AG43" i="22"/>
  <c r="AH8" i="22"/>
  <c r="AF9" i="22"/>
  <c r="AL10" i="22"/>
  <c r="AE46" i="22"/>
  <c r="AJ45" i="22"/>
  <c r="AK45" i="22" s="1"/>
  <c r="AH43" i="22"/>
  <c r="AF44" i="22"/>
  <c r="AE12" i="22"/>
  <c r="AJ11" i="22"/>
  <c r="AK11" i="22" s="1"/>
  <c r="AI7" i="22"/>
  <c r="AI29" i="22"/>
  <c r="AL44" i="22"/>
  <c r="AD15" i="21"/>
  <c r="AM14" i="21"/>
  <c r="AN14" i="21" s="1"/>
  <c r="AD47" i="21"/>
  <c r="AI46" i="21"/>
  <c r="AJ46" i="21" s="1"/>
  <c r="AK45" i="21"/>
  <c r="AG6" i="19"/>
  <c r="AI5" i="19"/>
  <c r="AG45" i="19"/>
  <c r="AI65" i="19"/>
  <c r="AE46" i="19"/>
  <c r="AJ45" i="19"/>
  <c r="AK45" i="19" s="1"/>
  <c r="AL8" i="19"/>
  <c r="AL9" i="19" s="1"/>
  <c r="AH6" i="19"/>
  <c r="AI6" i="19" s="1"/>
  <c r="AF7" i="19"/>
  <c r="AE10" i="19"/>
  <c r="AJ9" i="19"/>
  <c r="AK9" i="19" s="1"/>
  <c r="AG7" i="19"/>
  <c r="AH44" i="19"/>
  <c r="AI44" i="19" s="1"/>
  <c r="AF45" i="19"/>
  <c r="AL44" i="19"/>
  <c r="AL8" i="18"/>
  <c r="AI5" i="18"/>
  <c r="AJ45" i="18"/>
  <c r="AK45" i="18" s="1"/>
  <c r="AL45" i="18" s="1"/>
  <c r="AE46" i="18"/>
  <c r="AE10" i="18"/>
  <c r="AJ9" i="18"/>
  <c r="AK9" i="18" s="1"/>
  <c r="AH43" i="18"/>
  <c r="AI65" i="18" s="1"/>
  <c r="AF44" i="18"/>
  <c r="AF7" i="18"/>
  <c r="AH6" i="18"/>
  <c r="AG6" i="18"/>
  <c r="AG29" i="18"/>
  <c r="AG43" i="18"/>
  <c r="AG44" i="18" s="1"/>
  <c r="AY10" i="16"/>
  <c r="AY18" i="16"/>
  <c r="AY26" i="16"/>
  <c r="AZ26" i="16" s="1"/>
  <c r="AY34" i="16"/>
  <c r="AZ34" i="16" s="1"/>
  <c r="AY42" i="16"/>
  <c r="AZ42" i="16" s="1"/>
  <c r="AY2" i="16"/>
  <c r="AX10" i="16"/>
  <c r="AX18" i="16"/>
  <c r="AX26" i="16"/>
  <c r="AX34" i="16"/>
  <c r="AX42" i="16"/>
  <c r="AX51" i="16"/>
  <c r="AX59" i="16"/>
  <c r="AX67" i="16"/>
  <c r="AX75" i="16"/>
  <c r="AX83" i="16"/>
  <c r="AX91" i="16"/>
  <c r="AX99" i="16"/>
  <c r="AX2" i="16"/>
  <c r="AX82" i="16"/>
  <c r="AY11" i="16"/>
  <c r="AZ11" i="16" s="1"/>
  <c r="AY19" i="16"/>
  <c r="AZ19" i="16" s="1"/>
  <c r="AY27" i="16"/>
  <c r="AZ27" i="16" s="1"/>
  <c r="AY35" i="16"/>
  <c r="AZ35" i="16" s="1"/>
  <c r="AY43" i="16"/>
  <c r="AX11" i="16"/>
  <c r="AX19" i="16"/>
  <c r="AX27" i="16"/>
  <c r="AX35" i="16"/>
  <c r="AX43" i="16"/>
  <c r="AX52" i="16"/>
  <c r="AX60" i="16"/>
  <c r="AX68" i="16"/>
  <c r="AX76" i="16"/>
  <c r="AX84" i="16"/>
  <c r="AX92" i="16"/>
  <c r="AX100" i="16"/>
  <c r="AY12" i="16"/>
  <c r="AZ12" i="16" s="1"/>
  <c r="AY20" i="16"/>
  <c r="AZ20" i="16" s="1"/>
  <c r="AY28" i="16"/>
  <c r="AY36" i="16"/>
  <c r="AY44" i="16"/>
  <c r="AX47" i="16"/>
  <c r="AX12" i="16"/>
  <c r="AX20" i="16"/>
  <c r="AX28" i="16"/>
  <c r="AX36" i="16"/>
  <c r="AX44" i="16"/>
  <c r="AX53" i="16"/>
  <c r="AX61" i="16"/>
  <c r="AX69" i="16"/>
  <c r="AX77" i="16"/>
  <c r="AX85" i="16"/>
  <c r="AX93" i="16"/>
  <c r="AX101" i="16"/>
  <c r="AX58" i="16"/>
  <c r="AX4" i="16"/>
  <c r="AY13" i="16"/>
  <c r="AY21" i="16"/>
  <c r="AZ21" i="16" s="1"/>
  <c r="AY29" i="16"/>
  <c r="AZ29" i="16" s="1"/>
  <c r="AY37" i="16"/>
  <c r="AZ37" i="16" s="1"/>
  <c r="AY45" i="16"/>
  <c r="AZ45" i="16" s="1"/>
  <c r="AX5" i="16"/>
  <c r="AX13" i="16"/>
  <c r="AX21" i="16"/>
  <c r="AX29" i="16"/>
  <c r="AX37" i="16"/>
  <c r="AX45" i="16"/>
  <c r="AX54" i="16"/>
  <c r="AX62" i="16"/>
  <c r="AX70" i="16"/>
  <c r="AX78" i="16"/>
  <c r="AX86" i="16"/>
  <c r="AX94" i="16"/>
  <c r="AX102" i="16"/>
  <c r="AY9" i="16"/>
  <c r="AY6" i="16"/>
  <c r="AZ6" i="16" s="1"/>
  <c r="AY14" i="16"/>
  <c r="AZ14" i="16" s="1"/>
  <c r="AY22" i="16"/>
  <c r="AZ22" i="16" s="1"/>
  <c r="AY30" i="16"/>
  <c r="AY38" i="16"/>
  <c r="AY46" i="16"/>
  <c r="AX6" i="16"/>
  <c r="AX14" i="16"/>
  <c r="AX22" i="16"/>
  <c r="AX30" i="16"/>
  <c r="AX38" i="16"/>
  <c r="AX46" i="16"/>
  <c r="AX55" i="16"/>
  <c r="AX63" i="16"/>
  <c r="AX71" i="16"/>
  <c r="AX79" i="16"/>
  <c r="AX87" i="16"/>
  <c r="AX95" i="16"/>
  <c r="AX103" i="16"/>
  <c r="AX74" i="16"/>
  <c r="AY7" i="16"/>
  <c r="AY15" i="16"/>
  <c r="AY23" i="16"/>
  <c r="AZ23" i="16" s="1"/>
  <c r="AY31" i="16"/>
  <c r="AZ31" i="16" s="1"/>
  <c r="AY39" i="16"/>
  <c r="AZ39" i="16" s="1"/>
  <c r="AY4" i="16"/>
  <c r="AZ4" i="16" s="1"/>
  <c r="AX7" i="16"/>
  <c r="AX15" i="16"/>
  <c r="AX23" i="16"/>
  <c r="AX31" i="16"/>
  <c r="AX39" i="16"/>
  <c r="AX48" i="16"/>
  <c r="AX56" i="16"/>
  <c r="AX64" i="16"/>
  <c r="AX72" i="16"/>
  <c r="AX80" i="16"/>
  <c r="AX88" i="16"/>
  <c r="AX96" i="16"/>
  <c r="AX104" i="16"/>
  <c r="AY8" i="16"/>
  <c r="AZ8" i="16" s="1"/>
  <c r="AY16" i="16"/>
  <c r="AZ16" i="16" s="1"/>
  <c r="AY24" i="16"/>
  <c r="AZ24" i="16" s="1"/>
  <c r="AY32" i="16"/>
  <c r="AZ32" i="16" s="1"/>
  <c r="AY40" i="16"/>
  <c r="AY5" i="16"/>
  <c r="AX8" i="16"/>
  <c r="AX16" i="16"/>
  <c r="AX24" i="16"/>
  <c r="AX32" i="16"/>
  <c r="AX40" i="16"/>
  <c r="AX49" i="16"/>
  <c r="AX57" i="16"/>
  <c r="AX65" i="16"/>
  <c r="AX73" i="16"/>
  <c r="AX81" i="16"/>
  <c r="AX89" i="16"/>
  <c r="AX97" i="16"/>
  <c r="AX3" i="16"/>
  <c r="AY17" i="16"/>
  <c r="AZ17" i="16" s="1"/>
  <c r="AY25" i="16"/>
  <c r="AY33" i="16"/>
  <c r="AY41" i="16"/>
  <c r="AY3" i="16"/>
  <c r="AX9" i="16"/>
  <c r="AX17" i="16"/>
  <c r="AX25" i="16"/>
  <c r="AX33" i="16"/>
  <c r="AX41" i="16"/>
  <c r="AX50" i="16"/>
  <c r="AX66" i="16"/>
  <c r="AX90" i="16"/>
  <c r="AX98" i="16"/>
  <c r="AY97" i="17"/>
  <c r="AZ97" i="17" s="1"/>
  <c r="AY81" i="17"/>
  <c r="AZ81" i="17" s="1"/>
  <c r="AY65" i="17"/>
  <c r="AZ65" i="17" s="1"/>
  <c r="AY49" i="17"/>
  <c r="AZ49" i="17" s="1"/>
  <c r="AY48" i="17"/>
  <c r="AZ48" i="17" s="1"/>
  <c r="AY56" i="17"/>
  <c r="AZ56" i="17" s="1"/>
  <c r="AY102" i="17"/>
  <c r="AZ102" i="17" s="1"/>
  <c r="AY95" i="17"/>
  <c r="AZ95" i="17" s="1"/>
  <c r="AY79" i="17"/>
  <c r="AZ79" i="17" s="1"/>
  <c r="AY63" i="17"/>
  <c r="AZ63" i="17" s="1"/>
  <c r="AY47" i="17"/>
  <c r="AZ47" i="17" s="1"/>
  <c r="AY58" i="17"/>
  <c r="AZ58" i="17" s="1"/>
  <c r="AY66" i="17"/>
  <c r="AZ66" i="17" s="1"/>
  <c r="AY90" i="17"/>
  <c r="AZ90" i="17" s="1"/>
  <c r="AY85" i="17"/>
  <c r="AZ85" i="17" s="1"/>
  <c r="AY92" i="17"/>
  <c r="AZ92" i="17" s="1"/>
  <c r="AY99" i="17"/>
  <c r="AZ99" i="17" s="1"/>
  <c r="AY51" i="17"/>
  <c r="AZ51" i="17" s="1"/>
  <c r="AY82" i="17"/>
  <c r="AZ82" i="17" s="1"/>
  <c r="AY93" i="17"/>
  <c r="AZ93" i="17" s="1"/>
  <c r="AY77" i="17"/>
  <c r="AZ77" i="17" s="1"/>
  <c r="AY61" i="17"/>
  <c r="AZ61" i="17" s="1"/>
  <c r="AY96" i="17"/>
  <c r="AZ96" i="17" s="1"/>
  <c r="AY68" i="17"/>
  <c r="AZ68" i="17" s="1"/>
  <c r="AY76" i="17"/>
  <c r="AZ76" i="17" s="1"/>
  <c r="AY100" i="17"/>
  <c r="AZ100" i="17" s="1"/>
  <c r="AY86" i="17"/>
  <c r="AZ86" i="17" s="1"/>
  <c r="AY88" i="17"/>
  <c r="AZ88" i="17" s="1"/>
  <c r="AY69" i="17"/>
  <c r="AZ69" i="17" s="1"/>
  <c r="AY94" i="17"/>
  <c r="AZ94" i="17" s="1"/>
  <c r="AY83" i="17"/>
  <c r="AZ83" i="17" s="1"/>
  <c r="AY80" i="17"/>
  <c r="AZ80" i="17" s="1"/>
  <c r="AY91" i="17"/>
  <c r="AZ91" i="17" s="1"/>
  <c r="AY75" i="17"/>
  <c r="AZ75" i="17" s="1"/>
  <c r="AY59" i="17"/>
  <c r="AZ59" i="17" s="1"/>
  <c r="AY52" i="17"/>
  <c r="AZ52" i="17" s="1"/>
  <c r="AY78" i="17"/>
  <c r="AZ78" i="17" s="1"/>
  <c r="AY53" i="17"/>
  <c r="AZ53" i="17" s="1"/>
  <c r="AY67" i="17"/>
  <c r="AZ67" i="17" s="1"/>
  <c r="AY89" i="17"/>
  <c r="AZ89" i="17" s="1"/>
  <c r="AY73" i="17"/>
  <c r="AZ73" i="17" s="1"/>
  <c r="AY57" i="17"/>
  <c r="AZ57" i="17" s="1"/>
  <c r="AY62" i="17"/>
  <c r="AZ62" i="17" s="1"/>
  <c r="AY74" i="17"/>
  <c r="AZ74" i="17" s="1"/>
  <c r="AY64" i="17"/>
  <c r="AZ64" i="17" s="1"/>
  <c r="AY98" i="17"/>
  <c r="AZ98" i="17" s="1"/>
  <c r="AY103" i="17"/>
  <c r="AY87" i="17"/>
  <c r="AZ87" i="17" s="1"/>
  <c r="AY71" i="17"/>
  <c r="AZ71" i="17" s="1"/>
  <c r="AY55" i="17"/>
  <c r="AZ55" i="17" s="1"/>
  <c r="AY50" i="17"/>
  <c r="AZ50" i="17" s="1"/>
  <c r="AY72" i="17"/>
  <c r="AZ72" i="17" s="1"/>
  <c r="AY84" i="17"/>
  <c r="AZ84" i="17" s="1"/>
  <c r="AY54" i="17"/>
  <c r="AZ54" i="17" s="1"/>
  <c r="AY101" i="17"/>
  <c r="AZ101" i="17" s="1"/>
  <c r="AY60" i="17"/>
  <c r="AZ60" i="17" s="1"/>
  <c r="AY70" i="17"/>
  <c r="AZ70" i="17" s="1"/>
  <c r="AF29" i="17"/>
  <c r="AF42" i="16"/>
  <c r="AF43" i="16" s="1"/>
  <c r="AF6" i="17"/>
  <c r="AD19" i="17"/>
  <c r="AI18" i="17"/>
  <c r="AJ18" i="17" s="1"/>
  <c r="AK18" i="17" s="1"/>
  <c r="AH42" i="17"/>
  <c r="AE44" i="17"/>
  <c r="AF44" i="17" s="1"/>
  <c r="AG43" i="17"/>
  <c r="AE7" i="17"/>
  <c r="AG6" i="17"/>
  <c r="AH6" i="17" s="1"/>
  <c r="AH4" i="16"/>
  <c r="AE43" i="16"/>
  <c r="AG42" i="16"/>
  <c r="AH42" i="16" s="1"/>
  <c r="AE6" i="16"/>
  <c r="AF6" i="16" s="1"/>
  <c r="AG5" i="16"/>
  <c r="AJ49" i="15"/>
  <c r="AJ17" i="15"/>
  <c r="AG5" i="15"/>
  <c r="AE6" i="15"/>
  <c r="AF6" i="15"/>
  <c r="AD7" i="15"/>
  <c r="AF35" i="15"/>
  <c r="AG35" i="15" s="1"/>
  <c r="AD36" i="15"/>
  <c r="AC19" i="15"/>
  <c r="AH18" i="15"/>
  <c r="AI18" i="15" s="1"/>
  <c r="AJ18" i="15" s="1"/>
  <c r="AE35" i="15"/>
  <c r="AC51" i="15"/>
  <c r="AH50" i="15"/>
  <c r="AI50" i="15" s="1"/>
  <c r="AA35" i="14"/>
  <c r="Y43" i="14"/>
  <c r="AD42" i="14"/>
  <c r="AE42" i="14" s="1"/>
  <c r="AB35" i="14"/>
  <c r="AC35" i="14" s="1"/>
  <c r="Z36" i="14"/>
  <c r="AD8" i="14"/>
  <c r="AE8" i="14" s="1"/>
  <c r="AF8" i="14" s="1"/>
  <c r="Y9" i="14"/>
  <c r="AC7" i="14"/>
  <c r="Z8" i="14"/>
  <c r="AB7" i="14"/>
  <c r="AF41" i="14"/>
  <c r="AF42" i="14" s="1"/>
  <c r="Y37" i="13"/>
  <c r="AA36" i="13"/>
  <c r="AB36" i="13" s="1"/>
  <c r="AA6" i="13"/>
  <c r="Y7" i="13"/>
  <c r="AB5" i="13"/>
  <c r="AB6" i="13" s="1"/>
  <c r="Z6" i="13"/>
  <c r="Z7" i="13" s="1"/>
  <c r="Z36" i="13"/>
  <c r="AA8" i="12"/>
  <c r="AB8" i="12" s="1"/>
  <c r="Y9" i="12"/>
  <c r="Y38" i="12"/>
  <c r="AA37" i="12"/>
  <c r="AB37" i="12" s="1"/>
  <c r="X17" i="12"/>
  <c r="AC16" i="12"/>
  <c r="AD16" i="12" s="1"/>
  <c r="AE16" i="12" s="1"/>
  <c r="Z37" i="12"/>
  <c r="Z38" i="12" s="1"/>
  <c r="Z8" i="12"/>
  <c r="AF44" i="21" l="1"/>
  <c r="AF45" i="21" s="1"/>
  <c r="AI43" i="22"/>
  <c r="AG44" i="21"/>
  <c r="AH44" i="21" s="1"/>
  <c r="AL9" i="24"/>
  <c r="AH42" i="25"/>
  <c r="AD19" i="25"/>
  <c r="AI18" i="25"/>
  <c r="AJ18" i="25" s="1"/>
  <c r="AK18" i="25" s="1"/>
  <c r="AG6" i="25"/>
  <c r="AH6" i="25" s="1"/>
  <c r="AE7" i="25"/>
  <c r="AE43" i="25"/>
  <c r="AG42" i="25"/>
  <c r="AF29" i="25"/>
  <c r="AI44" i="24"/>
  <c r="AG45" i="24"/>
  <c r="AI8" i="24"/>
  <c r="AI9" i="24" s="1"/>
  <c r="AK9" i="23"/>
  <c r="AF44" i="23"/>
  <c r="AH9" i="24"/>
  <c r="AF10" i="24"/>
  <c r="AH45" i="24"/>
  <c r="AF46" i="24"/>
  <c r="AJ10" i="24"/>
  <c r="AK10" i="24" s="1"/>
  <c r="AL10" i="24" s="1"/>
  <c r="AE11" i="24"/>
  <c r="AE47" i="24"/>
  <c r="AJ46" i="24"/>
  <c r="AK46" i="24" s="1"/>
  <c r="AL46" i="24" s="1"/>
  <c r="AG9" i="24"/>
  <c r="AD46" i="23"/>
  <c r="AI45" i="23"/>
  <c r="AJ45" i="23" s="1"/>
  <c r="AH65" i="23"/>
  <c r="AF45" i="23"/>
  <c r="AK44" i="23"/>
  <c r="AD11" i="23"/>
  <c r="AI10" i="23"/>
  <c r="AJ10" i="23" s="1"/>
  <c r="AE11" i="23"/>
  <c r="AG10" i="23"/>
  <c r="AH10" i="23" s="1"/>
  <c r="AE45" i="23"/>
  <c r="AG44" i="23"/>
  <c r="AH44" i="23" s="1"/>
  <c r="AF10" i="23"/>
  <c r="AG9" i="22"/>
  <c r="AL45" i="22"/>
  <c r="AI8" i="22"/>
  <c r="AK46" i="21"/>
  <c r="AH44" i="22"/>
  <c r="AI44" i="22" s="1"/>
  <c r="AF45" i="22"/>
  <c r="AE47" i="22"/>
  <c r="AJ46" i="22"/>
  <c r="AK46" i="22" s="1"/>
  <c r="AL11" i="22"/>
  <c r="AE13" i="22"/>
  <c r="AJ12" i="22"/>
  <c r="AK12" i="22" s="1"/>
  <c r="AF10" i="22"/>
  <c r="AH9" i="22"/>
  <c r="AG44" i="22"/>
  <c r="AG45" i="22" s="1"/>
  <c r="AI65" i="22"/>
  <c r="AD16" i="21"/>
  <c r="AM15" i="21"/>
  <c r="AN15" i="21" s="1"/>
  <c r="AE46" i="21"/>
  <c r="AG45" i="21"/>
  <c r="AD48" i="21"/>
  <c r="AI47" i="21"/>
  <c r="AJ47" i="21" s="1"/>
  <c r="AE47" i="19"/>
  <c r="AJ46" i="19"/>
  <c r="AK46" i="19" s="1"/>
  <c r="AG46" i="19"/>
  <c r="AL45" i="19"/>
  <c r="AF8" i="19"/>
  <c r="AG8" i="19" s="1"/>
  <c r="AH7" i="19"/>
  <c r="AI7" i="19" s="1"/>
  <c r="AE11" i="19"/>
  <c r="AJ10" i="19"/>
  <c r="AK10" i="19" s="1"/>
  <c r="AL10" i="19" s="1"/>
  <c r="AF46" i="19"/>
  <c r="AH45" i="19"/>
  <c r="AI45" i="19" s="1"/>
  <c r="AL9" i="18"/>
  <c r="AI43" i="18"/>
  <c r="AG7" i="18"/>
  <c r="AI6" i="18"/>
  <c r="AE11" i="18"/>
  <c r="AJ10" i="18"/>
  <c r="AK10" i="18" s="1"/>
  <c r="AL10" i="18" s="1"/>
  <c r="AF8" i="18"/>
  <c r="AH7" i="18"/>
  <c r="AE47" i="18"/>
  <c r="AJ46" i="18"/>
  <c r="AK46" i="18" s="1"/>
  <c r="AL46" i="18" s="1"/>
  <c r="AH44" i="18"/>
  <c r="AI44" i="18" s="1"/>
  <c r="AF45" i="18"/>
  <c r="AZ25" i="16"/>
  <c r="AZ40" i="16"/>
  <c r="AZ30" i="16"/>
  <c r="AZ28" i="16"/>
  <c r="AZ9" i="16"/>
  <c r="AZ2" i="16"/>
  <c r="AV6" i="16"/>
  <c r="AZ3" i="16"/>
  <c r="AZ41" i="16"/>
  <c r="AZ15" i="16"/>
  <c r="AZ46" i="16"/>
  <c r="AZ13" i="16"/>
  <c r="AZ44" i="16"/>
  <c r="AZ18" i="16"/>
  <c r="AZ33" i="16"/>
  <c r="AZ5" i="16"/>
  <c r="AZ7" i="16"/>
  <c r="AZ38" i="16"/>
  <c r="AZ36" i="16"/>
  <c r="AZ43" i="16"/>
  <c r="AZ10" i="16"/>
  <c r="AF7" i="17"/>
  <c r="AG44" i="17"/>
  <c r="AE45" i="17"/>
  <c r="AF45" i="17" s="1"/>
  <c r="AH43" i="17"/>
  <c r="AG7" i="17"/>
  <c r="AH7" i="17" s="1"/>
  <c r="AE8" i="17"/>
  <c r="AF8" i="17" s="1"/>
  <c r="AD20" i="17"/>
  <c r="AI19" i="17"/>
  <c r="AJ19" i="17" s="1"/>
  <c r="AK19" i="17" s="1"/>
  <c r="AH5" i="16"/>
  <c r="AG6" i="16"/>
  <c r="AE7" i="16"/>
  <c r="AF7" i="16" s="1"/>
  <c r="AG43" i="16"/>
  <c r="AH43" i="16" s="1"/>
  <c r="AE44" i="16"/>
  <c r="AJ50" i="15"/>
  <c r="AE7" i="15"/>
  <c r="AG6" i="15"/>
  <c r="AC20" i="15"/>
  <c r="AH19" i="15"/>
  <c r="AI19" i="15" s="1"/>
  <c r="AJ19" i="15" s="1"/>
  <c r="AD37" i="15"/>
  <c r="AF36" i="15"/>
  <c r="AG36" i="15" s="1"/>
  <c r="AC52" i="15"/>
  <c r="AH51" i="15"/>
  <c r="AI51" i="15" s="1"/>
  <c r="AJ51" i="15" s="1"/>
  <c r="AE36" i="15"/>
  <c r="AD8" i="15"/>
  <c r="AF7" i="15"/>
  <c r="AA36" i="14"/>
  <c r="AC36" i="14"/>
  <c r="Y10" i="14"/>
  <c r="AD9" i="14"/>
  <c r="AE9" i="14" s="1"/>
  <c r="AF9" i="14" s="1"/>
  <c r="Y44" i="14"/>
  <c r="AD43" i="14"/>
  <c r="AE43" i="14" s="1"/>
  <c r="AF43" i="14" s="1"/>
  <c r="Z37" i="14"/>
  <c r="AA37" i="14" s="1"/>
  <c r="AB36" i="14"/>
  <c r="Z9" i="14"/>
  <c r="AB8" i="14"/>
  <c r="AC8" i="14" s="1"/>
  <c r="AA8" i="14"/>
  <c r="AA9" i="14" s="1"/>
  <c r="AA37" i="13"/>
  <c r="AB37" i="13" s="1"/>
  <c r="Y38" i="13"/>
  <c r="Y8" i="13"/>
  <c r="Z8" i="13" s="1"/>
  <c r="AA7" i="13"/>
  <c r="AB7" i="13" s="1"/>
  <c r="Z37" i="13"/>
  <c r="Z38" i="13" s="1"/>
  <c r="X18" i="12"/>
  <c r="AC17" i="12"/>
  <c r="AD17" i="12" s="1"/>
  <c r="AE17" i="12" s="1"/>
  <c r="AA38" i="12"/>
  <c r="AB38" i="12" s="1"/>
  <c r="Y39" i="12"/>
  <c r="Y10" i="12"/>
  <c r="AA9" i="12"/>
  <c r="AB9" i="12" s="1"/>
  <c r="Z9" i="12"/>
  <c r="AH7" i="25" l="1"/>
  <c r="AH29" i="25"/>
  <c r="AG43" i="25"/>
  <c r="AE44" i="25"/>
  <c r="AH43" i="25"/>
  <c r="AH65" i="25"/>
  <c r="AD20" i="25"/>
  <c r="AI19" i="25"/>
  <c r="AJ19" i="25" s="1"/>
  <c r="AK19" i="25" s="1"/>
  <c r="AF43" i="25"/>
  <c r="AF44" i="25" s="1"/>
  <c r="AE8" i="25"/>
  <c r="AG7" i="25"/>
  <c r="AF7" i="25"/>
  <c r="AI45" i="24"/>
  <c r="AG10" i="24"/>
  <c r="AK10" i="23"/>
  <c r="AF11" i="23"/>
  <c r="AE48" i="24"/>
  <c r="AJ47" i="24"/>
  <c r="AK47" i="24" s="1"/>
  <c r="AL47" i="24" s="1"/>
  <c r="AH46" i="24"/>
  <c r="AI46" i="24" s="1"/>
  <c r="AF47" i="24"/>
  <c r="AH10" i="24"/>
  <c r="AI10" i="24" s="1"/>
  <c r="AF11" i="24"/>
  <c r="AE12" i="24"/>
  <c r="AJ11" i="24"/>
  <c r="AK11" i="24" s="1"/>
  <c r="AL11" i="24" s="1"/>
  <c r="AG46" i="24"/>
  <c r="AE12" i="23"/>
  <c r="AG11" i="23"/>
  <c r="AH11" i="23" s="1"/>
  <c r="AD12" i="23"/>
  <c r="AI11" i="23"/>
  <c r="AJ11" i="23" s="1"/>
  <c r="AK45" i="23"/>
  <c r="AE46" i="23"/>
  <c r="AF46" i="23" s="1"/>
  <c r="AG45" i="23"/>
  <c r="AH45" i="23" s="1"/>
  <c r="AD47" i="23"/>
  <c r="AI46" i="23"/>
  <c r="AJ46" i="23" s="1"/>
  <c r="AG10" i="22"/>
  <c r="AL46" i="22"/>
  <c r="AI9" i="22"/>
  <c r="AH45" i="21"/>
  <c r="AK47" i="21"/>
  <c r="AF46" i="21"/>
  <c r="AL12" i="22"/>
  <c r="AH10" i="22"/>
  <c r="AF11" i="22"/>
  <c r="AF46" i="22"/>
  <c r="AG46" i="22" s="1"/>
  <c r="AH45" i="22"/>
  <c r="AI45" i="22" s="1"/>
  <c r="AE48" i="22"/>
  <c r="AJ47" i="22"/>
  <c r="AK47" i="22" s="1"/>
  <c r="AE14" i="22"/>
  <c r="AJ13" i="22"/>
  <c r="AK13" i="22" s="1"/>
  <c r="AD17" i="21"/>
  <c r="AM16" i="21"/>
  <c r="AN16" i="21" s="1"/>
  <c r="AD49" i="21"/>
  <c r="AI48" i="21"/>
  <c r="AJ48" i="21" s="1"/>
  <c r="AG46" i="21"/>
  <c r="AE47" i="21"/>
  <c r="AI29" i="19"/>
  <c r="AF47" i="19"/>
  <c r="AH46" i="19"/>
  <c r="AI46" i="19" s="1"/>
  <c r="AE48" i="19"/>
  <c r="AJ47" i="19"/>
  <c r="AK47" i="19" s="1"/>
  <c r="AH8" i="19"/>
  <c r="AI8" i="19" s="1"/>
  <c r="AF9" i="19"/>
  <c r="AG9" i="19" s="1"/>
  <c r="AG47" i="19"/>
  <c r="AL46" i="19"/>
  <c r="AJ11" i="19"/>
  <c r="AK11" i="19" s="1"/>
  <c r="AL11" i="19" s="1"/>
  <c r="AE12" i="19"/>
  <c r="AI7" i="18"/>
  <c r="AG8" i="18"/>
  <c r="AE48" i="18"/>
  <c r="AJ47" i="18"/>
  <c r="AK47" i="18" s="1"/>
  <c r="AL47" i="18" s="1"/>
  <c r="AI29" i="18"/>
  <c r="AF46" i="18"/>
  <c r="AH45" i="18"/>
  <c r="AI45" i="18" s="1"/>
  <c r="AG45" i="18"/>
  <c r="AE12" i="18"/>
  <c r="AJ11" i="18"/>
  <c r="AK11" i="18" s="1"/>
  <c r="AL11" i="18" s="1"/>
  <c r="AH8" i="18"/>
  <c r="AF9" i="18"/>
  <c r="AV10" i="16"/>
  <c r="AV14" i="16"/>
  <c r="AH44" i="17"/>
  <c r="AH29" i="17"/>
  <c r="AE9" i="17"/>
  <c r="AG8" i="17"/>
  <c r="AH8" i="17" s="1"/>
  <c r="AE46" i="17"/>
  <c r="AF46" i="17" s="1"/>
  <c r="AG45" i="17"/>
  <c r="AD21" i="17"/>
  <c r="AI20" i="17"/>
  <c r="AJ20" i="17" s="1"/>
  <c r="AK20" i="17" s="1"/>
  <c r="AH6" i="16"/>
  <c r="AE45" i="16"/>
  <c r="AG44" i="16"/>
  <c r="AH44" i="16" s="1"/>
  <c r="AE8" i="16"/>
  <c r="AF8" i="16" s="1"/>
  <c r="AG7" i="16"/>
  <c r="AF44" i="16"/>
  <c r="AF45" i="16" s="1"/>
  <c r="AE37" i="15"/>
  <c r="AE8" i="15"/>
  <c r="AG7" i="15"/>
  <c r="AF37" i="15"/>
  <c r="AG37" i="15" s="1"/>
  <c r="AD38" i="15"/>
  <c r="AC53" i="15"/>
  <c r="AH52" i="15"/>
  <c r="AI52" i="15" s="1"/>
  <c r="AJ52" i="15" s="1"/>
  <c r="AF8" i="15"/>
  <c r="AD9" i="15"/>
  <c r="AC21" i="15"/>
  <c r="AH20" i="15"/>
  <c r="AI20" i="15" s="1"/>
  <c r="AJ20" i="15" s="1"/>
  <c r="Y45" i="14"/>
  <c r="AD44" i="14"/>
  <c r="AE44" i="14" s="1"/>
  <c r="AF44" i="14" s="1"/>
  <c r="Y11" i="14"/>
  <c r="AD10" i="14"/>
  <c r="AE10" i="14" s="1"/>
  <c r="AF10" i="14" s="1"/>
  <c r="AB37" i="14"/>
  <c r="AC37" i="14" s="1"/>
  <c r="Z38" i="14"/>
  <c r="AA38" i="14" s="1"/>
  <c r="AB9" i="14"/>
  <c r="AC9" i="14" s="1"/>
  <c r="Z10" i="14"/>
  <c r="AA10" i="14" s="1"/>
  <c r="AB38" i="13"/>
  <c r="AB8" i="13"/>
  <c r="AA8" i="13"/>
  <c r="Y9" i="13"/>
  <c r="AA38" i="13"/>
  <c r="Y39" i="13"/>
  <c r="Y40" i="12"/>
  <c r="AA39" i="12"/>
  <c r="AB39" i="12" s="1"/>
  <c r="AA10" i="12"/>
  <c r="AB10" i="12" s="1"/>
  <c r="Y11" i="12"/>
  <c r="Z10" i="12"/>
  <c r="X19" i="12"/>
  <c r="AC18" i="12"/>
  <c r="AD18" i="12" s="1"/>
  <c r="AE18" i="12" s="1"/>
  <c r="Z39" i="12"/>
  <c r="AL13" i="22" l="1"/>
  <c r="AF45" i="25"/>
  <c r="AD21" i="25"/>
  <c r="AI20" i="25"/>
  <c r="AJ20" i="25" s="1"/>
  <c r="AK20" i="25" s="1"/>
  <c r="AH44" i="25"/>
  <c r="AF8" i="25"/>
  <c r="AF9" i="25" s="1"/>
  <c r="AG44" i="25"/>
  <c r="AE45" i="25"/>
  <c r="AE9" i="25"/>
  <c r="AG8" i="25"/>
  <c r="AH8" i="25" s="1"/>
  <c r="AK11" i="23"/>
  <c r="AF12" i="23"/>
  <c r="AE49" i="24"/>
  <c r="AJ48" i="24"/>
  <c r="AK48" i="24" s="1"/>
  <c r="AL48" i="24" s="1"/>
  <c r="AF12" i="24"/>
  <c r="AH11" i="24"/>
  <c r="AI11" i="24" s="1"/>
  <c r="AG47" i="24"/>
  <c r="AG11" i="24"/>
  <c r="AG12" i="24" s="1"/>
  <c r="AH47" i="24"/>
  <c r="AI47" i="24" s="1"/>
  <c r="AF48" i="24"/>
  <c r="AE13" i="24"/>
  <c r="AJ12" i="24"/>
  <c r="AK12" i="24" s="1"/>
  <c r="AL12" i="24" s="1"/>
  <c r="AE13" i="23"/>
  <c r="AG12" i="23"/>
  <c r="AH12" i="23" s="1"/>
  <c r="AK46" i="23"/>
  <c r="AD13" i="23"/>
  <c r="AI12" i="23"/>
  <c r="AJ12" i="23" s="1"/>
  <c r="AD48" i="23"/>
  <c r="AI47" i="23"/>
  <c r="AJ47" i="23" s="1"/>
  <c r="AE47" i="23"/>
  <c r="AF47" i="23" s="1"/>
  <c r="AG46" i="23"/>
  <c r="AH46" i="23" s="1"/>
  <c r="AG11" i="22"/>
  <c r="AL47" i="22"/>
  <c r="AI10" i="22"/>
  <c r="AH46" i="21"/>
  <c r="AK48" i="21"/>
  <c r="AE15" i="22"/>
  <c r="AJ14" i="22"/>
  <c r="AK14" i="22" s="1"/>
  <c r="AJ48" i="22"/>
  <c r="AK48" i="22" s="1"/>
  <c r="AE49" i="22"/>
  <c r="AH11" i="22"/>
  <c r="AF12" i="22"/>
  <c r="AF47" i="22"/>
  <c r="AG47" i="22" s="1"/>
  <c r="AH46" i="22"/>
  <c r="AI46" i="22" s="1"/>
  <c r="AG47" i="21"/>
  <c r="AE48" i="21"/>
  <c r="AD18" i="21"/>
  <c r="AM17" i="21"/>
  <c r="AN17" i="21" s="1"/>
  <c r="AF47" i="21"/>
  <c r="AD50" i="21"/>
  <c r="AI49" i="21"/>
  <c r="AJ49" i="21" s="1"/>
  <c r="AE13" i="19"/>
  <c r="AJ12" i="19"/>
  <c r="AK12" i="19" s="1"/>
  <c r="AL12" i="19" s="1"/>
  <c r="AL47" i="19"/>
  <c r="AL48" i="19" s="1"/>
  <c r="AE49" i="19"/>
  <c r="AJ48" i="19"/>
  <c r="AK48" i="19" s="1"/>
  <c r="AF48" i="19"/>
  <c r="AH47" i="19"/>
  <c r="AI47" i="19" s="1"/>
  <c r="AH9" i="19"/>
  <c r="AI9" i="19" s="1"/>
  <c r="AF10" i="19"/>
  <c r="AI8" i="18"/>
  <c r="AG9" i="18"/>
  <c r="AE49" i="18"/>
  <c r="AJ48" i="18"/>
  <c r="AK48" i="18" s="1"/>
  <c r="AL48" i="18" s="1"/>
  <c r="AE13" i="18"/>
  <c r="AJ12" i="18"/>
  <c r="AK12" i="18" s="1"/>
  <c r="AL12" i="18" s="1"/>
  <c r="AG46" i="18"/>
  <c r="AH9" i="18"/>
  <c r="AF10" i="18"/>
  <c r="AF47" i="18"/>
  <c r="AH46" i="18"/>
  <c r="AI46" i="18" s="1"/>
  <c r="AY60" i="16"/>
  <c r="AZ60" i="16" s="1"/>
  <c r="AV17" i="16"/>
  <c r="AY104" i="16"/>
  <c r="AY58" i="16"/>
  <c r="AZ58" i="16" s="1"/>
  <c r="AY56" i="16"/>
  <c r="AZ56" i="16" s="1"/>
  <c r="AY53" i="16"/>
  <c r="AZ53" i="16" s="1"/>
  <c r="AY79" i="16"/>
  <c r="AZ79" i="16" s="1"/>
  <c r="AY85" i="16"/>
  <c r="AZ85" i="16" s="1"/>
  <c r="AY63" i="16"/>
  <c r="AZ63" i="16" s="1"/>
  <c r="AY90" i="16"/>
  <c r="AZ90" i="16" s="1"/>
  <c r="AY69" i="16"/>
  <c r="AZ69" i="16" s="1"/>
  <c r="AY74" i="16"/>
  <c r="AZ74" i="16" s="1"/>
  <c r="AY76" i="16"/>
  <c r="AZ76" i="16" s="1"/>
  <c r="AY81" i="16"/>
  <c r="AZ81" i="16" s="1"/>
  <c r="AY65" i="16"/>
  <c r="AZ65" i="16" s="1"/>
  <c r="AY80" i="16"/>
  <c r="AZ80" i="16" s="1"/>
  <c r="AY47" i="16"/>
  <c r="AZ47" i="16" s="1"/>
  <c r="AY102" i="16"/>
  <c r="AZ102" i="16" s="1"/>
  <c r="AY88" i="16"/>
  <c r="AZ88" i="16" s="1"/>
  <c r="AY96" i="16"/>
  <c r="AZ96" i="16" s="1"/>
  <c r="AY103" i="16"/>
  <c r="AY83" i="16"/>
  <c r="AZ83" i="16" s="1"/>
  <c r="AY49" i="16"/>
  <c r="AZ49" i="16" s="1"/>
  <c r="AY62" i="16"/>
  <c r="AZ62" i="16" s="1"/>
  <c r="AY89" i="16"/>
  <c r="AZ89" i="16" s="1"/>
  <c r="AY97" i="16"/>
  <c r="AZ97" i="16" s="1"/>
  <c r="AY48" i="16"/>
  <c r="AZ48" i="16" s="1"/>
  <c r="AY55" i="16"/>
  <c r="AZ55" i="16" s="1"/>
  <c r="AY66" i="16"/>
  <c r="AZ66" i="16" s="1"/>
  <c r="AY52" i="16"/>
  <c r="AZ52" i="16" s="1"/>
  <c r="AY50" i="16"/>
  <c r="AZ50" i="16" s="1"/>
  <c r="AY91" i="16"/>
  <c r="AZ91" i="16" s="1"/>
  <c r="AY84" i="16"/>
  <c r="AZ84" i="16" s="1"/>
  <c r="AY78" i="16"/>
  <c r="AZ78" i="16" s="1"/>
  <c r="AY92" i="16"/>
  <c r="AZ92" i="16" s="1"/>
  <c r="AY98" i="16"/>
  <c r="AZ98" i="16" s="1"/>
  <c r="AY82" i="16"/>
  <c r="AZ82" i="16" s="1"/>
  <c r="AY59" i="16"/>
  <c r="AZ59" i="16" s="1"/>
  <c r="AY64" i="16"/>
  <c r="AZ64" i="16" s="1"/>
  <c r="AY71" i="16"/>
  <c r="AZ71" i="16" s="1"/>
  <c r="AY93" i="16"/>
  <c r="AZ93" i="16" s="1"/>
  <c r="AY75" i="16"/>
  <c r="AZ75" i="16" s="1"/>
  <c r="AY70" i="16"/>
  <c r="AZ70" i="16" s="1"/>
  <c r="AY57" i="16"/>
  <c r="AZ57" i="16" s="1"/>
  <c r="AY94" i="16"/>
  <c r="AZ94" i="16" s="1"/>
  <c r="AY86" i="16"/>
  <c r="AZ86" i="16" s="1"/>
  <c r="AY67" i="16"/>
  <c r="AZ67" i="16" s="1"/>
  <c r="AY101" i="16"/>
  <c r="AZ101" i="16" s="1"/>
  <c r="AY68" i="16"/>
  <c r="AZ68" i="16" s="1"/>
  <c r="AY99" i="16"/>
  <c r="AZ99" i="16" s="1"/>
  <c r="AY77" i="16"/>
  <c r="AZ77" i="16" s="1"/>
  <c r="AY72" i="16"/>
  <c r="AZ72" i="16" s="1"/>
  <c r="AY51" i="16"/>
  <c r="AZ51" i="16" s="1"/>
  <c r="AY61" i="16"/>
  <c r="AZ61" i="16" s="1"/>
  <c r="AY100" i="16"/>
  <c r="AZ100" i="16" s="1"/>
  <c r="AY54" i="16"/>
  <c r="AZ54" i="16" s="1"/>
  <c r="AY73" i="16"/>
  <c r="AZ73" i="16" s="1"/>
  <c r="AY87" i="16"/>
  <c r="AZ87" i="16" s="1"/>
  <c r="AY95" i="16"/>
  <c r="AZ95" i="16" s="1"/>
  <c r="AH45" i="17"/>
  <c r="AE10" i="17"/>
  <c r="AG9" i="17"/>
  <c r="AH9" i="17" s="1"/>
  <c r="AF9" i="17"/>
  <c r="AF10" i="17" s="1"/>
  <c r="AD22" i="17"/>
  <c r="AI21" i="17"/>
  <c r="AJ21" i="17" s="1"/>
  <c r="AK21" i="17" s="1"/>
  <c r="AG46" i="17"/>
  <c r="AH46" i="17" s="1"/>
  <c r="AE47" i="17"/>
  <c r="AF47" i="17" s="1"/>
  <c r="AH7" i="16"/>
  <c r="AE9" i="16"/>
  <c r="AG8" i="16"/>
  <c r="AG45" i="16"/>
  <c r="AH45" i="16" s="1"/>
  <c r="AE46" i="16"/>
  <c r="AE38" i="15"/>
  <c r="AG8" i="15"/>
  <c r="AD39" i="15"/>
  <c r="AF38" i="15"/>
  <c r="AG38" i="15" s="1"/>
  <c r="AC54" i="15"/>
  <c r="AH53" i="15"/>
  <c r="AI53" i="15" s="1"/>
  <c r="AJ53" i="15" s="1"/>
  <c r="AC22" i="15"/>
  <c r="AH21" i="15"/>
  <c r="AI21" i="15" s="1"/>
  <c r="AJ21" i="15" s="1"/>
  <c r="AD10" i="15"/>
  <c r="AF9" i="15"/>
  <c r="AE9" i="15"/>
  <c r="AA11" i="14"/>
  <c r="Y12" i="14"/>
  <c r="AD11" i="14"/>
  <c r="AE11" i="14" s="1"/>
  <c r="AF11" i="14" s="1"/>
  <c r="AA39" i="14"/>
  <c r="Y46" i="14"/>
  <c r="AD45" i="14"/>
  <c r="AE45" i="14" s="1"/>
  <c r="AF45" i="14" s="1"/>
  <c r="Z11" i="14"/>
  <c r="AB10" i="14"/>
  <c r="AC10" i="14" s="1"/>
  <c r="AB38" i="14"/>
  <c r="AC38" i="14" s="1"/>
  <c r="Z39" i="14"/>
  <c r="Y40" i="13"/>
  <c r="AA39" i="13"/>
  <c r="AB39" i="13" s="1"/>
  <c r="AA9" i="13"/>
  <c r="AB9" i="13" s="1"/>
  <c r="Y10" i="13"/>
  <c r="Z39" i="13"/>
  <c r="Z40" i="13" s="1"/>
  <c r="Z9" i="13"/>
  <c r="Z10" i="13" s="1"/>
  <c r="AB11" i="12"/>
  <c r="AB40" i="12"/>
  <c r="Y41" i="12"/>
  <c r="AA40" i="12"/>
  <c r="AA11" i="12"/>
  <c r="Y12" i="12"/>
  <c r="Z11" i="12"/>
  <c r="Z12" i="12" s="1"/>
  <c r="Z40" i="12"/>
  <c r="Z41" i="12" s="1"/>
  <c r="AE19" i="12"/>
  <c r="X20" i="12"/>
  <c r="AC19" i="12"/>
  <c r="AD19" i="12" s="1"/>
  <c r="AL14" i="22" l="1"/>
  <c r="AL29" i="22" s="1"/>
  <c r="AG12" i="22"/>
  <c r="AH9" i="25"/>
  <c r="AK21" i="25"/>
  <c r="AE10" i="25"/>
  <c r="AG9" i="25"/>
  <c r="AG45" i="25"/>
  <c r="AH45" i="25" s="1"/>
  <c r="AE46" i="25"/>
  <c r="AF10" i="25"/>
  <c r="AD22" i="25"/>
  <c r="AI21" i="25"/>
  <c r="AJ21" i="25" s="1"/>
  <c r="AG48" i="24"/>
  <c r="AK12" i="23"/>
  <c r="AH12" i="24"/>
  <c r="AI12" i="24" s="1"/>
  <c r="AF13" i="24"/>
  <c r="AG13" i="24" s="1"/>
  <c r="AE14" i="24"/>
  <c r="AJ13" i="24"/>
  <c r="AK13" i="24" s="1"/>
  <c r="AL13" i="24" s="1"/>
  <c r="AE50" i="24"/>
  <c r="AJ49" i="24"/>
  <c r="AK49" i="24" s="1"/>
  <c r="AL49" i="24" s="1"/>
  <c r="AF49" i="24"/>
  <c r="AH48" i="24"/>
  <c r="AI48" i="24" s="1"/>
  <c r="AI48" i="23"/>
  <c r="AJ48" i="23" s="1"/>
  <c r="AD49" i="23"/>
  <c r="AD14" i="23"/>
  <c r="AI13" i="23"/>
  <c r="AJ13" i="23" s="1"/>
  <c r="AK13" i="23" s="1"/>
  <c r="AK47" i="23"/>
  <c r="AE48" i="23"/>
  <c r="AF48" i="23" s="1"/>
  <c r="AG47" i="23"/>
  <c r="AH47" i="23" s="1"/>
  <c r="AG13" i="23"/>
  <c r="AH13" i="23" s="1"/>
  <c r="AE14" i="23"/>
  <c r="AF13" i="23"/>
  <c r="AI11" i="22"/>
  <c r="AL48" i="22"/>
  <c r="AH47" i="21"/>
  <c r="AK49" i="21"/>
  <c r="AJ15" i="22"/>
  <c r="AK15" i="22" s="1"/>
  <c r="AE16" i="22"/>
  <c r="AH47" i="22"/>
  <c r="AI47" i="22" s="1"/>
  <c r="AF48" i="22"/>
  <c r="AF13" i="22"/>
  <c r="AH12" i="22"/>
  <c r="AJ49" i="22"/>
  <c r="AK49" i="22" s="1"/>
  <c r="AE50" i="22"/>
  <c r="AF48" i="21"/>
  <c r="AD19" i="21"/>
  <c r="AM18" i="21"/>
  <c r="AN18" i="21" s="1"/>
  <c r="AE49" i="21"/>
  <c r="AG48" i="21"/>
  <c r="AD51" i="21"/>
  <c r="AI50" i="21"/>
  <c r="AJ50" i="21" s="1"/>
  <c r="AH10" i="19"/>
  <c r="AI10" i="19" s="1"/>
  <c r="AF11" i="19"/>
  <c r="AE50" i="19"/>
  <c r="AJ49" i="19"/>
  <c r="AK49" i="19" s="1"/>
  <c r="AL49" i="19" s="1"/>
  <c r="AE14" i="19"/>
  <c r="AJ13" i="19"/>
  <c r="AK13" i="19" s="1"/>
  <c r="AL13" i="19" s="1"/>
  <c r="AG10" i="19"/>
  <c r="AF49" i="19"/>
  <c r="AH48" i="19"/>
  <c r="AI48" i="19" s="1"/>
  <c r="AG48" i="19"/>
  <c r="AG49" i="19" s="1"/>
  <c r="AI9" i="18"/>
  <c r="AF11" i="18"/>
  <c r="AH10" i="18"/>
  <c r="AE14" i="18"/>
  <c r="AJ13" i="18"/>
  <c r="AK13" i="18" s="1"/>
  <c r="AL13" i="18" s="1"/>
  <c r="AG47" i="18"/>
  <c r="AG48" i="18" s="1"/>
  <c r="AE50" i="18"/>
  <c r="AJ49" i="18"/>
  <c r="AK49" i="18" s="1"/>
  <c r="AL49" i="18" s="1"/>
  <c r="AF48" i="18"/>
  <c r="AH47" i="18"/>
  <c r="AI47" i="18" s="1"/>
  <c r="AG10" i="18"/>
  <c r="AG11" i="18" s="1"/>
  <c r="AD23" i="17"/>
  <c r="AI22" i="17"/>
  <c r="AJ22" i="17" s="1"/>
  <c r="AK22" i="17" s="1"/>
  <c r="AG10" i="17"/>
  <c r="AH10" i="17" s="1"/>
  <c r="AE11" i="17"/>
  <c r="AF11" i="17" s="1"/>
  <c r="AG47" i="17"/>
  <c r="AH47" i="17" s="1"/>
  <c r="AE48" i="17"/>
  <c r="AF48" i="17" s="1"/>
  <c r="AH8" i="16"/>
  <c r="AE47" i="16"/>
  <c r="AG46" i="16"/>
  <c r="AH46" i="16" s="1"/>
  <c r="AF46" i="16"/>
  <c r="AE10" i="16"/>
  <c r="AG9" i="16"/>
  <c r="AF9" i="16"/>
  <c r="AF10" i="16" s="1"/>
  <c r="AE39" i="15"/>
  <c r="AG9" i="15"/>
  <c r="AE10" i="15"/>
  <c r="AC55" i="15"/>
  <c r="AH54" i="15"/>
  <c r="AI54" i="15" s="1"/>
  <c r="AJ54" i="15" s="1"/>
  <c r="AE40" i="15"/>
  <c r="AF10" i="15"/>
  <c r="AD11" i="15"/>
  <c r="AF39" i="15"/>
  <c r="AG39" i="15" s="1"/>
  <c r="AD40" i="15"/>
  <c r="AC23" i="15"/>
  <c r="AH22" i="15"/>
  <c r="AI22" i="15" s="1"/>
  <c r="AJ22" i="15" s="1"/>
  <c r="AA40" i="14"/>
  <c r="Y47" i="14"/>
  <c r="AD46" i="14"/>
  <c r="AE46" i="14" s="1"/>
  <c r="AF46" i="14" s="1"/>
  <c r="AA12" i="14"/>
  <c r="AB39" i="14"/>
  <c r="AC39" i="14" s="1"/>
  <c r="Z40" i="14"/>
  <c r="AD12" i="14"/>
  <c r="AE12" i="14" s="1"/>
  <c r="AF12" i="14" s="1"/>
  <c r="Y13" i="14"/>
  <c r="AB11" i="14"/>
  <c r="AC11" i="14" s="1"/>
  <c r="Z12" i="14"/>
  <c r="Y11" i="13"/>
  <c r="AA10" i="13"/>
  <c r="AB10" i="13" s="1"/>
  <c r="AA40" i="13"/>
  <c r="AB40" i="13" s="1"/>
  <c r="Y41" i="13"/>
  <c r="Z41" i="13" s="1"/>
  <c r="AC20" i="12"/>
  <c r="AD20" i="12" s="1"/>
  <c r="AE20" i="12" s="1"/>
  <c r="X21" i="12"/>
  <c r="AA12" i="12"/>
  <c r="AB12" i="12" s="1"/>
  <c r="Y13" i="12"/>
  <c r="AA41" i="12"/>
  <c r="AB41" i="12" s="1"/>
  <c r="Y42" i="12"/>
  <c r="AL15" i="22" l="1"/>
  <c r="AI12" i="22"/>
  <c r="AH46" i="25"/>
  <c r="AK22" i="25"/>
  <c r="AG46" i="25"/>
  <c r="AE47" i="25"/>
  <c r="AF46" i="25"/>
  <c r="AF47" i="25" s="1"/>
  <c r="AD23" i="25"/>
  <c r="AI22" i="25"/>
  <c r="AJ22" i="25" s="1"/>
  <c r="AE11" i="25"/>
  <c r="AG10" i="25"/>
  <c r="AH10" i="25" s="1"/>
  <c r="AK48" i="23"/>
  <c r="AF14" i="23"/>
  <c r="AE15" i="24"/>
  <c r="AJ14" i="24"/>
  <c r="AK14" i="24" s="1"/>
  <c r="AL14" i="24" s="1"/>
  <c r="AF14" i="24"/>
  <c r="AG14" i="24" s="1"/>
  <c r="AH13" i="24"/>
  <c r="AI13" i="24" s="1"/>
  <c r="AH49" i="24"/>
  <c r="AF50" i="24"/>
  <c r="AI49" i="24"/>
  <c r="AE51" i="24"/>
  <c r="AJ50" i="24"/>
  <c r="AK50" i="24" s="1"/>
  <c r="AL50" i="24" s="1"/>
  <c r="AG49" i="24"/>
  <c r="AG48" i="23"/>
  <c r="AH48" i="23" s="1"/>
  <c r="AE49" i="23"/>
  <c r="AF49" i="23" s="1"/>
  <c r="AI14" i="23"/>
  <c r="AJ14" i="23" s="1"/>
  <c r="AK14" i="23" s="1"/>
  <c r="AD15" i="23"/>
  <c r="AG14" i="23"/>
  <c r="AH14" i="23" s="1"/>
  <c r="AE15" i="23"/>
  <c r="AD50" i="23"/>
  <c r="AI49" i="23"/>
  <c r="AJ49" i="23" s="1"/>
  <c r="AK49" i="23" s="1"/>
  <c r="AL49" i="22"/>
  <c r="AH48" i="21"/>
  <c r="AF49" i="21"/>
  <c r="AK50" i="21"/>
  <c r="AE17" i="22"/>
  <c r="AJ16" i="22"/>
  <c r="AK16" i="22" s="1"/>
  <c r="AF14" i="22"/>
  <c r="AH13" i="22"/>
  <c r="AG13" i="22"/>
  <c r="AF49" i="22"/>
  <c r="AH48" i="22"/>
  <c r="AI48" i="22" s="1"/>
  <c r="AE51" i="22"/>
  <c r="AJ50" i="22"/>
  <c r="AK50" i="22" s="1"/>
  <c r="AG48" i="22"/>
  <c r="AD52" i="21"/>
  <c r="AI51" i="21"/>
  <c r="AJ51" i="21" s="1"/>
  <c r="AG49" i="21"/>
  <c r="AE50" i="21"/>
  <c r="AD20" i="21"/>
  <c r="AM19" i="21"/>
  <c r="AN19" i="21" s="1"/>
  <c r="AI49" i="19"/>
  <c r="AE51" i="19"/>
  <c r="AJ50" i="19"/>
  <c r="AK50" i="19" s="1"/>
  <c r="AL50" i="19" s="1"/>
  <c r="AF50" i="19"/>
  <c r="AH49" i="19"/>
  <c r="AF12" i="19"/>
  <c r="AH11" i="19"/>
  <c r="AI11" i="19" s="1"/>
  <c r="AG11" i="19"/>
  <c r="AE15" i="19"/>
  <c r="AJ14" i="19"/>
  <c r="AK14" i="19" s="1"/>
  <c r="AL14" i="19" s="1"/>
  <c r="AI10" i="18"/>
  <c r="AE15" i="18"/>
  <c r="AJ14" i="18"/>
  <c r="AK14" i="18" s="1"/>
  <c r="AL14" i="18" s="1"/>
  <c r="AF49" i="18"/>
  <c r="AG49" i="18" s="1"/>
  <c r="AH48" i="18"/>
  <c r="AI48" i="18" s="1"/>
  <c r="AH11" i="18"/>
  <c r="AF12" i="18"/>
  <c r="AG12" i="18" s="1"/>
  <c r="AE51" i="18"/>
  <c r="AJ50" i="18"/>
  <c r="AK50" i="18" s="1"/>
  <c r="AL50" i="18" s="1"/>
  <c r="AG11" i="17"/>
  <c r="AH11" i="17" s="1"/>
  <c r="AE12" i="17"/>
  <c r="AG48" i="17"/>
  <c r="AH48" i="17" s="1"/>
  <c r="AE49" i="17"/>
  <c r="AF49" i="17" s="1"/>
  <c r="AD24" i="17"/>
  <c r="AI23" i="17"/>
  <c r="AJ23" i="17" s="1"/>
  <c r="AK23" i="17" s="1"/>
  <c r="AH9" i="16"/>
  <c r="AG47" i="16"/>
  <c r="AH47" i="16" s="1"/>
  <c r="AE48" i="16"/>
  <c r="AE11" i="16"/>
  <c r="AF11" i="16" s="1"/>
  <c r="AG10" i="16"/>
  <c r="AF47" i="16"/>
  <c r="AF48" i="16" s="1"/>
  <c r="AG10" i="15"/>
  <c r="AE11" i="15"/>
  <c r="AC24" i="15"/>
  <c r="AH23" i="15"/>
  <c r="AI23" i="15" s="1"/>
  <c r="AJ23" i="15" s="1"/>
  <c r="AF40" i="15"/>
  <c r="AG40" i="15" s="1"/>
  <c r="AD41" i="15"/>
  <c r="AE41" i="15" s="1"/>
  <c r="AC56" i="15"/>
  <c r="AH56" i="15" s="1"/>
  <c r="AI56" i="15" s="1"/>
  <c r="AH55" i="15"/>
  <c r="AI55" i="15" s="1"/>
  <c r="AJ55" i="15" s="1"/>
  <c r="AF11" i="15"/>
  <c r="AG11" i="15" s="1"/>
  <c r="AD12" i="15"/>
  <c r="Y14" i="14"/>
  <c r="AD13" i="14"/>
  <c r="AE13" i="14" s="1"/>
  <c r="AF13" i="14" s="1"/>
  <c r="AB12" i="14"/>
  <c r="AC12" i="14" s="1"/>
  <c r="Z13" i="14"/>
  <c r="AA13" i="14" s="1"/>
  <c r="Y48" i="14"/>
  <c r="AD47" i="14"/>
  <c r="AE47" i="14" s="1"/>
  <c r="AF47" i="14" s="1"/>
  <c r="Z41" i="14"/>
  <c r="AA41" i="14" s="1"/>
  <c r="AB40" i="14"/>
  <c r="AC40" i="14" s="1"/>
  <c r="Y42" i="13"/>
  <c r="AA41" i="13"/>
  <c r="AB41" i="13" s="1"/>
  <c r="Y12" i="13"/>
  <c r="AA11" i="13"/>
  <c r="AB11" i="13" s="1"/>
  <c r="Z11" i="13"/>
  <c r="Z12" i="13" s="1"/>
  <c r="AC21" i="12"/>
  <c r="AD21" i="12" s="1"/>
  <c r="AE21" i="12" s="1"/>
  <c r="X22" i="12"/>
  <c r="AA13" i="12"/>
  <c r="AB13" i="12" s="1"/>
  <c r="Y14" i="12"/>
  <c r="Z13" i="12"/>
  <c r="Y43" i="12"/>
  <c r="AA42" i="12"/>
  <c r="AB42" i="12" s="1"/>
  <c r="Z42" i="12"/>
  <c r="AL16" i="22" l="1"/>
  <c r="AI13" i="22"/>
  <c r="AH11" i="25"/>
  <c r="AE12" i="25"/>
  <c r="AG11" i="25"/>
  <c r="AD24" i="25"/>
  <c r="AI23" i="25"/>
  <c r="AJ23" i="25" s="1"/>
  <c r="AK23" i="25" s="1"/>
  <c r="AE48" i="25"/>
  <c r="AG47" i="25"/>
  <c r="AH47" i="25" s="1"/>
  <c r="AF11" i="25"/>
  <c r="AF15" i="23"/>
  <c r="AH50" i="24"/>
  <c r="AI50" i="24" s="1"/>
  <c r="AF51" i="24"/>
  <c r="AG50" i="24"/>
  <c r="AH14" i="24"/>
  <c r="AF15" i="24"/>
  <c r="AI14" i="24"/>
  <c r="AE52" i="24"/>
  <c r="AJ51" i="24"/>
  <c r="AK51" i="24" s="1"/>
  <c r="AL51" i="24" s="1"/>
  <c r="AJ15" i="24"/>
  <c r="AK15" i="24" s="1"/>
  <c r="AL15" i="24" s="1"/>
  <c r="AE16" i="24"/>
  <c r="AD16" i="23"/>
  <c r="AI15" i="23"/>
  <c r="AJ15" i="23" s="1"/>
  <c r="AK15" i="23" s="1"/>
  <c r="AD51" i="23"/>
  <c r="AI50" i="23"/>
  <c r="AJ50" i="23" s="1"/>
  <c r="AK50" i="23" s="1"/>
  <c r="AE16" i="23"/>
  <c r="AG15" i="23"/>
  <c r="AH15" i="23" s="1"/>
  <c r="AG49" i="23"/>
  <c r="AH49" i="23" s="1"/>
  <c r="AE50" i="23"/>
  <c r="AL50" i="22"/>
  <c r="AG49" i="22"/>
  <c r="AH49" i="21"/>
  <c r="AF50" i="21"/>
  <c r="AK51" i="21"/>
  <c r="AE18" i="22"/>
  <c r="AJ17" i="22"/>
  <c r="AK17" i="22" s="1"/>
  <c r="AL17" i="22" s="1"/>
  <c r="AF50" i="22"/>
  <c r="AH49" i="22"/>
  <c r="AI49" i="22" s="1"/>
  <c r="AH14" i="22"/>
  <c r="AF15" i="22"/>
  <c r="AE52" i="22"/>
  <c r="AJ51" i="22"/>
  <c r="AK51" i="22" s="1"/>
  <c r="AG14" i="22"/>
  <c r="AD21" i="21"/>
  <c r="AM20" i="21"/>
  <c r="AN20" i="21" s="1"/>
  <c r="AD53" i="21"/>
  <c r="AI52" i="21"/>
  <c r="AJ52" i="21" s="1"/>
  <c r="AG50" i="21"/>
  <c r="AH50" i="21" s="1"/>
  <c r="AE51" i="21"/>
  <c r="AG12" i="19"/>
  <c r="AF51" i="19"/>
  <c r="AH50" i="19"/>
  <c r="AI50" i="19" s="1"/>
  <c r="AE52" i="19"/>
  <c r="AJ51" i="19"/>
  <c r="AK51" i="19" s="1"/>
  <c r="AL51" i="19" s="1"/>
  <c r="AE16" i="19"/>
  <c r="AJ15" i="19"/>
  <c r="AK15" i="19" s="1"/>
  <c r="AL15" i="19" s="1"/>
  <c r="AG50" i="19"/>
  <c r="AH12" i="19"/>
  <c r="AI12" i="19" s="1"/>
  <c r="AF13" i="19"/>
  <c r="AI11" i="18"/>
  <c r="AE16" i="18"/>
  <c r="AJ15" i="18"/>
  <c r="AK15" i="18" s="1"/>
  <c r="AL15" i="18" s="1"/>
  <c r="AE52" i="18"/>
  <c r="AJ51" i="18"/>
  <c r="AK51" i="18" s="1"/>
  <c r="AL51" i="18" s="1"/>
  <c r="AH12" i="18"/>
  <c r="AF13" i="18"/>
  <c r="AH49" i="18"/>
  <c r="AI49" i="18" s="1"/>
  <c r="AF50" i="18"/>
  <c r="AG12" i="17"/>
  <c r="AH12" i="17" s="1"/>
  <c r="AE13" i="17"/>
  <c r="AD25" i="17"/>
  <c r="AI24" i="17"/>
  <c r="AJ24" i="17" s="1"/>
  <c r="AK24" i="17" s="1"/>
  <c r="AE50" i="17"/>
  <c r="AF50" i="17" s="1"/>
  <c r="AG49" i="17"/>
  <c r="AH49" i="17" s="1"/>
  <c r="AF12" i="17"/>
  <c r="AF13" i="17" s="1"/>
  <c r="AH10" i="16"/>
  <c r="AE12" i="16"/>
  <c r="AF12" i="16" s="1"/>
  <c r="AG11" i="16"/>
  <c r="AE49" i="16"/>
  <c r="AG48" i="16"/>
  <c r="AH48" i="16" s="1"/>
  <c r="AJ56" i="15"/>
  <c r="AC25" i="15"/>
  <c r="AH24" i="15"/>
  <c r="AI24" i="15" s="1"/>
  <c r="AJ24" i="15" s="1"/>
  <c r="AF12" i="15"/>
  <c r="AG12" i="15" s="1"/>
  <c r="AD13" i="15"/>
  <c r="AE12" i="15"/>
  <c r="AD42" i="15"/>
  <c r="AF41" i="15"/>
  <c r="AG41" i="15" s="1"/>
  <c r="AC13" i="14"/>
  <c r="AB41" i="14"/>
  <c r="AC41" i="14" s="1"/>
  <c r="Z42" i="14"/>
  <c r="Y15" i="14"/>
  <c r="AD14" i="14"/>
  <c r="AE14" i="14" s="1"/>
  <c r="AF14" i="14" s="1"/>
  <c r="Y49" i="14"/>
  <c r="AD48" i="14"/>
  <c r="AE48" i="14" s="1"/>
  <c r="AF48" i="14" s="1"/>
  <c r="Z14" i="14"/>
  <c r="AA14" i="14" s="1"/>
  <c r="AB13" i="14"/>
  <c r="Y13" i="13"/>
  <c r="AA12" i="13"/>
  <c r="Y43" i="13"/>
  <c r="AA42" i="13"/>
  <c r="AB42" i="13" s="1"/>
  <c r="Z42" i="13"/>
  <c r="Z43" i="13" s="1"/>
  <c r="AB12" i="13"/>
  <c r="Z14" i="12"/>
  <c r="X23" i="12"/>
  <c r="AC22" i="12"/>
  <c r="AD22" i="12" s="1"/>
  <c r="AE22" i="12" s="1"/>
  <c r="Z43" i="12"/>
  <c r="AA14" i="12"/>
  <c r="AB14" i="12" s="1"/>
  <c r="Y15" i="12"/>
  <c r="AA43" i="12"/>
  <c r="AB43" i="12" s="1"/>
  <c r="Y44" i="12"/>
  <c r="M27" i="11"/>
  <c r="G9" i="11" s="1"/>
  <c r="M26" i="11"/>
  <c r="M25" i="11"/>
  <c r="M24" i="11"/>
  <c r="G34" i="11" s="1"/>
  <c r="Q34" i="11" s="1"/>
  <c r="M23" i="11"/>
  <c r="G46" i="11" s="1"/>
  <c r="M22" i="11"/>
  <c r="G24" i="11" s="1"/>
  <c r="Q24" i="11" s="1"/>
  <c r="M11" i="11"/>
  <c r="G100" i="11" s="1"/>
  <c r="P102" i="11"/>
  <c r="O102" i="11"/>
  <c r="N102" i="11"/>
  <c r="L102" i="11"/>
  <c r="K102" i="11"/>
  <c r="E102" i="11"/>
  <c r="C102" i="11"/>
  <c r="B102" i="11"/>
  <c r="R100" i="11"/>
  <c r="J100" i="11"/>
  <c r="I100" i="11"/>
  <c r="H100" i="11"/>
  <c r="R99" i="11"/>
  <c r="J99" i="11"/>
  <c r="I99" i="11"/>
  <c r="H99" i="11"/>
  <c r="R98" i="11"/>
  <c r="J98" i="11"/>
  <c r="I98" i="11"/>
  <c r="H98" i="11"/>
  <c r="G98" i="11"/>
  <c r="T98" i="11" s="1"/>
  <c r="R97" i="11"/>
  <c r="J97" i="11"/>
  <c r="I97" i="11"/>
  <c r="H97" i="11"/>
  <c r="G97" i="11"/>
  <c r="U97" i="11" s="1"/>
  <c r="R96" i="11"/>
  <c r="S96" i="11" s="1"/>
  <c r="Q96" i="11"/>
  <c r="J96" i="11"/>
  <c r="I96" i="11"/>
  <c r="H96" i="11"/>
  <c r="G96" i="11"/>
  <c r="U96" i="11" s="1"/>
  <c r="R95" i="11"/>
  <c r="J95" i="11"/>
  <c r="I95" i="11"/>
  <c r="H95" i="11"/>
  <c r="G95" i="11"/>
  <c r="Q95" i="11" s="1"/>
  <c r="S94" i="11"/>
  <c r="R94" i="11"/>
  <c r="J94" i="11"/>
  <c r="I94" i="11"/>
  <c r="H94" i="11"/>
  <c r="G94" i="11"/>
  <c r="U94" i="11" s="1"/>
  <c r="R93" i="11"/>
  <c r="S93" i="11" s="1"/>
  <c r="J93" i="11"/>
  <c r="I93" i="11"/>
  <c r="H93" i="11"/>
  <c r="G93" i="11"/>
  <c r="U93" i="11" s="1"/>
  <c r="R92" i="11"/>
  <c r="J92" i="11"/>
  <c r="I92" i="11"/>
  <c r="H92" i="11"/>
  <c r="R91" i="11"/>
  <c r="J91" i="11"/>
  <c r="I91" i="11"/>
  <c r="H91" i="11"/>
  <c r="R90" i="11"/>
  <c r="J90" i="11"/>
  <c r="I90" i="11"/>
  <c r="H90" i="11"/>
  <c r="G90" i="11"/>
  <c r="U90" i="11" s="1"/>
  <c r="R89" i="11"/>
  <c r="J89" i="11"/>
  <c r="I89" i="11"/>
  <c r="H89" i="11"/>
  <c r="G89" i="11"/>
  <c r="R88" i="11"/>
  <c r="J88" i="11"/>
  <c r="I88" i="11"/>
  <c r="H88" i="11"/>
  <c r="R87" i="11"/>
  <c r="J87" i="11"/>
  <c r="I87" i="11"/>
  <c r="H87" i="11"/>
  <c r="G87" i="11"/>
  <c r="Q87" i="11" s="1"/>
  <c r="R86" i="11"/>
  <c r="J86" i="11"/>
  <c r="I86" i="11"/>
  <c r="H86" i="11"/>
  <c r="G86" i="11"/>
  <c r="U86" i="11" s="1"/>
  <c r="T85" i="11"/>
  <c r="R85" i="11"/>
  <c r="J85" i="11"/>
  <c r="I85" i="11"/>
  <c r="H85" i="11"/>
  <c r="G85" i="11"/>
  <c r="U85" i="11" s="1"/>
  <c r="U84" i="11"/>
  <c r="R84" i="11"/>
  <c r="J84" i="11"/>
  <c r="I84" i="11"/>
  <c r="H84" i="11"/>
  <c r="G84" i="11"/>
  <c r="R83" i="11"/>
  <c r="J83" i="11"/>
  <c r="I83" i="11"/>
  <c r="H83" i="11"/>
  <c r="R82" i="11"/>
  <c r="J82" i="11"/>
  <c r="I82" i="11"/>
  <c r="H82" i="11"/>
  <c r="G82" i="11"/>
  <c r="R81" i="11"/>
  <c r="J81" i="11"/>
  <c r="I81" i="11"/>
  <c r="H81" i="11"/>
  <c r="G81" i="11"/>
  <c r="U81" i="11" s="1"/>
  <c r="R80" i="11"/>
  <c r="J80" i="11"/>
  <c r="I80" i="11"/>
  <c r="H80" i="11"/>
  <c r="R79" i="11"/>
  <c r="J79" i="11"/>
  <c r="I79" i="11"/>
  <c r="H79" i="11"/>
  <c r="G79" i="11"/>
  <c r="Q79" i="11" s="1"/>
  <c r="R78" i="11"/>
  <c r="J78" i="11"/>
  <c r="I78" i="11"/>
  <c r="H78" i="11"/>
  <c r="G78" i="11"/>
  <c r="U78" i="11" s="1"/>
  <c r="T77" i="11"/>
  <c r="R77" i="11"/>
  <c r="J77" i="11"/>
  <c r="I77" i="11"/>
  <c r="H77" i="11"/>
  <c r="G77" i="11"/>
  <c r="U77" i="11" s="1"/>
  <c r="R76" i="11"/>
  <c r="J76" i="11"/>
  <c r="I76" i="11"/>
  <c r="H76" i="11"/>
  <c r="R75" i="11"/>
  <c r="J75" i="11"/>
  <c r="I75" i="11"/>
  <c r="H75" i="11"/>
  <c r="R74" i="11"/>
  <c r="J74" i="11"/>
  <c r="I74" i="11"/>
  <c r="H74" i="11"/>
  <c r="R73" i="11"/>
  <c r="J73" i="11"/>
  <c r="I73" i="11"/>
  <c r="H73" i="11"/>
  <c r="G73" i="11"/>
  <c r="U73" i="11" s="1"/>
  <c r="R72" i="11"/>
  <c r="Q72" i="11"/>
  <c r="J72" i="11"/>
  <c r="I72" i="11"/>
  <c r="H72" i="11"/>
  <c r="G72" i="11"/>
  <c r="U72" i="11" s="1"/>
  <c r="R71" i="11"/>
  <c r="J71" i="11"/>
  <c r="I71" i="11"/>
  <c r="H71" i="11"/>
  <c r="R70" i="11"/>
  <c r="J70" i="11"/>
  <c r="I70" i="11"/>
  <c r="H70" i="11"/>
  <c r="G70" i="11"/>
  <c r="U70" i="11" s="1"/>
  <c r="R69" i="11"/>
  <c r="J69" i="11"/>
  <c r="I69" i="11"/>
  <c r="H69" i="11"/>
  <c r="G69" i="11"/>
  <c r="U69" i="11" s="1"/>
  <c r="U68" i="11"/>
  <c r="R68" i="11"/>
  <c r="J68" i="11"/>
  <c r="I68" i="11"/>
  <c r="H68" i="11"/>
  <c r="G68" i="11"/>
  <c r="R67" i="11"/>
  <c r="J67" i="11"/>
  <c r="I67" i="11"/>
  <c r="H67" i="11"/>
  <c r="G67" i="11"/>
  <c r="U67" i="11" s="1"/>
  <c r="R66" i="11"/>
  <c r="S66" i="11" s="1"/>
  <c r="J66" i="11"/>
  <c r="I66" i="11"/>
  <c r="T66" i="11" s="1"/>
  <c r="H66" i="11"/>
  <c r="G66" i="11"/>
  <c r="U66" i="11" s="1"/>
  <c r="R65" i="11"/>
  <c r="J65" i="11"/>
  <c r="I65" i="11"/>
  <c r="H65" i="11"/>
  <c r="G65" i="11"/>
  <c r="R64" i="11"/>
  <c r="J64" i="11"/>
  <c r="I64" i="11"/>
  <c r="H64" i="11"/>
  <c r="G64" i="11"/>
  <c r="U64" i="11" s="1"/>
  <c r="R63" i="11"/>
  <c r="S63" i="11" s="1"/>
  <c r="J63" i="11"/>
  <c r="I63" i="11"/>
  <c r="H63" i="11"/>
  <c r="G63" i="11"/>
  <c r="Q63" i="11" s="1"/>
  <c r="R62" i="11"/>
  <c r="J62" i="11"/>
  <c r="I62" i="11"/>
  <c r="H62" i="11"/>
  <c r="R61" i="11"/>
  <c r="J61" i="11"/>
  <c r="I61" i="11"/>
  <c r="H61" i="11"/>
  <c r="G61" i="11"/>
  <c r="U61" i="11" s="1"/>
  <c r="R60" i="11"/>
  <c r="J60" i="11"/>
  <c r="I60" i="11"/>
  <c r="H60" i="11"/>
  <c r="G60" i="11"/>
  <c r="U60" i="11" s="1"/>
  <c r="S59" i="11"/>
  <c r="R59" i="11"/>
  <c r="J59" i="11"/>
  <c r="I59" i="11"/>
  <c r="H59" i="11"/>
  <c r="G59" i="11"/>
  <c r="U59" i="11" s="1"/>
  <c r="R58" i="11"/>
  <c r="J58" i="11"/>
  <c r="I58" i="11"/>
  <c r="H58" i="11"/>
  <c r="R57" i="11"/>
  <c r="J57" i="11"/>
  <c r="I57" i="11"/>
  <c r="H57" i="11"/>
  <c r="G57" i="11"/>
  <c r="U57" i="11" s="1"/>
  <c r="R56" i="11"/>
  <c r="J56" i="11"/>
  <c r="I56" i="11"/>
  <c r="H56" i="11"/>
  <c r="G56" i="11"/>
  <c r="U56" i="11" s="1"/>
  <c r="R55" i="11"/>
  <c r="J55" i="11"/>
  <c r="I55" i="11"/>
  <c r="H55" i="11"/>
  <c r="R54" i="11"/>
  <c r="Q54" i="11"/>
  <c r="J54" i="11"/>
  <c r="I54" i="11"/>
  <c r="T54" i="11" s="1"/>
  <c r="H54" i="11"/>
  <c r="G54" i="11"/>
  <c r="U54" i="11" s="1"/>
  <c r="R53" i="11"/>
  <c r="J53" i="11"/>
  <c r="I53" i="11"/>
  <c r="H53" i="11"/>
  <c r="R52" i="11"/>
  <c r="J52" i="11"/>
  <c r="I52" i="11"/>
  <c r="H52" i="11"/>
  <c r="G52" i="11"/>
  <c r="U52" i="11" s="1"/>
  <c r="T51" i="11"/>
  <c r="R51" i="11"/>
  <c r="J51" i="11"/>
  <c r="I51" i="11"/>
  <c r="H51" i="11"/>
  <c r="G51" i="11"/>
  <c r="U51" i="11" s="1"/>
  <c r="T50" i="11"/>
  <c r="R50" i="11"/>
  <c r="J50" i="11"/>
  <c r="I50" i="11"/>
  <c r="H50" i="11"/>
  <c r="G50" i="11"/>
  <c r="U50" i="11" s="1"/>
  <c r="R49" i="11"/>
  <c r="J49" i="11"/>
  <c r="I49" i="11"/>
  <c r="H49" i="11"/>
  <c r="R48" i="11"/>
  <c r="J48" i="11"/>
  <c r="I48" i="11"/>
  <c r="H48" i="11"/>
  <c r="R47" i="11"/>
  <c r="J47" i="11"/>
  <c r="I47" i="11"/>
  <c r="H47" i="11"/>
  <c r="G47" i="11"/>
  <c r="Q47" i="11" s="1"/>
  <c r="R46" i="11"/>
  <c r="J46" i="11"/>
  <c r="I46" i="11"/>
  <c r="H46" i="11"/>
  <c r="R45" i="11"/>
  <c r="J45" i="11"/>
  <c r="H45" i="11"/>
  <c r="I45" i="11" s="1"/>
  <c r="R44" i="11"/>
  <c r="H44" i="11"/>
  <c r="J44" i="11" s="1"/>
  <c r="G44" i="11"/>
  <c r="R43" i="11"/>
  <c r="H43" i="11"/>
  <c r="G43" i="11"/>
  <c r="S43" i="11" s="1"/>
  <c r="R42" i="11"/>
  <c r="J42" i="11"/>
  <c r="I42" i="11"/>
  <c r="T42" i="11" s="1"/>
  <c r="H42" i="11"/>
  <c r="G42" i="11"/>
  <c r="U42" i="11" s="1"/>
  <c r="R41" i="11"/>
  <c r="J41" i="11"/>
  <c r="H41" i="11"/>
  <c r="I41" i="11" s="1"/>
  <c r="G41" i="11"/>
  <c r="X40" i="11"/>
  <c r="X41" i="11" s="1"/>
  <c r="X42" i="11" s="1"/>
  <c r="X43" i="11" s="1"/>
  <c r="X44" i="11" s="1"/>
  <c r="X45" i="11" s="1"/>
  <c r="X46" i="11" s="1"/>
  <c r="X47" i="11" s="1"/>
  <c r="X48" i="11" s="1"/>
  <c r="X49" i="11" s="1"/>
  <c r="X50" i="11" s="1"/>
  <c r="X51" i="11" s="1"/>
  <c r="X52" i="11" s="1"/>
  <c r="X53" i="11" s="1"/>
  <c r="X54" i="11" s="1"/>
  <c r="X55" i="11" s="1"/>
  <c r="X56" i="11" s="1"/>
  <c r="R40" i="11"/>
  <c r="M40" i="11"/>
  <c r="J40" i="11"/>
  <c r="I40" i="11"/>
  <c r="H40" i="11"/>
  <c r="G40" i="11"/>
  <c r="T40" i="11" s="1"/>
  <c r="S39" i="11"/>
  <c r="R39" i="11"/>
  <c r="Q39" i="11"/>
  <c r="J39" i="11"/>
  <c r="I39" i="11"/>
  <c r="H39" i="11"/>
  <c r="G39" i="11"/>
  <c r="U39" i="11" s="1"/>
  <c r="S38" i="11"/>
  <c r="R38" i="11"/>
  <c r="Q38" i="11"/>
  <c r="J38" i="11"/>
  <c r="H38" i="11"/>
  <c r="I38" i="11" s="1"/>
  <c r="G38" i="11"/>
  <c r="W37" i="11"/>
  <c r="R37" i="11"/>
  <c r="H37" i="11"/>
  <c r="G37" i="11"/>
  <c r="S37" i="11" s="1"/>
  <c r="R36" i="11"/>
  <c r="I36" i="11"/>
  <c r="H36" i="11"/>
  <c r="J36" i="11" s="1"/>
  <c r="G36" i="11"/>
  <c r="U36" i="11" s="1"/>
  <c r="R35" i="11"/>
  <c r="J35" i="11"/>
  <c r="I35" i="11"/>
  <c r="H35" i="11"/>
  <c r="G35" i="11"/>
  <c r="U35" i="11" s="1"/>
  <c r="X34" i="11"/>
  <c r="X35" i="11" s="1"/>
  <c r="X36" i="11" s="1"/>
  <c r="X37" i="11" s="1"/>
  <c r="X38" i="11" s="1"/>
  <c r="X39" i="11" s="1"/>
  <c r="W34" i="11"/>
  <c r="R34" i="11"/>
  <c r="J34" i="11"/>
  <c r="I34" i="11"/>
  <c r="H34" i="11"/>
  <c r="X33" i="11"/>
  <c r="S33" i="11"/>
  <c r="R33" i="11"/>
  <c r="J33" i="11"/>
  <c r="I33" i="11"/>
  <c r="H33" i="11"/>
  <c r="G33" i="11"/>
  <c r="U33" i="11" s="1"/>
  <c r="F33" i="11"/>
  <c r="F102" i="11" s="1"/>
  <c r="R32" i="11"/>
  <c r="J32" i="11"/>
  <c r="H32" i="11"/>
  <c r="I32" i="11" s="1"/>
  <c r="G32" i="11"/>
  <c r="Q32" i="11" s="1"/>
  <c r="AE31" i="11"/>
  <c r="AC31" i="11"/>
  <c r="AB31" i="11"/>
  <c r="Z31" i="11"/>
  <c r="Y31" i="11"/>
  <c r="R31" i="11"/>
  <c r="S31" i="11" s="1"/>
  <c r="Q31" i="11"/>
  <c r="J31" i="11"/>
  <c r="I31" i="11"/>
  <c r="T31" i="11" s="1"/>
  <c r="H31" i="11"/>
  <c r="G31" i="11"/>
  <c r="U31" i="11" s="1"/>
  <c r="R30" i="11"/>
  <c r="Q30" i="11"/>
  <c r="J30" i="11"/>
  <c r="I30" i="11"/>
  <c r="H30" i="11"/>
  <c r="G30" i="11"/>
  <c r="U30" i="11" s="1"/>
  <c r="S29" i="11"/>
  <c r="R29" i="11"/>
  <c r="Q29" i="11"/>
  <c r="J29" i="11"/>
  <c r="H29" i="11"/>
  <c r="I29" i="11" s="1"/>
  <c r="G29" i="11"/>
  <c r="U29" i="11" s="1"/>
  <c r="R28" i="11"/>
  <c r="H28" i="11"/>
  <c r="J28" i="11" s="1"/>
  <c r="R27" i="11"/>
  <c r="H27" i="11"/>
  <c r="G27" i="11"/>
  <c r="S27" i="11" s="1"/>
  <c r="R26" i="11"/>
  <c r="I26" i="11"/>
  <c r="H26" i="11"/>
  <c r="J26" i="11" s="1"/>
  <c r="R25" i="11"/>
  <c r="J25" i="11"/>
  <c r="I25" i="11"/>
  <c r="H25" i="11"/>
  <c r="R24" i="11"/>
  <c r="H24" i="11"/>
  <c r="R23" i="11"/>
  <c r="I23" i="11"/>
  <c r="H23" i="11"/>
  <c r="J23" i="11" s="1"/>
  <c r="R22" i="11"/>
  <c r="J22" i="11"/>
  <c r="H22" i="11"/>
  <c r="I22" i="11" s="1"/>
  <c r="R21" i="11"/>
  <c r="J21" i="11"/>
  <c r="I21" i="11"/>
  <c r="H21" i="11"/>
  <c r="G21" i="11"/>
  <c r="T21" i="11" s="1"/>
  <c r="R20" i="11"/>
  <c r="H20" i="11"/>
  <c r="I20" i="11" s="1"/>
  <c r="G20" i="11"/>
  <c r="R19" i="11"/>
  <c r="I19" i="11"/>
  <c r="H19" i="11"/>
  <c r="J19" i="11" s="1"/>
  <c r="R18" i="11"/>
  <c r="J18" i="11"/>
  <c r="I18" i="11"/>
  <c r="H18" i="11"/>
  <c r="G18" i="11"/>
  <c r="R17" i="11"/>
  <c r="J17" i="11"/>
  <c r="H17" i="11"/>
  <c r="I17" i="11" s="1"/>
  <c r="G17" i="11"/>
  <c r="T17" i="11" s="1"/>
  <c r="R16" i="11"/>
  <c r="H16" i="11"/>
  <c r="J16" i="11" s="1"/>
  <c r="R15" i="11"/>
  <c r="H15" i="11"/>
  <c r="J15" i="11" s="1"/>
  <c r="G15" i="11"/>
  <c r="Q15" i="11" s="1"/>
  <c r="T14" i="11"/>
  <c r="R14" i="11"/>
  <c r="I14" i="11"/>
  <c r="H14" i="11"/>
  <c r="J14" i="11" s="1"/>
  <c r="G14" i="11"/>
  <c r="Q14" i="11" s="1"/>
  <c r="R13" i="11"/>
  <c r="J13" i="11"/>
  <c r="I13" i="11"/>
  <c r="H13" i="11"/>
  <c r="G13" i="11"/>
  <c r="T13" i="11" s="1"/>
  <c r="R12" i="11"/>
  <c r="H12" i="11"/>
  <c r="J12" i="11" s="1"/>
  <c r="R11" i="11"/>
  <c r="I11" i="11"/>
  <c r="H11" i="11"/>
  <c r="J11" i="11" s="1"/>
  <c r="G11" i="11"/>
  <c r="U11" i="11" s="1"/>
  <c r="R10" i="11"/>
  <c r="J10" i="11"/>
  <c r="I10" i="11"/>
  <c r="H10" i="11"/>
  <c r="R9" i="11"/>
  <c r="J9" i="11"/>
  <c r="I9" i="11"/>
  <c r="H9" i="11"/>
  <c r="W8" i="11"/>
  <c r="R8" i="11"/>
  <c r="H8" i="11"/>
  <c r="J8" i="11" s="1"/>
  <c r="T7" i="11"/>
  <c r="R7" i="11"/>
  <c r="S7" i="11" s="1"/>
  <c r="I7" i="11"/>
  <c r="H7" i="11"/>
  <c r="J7" i="11" s="1"/>
  <c r="G7" i="11"/>
  <c r="Q7" i="11" s="1"/>
  <c r="R6" i="11"/>
  <c r="J6" i="11"/>
  <c r="I6" i="11"/>
  <c r="H6" i="11"/>
  <c r="G6" i="11"/>
  <c r="T6" i="11" s="1"/>
  <c r="X5" i="11"/>
  <c r="X6" i="11" s="1"/>
  <c r="X7" i="11" s="1"/>
  <c r="X8" i="11" s="1"/>
  <c r="X9" i="11" s="1"/>
  <c r="X10" i="11" s="1"/>
  <c r="X11" i="11" s="1"/>
  <c r="X12" i="11" s="1"/>
  <c r="X13" i="11" s="1"/>
  <c r="X14" i="11" s="1"/>
  <c r="X15" i="11" s="1"/>
  <c r="R5" i="11"/>
  <c r="I5" i="11"/>
  <c r="H5" i="11"/>
  <c r="J5" i="11" s="1"/>
  <c r="G5" i="11"/>
  <c r="U5" i="11" s="1"/>
  <c r="AC4" i="11"/>
  <c r="AD4" i="11" s="1"/>
  <c r="X4" i="11"/>
  <c r="R4" i="11"/>
  <c r="J4" i="11"/>
  <c r="I4" i="11"/>
  <c r="H4" i="11"/>
  <c r="AD3" i="11"/>
  <c r="AC3" i="11"/>
  <c r="AA3" i="11"/>
  <c r="Y3" i="11"/>
  <c r="Y4" i="11" s="1"/>
  <c r="R3" i="11"/>
  <c r="J3" i="11"/>
  <c r="I3" i="11"/>
  <c r="H3" i="11"/>
  <c r="R2" i="11"/>
  <c r="H2" i="11"/>
  <c r="H102" i="11" s="1"/>
  <c r="G2" i="11"/>
  <c r="Q2" i="11" s="1"/>
  <c r="AC32" i="4"/>
  <c r="AD32" i="4" s="1"/>
  <c r="AC34" i="4"/>
  <c r="W34" i="4"/>
  <c r="W37" i="4"/>
  <c r="Y31" i="4"/>
  <c r="X33" i="4"/>
  <c r="AC33" i="4" s="1"/>
  <c r="AD33" i="4" s="1"/>
  <c r="Y32" i="4"/>
  <c r="Y33" i="4" s="1"/>
  <c r="AE4" i="4"/>
  <c r="AE5" i="4" s="1"/>
  <c r="AE6" i="4" s="1"/>
  <c r="AE7" i="4" s="1"/>
  <c r="AE8" i="4" s="1"/>
  <c r="AE9" i="4" s="1"/>
  <c r="AE10" i="4" s="1"/>
  <c r="AE11" i="4" s="1"/>
  <c r="AE12" i="4" s="1"/>
  <c r="AE13" i="4" s="1"/>
  <c r="AE14" i="4" s="1"/>
  <c r="AE15" i="4" s="1"/>
  <c r="AE16" i="4" s="1"/>
  <c r="AE17" i="4" s="1"/>
  <c r="AE18" i="4" s="1"/>
  <c r="AE19" i="4" s="1"/>
  <c r="AE20" i="4" s="1"/>
  <c r="AE21" i="4" s="1"/>
  <c r="AE22" i="4" s="1"/>
  <c r="AE23" i="4" s="1"/>
  <c r="AE24" i="4" s="1"/>
  <c r="AE25" i="4" s="1"/>
  <c r="AE26" i="4" s="1"/>
  <c r="AE27" i="4" s="1"/>
  <c r="AE3" i="4"/>
  <c r="AE2" i="4"/>
  <c r="AD4" i="4"/>
  <c r="AD5" i="4"/>
  <c r="AD6" i="4"/>
  <c r="AD7" i="4"/>
  <c r="AD8" i="4"/>
  <c r="AD9" i="4"/>
  <c r="AD10" i="4"/>
  <c r="AD11" i="4"/>
  <c r="AD12" i="4"/>
  <c r="AD13" i="4"/>
  <c r="AD14" i="4"/>
  <c r="AD15" i="4"/>
  <c r="AD16" i="4"/>
  <c r="AD17" i="4"/>
  <c r="AD18" i="4"/>
  <c r="AD19" i="4"/>
  <c r="AD20" i="4"/>
  <c r="AD21" i="4"/>
  <c r="AD22" i="4"/>
  <c r="AD23" i="4"/>
  <c r="AD24" i="4"/>
  <c r="AD25" i="4"/>
  <c r="AD26" i="4"/>
  <c r="AD27" i="4"/>
  <c r="AD3" i="4"/>
  <c r="AC4" i="4"/>
  <c r="AC5" i="4"/>
  <c r="AC6" i="4"/>
  <c r="AC7" i="4"/>
  <c r="AC8" i="4"/>
  <c r="AC9" i="4"/>
  <c r="AC10" i="4"/>
  <c r="AC11" i="4"/>
  <c r="AC12" i="4"/>
  <c r="AC13" i="4"/>
  <c r="AC14" i="4"/>
  <c r="AC15" i="4"/>
  <c r="AC16" i="4"/>
  <c r="AC17" i="4"/>
  <c r="AC18" i="4"/>
  <c r="AC19" i="4"/>
  <c r="AC20" i="4"/>
  <c r="AC21" i="4"/>
  <c r="AC22" i="4"/>
  <c r="AC23" i="4"/>
  <c r="AC24" i="4"/>
  <c r="AC25" i="4"/>
  <c r="AC26" i="4"/>
  <c r="AC27" i="4"/>
  <c r="AC3" i="4"/>
  <c r="AC2" i="4"/>
  <c r="AB7" i="4"/>
  <c r="AB8" i="4"/>
  <c r="AB9" i="4" s="1"/>
  <c r="AB10" i="4" s="1"/>
  <c r="AB11" i="4" s="1"/>
  <c r="AB12" i="4" s="1"/>
  <c r="AB13" i="4" s="1"/>
  <c r="AB14" i="4" s="1"/>
  <c r="AB15" i="4" s="1"/>
  <c r="AB16" i="4" s="1"/>
  <c r="AB17" i="4" s="1"/>
  <c r="AB18" i="4" s="1"/>
  <c r="AB19" i="4" s="1"/>
  <c r="AB20" i="4" s="1"/>
  <c r="AB21" i="4" s="1"/>
  <c r="AB22" i="4" s="1"/>
  <c r="AB23" i="4" s="1"/>
  <c r="AB24" i="4" s="1"/>
  <c r="AB25" i="4" s="1"/>
  <c r="AB26" i="4" s="1"/>
  <c r="AB27" i="4" s="1"/>
  <c r="AB4" i="4"/>
  <c r="AB5" i="4"/>
  <c r="AB6" i="4" s="1"/>
  <c r="AB3" i="4"/>
  <c r="AB2" i="4"/>
  <c r="AA4" i="4"/>
  <c r="AA5" i="4"/>
  <c r="AA6" i="4"/>
  <c r="AA7" i="4"/>
  <c r="AA8" i="4"/>
  <c r="AA9" i="4"/>
  <c r="AA10" i="4"/>
  <c r="AA11" i="4"/>
  <c r="AA12" i="4"/>
  <c r="AA13" i="4"/>
  <c r="AA14" i="4"/>
  <c r="AA15" i="4"/>
  <c r="AA16" i="4"/>
  <c r="AA17" i="4"/>
  <c r="AA18" i="4"/>
  <c r="AA19" i="4"/>
  <c r="AA20" i="4"/>
  <c r="AA21" i="4"/>
  <c r="AA22" i="4"/>
  <c r="AA23" i="4"/>
  <c r="AA24" i="4"/>
  <c r="AA25" i="4"/>
  <c r="AA26" i="4"/>
  <c r="AA27" i="4"/>
  <c r="AA3" i="4"/>
  <c r="Z5" i="4"/>
  <c r="Z6" i="4"/>
  <c r="Z7" i="4" s="1"/>
  <c r="Z8" i="4" s="1"/>
  <c r="Z9" i="4" s="1"/>
  <c r="Z10" i="4" s="1"/>
  <c r="Z11" i="4" s="1"/>
  <c r="Z12" i="4" s="1"/>
  <c r="Z13" i="4" s="1"/>
  <c r="Z14" i="4" s="1"/>
  <c r="Z15" i="4" s="1"/>
  <c r="Z16" i="4" s="1"/>
  <c r="Z17" i="4" s="1"/>
  <c r="Z18" i="4" s="1"/>
  <c r="Z19" i="4" s="1"/>
  <c r="Z20" i="4" s="1"/>
  <c r="Z21" i="4" s="1"/>
  <c r="Z22" i="4" s="1"/>
  <c r="Z23" i="4" s="1"/>
  <c r="Z24" i="4" s="1"/>
  <c r="Z25" i="4" s="1"/>
  <c r="Z26" i="4" s="1"/>
  <c r="Z27" i="4" s="1"/>
  <c r="Z4" i="4"/>
  <c r="Z3" i="4"/>
  <c r="Z2" i="4"/>
  <c r="Y5" i="4"/>
  <c r="Y6" i="4"/>
  <c r="Y7" i="4" s="1"/>
  <c r="Y8" i="4" s="1"/>
  <c r="Y9" i="4" s="1"/>
  <c r="Y10" i="4" s="1"/>
  <c r="Y11" i="4" s="1"/>
  <c r="Y12" i="4" s="1"/>
  <c r="Y13" i="4" s="1"/>
  <c r="Y14" i="4" s="1"/>
  <c r="Y15" i="4" s="1"/>
  <c r="Y16" i="4" s="1"/>
  <c r="Y17" i="4" s="1"/>
  <c r="Y18" i="4" s="1"/>
  <c r="Y19" i="4" s="1"/>
  <c r="Y20" i="4" s="1"/>
  <c r="Y21" i="4" s="1"/>
  <c r="Y22" i="4" s="1"/>
  <c r="Y23" i="4" s="1"/>
  <c r="Y24" i="4" s="1"/>
  <c r="Y25" i="4" s="1"/>
  <c r="Y26" i="4" s="1"/>
  <c r="Y27" i="4" s="1"/>
  <c r="Y4" i="4"/>
  <c r="Y3" i="4"/>
  <c r="W8" i="4"/>
  <c r="Y2" i="4"/>
  <c r="W5" i="4"/>
  <c r="X5" i="4"/>
  <c r="X6" i="4" s="1"/>
  <c r="X7" i="4" s="1"/>
  <c r="X8" i="4" s="1"/>
  <c r="X9" i="4" s="1"/>
  <c r="X10" i="4" s="1"/>
  <c r="X11" i="4" s="1"/>
  <c r="X12" i="4" s="1"/>
  <c r="X13" i="4" s="1"/>
  <c r="X14" i="4" s="1"/>
  <c r="X15" i="4" s="1"/>
  <c r="X16" i="4" s="1"/>
  <c r="X17" i="4" s="1"/>
  <c r="X18" i="4" s="1"/>
  <c r="X19" i="4" s="1"/>
  <c r="X20" i="4" s="1"/>
  <c r="X21" i="4" s="1"/>
  <c r="X22" i="4" s="1"/>
  <c r="X23" i="4" s="1"/>
  <c r="X24" i="4" s="1"/>
  <c r="X25" i="4" s="1"/>
  <c r="X26" i="4" s="1"/>
  <c r="X27" i="4" s="1"/>
  <c r="X4" i="4"/>
  <c r="U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71" i="4"/>
  <c r="U72" i="4"/>
  <c r="U73" i="4"/>
  <c r="U74" i="4"/>
  <c r="U75" i="4"/>
  <c r="U76" i="4"/>
  <c r="U77" i="4"/>
  <c r="U78" i="4"/>
  <c r="U79" i="4"/>
  <c r="U80" i="4"/>
  <c r="U81" i="4"/>
  <c r="U82" i="4"/>
  <c r="U83" i="4"/>
  <c r="U84" i="4"/>
  <c r="U85" i="4"/>
  <c r="U86" i="4"/>
  <c r="U87" i="4"/>
  <c r="U88" i="4"/>
  <c r="U89" i="4"/>
  <c r="U90" i="4"/>
  <c r="U91" i="4"/>
  <c r="U92" i="4"/>
  <c r="U93" i="4"/>
  <c r="U94" i="4"/>
  <c r="U95" i="4"/>
  <c r="U96" i="4"/>
  <c r="U97" i="4"/>
  <c r="U98" i="4"/>
  <c r="U99" i="4"/>
  <c r="U100" i="4"/>
  <c r="U2" i="4"/>
  <c r="I47" i="4"/>
  <c r="J47" i="4"/>
  <c r="I48" i="4"/>
  <c r="J48" i="4"/>
  <c r="I49" i="4"/>
  <c r="J49" i="4"/>
  <c r="I50" i="4"/>
  <c r="T50" i="4" s="1"/>
  <c r="J50" i="4"/>
  <c r="I51" i="4"/>
  <c r="J51" i="4"/>
  <c r="I52" i="4"/>
  <c r="J52" i="4"/>
  <c r="I53" i="4"/>
  <c r="J53" i="4"/>
  <c r="I54" i="4"/>
  <c r="T54" i="4" s="1"/>
  <c r="J54" i="4"/>
  <c r="I55" i="4"/>
  <c r="J55" i="4"/>
  <c r="I56" i="4"/>
  <c r="J56" i="4"/>
  <c r="I57" i="4"/>
  <c r="J57" i="4"/>
  <c r="I58" i="4"/>
  <c r="T58" i="4" s="1"/>
  <c r="J58" i="4"/>
  <c r="I59" i="4"/>
  <c r="J59" i="4"/>
  <c r="I60" i="4"/>
  <c r="J60" i="4"/>
  <c r="I61" i="4"/>
  <c r="J61" i="4"/>
  <c r="I62" i="4"/>
  <c r="T62" i="4" s="1"/>
  <c r="J62" i="4"/>
  <c r="I63" i="4"/>
  <c r="J63" i="4"/>
  <c r="I64" i="4"/>
  <c r="J64" i="4"/>
  <c r="I65" i="4"/>
  <c r="J65" i="4"/>
  <c r="I66" i="4"/>
  <c r="T66" i="4" s="1"/>
  <c r="J66" i="4"/>
  <c r="I67" i="4"/>
  <c r="J67" i="4"/>
  <c r="I68" i="4"/>
  <c r="J68" i="4"/>
  <c r="I69" i="4"/>
  <c r="J69" i="4"/>
  <c r="I70" i="4"/>
  <c r="T70" i="4" s="1"/>
  <c r="J70" i="4"/>
  <c r="I71" i="4"/>
  <c r="J71" i="4"/>
  <c r="I72" i="4"/>
  <c r="J72" i="4"/>
  <c r="I73" i="4"/>
  <c r="J73" i="4"/>
  <c r="I74" i="4"/>
  <c r="T74" i="4" s="1"/>
  <c r="J74" i="4"/>
  <c r="I75" i="4"/>
  <c r="J75" i="4"/>
  <c r="I76" i="4"/>
  <c r="J76" i="4"/>
  <c r="I77" i="4"/>
  <c r="J77" i="4"/>
  <c r="I78" i="4"/>
  <c r="T78" i="4" s="1"/>
  <c r="J78" i="4"/>
  <c r="I79" i="4"/>
  <c r="J79" i="4"/>
  <c r="I80" i="4"/>
  <c r="J80" i="4"/>
  <c r="I81" i="4"/>
  <c r="J81" i="4"/>
  <c r="I82" i="4"/>
  <c r="T82" i="4" s="1"/>
  <c r="J82" i="4"/>
  <c r="I83" i="4"/>
  <c r="J83" i="4"/>
  <c r="I84" i="4"/>
  <c r="J84" i="4"/>
  <c r="I85" i="4"/>
  <c r="J85" i="4"/>
  <c r="I86" i="4"/>
  <c r="T86" i="4" s="1"/>
  <c r="J86" i="4"/>
  <c r="I87" i="4"/>
  <c r="J87" i="4"/>
  <c r="I88" i="4"/>
  <c r="J88" i="4"/>
  <c r="I89" i="4"/>
  <c r="J89" i="4"/>
  <c r="I90" i="4"/>
  <c r="T90" i="4" s="1"/>
  <c r="J90" i="4"/>
  <c r="I91" i="4"/>
  <c r="J91" i="4"/>
  <c r="I92" i="4"/>
  <c r="J92" i="4"/>
  <c r="I93" i="4"/>
  <c r="J93" i="4"/>
  <c r="I94" i="4"/>
  <c r="T94" i="4" s="1"/>
  <c r="J94" i="4"/>
  <c r="I95" i="4"/>
  <c r="J95" i="4"/>
  <c r="I96" i="4"/>
  <c r="J96" i="4"/>
  <c r="I97" i="4"/>
  <c r="J97" i="4"/>
  <c r="I98" i="4"/>
  <c r="T98" i="4" s="1"/>
  <c r="J98" i="4"/>
  <c r="I99" i="4"/>
  <c r="J99" i="4"/>
  <c r="I100" i="4"/>
  <c r="J100"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1" i="4"/>
  <c r="T52" i="4"/>
  <c r="T53" i="4"/>
  <c r="T55" i="4"/>
  <c r="T56" i="4"/>
  <c r="T57" i="4"/>
  <c r="T59" i="4"/>
  <c r="T60" i="4"/>
  <c r="T61" i="4"/>
  <c r="T63" i="4"/>
  <c r="T64" i="4"/>
  <c r="T65" i="4"/>
  <c r="T67" i="4"/>
  <c r="T68" i="4"/>
  <c r="T69" i="4"/>
  <c r="T71" i="4"/>
  <c r="T72" i="4"/>
  <c r="T73" i="4"/>
  <c r="T75" i="4"/>
  <c r="T76" i="4"/>
  <c r="T77" i="4"/>
  <c r="T79" i="4"/>
  <c r="T80" i="4"/>
  <c r="T81" i="4"/>
  <c r="T83" i="4"/>
  <c r="T84" i="4"/>
  <c r="T85" i="4"/>
  <c r="T87" i="4"/>
  <c r="T88" i="4"/>
  <c r="T89" i="4"/>
  <c r="T91" i="4"/>
  <c r="T92" i="4"/>
  <c r="T93" i="4"/>
  <c r="T95" i="4"/>
  <c r="T96" i="4"/>
  <c r="T97" i="4"/>
  <c r="T99" i="4"/>
  <c r="T100" i="4"/>
  <c r="T3" i="4"/>
  <c r="T4" i="4"/>
  <c r="T5" i="4"/>
  <c r="T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2" i="4"/>
  <c r="M40" i="4"/>
  <c r="M102" i="4" s="1"/>
  <c r="L102" i="4"/>
  <c r="S96" i="4"/>
  <c r="S19" i="4"/>
  <c r="R3" i="4"/>
  <c r="S3" i="4" s="1"/>
  <c r="R4" i="4"/>
  <c r="R5" i="4"/>
  <c r="R6" i="4"/>
  <c r="R7" i="4"/>
  <c r="R8" i="4"/>
  <c r="R9" i="4"/>
  <c r="R10" i="4"/>
  <c r="R11" i="4"/>
  <c r="S11" i="4" s="1"/>
  <c r="R12" i="4"/>
  <c r="S12" i="4" s="1"/>
  <c r="R13" i="4"/>
  <c r="R14" i="4"/>
  <c r="R15" i="4"/>
  <c r="S15" i="4" s="1"/>
  <c r="R16" i="4"/>
  <c r="R17" i="4"/>
  <c r="R18" i="4"/>
  <c r="R19" i="4"/>
  <c r="R20" i="4"/>
  <c r="R21" i="4"/>
  <c r="R22" i="4"/>
  <c r="R23" i="4"/>
  <c r="R24" i="4"/>
  <c r="R25" i="4"/>
  <c r="R26" i="4"/>
  <c r="R27" i="4"/>
  <c r="S27" i="4" s="1"/>
  <c r="R28" i="4"/>
  <c r="S28" i="4" s="1"/>
  <c r="R29" i="4"/>
  <c r="R30" i="4"/>
  <c r="R31" i="4"/>
  <c r="S31" i="4" s="1"/>
  <c r="R32" i="4"/>
  <c r="R33" i="4"/>
  <c r="R34" i="4"/>
  <c r="R35" i="4"/>
  <c r="S35" i="4" s="1"/>
  <c r="R36" i="4"/>
  <c r="R37" i="4"/>
  <c r="R38" i="4"/>
  <c r="R39" i="4"/>
  <c r="R40" i="4"/>
  <c r="R41" i="4"/>
  <c r="R42" i="4"/>
  <c r="R43" i="4"/>
  <c r="S43" i="4" s="1"/>
  <c r="R44" i="4"/>
  <c r="S44" i="4" s="1"/>
  <c r="R45" i="4"/>
  <c r="R46" i="4"/>
  <c r="R47" i="4"/>
  <c r="R48" i="4"/>
  <c r="R49" i="4"/>
  <c r="R50" i="4"/>
  <c r="R51" i="4"/>
  <c r="R52" i="4"/>
  <c r="R53" i="4"/>
  <c r="R54" i="4"/>
  <c r="R55" i="4"/>
  <c r="R56" i="4"/>
  <c r="R57" i="4"/>
  <c r="R58" i="4"/>
  <c r="R59" i="4"/>
  <c r="R60" i="4"/>
  <c r="R61" i="4"/>
  <c r="R62" i="4"/>
  <c r="R63" i="4"/>
  <c r="R64" i="4"/>
  <c r="R65" i="4"/>
  <c r="R66" i="4"/>
  <c r="R67" i="4"/>
  <c r="R68" i="4"/>
  <c r="R69" i="4"/>
  <c r="R70" i="4"/>
  <c r="S70" i="4" s="1"/>
  <c r="R71" i="4"/>
  <c r="S71" i="4" s="1"/>
  <c r="R72" i="4"/>
  <c r="R73" i="4"/>
  <c r="R74" i="4"/>
  <c r="R75" i="4"/>
  <c r="R76" i="4"/>
  <c r="R77" i="4"/>
  <c r="R78" i="4"/>
  <c r="S78" i="4" s="1"/>
  <c r="R79" i="4"/>
  <c r="S79" i="4" s="1"/>
  <c r="R80" i="4"/>
  <c r="R81" i="4"/>
  <c r="S81" i="4" s="1"/>
  <c r="R82" i="4"/>
  <c r="R83" i="4"/>
  <c r="R84" i="4"/>
  <c r="R85" i="4"/>
  <c r="R86" i="4"/>
  <c r="R87" i="4"/>
  <c r="R88" i="4"/>
  <c r="S88" i="4" s="1"/>
  <c r="R89" i="4"/>
  <c r="S89" i="4" s="1"/>
  <c r="R90" i="4"/>
  <c r="R91" i="4"/>
  <c r="R92" i="4"/>
  <c r="R93" i="4"/>
  <c r="R94" i="4"/>
  <c r="R95" i="4"/>
  <c r="R96" i="4"/>
  <c r="R97" i="4"/>
  <c r="R98" i="4"/>
  <c r="R99" i="4"/>
  <c r="R100" i="4"/>
  <c r="R2" i="4"/>
  <c r="K102" i="4"/>
  <c r="N102" i="4"/>
  <c r="O102" i="4"/>
  <c r="P102" i="4"/>
  <c r="Q72" i="4"/>
  <c r="Q90" i="4"/>
  <c r="Q61" i="4"/>
  <c r="Q4" i="4"/>
  <c r="Q15" i="4"/>
  <c r="Q28" i="4"/>
  <c r="J33" i="4"/>
  <c r="J36" i="4"/>
  <c r="H46" i="4"/>
  <c r="J46" i="4" s="1"/>
  <c r="H44" i="4"/>
  <c r="J44" i="4" s="1"/>
  <c r="H43" i="4"/>
  <c r="J43" i="4" s="1"/>
  <c r="H41" i="4"/>
  <c r="J41" i="4" s="1"/>
  <c r="H40" i="4"/>
  <c r="J40" i="4" s="1"/>
  <c r="H38" i="4"/>
  <c r="J38" i="4" s="1"/>
  <c r="H36" i="4"/>
  <c r="H34" i="4"/>
  <c r="J34" i="4" s="1"/>
  <c r="H33" i="4"/>
  <c r="H30" i="4"/>
  <c r="J30" i="4" s="1"/>
  <c r="H31" i="4"/>
  <c r="J31" i="4" s="1"/>
  <c r="H29" i="4"/>
  <c r="J29" i="4" s="1"/>
  <c r="H25" i="4"/>
  <c r="J25" i="4" s="1"/>
  <c r="H24" i="4"/>
  <c r="J24" i="4" s="1"/>
  <c r="H22" i="4"/>
  <c r="J22" i="4" s="1"/>
  <c r="H21" i="4"/>
  <c r="J21" i="4" s="1"/>
  <c r="H19" i="4"/>
  <c r="J19" i="4" s="1"/>
  <c r="H18" i="4"/>
  <c r="J18" i="4" s="1"/>
  <c r="H15" i="4"/>
  <c r="J15" i="4" s="1"/>
  <c r="H16" i="4"/>
  <c r="J16" i="4" s="1"/>
  <c r="H14" i="4"/>
  <c r="J14" i="4" s="1"/>
  <c r="H10" i="4"/>
  <c r="J10" i="4" s="1"/>
  <c r="H9" i="4"/>
  <c r="J9" i="4" s="1"/>
  <c r="H7" i="4"/>
  <c r="J7" i="4" s="1"/>
  <c r="H5" i="4"/>
  <c r="J5" i="4" s="1"/>
  <c r="H3" i="4"/>
  <c r="J3" i="4" s="1"/>
  <c r="H2" i="4"/>
  <c r="J2" i="4" s="1"/>
  <c r="G46" i="4"/>
  <c r="Q46" i="4" s="1"/>
  <c r="G44" i="4"/>
  <c r="Q44" i="4" s="1"/>
  <c r="G43" i="4"/>
  <c r="Q43" i="4" s="1"/>
  <c r="G41" i="4"/>
  <c r="Q41" i="4" s="1"/>
  <c r="G40" i="4"/>
  <c r="Q40" i="4" s="1"/>
  <c r="G38" i="4"/>
  <c r="Q38" i="4" s="1"/>
  <c r="G36" i="4"/>
  <c r="S36" i="4" s="1"/>
  <c r="G34" i="4"/>
  <c r="Q34" i="4" s="1"/>
  <c r="G33" i="4"/>
  <c r="Q33" i="4" s="1"/>
  <c r="G31" i="4"/>
  <c r="Q31" i="4" s="1"/>
  <c r="G30" i="4"/>
  <c r="Q30" i="4" s="1"/>
  <c r="G29" i="4"/>
  <c r="S29" i="4" s="1"/>
  <c r="G25" i="4"/>
  <c r="Q25" i="4" s="1"/>
  <c r="G24" i="4"/>
  <c r="Q24" i="4" s="1"/>
  <c r="G22" i="4"/>
  <c r="Q22" i="4" s="1"/>
  <c r="G21" i="4"/>
  <c r="S21" i="4" s="1"/>
  <c r="G19" i="4"/>
  <c r="Q19" i="4" s="1"/>
  <c r="G18" i="4"/>
  <c r="Q18" i="4" s="1"/>
  <c r="G16" i="4"/>
  <c r="Q16" i="4" s="1"/>
  <c r="G15" i="4"/>
  <c r="G14" i="4"/>
  <c r="Q14" i="4" s="1"/>
  <c r="G10" i="4"/>
  <c r="Q10" i="4" s="1"/>
  <c r="G9" i="4"/>
  <c r="Q9" i="4" s="1"/>
  <c r="G7" i="4"/>
  <c r="Q7" i="4" s="1"/>
  <c r="G5" i="4"/>
  <c r="Q5" i="4" s="1"/>
  <c r="G3" i="4"/>
  <c r="Q3" i="4" s="1"/>
  <c r="G2" i="4"/>
  <c r="Q2" i="4" s="1"/>
  <c r="H4" i="4"/>
  <c r="J4" i="4" s="1"/>
  <c r="H6" i="4"/>
  <c r="J6" i="4" s="1"/>
  <c r="H8" i="4"/>
  <c r="J8" i="4" s="1"/>
  <c r="H11" i="4"/>
  <c r="J11" i="4" s="1"/>
  <c r="H12" i="4"/>
  <c r="J12" i="4" s="1"/>
  <c r="H13" i="4"/>
  <c r="J13" i="4" s="1"/>
  <c r="H17" i="4"/>
  <c r="J17" i="4" s="1"/>
  <c r="H20" i="4"/>
  <c r="J20" i="4" s="1"/>
  <c r="H23" i="4"/>
  <c r="J23" i="4" s="1"/>
  <c r="H26" i="4"/>
  <c r="J26" i="4" s="1"/>
  <c r="H27" i="4"/>
  <c r="J27" i="4" s="1"/>
  <c r="H28" i="4"/>
  <c r="J28" i="4" s="1"/>
  <c r="H32" i="4"/>
  <c r="J32" i="4" s="1"/>
  <c r="H35" i="4"/>
  <c r="J35" i="4" s="1"/>
  <c r="H37" i="4"/>
  <c r="J37" i="4" s="1"/>
  <c r="H39" i="4"/>
  <c r="J39" i="4" s="1"/>
  <c r="H42" i="4"/>
  <c r="J42" i="4" s="1"/>
  <c r="H45" i="4"/>
  <c r="J45" i="4" s="1"/>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C102" i="4"/>
  <c r="E102" i="4"/>
  <c r="G4" i="4"/>
  <c r="G6" i="4"/>
  <c r="Q6" i="4" s="1"/>
  <c r="G8" i="4"/>
  <c r="Q8" i="4" s="1"/>
  <c r="G11" i="4"/>
  <c r="Q11" i="4" s="1"/>
  <c r="G12" i="4"/>
  <c r="Q12" i="4" s="1"/>
  <c r="G13" i="4"/>
  <c r="S13" i="4" s="1"/>
  <c r="G17" i="4"/>
  <c r="Q17" i="4" s="1"/>
  <c r="G20" i="4"/>
  <c r="S20" i="4" s="1"/>
  <c r="G23" i="4"/>
  <c r="S23" i="4" s="1"/>
  <c r="G26" i="4"/>
  <c r="Q26" i="4" s="1"/>
  <c r="G27" i="4"/>
  <c r="Q27" i="4" s="1"/>
  <c r="G28" i="4"/>
  <c r="G32" i="4"/>
  <c r="Q32" i="4" s="1"/>
  <c r="G35" i="4"/>
  <c r="Q35" i="4" s="1"/>
  <c r="G37" i="4"/>
  <c r="S37" i="4" s="1"/>
  <c r="G39" i="4"/>
  <c r="S39" i="4" s="1"/>
  <c r="G42" i="4"/>
  <c r="Q42" i="4" s="1"/>
  <c r="G45" i="4"/>
  <c r="Q45" i="4" s="1"/>
  <c r="G47" i="4"/>
  <c r="Q47" i="4" s="1"/>
  <c r="G48" i="4"/>
  <c r="Q48" i="4" s="1"/>
  <c r="G49" i="4"/>
  <c r="Q49" i="4" s="1"/>
  <c r="G50" i="4"/>
  <c r="Q50" i="4" s="1"/>
  <c r="G51" i="4"/>
  <c r="Q51" i="4" s="1"/>
  <c r="G52" i="4"/>
  <c r="Q52" i="4" s="1"/>
  <c r="G53" i="4"/>
  <c r="Q53" i="4" s="1"/>
  <c r="G54" i="4"/>
  <c r="Q54" i="4" s="1"/>
  <c r="G55" i="4"/>
  <c r="Q55" i="4" s="1"/>
  <c r="G56" i="4"/>
  <c r="Q56" i="4" s="1"/>
  <c r="G57" i="4"/>
  <c r="Q57" i="4" s="1"/>
  <c r="G58" i="4"/>
  <c r="Q58" i="4" s="1"/>
  <c r="G59" i="4"/>
  <c r="Q59" i="4" s="1"/>
  <c r="G60" i="4"/>
  <c r="Q60" i="4" s="1"/>
  <c r="G61" i="4"/>
  <c r="G62" i="4"/>
  <c r="Q62" i="4" s="1"/>
  <c r="G63" i="4"/>
  <c r="S63" i="4" s="1"/>
  <c r="G64" i="4"/>
  <c r="Q64" i="4" s="1"/>
  <c r="G65" i="4"/>
  <c r="Q65" i="4" s="1"/>
  <c r="G66" i="4"/>
  <c r="Q66" i="4" s="1"/>
  <c r="G67" i="4"/>
  <c r="Q67" i="4" s="1"/>
  <c r="G68" i="4"/>
  <c r="Q68" i="4" s="1"/>
  <c r="G69" i="4"/>
  <c r="Q69" i="4" s="1"/>
  <c r="G70" i="4"/>
  <c r="Q70" i="4" s="1"/>
  <c r="G71" i="4"/>
  <c r="Q71" i="4" s="1"/>
  <c r="G72" i="4"/>
  <c r="G73" i="4"/>
  <c r="Q73" i="4" s="1"/>
  <c r="G74" i="4"/>
  <c r="Q74" i="4" s="1"/>
  <c r="G75" i="4"/>
  <c r="Q75" i="4" s="1"/>
  <c r="G76" i="4"/>
  <c r="Q76" i="4" s="1"/>
  <c r="G77" i="4"/>
  <c r="Q77" i="4" s="1"/>
  <c r="G78" i="4"/>
  <c r="Q78" i="4" s="1"/>
  <c r="G79" i="4"/>
  <c r="Q79" i="4" s="1"/>
  <c r="G80" i="4"/>
  <c r="Q80" i="4" s="1"/>
  <c r="G81" i="4"/>
  <c r="Q81" i="4" s="1"/>
  <c r="G82" i="4"/>
  <c r="Q82" i="4" s="1"/>
  <c r="G83" i="4"/>
  <c r="Q83" i="4" s="1"/>
  <c r="G84" i="4"/>
  <c r="Q84" i="4" s="1"/>
  <c r="G85" i="4"/>
  <c r="Q85" i="4" s="1"/>
  <c r="G86" i="4"/>
  <c r="Q86" i="4" s="1"/>
  <c r="G87" i="4"/>
  <c r="Q87" i="4" s="1"/>
  <c r="G88" i="4"/>
  <c r="Q88" i="4" s="1"/>
  <c r="G89" i="4"/>
  <c r="Q89" i="4" s="1"/>
  <c r="G90" i="4"/>
  <c r="G91" i="4"/>
  <c r="Q91" i="4" s="1"/>
  <c r="G92" i="4"/>
  <c r="Q92" i="4" s="1"/>
  <c r="G93" i="4"/>
  <c r="Q93" i="4" s="1"/>
  <c r="G94" i="4"/>
  <c r="Q94" i="4" s="1"/>
  <c r="G95" i="4"/>
  <c r="Q95" i="4" s="1"/>
  <c r="G96" i="4"/>
  <c r="Q96" i="4" s="1"/>
  <c r="G97" i="4"/>
  <c r="Q97" i="4" s="1"/>
  <c r="G98" i="4"/>
  <c r="Q98" i="4" s="1"/>
  <c r="G99" i="4"/>
  <c r="Q99" i="4" s="1"/>
  <c r="G100" i="4"/>
  <c r="Q100" i="4" s="1"/>
  <c r="F33" i="4"/>
  <c r="F102" i="4" s="1"/>
  <c r="C28" i="9"/>
  <c r="D28" i="9"/>
  <c r="E28" i="9"/>
  <c r="B28" i="9"/>
  <c r="O25" i="9"/>
  <c r="N25" i="9"/>
  <c r="O23" i="9"/>
  <c r="N23" i="9"/>
  <c r="O17" i="9"/>
  <c r="N17" i="9"/>
  <c r="V35" i="9"/>
  <c r="U23" i="9"/>
  <c r="U24" i="9" s="1"/>
  <c r="U26" i="9" s="1"/>
  <c r="U28" i="9" s="1"/>
  <c r="S16" i="9"/>
  <c r="S17" i="9" s="1"/>
  <c r="R16" i="9"/>
  <c r="R17" i="9" s="1"/>
  <c r="O13" i="9"/>
  <c r="N11" i="9" s="1"/>
  <c r="N13" i="9"/>
  <c r="M13" i="9"/>
  <c r="L13" i="9"/>
  <c r="K13" i="9"/>
  <c r="J13" i="9"/>
  <c r="I13" i="9"/>
  <c r="H13" i="9"/>
  <c r="M11" i="9"/>
  <c r="L11" i="9"/>
  <c r="E9" i="9"/>
  <c r="E10" i="9" s="1"/>
  <c r="D9" i="9"/>
  <c r="D10" i="9" s="1"/>
  <c r="C9" i="9"/>
  <c r="B9" i="9"/>
  <c r="U27" i="8"/>
  <c r="U26" i="8"/>
  <c r="U24" i="8"/>
  <c r="U23" i="8"/>
  <c r="E29" i="8"/>
  <c r="D29" i="8"/>
  <c r="C29" i="8"/>
  <c r="B29" i="8"/>
  <c r="S16" i="8"/>
  <c r="S17" i="8" s="1"/>
  <c r="R16" i="8"/>
  <c r="R17" i="8"/>
  <c r="L11" i="8"/>
  <c r="N11" i="8"/>
  <c r="M11" i="8"/>
  <c r="I13" i="8"/>
  <c r="J13" i="8"/>
  <c r="K13" i="8"/>
  <c r="H13" i="8"/>
  <c r="N13" i="8"/>
  <c r="O13" i="8"/>
  <c r="M13" i="8"/>
  <c r="L13" i="8"/>
  <c r="I31" i="8"/>
  <c r="J31" i="8"/>
  <c r="K31" i="8"/>
  <c r="L31" i="8"/>
  <c r="M31" i="8"/>
  <c r="N31" i="8"/>
  <c r="O31" i="8"/>
  <c r="H31" i="8"/>
  <c r="I29" i="8"/>
  <c r="J29" i="8"/>
  <c r="K29" i="8"/>
  <c r="L29" i="8"/>
  <c r="M29" i="8"/>
  <c r="N29" i="8"/>
  <c r="O29" i="8"/>
  <c r="H29" i="8"/>
  <c r="E32" i="8"/>
  <c r="D32" i="8"/>
  <c r="C32" i="8"/>
  <c r="B32" i="8"/>
  <c r="D9" i="8"/>
  <c r="D10" i="8" s="1"/>
  <c r="B9" i="8"/>
  <c r="E9" i="8"/>
  <c r="E10" i="8" s="1"/>
  <c r="C9" i="8"/>
  <c r="AI14" i="22" l="1"/>
  <c r="AL51" i="22"/>
  <c r="AF16" i="23"/>
  <c r="AH48" i="25"/>
  <c r="AG48" i="25"/>
  <c r="AE49" i="25"/>
  <c r="AH12" i="25"/>
  <c r="AF48" i="25"/>
  <c r="AF49" i="25" s="1"/>
  <c r="AD25" i="25"/>
  <c r="AI24" i="25"/>
  <c r="AJ24" i="25" s="1"/>
  <c r="AK24" i="25" s="1"/>
  <c r="AF12" i="25"/>
  <c r="AF13" i="25" s="1"/>
  <c r="AG12" i="25"/>
  <c r="AE13" i="25"/>
  <c r="AG51" i="24"/>
  <c r="AH15" i="24"/>
  <c r="AI15" i="24" s="1"/>
  <c r="AF16" i="24"/>
  <c r="AE17" i="24"/>
  <c r="AJ16" i="24"/>
  <c r="AK16" i="24" s="1"/>
  <c r="AL16" i="24" s="1"/>
  <c r="AJ52" i="24"/>
  <c r="AK52" i="24" s="1"/>
  <c r="AL52" i="24" s="1"/>
  <c r="AE53" i="24"/>
  <c r="AF52" i="24"/>
  <c r="AH51" i="24"/>
  <c r="AI51" i="24" s="1"/>
  <c r="AG15" i="24"/>
  <c r="AK51" i="23"/>
  <c r="AK29" i="23"/>
  <c r="AE51" i="23"/>
  <c r="AG50" i="23"/>
  <c r="AH50" i="23" s="1"/>
  <c r="AD17" i="23"/>
  <c r="AI16" i="23"/>
  <c r="AJ16" i="23" s="1"/>
  <c r="AK16" i="23" s="1"/>
  <c r="AF50" i="23"/>
  <c r="AF51" i="23" s="1"/>
  <c r="AG16" i="23"/>
  <c r="AH16" i="23" s="1"/>
  <c r="AE17" i="23"/>
  <c r="AD52" i="23"/>
  <c r="AI51" i="23"/>
  <c r="AJ51" i="23" s="1"/>
  <c r="AG50" i="22"/>
  <c r="AK52" i="21"/>
  <c r="AG15" i="22"/>
  <c r="AE19" i="22"/>
  <c r="AJ18" i="22"/>
  <c r="AK18" i="22" s="1"/>
  <c r="AL18" i="22" s="1"/>
  <c r="AH50" i="22"/>
  <c r="AI50" i="22" s="1"/>
  <c r="AF51" i="22"/>
  <c r="AJ52" i="22"/>
  <c r="AK52" i="22" s="1"/>
  <c r="AL52" i="22" s="1"/>
  <c r="AE53" i="22"/>
  <c r="AH15" i="22"/>
  <c r="AF16" i="22"/>
  <c r="AD22" i="21"/>
  <c r="AM21" i="21"/>
  <c r="AN21" i="21" s="1"/>
  <c r="AD54" i="21"/>
  <c r="AI53" i="21"/>
  <c r="AJ53" i="21" s="1"/>
  <c r="AE52" i="21"/>
  <c r="AG51" i="21"/>
  <c r="AH51" i="21" s="1"/>
  <c r="AF51" i="21"/>
  <c r="AJ16" i="19"/>
  <c r="AK16" i="19" s="1"/>
  <c r="AL16" i="19" s="1"/>
  <c r="AE17" i="19"/>
  <c r="AF14" i="19"/>
  <c r="AH13" i="19"/>
  <c r="AI13" i="19" s="1"/>
  <c r="AE53" i="19"/>
  <c r="AJ52" i="19"/>
  <c r="AK52" i="19" s="1"/>
  <c r="AL52" i="19" s="1"/>
  <c r="AF52" i="19"/>
  <c r="AH51" i="19"/>
  <c r="AI51" i="19" s="1"/>
  <c r="AG13" i="19"/>
  <c r="AG51" i="19"/>
  <c r="AG52" i="19" s="1"/>
  <c r="AI12" i="18"/>
  <c r="AF51" i="18"/>
  <c r="AH50" i="18"/>
  <c r="AI50" i="18" s="1"/>
  <c r="AE53" i="18"/>
  <c r="AJ52" i="18"/>
  <c r="AK52" i="18" s="1"/>
  <c r="AL52" i="18" s="1"/>
  <c r="AE17" i="18"/>
  <c r="AJ16" i="18"/>
  <c r="AK16" i="18" s="1"/>
  <c r="AL16" i="18" s="1"/>
  <c r="AG50" i="18"/>
  <c r="AG51" i="18" s="1"/>
  <c r="AF14" i="18"/>
  <c r="AH13" i="18"/>
  <c r="AG13" i="18"/>
  <c r="AD26" i="17"/>
  <c r="AI25" i="17"/>
  <c r="AJ25" i="17" s="1"/>
  <c r="AK25" i="17" s="1"/>
  <c r="AG13" i="17"/>
  <c r="AH13" i="17" s="1"/>
  <c r="AE14" i="17"/>
  <c r="AF14" i="17"/>
  <c r="AG50" i="17"/>
  <c r="AH50" i="17" s="1"/>
  <c r="AE51" i="17"/>
  <c r="AF51" i="17" s="1"/>
  <c r="AH11" i="16"/>
  <c r="AE50" i="16"/>
  <c r="AG49" i="16"/>
  <c r="AH49" i="16" s="1"/>
  <c r="AE13" i="16"/>
  <c r="AG12" i="16"/>
  <c r="AF49" i="16"/>
  <c r="AE13" i="15"/>
  <c r="AF13" i="15"/>
  <c r="AG13" i="15" s="1"/>
  <c r="AD14" i="15"/>
  <c r="AC26" i="15"/>
  <c r="AH25" i="15"/>
  <c r="AI25" i="15" s="1"/>
  <c r="AJ25" i="15" s="1"/>
  <c r="AD43" i="15"/>
  <c r="AF42" i="15"/>
  <c r="AG42" i="15" s="1"/>
  <c r="AE42" i="15"/>
  <c r="Z43" i="14"/>
  <c r="AB42" i="14"/>
  <c r="AC42" i="14" s="1"/>
  <c r="AB14" i="14"/>
  <c r="Z15" i="14"/>
  <c r="AA15" i="14" s="1"/>
  <c r="Y50" i="14"/>
  <c r="AD49" i="14"/>
  <c r="AE49" i="14" s="1"/>
  <c r="AF49" i="14" s="1"/>
  <c r="AC14" i="14"/>
  <c r="AA42" i="14"/>
  <c r="AA43" i="14" s="1"/>
  <c r="Y16" i="14"/>
  <c r="AD15" i="14"/>
  <c r="AE15" i="14" s="1"/>
  <c r="AF15" i="14" s="1"/>
  <c r="AA43" i="13"/>
  <c r="AB43" i="13" s="1"/>
  <c r="Y44" i="13"/>
  <c r="Y14" i="13"/>
  <c r="AA13" i="13"/>
  <c r="AB13" i="13" s="1"/>
  <c r="Z13" i="13"/>
  <c r="Z14" i="13" s="1"/>
  <c r="AA15" i="12"/>
  <c r="AB15" i="12" s="1"/>
  <c r="Y16" i="12"/>
  <c r="Z44" i="12"/>
  <c r="X24" i="12"/>
  <c r="AC23" i="12"/>
  <c r="AD23" i="12" s="1"/>
  <c r="AE23" i="12" s="1"/>
  <c r="Z15" i="12"/>
  <c r="Y45" i="12"/>
  <c r="AA44" i="12"/>
  <c r="AB44" i="12" s="1"/>
  <c r="U9" i="11"/>
  <c r="Q9" i="11"/>
  <c r="T9" i="11"/>
  <c r="Q33" i="11"/>
  <c r="S44" i="11"/>
  <c r="S14" i="11"/>
  <c r="T38" i="11"/>
  <c r="T29" i="11"/>
  <c r="G10" i="11"/>
  <c r="T10" i="11"/>
  <c r="G16" i="11"/>
  <c r="Q16" i="11" s="1"/>
  <c r="S34" i="11"/>
  <c r="T34" i="11"/>
  <c r="S16" i="11"/>
  <c r="G25" i="11"/>
  <c r="Q25" i="11" s="1"/>
  <c r="G3" i="11"/>
  <c r="T3" i="11" s="1"/>
  <c r="G19" i="11"/>
  <c r="T19" i="11" s="1"/>
  <c r="U46" i="11"/>
  <c r="S46" i="11"/>
  <c r="Q46" i="11"/>
  <c r="T46" i="11"/>
  <c r="S18" i="11"/>
  <c r="S30" i="11"/>
  <c r="S5" i="11"/>
  <c r="T18" i="11"/>
  <c r="U40" i="11"/>
  <c r="Q40" i="11"/>
  <c r="G22" i="11"/>
  <c r="T36" i="11"/>
  <c r="S40" i="11"/>
  <c r="S24" i="11"/>
  <c r="S15" i="11"/>
  <c r="G4" i="11"/>
  <c r="G8" i="11"/>
  <c r="G12" i="11"/>
  <c r="Q12" i="11" s="1"/>
  <c r="G26" i="11"/>
  <c r="U26" i="11" s="1"/>
  <c r="G28" i="11"/>
  <c r="S28" i="11" s="1"/>
  <c r="G45" i="11"/>
  <c r="S45" i="11" s="1"/>
  <c r="G49" i="11"/>
  <c r="U49" i="11" s="1"/>
  <c r="Q51" i="11"/>
  <c r="S52" i="11"/>
  <c r="G55" i="11"/>
  <c r="Q55" i="11" s="1"/>
  <c r="G58" i="11"/>
  <c r="S61" i="11"/>
  <c r="Q69" i="11"/>
  <c r="G75" i="11"/>
  <c r="G76" i="11"/>
  <c r="Q78" i="11"/>
  <c r="G80" i="11"/>
  <c r="S80" i="11" s="1"/>
  <c r="G83" i="11"/>
  <c r="Q86" i="11"/>
  <c r="G88" i="11"/>
  <c r="G91" i="11"/>
  <c r="G92" i="11"/>
  <c r="U92" i="11" s="1"/>
  <c r="S95" i="11"/>
  <c r="S17" i="11"/>
  <c r="S32" i="11"/>
  <c r="S47" i="11"/>
  <c r="Q56" i="11"/>
  <c r="Q59" i="11"/>
  <c r="T61" i="11"/>
  <c r="S69" i="11"/>
  <c r="S70" i="11"/>
  <c r="S73" i="11"/>
  <c r="Q77" i="11"/>
  <c r="Q85" i="11"/>
  <c r="Q94" i="11"/>
  <c r="T4" i="11"/>
  <c r="G23" i="11"/>
  <c r="S23" i="11" s="1"/>
  <c r="T26" i="11"/>
  <c r="T32" i="11"/>
  <c r="G48" i="11"/>
  <c r="S51" i="11"/>
  <c r="G53" i="11"/>
  <c r="S56" i="11"/>
  <c r="T58" i="11"/>
  <c r="G62" i="11"/>
  <c r="T62" i="11" s="1"/>
  <c r="Q64" i="11"/>
  <c r="Q67" i="11"/>
  <c r="S68" i="11"/>
  <c r="T69" i="11"/>
  <c r="G71" i="11"/>
  <c r="Q71" i="11" s="1"/>
  <c r="G74" i="11"/>
  <c r="T74" i="11" s="1"/>
  <c r="S77" i="11"/>
  <c r="S78" i="11"/>
  <c r="S85" i="11"/>
  <c r="S86" i="11"/>
  <c r="Q93" i="11"/>
  <c r="G99" i="11"/>
  <c r="T59" i="11"/>
  <c r="S67" i="11"/>
  <c r="T93" i="11"/>
  <c r="S12" i="11"/>
  <c r="T67" i="11"/>
  <c r="T82" i="11"/>
  <c r="T90" i="11"/>
  <c r="S11" i="11"/>
  <c r="T47" i="11"/>
  <c r="S48" i="11"/>
  <c r="S53" i="11"/>
  <c r="S54" i="11"/>
  <c r="Q61" i="11"/>
  <c r="Q70" i="11"/>
  <c r="S79" i="11"/>
  <c r="S87" i="11"/>
  <c r="U12" i="11"/>
  <c r="Y5" i="11"/>
  <c r="AA4" i="11"/>
  <c r="X16" i="11"/>
  <c r="X17" i="11" s="1"/>
  <c r="X18" i="11" s="1"/>
  <c r="X19" i="11" s="1"/>
  <c r="X20" i="11" s="1"/>
  <c r="X21" i="11" s="1"/>
  <c r="X22" i="11" s="1"/>
  <c r="X23" i="11" s="1"/>
  <c r="X24" i="11" s="1"/>
  <c r="X25" i="11" s="1"/>
  <c r="X26" i="11" s="1"/>
  <c r="X27" i="11" s="1"/>
  <c r="AC27" i="11" s="1"/>
  <c r="AD27" i="11" s="1"/>
  <c r="AC15" i="11"/>
  <c r="AD15" i="11" s="1"/>
  <c r="T76" i="11"/>
  <c r="Q76" i="11"/>
  <c r="I2" i="11"/>
  <c r="U7" i="11"/>
  <c r="AC8" i="11"/>
  <c r="AD8" i="11" s="1"/>
  <c r="I12" i="11"/>
  <c r="U14" i="11"/>
  <c r="T15" i="11"/>
  <c r="AC16" i="11"/>
  <c r="AD16" i="11" s="1"/>
  <c r="U17" i="11"/>
  <c r="T65" i="11"/>
  <c r="Q65" i="11"/>
  <c r="T89" i="11"/>
  <c r="S89" i="11"/>
  <c r="Q89" i="11"/>
  <c r="T41" i="11"/>
  <c r="Q41" i="11"/>
  <c r="T100" i="11"/>
  <c r="Q100" i="11"/>
  <c r="J2" i="11"/>
  <c r="Q5" i="11"/>
  <c r="S9" i="11"/>
  <c r="AC9" i="11"/>
  <c r="AD9" i="11" s="1"/>
  <c r="Q11" i="11"/>
  <c r="U15" i="11"/>
  <c r="T20" i="11"/>
  <c r="Q20" i="11"/>
  <c r="U32" i="11"/>
  <c r="AC32" i="11"/>
  <c r="AD32" i="11" s="1"/>
  <c r="AE32" i="11" s="1"/>
  <c r="AE33" i="11" s="1"/>
  <c r="AE34" i="11" s="1"/>
  <c r="AE35" i="11" s="1"/>
  <c r="AE36" i="11" s="1"/>
  <c r="AE37" i="11" s="1"/>
  <c r="AE38" i="11" s="1"/>
  <c r="AE39" i="11" s="1"/>
  <c r="AE40" i="11" s="1"/>
  <c r="AE41" i="11" s="1"/>
  <c r="AE42" i="11" s="1"/>
  <c r="AE43" i="11" s="1"/>
  <c r="AE44" i="11" s="1"/>
  <c r="AE45" i="11" s="1"/>
  <c r="AE46" i="11" s="1"/>
  <c r="AE47" i="11" s="1"/>
  <c r="AE48" i="11" s="1"/>
  <c r="AE49" i="11" s="1"/>
  <c r="AE50" i="11" s="1"/>
  <c r="AE51" i="11" s="1"/>
  <c r="AE52" i="11" s="1"/>
  <c r="AE53" i="11" s="1"/>
  <c r="AE54" i="11" s="1"/>
  <c r="AE55" i="11" s="1"/>
  <c r="AE56" i="11" s="1"/>
  <c r="AC34" i="11"/>
  <c r="AD34" i="11" s="1"/>
  <c r="Y32" i="11"/>
  <c r="T60" i="11"/>
  <c r="Q60" i="11"/>
  <c r="T84" i="11"/>
  <c r="Q84" i="11"/>
  <c r="U98" i="11"/>
  <c r="U6" i="11"/>
  <c r="AC53" i="11"/>
  <c r="AD53" i="11" s="1"/>
  <c r="AC45" i="11"/>
  <c r="AD45" i="11" s="1"/>
  <c r="AC38" i="11"/>
  <c r="AD38" i="11" s="1"/>
  <c r="AC52" i="11"/>
  <c r="AD52" i="11" s="1"/>
  <c r="AC44" i="11"/>
  <c r="AD44" i="11" s="1"/>
  <c r="AC37" i="11"/>
  <c r="AD37" i="11" s="1"/>
  <c r="AC50" i="11"/>
  <c r="AD50" i="11" s="1"/>
  <c r="AC42" i="11"/>
  <c r="AD42" i="11" s="1"/>
  <c r="AC36" i="11"/>
  <c r="AD36" i="11" s="1"/>
  <c r="AC49" i="11"/>
  <c r="AD49" i="11" s="1"/>
  <c r="AC41" i="11"/>
  <c r="AD41" i="11" s="1"/>
  <c r="AC35" i="11"/>
  <c r="AD35" i="11" s="1"/>
  <c r="AC25" i="11"/>
  <c r="AD25" i="11" s="1"/>
  <c r="AC56" i="11"/>
  <c r="AD56" i="11" s="1"/>
  <c r="AC48" i="11"/>
  <c r="AD48" i="11" s="1"/>
  <c r="AC40" i="11"/>
  <c r="AD40" i="11" s="1"/>
  <c r="AC55" i="11"/>
  <c r="AD55" i="11" s="1"/>
  <c r="AC47" i="11"/>
  <c r="AD47" i="11" s="1"/>
  <c r="AC10" i="11"/>
  <c r="AD10" i="11" s="1"/>
  <c r="S21" i="11"/>
  <c r="U21" i="11"/>
  <c r="J24" i="11"/>
  <c r="I24" i="11"/>
  <c r="U24" i="11" s="1"/>
  <c r="S35" i="11"/>
  <c r="S41" i="11"/>
  <c r="AC46" i="11"/>
  <c r="AD46" i="11" s="1"/>
  <c r="T49" i="11"/>
  <c r="Q49" i="11"/>
  <c r="S81" i="11"/>
  <c r="T25" i="11"/>
  <c r="R102" i="11"/>
  <c r="Q6" i="11"/>
  <c r="I8" i="11"/>
  <c r="AC11" i="11"/>
  <c r="AD11" i="11" s="1"/>
  <c r="Q13" i="11"/>
  <c r="I15" i="11"/>
  <c r="J20" i="11"/>
  <c r="U41" i="11"/>
  <c r="AC43" i="11"/>
  <c r="AD43" i="11" s="1"/>
  <c r="AC51" i="11"/>
  <c r="AD51" i="11" s="1"/>
  <c r="U58" i="11"/>
  <c r="T73" i="11"/>
  <c r="Q73" i="11"/>
  <c r="S76" i="11"/>
  <c r="T97" i="11"/>
  <c r="S97" i="11"/>
  <c r="Q97" i="11"/>
  <c r="S100" i="11"/>
  <c r="U13" i="11"/>
  <c r="S2" i="11"/>
  <c r="T5" i="11"/>
  <c r="AC5" i="11"/>
  <c r="AD5" i="11" s="1"/>
  <c r="T11" i="11"/>
  <c r="AC12" i="11"/>
  <c r="AD12" i="11" s="1"/>
  <c r="I16" i="11"/>
  <c r="T16" i="11" s="1"/>
  <c r="S20" i="11"/>
  <c r="U25" i="11"/>
  <c r="Q28" i="11"/>
  <c r="AC33" i="11"/>
  <c r="AD33" i="11" s="1"/>
  <c r="U38" i="11"/>
  <c r="T44" i="11"/>
  <c r="Q44" i="11"/>
  <c r="T52" i="11"/>
  <c r="Q52" i="11"/>
  <c r="S65" i="11"/>
  <c r="T68" i="11"/>
  <c r="Q68" i="11"/>
  <c r="U76" i="11"/>
  <c r="U82" i="11"/>
  <c r="Q92" i="11"/>
  <c r="U100" i="11"/>
  <c r="J43" i="11"/>
  <c r="I43" i="11"/>
  <c r="T43" i="11" s="1"/>
  <c r="T2" i="11"/>
  <c r="S6" i="11"/>
  <c r="AC6" i="11"/>
  <c r="AD6" i="11" s="1"/>
  <c r="T12" i="11"/>
  <c r="S13" i="11"/>
  <c r="AC13" i="11"/>
  <c r="AD13" i="11" s="1"/>
  <c r="Q17" i="11"/>
  <c r="U18" i="11"/>
  <c r="U20" i="11"/>
  <c r="Z32" i="11"/>
  <c r="U34" i="11"/>
  <c r="U37" i="11"/>
  <c r="AC39" i="11"/>
  <c r="AD39" i="11" s="1"/>
  <c r="AC54" i="11"/>
  <c r="AD54" i="11" s="1"/>
  <c r="T57" i="11"/>
  <c r="S57" i="11"/>
  <c r="Q57" i="11"/>
  <c r="S60" i="11"/>
  <c r="U65" i="11"/>
  <c r="S84" i="11"/>
  <c r="U89" i="11"/>
  <c r="J27" i="11"/>
  <c r="I27" i="11"/>
  <c r="U2" i="11"/>
  <c r="AC7" i="11"/>
  <c r="AD7" i="11" s="1"/>
  <c r="AC14" i="11"/>
  <c r="AD14" i="11" s="1"/>
  <c r="Q21" i="11"/>
  <c r="U27" i="11"/>
  <c r="T35" i="11"/>
  <c r="Q35" i="11"/>
  <c r="J37" i="11"/>
  <c r="I37" i="11"/>
  <c r="S49" i="11"/>
  <c r="T81" i="11"/>
  <c r="Q81" i="11"/>
  <c r="T22" i="11"/>
  <c r="T30" i="11"/>
  <c r="T33" i="11"/>
  <c r="T39" i="11"/>
  <c r="T70" i="11"/>
  <c r="T78" i="11"/>
  <c r="T86" i="11"/>
  <c r="T94" i="11"/>
  <c r="Q18" i="11"/>
  <c r="U22" i="11"/>
  <c r="T23" i="11"/>
  <c r="I28" i="11"/>
  <c r="U28" i="11" s="1"/>
  <c r="Q36" i="11"/>
  <c r="Q42" i="11"/>
  <c r="I44" i="11"/>
  <c r="U44" i="11" s="1"/>
  <c r="Q50" i="11"/>
  <c r="Q58" i="11"/>
  <c r="T63" i="11"/>
  <c r="S64" i="11"/>
  <c r="Q66" i="11"/>
  <c r="T71" i="11"/>
  <c r="S72" i="11"/>
  <c r="Q74" i="11"/>
  <c r="T79" i="11"/>
  <c r="Q82" i="11"/>
  <c r="T87" i="11"/>
  <c r="Q90" i="11"/>
  <c r="T95" i="11"/>
  <c r="Q98" i="11"/>
  <c r="M102" i="11"/>
  <c r="Q27" i="11"/>
  <c r="Q37" i="11"/>
  <c r="Q43" i="11"/>
  <c r="U47" i="11"/>
  <c r="T48" i="11"/>
  <c r="T56" i="11"/>
  <c r="U63" i="11"/>
  <c r="T64" i="11"/>
  <c r="U71" i="11"/>
  <c r="T72" i="11"/>
  <c r="U79" i="11"/>
  <c r="T80" i="11"/>
  <c r="U87" i="11"/>
  <c r="U95" i="11"/>
  <c r="T96" i="11"/>
  <c r="S26" i="11"/>
  <c r="S36" i="11"/>
  <c r="S42" i="11"/>
  <c r="S50" i="11"/>
  <c r="S58" i="11"/>
  <c r="S82" i="11"/>
  <c r="S90" i="11"/>
  <c r="S98" i="11"/>
  <c r="T27" i="11"/>
  <c r="T37" i="11"/>
  <c r="AA32" i="4"/>
  <c r="AA33" i="4"/>
  <c r="Y34" i="4"/>
  <c r="AC31" i="4"/>
  <c r="AB31" i="4"/>
  <c r="Z31" i="4"/>
  <c r="Z32" i="4" s="1"/>
  <c r="Z33" i="4" s="1"/>
  <c r="Z34" i="4" s="1"/>
  <c r="AE31" i="4"/>
  <c r="AE32" i="4" s="1"/>
  <c r="AE33" i="4" s="1"/>
  <c r="X34" i="4"/>
  <c r="S75" i="4"/>
  <c r="Q29" i="4"/>
  <c r="S92" i="4"/>
  <c r="S84" i="4"/>
  <c r="S76" i="4"/>
  <c r="S68" i="4"/>
  <c r="S60" i="4"/>
  <c r="S52" i="4"/>
  <c r="S4" i="4"/>
  <c r="S91" i="4"/>
  <c r="S98" i="4"/>
  <c r="S90" i="4"/>
  <c r="S82" i="4"/>
  <c r="S74" i="4"/>
  <c r="S66" i="4"/>
  <c r="S58" i="4"/>
  <c r="S50" i="4"/>
  <c r="S42" i="4"/>
  <c r="S34" i="4"/>
  <c r="S26" i="4"/>
  <c r="R102" i="4"/>
  <c r="S10" i="4"/>
  <c r="S83" i="4"/>
  <c r="S97" i="4"/>
  <c r="S73" i="4"/>
  <c r="S65" i="4"/>
  <c r="S57" i="4"/>
  <c r="S49" i="4"/>
  <c r="S41" i="4"/>
  <c r="S33" i="4"/>
  <c r="S25" i="4"/>
  <c r="S17" i="4"/>
  <c r="S9" i="4"/>
  <c r="S80" i="4"/>
  <c r="S72" i="4"/>
  <c r="S64" i="4"/>
  <c r="S56" i="4"/>
  <c r="S48" i="4"/>
  <c r="S40" i="4"/>
  <c r="S32" i="4"/>
  <c r="S24" i="4"/>
  <c r="S16" i="4"/>
  <c r="S8" i="4"/>
  <c r="S59" i="4"/>
  <c r="S55" i="4"/>
  <c r="S47" i="4"/>
  <c r="S67" i="4"/>
  <c r="S94" i="4"/>
  <c r="S86" i="4"/>
  <c r="S62" i="4"/>
  <c r="S54" i="4"/>
  <c r="S46" i="4"/>
  <c r="S38" i="4"/>
  <c r="S30" i="4"/>
  <c r="S22" i="4"/>
  <c r="S14" i="4"/>
  <c r="S6" i="4"/>
  <c r="S99" i="4"/>
  <c r="S51" i="4"/>
  <c r="S93" i="4"/>
  <c r="S85" i="4"/>
  <c r="S61" i="4"/>
  <c r="S53" i="4"/>
  <c r="S45" i="4"/>
  <c r="S2" i="4"/>
  <c r="S18" i="4"/>
  <c r="S77" i="4"/>
  <c r="S69" i="4"/>
  <c r="S95" i="4"/>
  <c r="S87" i="4"/>
  <c r="Q39" i="4"/>
  <c r="S7" i="4"/>
  <c r="S100" i="4"/>
  <c r="Q23" i="4"/>
  <c r="S5" i="4"/>
  <c r="Q63" i="4"/>
  <c r="Q37" i="4"/>
  <c r="Q21" i="4"/>
  <c r="Q13" i="4"/>
  <c r="Q36" i="4"/>
  <c r="Q20" i="4"/>
  <c r="Q102" i="4" s="1"/>
  <c r="J102" i="4"/>
  <c r="H102" i="4"/>
  <c r="G102" i="4"/>
  <c r="AB44" i="5"/>
  <c r="AB46" i="5"/>
  <c r="AB48" i="5"/>
  <c r="AB50" i="5" s="1"/>
  <c r="AB44" i="6"/>
  <c r="AB46" i="6" s="1"/>
  <c r="AB48" i="6"/>
  <c r="AB50" i="6"/>
  <c r="D48" i="7"/>
  <c r="D50" i="7" s="1"/>
  <c r="D46" i="7"/>
  <c r="D44" i="7"/>
  <c r="A33" i="7"/>
  <c r="A34" i="7"/>
  <c r="A35" i="7" s="1"/>
  <c r="A36" i="7" s="1"/>
  <c r="A37" i="7" s="1"/>
  <c r="A38" i="7" s="1"/>
  <c r="A39" i="7" s="1"/>
  <c r="A40" i="7" s="1"/>
  <c r="A41" i="7" s="1"/>
  <c r="A4" i="7"/>
  <c r="A5" i="7"/>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AA54" i="6"/>
  <c r="A51" i="6"/>
  <c r="W50" i="6"/>
  <c r="V50" i="6"/>
  <c r="P50" i="6"/>
  <c r="O50" i="6"/>
  <c r="N50" i="6"/>
  <c r="G50" i="6"/>
  <c r="F50" i="6"/>
  <c r="AA48" i="6"/>
  <c r="AA50" i="6" s="1"/>
  <c r="Z48" i="6"/>
  <c r="Z50" i="6" s="1"/>
  <c r="Y48" i="6"/>
  <c r="Y50" i="6" s="1"/>
  <c r="X48" i="6"/>
  <c r="X50" i="6" s="1"/>
  <c r="W48" i="6"/>
  <c r="V48" i="6"/>
  <c r="U48" i="6"/>
  <c r="U50" i="6" s="1"/>
  <c r="T48" i="6"/>
  <c r="T50" i="6" s="1"/>
  <c r="S48" i="6"/>
  <c r="S50" i="6" s="1"/>
  <c r="R48" i="6"/>
  <c r="R50" i="6" s="1"/>
  <c r="Q48" i="6"/>
  <c r="Q50" i="6" s="1"/>
  <c r="P48" i="6"/>
  <c r="O48" i="6"/>
  <c r="N48" i="6"/>
  <c r="M48" i="6"/>
  <c r="M50" i="6" s="1"/>
  <c r="L48" i="6"/>
  <c r="L50" i="6" s="1"/>
  <c r="K48" i="6"/>
  <c r="K50" i="6" s="1"/>
  <c r="J48" i="6"/>
  <c r="J50" i="6" s="1"/>
  <c r="I48" i="6"/>
  <c r="I50" i="6" s="1"/>
  <c r="H48" i="6"/>
  <c r="H50" i="6" s="1"/>
  <c r="G48" i="6"/>
  <c r="F48" i="6"/>
  <c r="E48" i="6"/>
  <c r="E50" i="6" s="1"/>
  <c r="D48" i="6"/>
  <c r="D50" i="6" s="1"/>
  <c r="C48" i="6"/>
  <c r="C50" i="6" s="1"/>
  <c r="B48" i="6"/>
  <c r="B50" i="6" s="1"/>
  <c r="AA46" i="6"/>
  <c r="Z46" i="6"/>
  <c r="S46" i="6"/>
  <c r="R46" i="6"/>
  <c r="K46" i="6"/>
  <c r="J46" i="6"/>
  <c r="C46" i="6"/>
  <c r="B46" i="6"/>
  <c r="AA44" i="6"/>
  <c r="Z44" i="6"/>
  <c r="Y44" i="6"/>
  <c r="Y46" i="6" s="1"/>
  <c r="X44" i="6"/>
  <c r="X46" i="6" s="1"/>
  <c r="W44" i="6"/>
  <c r="W46" i="6" s="1"/>
  <c r="V44" i="6"/>
  <c r="V46" i="6" s="1"/>
  <c r="U44" i="6"/>
  <c r="U46" i="6" s="1"/>
  <c r="T44" i="6"/>
  <c r="T46" i="6" s="1"/>
  <c r="S44" i="6"/>
  <c r="R44" i="6"/>
  <c r="Q44" i="6"/>
  <c r="Q46" i="6" s="1"/>
  <c r="P44" i="6"/>
  <c r="P46" i="6" s="1"/>
  <c r="O44" i="6"/>
  <c r="O46" i="6" s="1"/>
  <c r="N44" i="6"/>
  <c r="N46" i="6" s="1"/>
  <c r="M44" i="6"/>
  <c r="M46" i="6" s="1"/>
  <c r="L44" i="6"/>
  <c r="L46" i="6" s="1"/>
  <c r="K44" i="6"/>
  <c r="J44" i="6"/>
  <c r="I44" i="6"/>
  <c r="I46" i="6" s="1"/>
  <c r="H44" i="6"/>
  <c r="H46" i="6" s="1"/>
  <c r="G44" i="6"/>
  <c r="G46" i="6" s="1"/>
  <c r="F44" i="6"/>
  <c r="F46" i="6" s="1"/>
  <c r="E44" i="6"/>
  <c r="E46" i="6" s="1"/>
  <c r="D44" i="6"/>
  <c r="D46" i="6" s="1"/>
  <c r="C44" i="6"/>
  <c r="B44" i="6"/>
  <c r="AA54" i="5"/>
  <c r="A51" i="5"/>
  <c r="Y50" i="5"/>
  <c r="X50" i="5"/>
  <c r="Q50" i="5"/>
  <c r="P50" i="5"/>
  <c r="I50" i="5"/>
  <c r="H50" i="5"/>
  <c r="AA48" i="5"/>
  <c r="AA50" i="5" s="1"/>
  <c r="Z48" i="5"/>
  <c r="Z50" i="5" s="1"/>
  <c r="Y48" i="5"/>
  <c r="X48" i="5"/>
  <c r="W48" i="5"/>
  <c r="W50" i="5" s="1"/>
  <c r="V48" i="5"/>
  <c r="V50" i="5" s="1"/>
  <c r="U48" i="5"/>
  <c r="U50" i="5" s="1"/>
  <c r="T48" i="5"/>
  <c r="T50" i="5" s="1"/>
  <c r="S48" i="5"/>
  <c r="S50" i="5" s="1"/>
  <c r="R48" i="5"/>
  <c r="R50" i="5" s="1"/>
  <c r="Q48" i="5"/>
  <c r="P48" i="5"/>
  <c r="O48" i="5"/>
  <c r="O50" i="5" s="1"/>
  <c r="N48" i="5"/>
  <c r="N50" i="5" s="1"/>
  <c r="M48" i="5"/>
  <c r="M50" i="5" s="1"/>
  <c r="L48" i="5"/>
  <c r="L50" i="5" s="1"/>
  <c r="K48" i="5"/>
  <c r="K50" i="5" s="1"/>
  <c r="J48" i="5"/>
  <c r="J50" i="5" s="1"/>
  <c r="I48" i="5"/>
  <c r="H48" i="5"/>
  <c r="G48" i="5"/>
  <c r="G50" i="5" s="1"/>
  <c r="F48" i="5"/>
  <c r="F50" i="5" s="1"/>
  <c r="E48" i="5"/>
  <c r="E50" i="5" s="1"/>
  <c r="D48" i="5"/>
  <c r="D50" i="5" s="1"/>
  <c r="C48" i="5"/>
  <c r="C50" i="5" s="1"/>
  <c r="B48" i="5"/>
  <c r="B50" i="5" s="1"/>
  <c r="U46" i="5"/>
  <c r="T46" i="5"/>
  <c r="M46" i="5"/>
  <c r="L46" i="5"/>
  <c r="E46" i="5"/>
  <c r="AA44" i="5"/>
  <c r="AA46" i="5" s="1"/>
  <c r="Z44" i="5"/>
  <c r="Z46" i="5" s="1"/>
  <c r="Y44" i="5"/>
  <c r="Y46" i="5" s="1"/>
  <c r="X44" i="5"/>
  <c r="X46" i="5" s="1"/>
  <c r="W44" i="5"/>
  <c r="W46" i="5" s="1"/>
  <c r="V44" i="5"/>
  <c r="V46" i="5" s="1"/>
  <c r="U44" i="5"/>
  <c r="T44" i="5"/>
  <c r="S44" i="5"/>
  <c r="S46" i="5" s="1"/>
  <c r="R44" i="5"/>
  <c r="R46" i="5" s="1"/>
  <c r="Q44" i="5"/>
  <c r="Q46" i="5" s="1"/>
  <c r="P44" i="5"/>
  <c r="P46" i="5" s="1"/>
  <c r="O44" i="5"/>
  <c r="O46" i="5" s="1"/>
  <c r="N44" i="5"/>
  <c r="N46" i="5" s="1"/>
  <c r="M44" i="5"/>
  <c r="L44" i="5"/>
  <c r="K44" i="5"/>
  <c r="K46" i="5" s="1"/>
  <c r="J44" i="5"/>
  <c r="J46" i="5" s="1"/>
  <c r="I44" i="5"/>
  <c r="I46" i="5" s="1"/>
  <c r="H44" i="5"/>
  <c r="H46" i="5" s="1"/>
  <c r="G44" i="5"/>
  <c r="G46" i="5" s="1"/>
  <c r="F44" i="5"/>
  <c r="F46" i="5" s="1"/>
  <c r="E44" i="5"/>
  <c r="D44" i="5"/>
  <c r="D46" i="5" s="1"/>
  <c r="C44" i="5"/>
  <c r="C46" i="5" s="1"/>
  <c r="B44" i="5"/>
  <c r="B46" i="5" s="1"/>
  <c r="B102" i="4"/>
  <c r="B77" i="3"/>
  <c r="H77" i="3" s="1"/>
  <c r="H76" i="3"/>
  <c r="J76" i="3" s="1"/>
  <c r="C76" i="3"/>
  <c r="D76" i="3" s="1"/>
  <c r="E76" i="3" s="1"/>
  <c r="F76" i="3" s="1"/>
  <c r="H75" i="3"/>
  <c r="C75" i="3"/>
  <c r="D75" i="3" s="1"/>
  <c r="E75" i="3" s="1"/>
  <c r="F75" i="3" s="1"/>
  <c r="H74" i="3"/>
  <c r="J74" i="3" s="1"/>
  <c r="C74" i="3"/>
  <c r="D74" i="3" s="1"/>
  <c r="E74" i="3" s="1"/>
  <c r="F74" i="3" s="1"/>
  <c r="L73" i="3"/>
  <c r="K73" i="3"/>
  <c r="J73" i="3"/>
  <c r="H73" i="3"/>
  <c r="C73" i="3"/>
  <c r="D73" i="3" s="1"/>
  <c r="E73" i="3" s="1"/>
  <c r="F73" i="3" s="1"/>
  <c r="M73" i="3" s="1"/>
  <c r="H72" i="3"/>
  <c r="J72" i="3" s="1"/>
  <c r="K72" i="3" s="1"/>
  <c r="D72" i="3"/>
  <c r="E72" i="3" s="1"/>
  <c r="F72" i="3" s="1"/>
  <c r="C72" i="3"/>
  <c r="H71" i="3"/>
  <c r="C71" i="3"/>
  <c r="D71" i="3" s="1"/>
  <c r="E71" i="3" s="1"/>
  <c r="F71" i="3" s="1"/>
  <c r="H70" i="3"/>
  <c r="I70" i="3" s="1"/>
  <c r="C70" i="3"/>
  <c r="D70" i="3" s="1"/>
  <c r="E70" i="3" s="1"/>
  <c r="F70" i="3" s="1"/>
  <c r="J69" i="3"/>
  <c r="K69" i="3" s="1"/>
  <c r="H69" i="3"/>
  <c r="C69" i="3"/>
  <c r="D69" i="3" s="1"/>
  <c r="E69" i="3" s="1"/>
  <c r="F69" i="3" s="1"/>
  <c r="H68" i="3"/>
  <c r="J68" i="3" s="1"/>
  <c r="C68" i="3"/>
  <c r="D68" i="3" s="1"/>
  <c r="E68" i="3" s="1"/>
  <c r="F68" i="3" s="1"/>
  <c r="M68" i="3" s="1"/>
  <c r="H67" i="3"/>
  <c r="C67" i="3"/>
  <c r="D67" i="3" s="1"/>
  <c r="E67" i="3" s="1"/>
  <c r="F67" i="3" s="1"/>
  <c r="H66" i="3"/>
  <c r="J66" i="3" s="1"/>
  <c r="K66" i="3" s="1"/>
  <c r="C66" i="3"/>
  <c r="D66" i="3" s="1"/>
  <c r="E66" i="3" s="1"/>
  <c r="F66" i="3" s="1"/>
  <c r="L65" i="3"/>
  <c r="K65" i="3"/>
  <c r="J65" i="3"/>
  <c r="H65" i="3"/>
  <c r="I65" i="3" s="1"/>
  <c r="C65" i="3"/>
  <c r="D65" i="3" s="1"/>
  <c r="E65" i="3" s="1"/>
  <c r="F65" i="3" s="1"/>
  <c r="M65" i="3" s="1"/>
  <c r="H64" i="3"/>
  <c r="J64" i="3" s="1"/>
  <c r="D64" i="3"/>
  <c r="E64" i="3" s="1"/>
  <c r="F64" i="3" s="1"/>
  <c r="C64" i="3"/>
  <c r="H63" i="3"/>
  <c r="C63" i="3"/>
  <c r="D63" i="3" s="1"/>
  <c r="E63" i="3" s="1"/>
  <c r="F63" i="3" s="1"/>
  <c r="H62" i="3"/>
  <c r="C62" i="3"/>
  <c r="D62" i="3" s="1"/>
  <c r="E62" i="3" s="1"/>
  <c r="F62" i="3" s="1"/>
  <c r="L61" i="3"/>
  <c r="J61" i="3"/>
  <c r="H61" i="3"/>
  <c r="C61" i="3"/>
  <c r="D61" i="3" s="1"/>
  <c r="E61" i="3" s="1"/>
  <c r="F61" i="3" s="1"/>
  <c r="M61" i="3" s="1"/>
  <c r="H60" i="3"/>
  <c r="J60" i="3" s="1"/>
  <c r="C60" i="3"/>
  <c r="D60" i="3" s="1"/>
  <c r="E60" i="3" s="1"/>
  <c r="F60" i="3" s="1"/>
  <c r="H59" i="3"/>
  <c r="C59" i="3"/>
  <c r="D59" i="3" s="1"/>
  <c r="E59" i="3" s="1"/>
  <c r="F59" i="3" s="1"/>
  <c r="J58" i="3"/>
  <c r="K58" i="3" s="1"/>
  <c r="I58" i="3"/>
  <c r="H58" i="3"/>
  <c r="C58" i="3"/>
  <c r="D58" i="3" s="1"/>
  <c r="E58" i="3" s="1"/>
  <c r="F58" i="3" s="1"/>
  <c r="J57" i="3"/>
  <c r="H57" i="3"/>
  <c r="I57" i="3" s="1"/>
  <c r="C57" i="3"/>
  <c r="D57" i="3" s="1"/>
  <c r="E57" i="3" s="1"/>
  <c r="F57" i="3" s="1"/>
  <c r="M57" i="3" s="1"/>
  <c r="M56" i="3"/>
  <c r="H56" i="3"/>
  <c r="J56" i="3" s="1"/>
  <c r="D56" i="3"/>
  <c r="E56" i="3" s="1"/>
  <c r="F56" i="3" s="1"/>
  <c r="L56" i="3" s="1"/>
  <c r="C56" i="3"/>
  <c r="H55" i="3"/>
  <c r="E55" i="3"/>
  <c r="F55" i="3" s="1"/>
  <c r="C55" i="3"/>
  <c r="D55" i="3" s="1"/>
  <c r="H54" i="3"/>
  <c r="J54" i="3" s="1"/>
  <c r="K54" i="3" s="1"/>
  <c r="C54" i="3"/>
  <c r="D54" i="3" s="1"/>
  <c r="E54" i="3" s="1"/>
  <c r="F54" i="3" s="1"/>
  <c r="L53" i="3"/>
  <c r="J53" i="3"/>
  <c r="K53" i="3" s="1"/>
  <c r="H53" i="3"/>
  <c r="C53" i="3"/>
  <c r="D53" i="3" s="1"/>
  <c r="E53" i="3" s="1"/>
  <c r="F53" i="3" s="1"/>
  <c r="M53" i="3" s="1"/>
  <c r="J52" i="3"/>
  <c r="H52" i="3"/>
  <c r="D52" i="3"/>
  <c r="E52" i="3" s="1"/>
  <c r="F52" i="3" s="1"/>
  <c r="C52" i="3"/>
  <c r="H51" i="3"/>
  <c r="C51" i="3"/>
  <c r="D51" i="3" s="1"/>
  <c r="E51" i="3" s="1"/>
  <c r="F51" i="3" s="1"/>
  <c r="H50" i="3"/>
  <c r="I50" i="3" s="1"/>
  <c r="C50" i="3"/>
  <c r="D50" i="3" s="1"/>
  <c r="E50" i="3" s="1"/>
  <c r="F50" i="3" s="1"/>
  <c r="J49" i="3"/>
  <c r="H49" i="3"/>
  <c r="C49" i="3"/>
  <c r="D49" i="3" s="1"/>
  <c r="E49" i="3" s="1"/>
  <c r="F49" i="3" s="1"/>
  <c r="J48" i="3"/>
  <c r="H48" i="3"/>
  <c r="C48" i="3"/>
  <c r="D48" i="3" s="1"/>
  <c r="E48" i="3" s="1"/>
  <c r="F48" i="3" s="1"/>
  <c r="M48" i="3" s="1"/>
  <c r="H47" i="3"/>
  <c r="E47" i="3"/>
  <c r="F47" i="3" s="1"/>
  <c r="C47" i="3"/>
  <c r="D47" i="3" s="1"/>
  <c r="H46" i="3"/>
  <c r="J46" i="3" s="1"/>
  <c r="K46" i="3" s="1"/>
  <c r="C46" i="3"/>
  <c r="D46" i="3" s="1"/>
  <c r="E46" i="3" s="1"/>
  <c r="F46" i="3" s="1"/>
  <c r="L45" i="3"/>
  <c r="J45" i="3"/>
  <c r="K45" i="3" s="1"/>
  <c r="H45" i="3"/>
  <c r="C45" i="3"/>
  <c r="D45" i="3" s="1"/>
  <c r="E45" i="3" s="1"/>
  <c r="F45" i="3" s="1"/>
  <c r="M45" i="3" s="1"/>
  <c r="J44" i="3"/>
  <c r="H44" i="3"/>
  <c r="D44" i="3"/>
  <c r="E44" i="3" s="1"/>
  <c r="F44" i="3" s="1"/>
  <c r="C44" i="3"/>
  <c r="H43" i="3"/>
  <c r="C43" i="3"/>
  <c r="D43" i="3" s="1"/>
  <c r="E43" i="3" s="1"/>
  <c r="F43" i="3" s="1"/>
  <c r="J42" i="3"/>
  <c r="K42" i="3" s="1"/>
  <c r="H42" i="3"/>
  <c r="I42" i="3" s="1"/>
  <c r="C42" i="3"/>
  <c r="D42" i="3" s="1"/>
  <c r="E42" i="3" s="1"/>
  <c r="F42" i="3" s="1"/>
  <c r="J41" i="3"/>
  <c r="K41" i="3" s="1"/>
  <c r="H41" i="3"/>
  <c r="C41" i="3"/>
  <c r="D41" i="3" s="1"/>
  <c r="E41" i="3" s="1"/>
  <c r="F41" i="3" s="1"/>
  <c r="J40" i="3"/>
  <c r="H40" i="3"/>
  <c r="C40" i="3"/>
  <c r="D40" i="3" s="1"/>
  <c r="E40" i="3" s="1"/>
  <c r="F40" i="3" s="1"/>
  <c r="M40" i="3" s="1"/>
  <c r="H39" i="3"/>
  <c r="E39" i="3"/>
  <c r="F39" i="3" s="1"/>
  <c r="C39" i="3"/>
  <c r="D39" i="3" s="1"/>
  <c r="H38" i="3"/>
  <c r="J38" i="3" s="1"/>
  <c r="K38" i="3" s="1"/>
  <c r="C38" i="3"/>
  <c r="D38" i="3" s="1"/>
  <c r="E38" i="3" s="1"/>
  <c r="F38" i="3" s="1"/>
  <c r="L37" i="3"/>
  <c r="J37" i="3"/>
  <c r="K37" i="3" s="1"/>
  <c r="H37" i="3"/>
  <c r="C37" i="3"/>
  <c r="D37" i="3" s="1"/>
  <c r="E37" i="3" s="1"/>
  <c r="F37" i="3" s="1"/>
  <c r="M37" i="3" s="1"/>
  <c r="J36" i="3"/>
  <c r="H36" i="3"/>
  <c r="G36" i="3"/>
  <c r="D36" i="3"/>
  <c r="E36" i="3" s="1"/>
  <c r="F36" i="3" s="1"/>
  <c r="C36" i="3"/>
  <c r="H35" i="3"/>
  <c r="J35" i="3" s="1"/>
  <c r="F35" i="3"/>
  <c r="D35" i="3"/>
  <c r="E35" i="3" s="1"/>
  <c r="C35" i="3"/>
  <c r="J34" i="3"/>
  <c r="K34" i="3" s="1"/>
  <c r="H34" i="3"/>
  <c r="C34" i="3"/>
  <c r="D34" i="3" s="1"/>
  <c r="E34" i="3" s="1"/>
  <c r="F34" i="3" s="1"/>
  <c r="M33" i="3"/>
  <c r="L33" i="3"/>
  <c r="K33" i="3"/>
  <c r="H33" i="3"/>
  <c r="J33" i="3" s="1"/>
  <c r="D33" i="3"/>
  <c r="E33" i="3" s="1"/>
  <c r="F33" i="3" s="1"/>
  <c r="I33" i="3" s="1"/>
  <c r="C33" i="3"/>
  <c r="H32" i="3"/>
  <c r="J32" i="3" s="1"/>
  <c r="D32" i="3"/>
  <c r="E32" i="3" s="1"/>
  <c r="F32" i="3" s="1"/>
  <c r="C32" i="3"/>
  <c r="H31" i="3"/>
  <c r="J31" i="3" s="1"/>
  <c r="C31" i="3"/>
  <c r="D31" i="3" s="1"/>
  <c r="E31" i="3" s="1"/>
  <c r="F31" i="3" s="1"/>
  <c r="L30" i="3"/>
  <c r="H30" i="3"/>
  <c r="I30" i="3" s="1"/>
  <c r="C30" i="3"/>
  <c r="D30" i="3" s="1"/>
  <c r="E30" i="3" s="1"/>
  <c r="F30" i="3" s="1"/>
  <c r="M30" i="3" s="1"/>
  <c r="M29" i="3"/>
  <c r="H29" i="3"/>
  <c r="D29" i="3"/>
  <c r="E29" i="3" s="1"/>
  <c r="F29" i="3" s="1"/>
  <c r="L29" i="3" s="1"/>
  <c r="C29" i="3"/>
  <c r="J28" i="3"/>
  <c r="K28" i="3" s="1"/>
  <c r="H28" i="3"/>
  <c r="F28" i="3"/>
  <c r="C28" i="3"/>
  <c r="D28" i="3" s="1"/>
  <c r="E28" i="3" s="1"/>
  <c r="U27" i="3"/>
  <c r="V27" i="3" s="1"/>
  <c r="L27" i="3"/>
  <c r="J27" i="3"/>
  <c r="K27" i="3" s="1"/>
  <c r="H27" i="3"/>
  <c r="C27" i="3"/>
  <c r="D27" i="3" s="1"/>
  <c r="E27" i="3" s="1"/>
  <c r="F27" i="3" s="1"/>
  <c r="M27" i="3" s="1"/>
  <c r="J26" i="3"/>
  <c r="H26" i="3"/>
  <c r="C26" i="3"/>
  <c r="D26" i="3" s="1"/>
  <c r="E26" i="3" s="1"/>
  <c r="F26" i="3" s="1"/>
  <c r="U25" i="3"/>
  <c r="V25" i="3" s="1"/>
  <c r="J25" i="3"/>
  <c r="H25" i="3"/>
  <c r="D25" i="3"/>
  <c r="E25" i="3" s="1"/>
  <c r="F25" i="3" s="1"/>
  <c r="C25" i="3"/>
  <c r="H24" i="3"/>
  <c r="J24" i="3" s="1"/>
  <c r="F24" i="3"/>
  <c r="D24" i="3"/>
  <c r="E24" i="3" s="1"/>
  <c r="C24" i="3"/>
  <c r="H23" i="3"/>
  <c r="C23" i="3"/>
  <c r="D23" i="3" s="1"/>
  <c r="E23" i="3" s="1"/>
  <c r="F23" i="3" s="1"/>
  <c r="U22" i="3"/>
  <c r="V22" i="3" s="1"/>
  <c r="J22" i="3"/>
  <c r="H22" i="3"/>
  <c r="D22" i="3"/>
  <c r="E22" i="3" s="1"/>
  <c r="F22" i="3" s="1"/>
  <c r="C22" i="3"/>
  <c r="V21" i="3"/>
  <c r="U21" i="3"/>
  <c r="H21" i="3"/>
  <c r="D21" i="3"/>
  <c r="E21" i="3" s="1"/>
  <c r="F21" i="3" s="1"/>
  <c r="C21" i="3"/>
  <c r="U20" i="3"/>
  <c r="V20" i="3" s="1"/>
  <c r="H20" i="3"/>
  <c r="J20" i="3" s="1"/>
  <c r="C20" i="3"/>
  <c r="D20" i="3" s="1"/>
  <c r="E20" i="3" s="1"/>
  <c r="F20" i="3" s="1"/>
  <c r="V19" i="3"/>
  <c r="U19" i="3"/>
  <c r="H19" i="3"/>
  <c r="J19" i="3" s="1"/>
  <c r="D19" i="3"/>
  <c r="E19" i="3" s="1"/>
  <c r="F19" i="3" s="1"/>
  <c r="C19" i="3"/>
  <c r="U18" i="3"/>
  <c r="V18" i="3" s="1"/>
  <c r="H18" i="3"/>
  <c r="C18" i="3"/>
  <c r="D18" i="3" s="1"/>
  <c r="E18" i="3" s="1"/>
  <c r="F18" i="3" s="1"/>
  <c r="U17" i="3"/>
  <c r="V17" i="3" s="1"/>
  <c r="J17" i="3"/>
  <c r="H17" i="3"/>
  <c r="D17" i="3"/>
  <c r="E17" i="3" s="1"/>
  <c r="F17" i="3" s="1"/>
  <c r="C17" i="3"/>
  <c r="U16" i="3"/>
  <c r="V16" i="3" s="1"/>
  <c r="H16" i="3"/>
  <c r="C16" i="3"/>
  <c r="D16" i="3" s="1"/>
  <c r="E16" i="3" s="1"/>
  <c r="F16" i="3" s="1"/>
  <c r="V15" i="3"/>
  <c r="U15" i="3"/>
  <c r="K15" i="3"/>
  <c r="J15" i="3"/>
  <c r="H15" i="3"/>
  <c r="C15" i="3"/>
  <c r="D15" i="3" s="1"/>
  <c r="E15" i="3" s="1"/>
  <c r="F15" i="3" s="1"/>
  <c r="I15" i="3" s="1"/>
  <c r="U14" i="3"/>
  <c r="V14" i="3" s="1"/>
  <c r="L14" i="3"/>
  <c r="J14" i="3"/>
  <c r="K14" i="3" s="1"/>
  <c r="H14" i="3"/>
  <c r="C14" i="3"/>
  <c r="D14" i="3" s="1"/>
  <c r="E14" i="3" s="1"/>
  <c r="F14" i="3" s="1"/>
  <c r="M14" i="3" s="1"/>
  <c r="V13" i="3"/>
  <c r="U13" i="3"/>
  <c r="H13" i="3"/>
  <c r="J13" i="3" s="1"/>
  <c r="K13" i="3" s="1"/>
  <c r="D13" i="3"/>
  <c r="E13" i="3" s="1"/>
  <c r="F13" i="3" s="1"/>
  <c r="M13" i="3" s="1"/>
  <c r="C13" i="3"/>
  <c r="U12" i="3"/>
  <c r="V12" i="3" s="1"/>
  <c r="H12" i="3"/>
  <c r="J12" i="3" s="1"/>
  <c r="C12" i="3"/>
  <c r="D12" i="3" s="1"/>
  <c r="E12" i="3" s="1"/>
  <c r="F12" i="3" s="1"/>
  <c r="V11" i="3"/>
  <c r="U11" i="3"/>
  <c r="H11" i="3"/>
  <c r="J11" i="3" s="1"/>
  <c r="D11" i="3"/>
  <c r="E11" i="3" s="1"/>
  <c r="F11" i="3" s="1"/>
  <c r="C11" i="3"/>
  <c r="U10" i="3"/>
  <c r="V10" i="3" s="1"/>
  <c r="H10" i="3"/>
  <c r="C10" i="3"/>
  <c r="D10" i="3" s="1"/>
  <c r="E10" i="3" s="1"/>
  <c r="F10" i="3" s="1"/>
  <c r="U9" i="3"/>
  <c r="V9" i="3" s="1"/>
  <c r="J9" i="3"/>
  <c r="H9" i="3"/>
  <c r="D9" i="3"/>
  <c r="E9" i="3" s="1"/>
  <c r="F9" i="3" s="1"/>
  <c r="C9" i="3"/>
  <c r="U8" i="3"/>
  <c r="V8" i="3" s="1"/>
  <c r="H8" i="3"/>
  <c r="C8" i="3"/>
  <c r="D8" i="3" s="1"/>
  <c r="E8" i="3" s="1"/>
  <c r="F8" i="3" s="1"/>
  <c r="V7" i="3"/>
  <c r="U7" i="3"/>
  <c r="K7" i="3"/>
  <c r="J7" i="3"/>
  <c r="H7" i="3"/>
  <c r="C7" i="3"/>
  <c r="D7" i="3" s="1"/>
  <c r="E7" i="3" s="1"/>
  <c r="F7" i="3" s="1"/>
  <c r="U6" i="3"/>
  <c r="V6" i="3" s="1"/>
  <c r="L6" i="3"/>
  <c r="J6" i="3"/>
  <c r="K6" i="3" s="1"/>
  <c r="H6" i="3"/>
  <c r="C6" i="3"/>
  <c r="D6" i="3" s="1"/>
  <c r="E6" i="3" s="1"/>
  <c r="F6" i="3" s="1"/>
  <c r="M6" i="3" s="1"/>
  <c r="V5" i="3"/>
  <c r="U5" i="3"/>
  <c r="H5" i="3"/>
  <c r="J5" i="3" s="1"/>
  <c r="K5" i="3" s="1"/>
  <c r="D5" i="3"/>
  <c r="E5" i="3" s="1"/>
  <c r="F5" i="3" s="1"/>
  <c r="M5" i="3" s="1"/>
  <c r="C5" i="3"/>
  <c r="U4" i="3"/>
  <c r="V4" i="3" s="1"/>
  <c r="Q4" i="3"/>
  <c r="J4" i="3"/>
  <c r="H4" i="3"/>
  <c r="E4" i="3"/>
  <c r="F4" i="3" s="1"/>
  <c r="M4" i="3" s="1"/>
  <c r="C4" i="3"/>
  <c r="D4" i="3" s="1"/>
  <c r="V3" i="3"/>
  <c r="U3" i="3"/>
  <c r="S3" i="3"/>
  <c r="Q3" i="3"/>
  <c r="H3" i="3"/>
  <c r="J3" i="3" s="1"/>
  <c r="D3" i="3"/>
  <c r="E3" i="3" s="1"/>
  <c r="F3" i="3" s="1"/>
  <c r="C3" i="3"/>
  <c r="J2" i="3"/>
  <c r="H2" i="3"/>
  <c r="E2" i="3"/>
  <c r="F2" i="3" s="1"/>
  <c r="M2" i="3" s="1"/>
  <c r="C2" i="3"/>
  <c r="D2" i="3" s="1"/>
  <c r="D11" i="2"/>
  <c r="L10" i="2"/>
  <c r="L11" i="2" s="1"/>
  <c r="L12" i="2" s="1"/>
  <c r="L13" i="2" s="1"/>
  <c r="L14" i="2" s="1"/>
  <c r="L15" i="2" s="1"/>
  <c r="L16" i="2" s="1"/>
  <c r="L17" i="2" s="1"/>
  <c r="L18" i="2" s="1"/>
  <c r="L19" i="2" s="1"/>
  <c r="L20" i="2" s="1"/>
  <c r="L21" i="2" s="1"/>
  <c r="L22" i="2" s="1"/>
  <c r="L23" i="2" s="1"/>
  <c r="L24" i="2" s="1"/>
  <c r="L25" i="2" s="1"/>
  <c r="L26" i="2" s="1"/>
  <c r="L27" i="2" s="1"/>
  <c r="L28" i="2" s="1"/>
  <c r="L29" i="2" s="1"/>
  <c r="L30" i="2" s="1"/>
  <c r="L31" i="2" s="1"/>
  <c r="L32" i="2" s="1"/>
  <c r="L33" i="2" s="1"/>
  <c r="L34" i="2" s="1"/>
  <c r="L35" i="2" s="1"/>
  <c r="L36" i="2" s="1"/>
  <c r="L37" i="2" s="1"/>
  <c r="L38" i="2" s="1"/>
  <c r="L39" i="2" s="1"/>
  <c r="L40" i="2" s="1"/>
  <c r="L41" i="2" s="1"/>
  <c r="L42" i="2" s="1"/>
  <c r="L43" i="2" s="1"/>
  <c r="L44" i="2" s="1"/>
  <c r="L45" i="2" s="1"/>
  <c r="L46" i="2" s="1"/>
  <c r="L47" i="2" s="1"/>
  <c r="L48" i="2" s="1"/>
  <c r="L49" i="2" s="1"/>
  <c r="L50" i="2" s="1"/>
  <c r="L51" i="2" s="1"/>
  <c r="L52" i="2" s="1"/>
  <c r="L53" i="2" s="1"/>
  <c r="L54" i="2" s="1"/>
  <c r="L55" i="2" s="1"/>
  <c r="L56" i="2" s="1"/>
  <c r="L57" i="2" s="1"/>
  <c r="L58" i="2" s="1"/>
  <c r="L59" i="2" s="1"/>
  <c r="L60" i="2" s="1"/>
  <c r="L61" i="2" s="1"/>
  <c r="L62" i="2" s="1"/>
  <c r="L63" i="2" s="1"/>
  <c r="L64" i="2" s="1"/>
  <c r="L65" i="2" s="1"/>
  <c r="L66" i="2" s="1"/>
  <c r="L67" i="2" s="1"/>
  <c r="L68" i="2" s="1"/>
  <c r="L69" i="2" s="1"/>
  <c r="L70" i="2" s="1"/>
  <c r="L71" i="2" s="1"/>
  <c r="L72" i="2" s="1"/>
  <c r="L73" i="2" s="1"/>
  <c r="L74" i="2" s="1"/>
  <c r="L75" i="2" s="1"/>
  <c r="L76" i="2" s="1"/>
  <c r="L77" i="2" s="1"/>
  <c r="L78" i="2" s="1"/>
  <c r="L79" i="2" s="1"/>
  <c r="L80" i="2" s="1"/>
  <c r="L81" i="2" s="1"/>
  <c r="L82" i="2" s="1"/>
  <c r="L83" i="2" s="1"/>
  <c r="L84" i="2" s="1"/>
  <c r="L85" i="2" s="1"/>
  <c r="L86" i="2" s="1"/>
  <c r="L87" i="2" s="1"/>
  <c r="L88" i="2" s="1"/>
  <c r="L89" i="2" s="1"/>
  <c r="L90" i="2" s="1"/>
  <c r="L91" i="2" s="1"/>
  <c r="L92" i="2" s="1"/>
  <c r="L93" i="2" s="1"/>
  <c r="L94" i="2" s="1"/>
  <c r="L95" i="2" s="1"/>
  <c r="L96" i="2" s="1"/>
  <c r="L97" i="2" s="1"/>
  <c r="L98" i="2" s="1"/>
  <c r="L99" i="2" s="1"/>
  <c r="L100" i="2" s="1"/>
  <c r="D10" i="2"/>
  <c r="D7" i="2"/>
  <c r="L4" i="2"/>
  <c r="L5" i="2" s="1"/>
  <c r="L6" i="2" s="1"/>
  <c r="L7" i="2" s="1"/>
  <c r="L8" i="2" s="1"/>
  <c r="L9" i="2" s="1"/>
  <c r="D4" i="2"/>
  <c r="D16" i="2" s="1"/>
  <c r="D19" i="2" s="1"/>
  <c r="A4" i="2"/>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L3" i="2"/>
  <c r="L2" i="2"/>
  <c r="H2" i="2"/>
  <c r="D2" i="2"/>
  <c r="A2" i="2"/>
  <c r="A3" i="2" s="1"/>
  <c r="D7" i="1"/>
  <c r="F7" i="1" s="1"/>
  <c r="F5" i="1"/>
  <c r="D5" i="1"/>
  <c r="AI15" i="22" l="1"/>
  <c r="AF17" i="23"/>
  <c r="AK25" i="25"/>
  <c r="AD26" i="25"/>
  <c r="AI25" i="25"/>
  <c r="AJ25" i="25" s="1"/>
  <c r="AE50" i="25"/>
  <c r="AG49" i="25"/>
  <c r="AE14" i="25"/>
  <c r="AG13" i="25"/>
  <c r="AH13" i="25" s="1"/>
  <c r="AH49" i="25"/>
  <c r="AG52" i="24"/>
  <c r="AI52" i="24"/>
  <c r="AG16" i="24"/>
  <c r="AE18" i="24"/>
  <c r="AJ17" i="24"/>
  <c r="AK17" i="24" s="1"/>
  <c r="AL17" i="24" s="1"/>
  <c r="AF17" i="24"/>
  <c r="AH16" i="24"/>
  <c r="AI16" i="24" s="1"/>
  <c r="AF53" i="24"/>
  <c r="AH52" i="24"/>
  <c r="AJ53" i="24"/>
  <c r="AK53" i="24" s="1"/>
  <c r="AL53" i="24" s="1"/>
  <c r="AE54" i="24"/>
  <c r="AI17" i="23"/>
  <c r="AJ17" i="23" s="1"/>
  <c r="AK17" i="23" s="1"/>
  <c r="AD18" i="23"/>
  <c r="AI52" i="23"/>
  <c r="AJ52" i="23" s="1"/>
  <c r="AK52" i="23" s="1"/>
  <c r="AD53" i="23"/>
  <c r="AG51" i="23"/>
  <c r="AH51" i="23" s="1"/>
  <c r="AE52" i="23"/>
  <c r="AG17" i="23"/>
  <c r="AH17" i="23" s="1"/>
  <c r="AE18" i="23"/>
  <c r="AG51" i="22"/>
  <c r="AK53" i="21"/>
  <c r="AF52" i="21"/>
  <c r="AE20" i="22"/>
  <c r="AJ19" i="22"/>
  <c r="AK19" i="22" s="1"/>
  <c r="AL19" i="22" s="1"/>
  <c r="AH16" i="22"/>
  <c r="AF17" i="22"/>
  <c r="AE54" i="22"/>
  <c r="AJ53" i="22"/>
  <c r="AK53" i="22" s="1"/>
  <c r="AL53" i="22" s="1"/>
  <c r="AG16" i="22"/>
  <c r="AF52" i="22"/>
  <c r="AH51" i="22"/>
  <c r="AI51" i="22" s="1"/>
  <c r="AD55" i="21"/>
  <c r="AI54" i="21"/>
  <c r="AJ54" i="21" s="1"/>
  <c r="AE53" i="21"/>
  <c r="AG52" i="21"/>
  <c r="AH52" i="21" s="1"/>
  <c r="AD23" i="21"/>
  <c r="AM22" i="21"/>
  <c r="AN22" i="21" s="1"/>
  <c r="AE54" i="19"/>
  <c r="AJ53" i="19"/>
  <c r="AK53" i="19" s="1"/>
  <c r="AL53" i="19" s="1"/>
  <c r="AF15" i="19"/>
  <c r="AH14" i="19"/>
  <c r="AI14" i="19" s="1"/>
  <c r="AE18" i="19"/>
  <c r="AJ17" i="19"/>
  <c r="AK17" i="19" s="1"/>
  <c r="AL17" i="19" s="1"/>
  <c r="AG14" i="19"/>
  <c r="AH52" i="19"/>
  <c r="AI52" i="19" s="1"/>
  <c r="AF53" i="19"/>
  <c r="AI13" i="18"/>
  <c r="AG14" i="18"/>
  <c r="AE54" i="18"/>
  <c r="AJ53" i="18"/>
  <c r="AK53" i="18" s="1"/>
  <c r="AL53" i="18"/>
  <c r="AF52" i="18"/>
  <c r="AH51" i="18"/>
  <c r="AI51" i="18" s="1"/>
  <c r="AH14" i="18"/>
  <c r="AI14" i="18" s="1"/>
  <c r="AF15" i="18"/>
  <c r="AE18" i="18"/>
  <c r="AJ17" i="18"/>
  <c r="AK17" i="18" s="1"/>
  <c r="AL17" i="18" s="1"/>
  <c r="AF50" i="16"/>
  <c r="AE15" i="17"/>
  <c r="AF15" i="17" s="1"/>
  <c r="AG14" i="17"/>
  <c r="AH14" i="17" s="1"/>
  <c r="AG51" i="17"/>
  <c r="AH51" i="17" s="1"/>
  <c r="AE52" i="17"/>
  <c r="AF52" i="17" s="1"/>
  <c r="AD27" i="17"/>
  <c r="AI27" i="17" s="1"/>
  <c r="AJ27" i="17" s="1"/>
  <c r="AI26" i="17"/>
  <c r="AJ26" i="17" s="1"/>
  <c r="AK26" i="17" s="1"/>
  <c r="AK27" i="17" s="1"/>
  <c r="AH12" i="16"/>
  <c r="AE14" i="16"/>
  <c r="AG13" i="16"/>
  <c r="AF13" i="16"/>
  <c r="AE51" i="16"/>
  <c r="AG50" i="16"/>
  <c r="AH50" i="16" s="1"/>
  <c r="AE43" i="15"/>
  <c r="AC27" i="15"/>
  <c r="AH27" i="15" s="1"/>
  <c r="AI27" i="15" s="1"/>
  <c r="AH26" i="15"/>
  <c r="AI26" i="15" s="1"/>
  <c r="AJ26" i="15" s="1"/>
  <c r="AF14" i="15"/>
  <c r="AG14" i="15" s="1"/>
  <c r="AD15" i="15"/>
  <c r="AE14" i="15"/>
  <c r="AD44" i="15"/>
  <c r="AE44" i="15" s="1"/>
  <c r="AF43" i="15"/>
  <c r="AG43" i="15" s="1"/>
  <c r="Y51" i="14"/>
  <c r="AD50" i="14"/>
  <c r="AE50" i="14" s="1"/>
  <c r="AF50" i="14" s="1"/>
  <c r="Z16" i="14"/>
  <c r="AB15" i="14"/>
  <c r="AC15" i="14" s="1"/>
  <c r="AD16" i="14"/>
  <c r="AE16" i="14" s="1"/>
  <c r="AF16" i="14" s="1"/>
  <c r="Y17" i="14"/>
  <c r="AB43" i="14"/>
  <c r="AC43" i="14" s="1"/>
  <c r="Z44" i="14"/>
  <c r="AA16" i="14"/>
  <c r="Y15" i="13"/>
  <c r="AA14" i="13"/>
  <c r="AB14" i="13" s="1"/>
  <c r="AA44" i="13"/>
  <c r="AB44" i="13" s="1"/>
  <c r="Y45" i="13"/>
  <c r="Z15" i="13"/>
  <c r="Z44" i="13"/>
  <c r="Z45" i="13" s="1"/>
  <c r="Z16" i="12"/>
  <c r="AB45" i="12"/>
  <c r="AA45" i="12"/>
  <c r="Y46" i="12"/>
  <c r="X25" i="12"/>
  <c r="AC24" i="12"/>
  <c r="AD24" i="12" s="1"/>
  <c r="AE24" i="12" s="1"/>
  <c r="Z45" i="12"/>
  <c r="Z46" i="12" s="1"/>
  <c r="Y17" i="12"/>
  <c r="AA16" i="12"/>
  <c r="AB16" i="12"/>
  <c r="U10" i="11"/>
  <c r="S10" i="11"/>
  <c r="Q10" i="11"/>
  <c r="S25" i="11"/>
  <c r="U19" i="11"/>
  <c r="S19" i="11"/>
  <c r="Q19" i="11"/>
  <c r="U3" i="11"/>
  <c r="S3" i="11"/>
  <c r="Q3" i="11"/>
  <c r="Q22" i="11"/>
  <c r="S22" i="11"/>
  <c r="G102" i="11"/>
  <c r="S55" i="11"/>
  <c r="S74" i="11"/>
  <c r="Q26" i="11"/>
  <c r="U74" i="11"/>
  <c r="U53" i="11"/>
  <c r="T53" i="11"/>
  <c r="Q53" i="11"/>
  <c r="S71" i="11"/>
  <c r="U99" i="11"/>
  <c r="Q99" i="11"/>
  <c r="T99" i="11"/>
  <c r="S99" i="11"/>
  <c r="U75" i="11"/>
  <c r="T75" i="11"/>
  <c r="S75" i="11"/>
  <c r="Q75" i="11"/>
  <c r="U45" i="11"/>
  <c r="T45" i="11"/>
  <c r="Q45" i="11"/>
  <c r="T55" i="11"/>
  <c r="U8" i="11"/>
  <c r="U48" i="11"/>
  <c r="Q48" i="11"/>
  <c r="U91" i="11"/>
  <c r="T91" i="11"/>
  <c r="Q91" i="11"/>
  <c r="S91" i="11"/>
  <c r="U88" i="11"/>
  <c r="Q88" i="11"/>
  <c r="T88" i="11"/>
  <c r="T92" i="11"/>
  <c r="S92" i="11"/>
  <c r="U62" i="11"/>
  <c r="Q62" i="11"/>
  <c r="S62" i="11"/>
  <c r="U83" i="11"/>
  <c r="S83" i="11"/>
  <c r="T83" i="11"/>
  <c r="S8" i="11"/>
  <c r="Q8" i="11"/>
  <c r="Q83" i="11"/>
  <c r="U55" i="11"/>
  <c r="S88" i="11"/>
  <c r="U23" i="11"/>
  <c r="Q23" i="11"/>
  <c r="W5" i="11"/>
  <c r="Y2" i="11" s="1"/>
  <c r="U80" i="11"/>
  <c r="Q80" i="11"/>
  <c r="U4" i="11"/>
  <c r="Q4" i="11"/>
  <c r="S4" i="11"/>
  <c r="Z33" i="11"/>
  <c r="AC23" i="11"/>
  <c r="AD23" i="11" s="1"/>
  <c r="AC20" i="11"/>
  <c r="AD20" i="11" s="1"/>
  <c r="Y33" i="11"/>
  <c r="AA32" i="11"/>
  <c r="AB32" i="11" s="1"/>
  <c r="AC19" i="11"/>
  <c r="AD19" i="11" s="1"/>
  <c r="AA5" i="11"/>
  <c r="Y6" i="11"/>
  <c r="U43" i="11"/>
  <c r="AC17" i="11"/>
  <c r="AD17" i="11" s="1"/>
  <c r="T24" i="11"/>
  <c r="AC26" i="11"/>
  <c r="AD26" i="11" s="1"/>
  <c r="AC21" i="11"/>
  <c r="AD21" i="11" s="1"/>
  <c r="AC22" i="11"/>
  <c r="AD22" i="11" s="1"/>
  <c r="T28" i="11"/>
  <c r="AC24" i="11"/>
  <c r="AD24" i="11" s="1"/>
  <c r="AC18" i="11"/>
  <c r="AD18" i="11" s="1"/>
  <c r="J102" i="11"/>
  <c r="U16" i="11"/>
  <c r="T8" i="11"/>
  <c r="AB32" i="4"/>
  <c r="AB33" i="4" s="1"/>
  <c r="AD34" i="4"/>
  <c r="AE34" i="4" s="1"/>
  <c r="X35" i="4"/>
  <c r="AA34" i="4"/>
  <c r="Y35" i="4"/>
  <c r="S102" i="4"/>
  <c r="L32" i="3"/>
  <c r="M32" i="3"/>
  <c r="M36" i="3"/>
  <c r="L36" i="3"/>
  <c r="M10" i="3"/>
  <c r="L10" i="3"/>
  <c r="M60" i="3"/>
  <c r="L60" i="3"/>
  <c r="M18" i="3"/>
  <c r="L18" i="3"/>
  <c r="M20" i="3"/>
  <c r="L20" i="3"/>
  <c r="M75" i="3"/>
  <c r="L75" i="3"/>
  <c r="L3" i="3"/>
  <c r="M3" i="3"/>
  <c r="M9" i="3"/>
  <c r="L9" i="3"/>
  <c r="I9" i="3"/>
  <c r="L11" i="3"/>
  <c r="M11" i="3"/>
  <c r="M23" i="3"/>
  <c r="L23" i="3"/>
  <c r="M67" i="3"/>
  <c r="L67" i="3"/>
  <c r="M12" i="3"/>
  <c r="L12" i="3"/>
  <c r="M17" i="3"/>
  <c r="L17" i="3"/>
  <c r="I17" i="3"/>
  <c r="L19" i="3"/>
  <c r="M19" i="3"/>
  <c r="L24" i="3"/>
  <c r="M24" i="3"/>
  <c r="M59" i="3"/>
  <c r="L59" i="3"/>
  <c r="K12" i="3"/>
  <c r="K31" i="3"/>
  <c r="M35" i="3"/>
  <c r="L35" i="3"/>
  <c r="J39" i="3"/>
  <c r="K39" i="3" s="1"/>
  <c r="I39" i="3"/>
  <c r="M47" i="3"/>
  <c r="L47" i="3"/>
  <c r="K49" i="3"/>
  <c r="I36" i="3"/>
  <c r="I4" i="3"/>
  <c r="M39" i="3"/>
  <c r="L39" i="3"/>
  <c r="K2" i="3"/>
  <c r="K4" i="3"/>
  <c r="K20" i="3"/>
  <c r="I26" i="3"/>
  <c r="L26" i="3"/>
  <c r="I52" i="3"/>
  <c r="L2" i="3"/>
  <c r="L4" i="3"/>
  <c r="K11" i="3"/>
  <c r="K19" i="3"/>
  <c r="J29" i="3"/>
  <c r="K29" i="3" s="1"/>
  <c r="I29" i="3"/>
  <c r="J47" i="3"/>
  <c r="K47" i="3" s="1"/>
  <c r="I47" i="3"/>
  <c r="M55" i="3"/>
  <c r="L55" i="3"/>
  <c r="J62" i="3"/>
  <c r="K62" i="3" s="1"/>
  <c r="I62" i="3"/>
  <c r="J70" i="3"/>
  <c r="K70" i="3" s="1"/>
  <c r="K3" i="3"/>
  <c r="M44" i="3"/>
  <c r="L44" i="3"/>
  <c r="I2" i="3"/>
  <c r="K24" i="3"/>
  <c r="M52" i="3"/>
  <c r="L52" i="3"/>
  <c r="M8" i="3"/>
  <c r="L8" i="3"/>
  <c r="J10" i="3"/>
  <c r="K10" i="3" s="1"/>
  <c r="I10" i="3"/>
  <c r="J18" i="3"/>
  <c r="K18" i="3" s="1"/>
  <c r="I18" i="3"/>
  <c r="J55" i="3"/>
  <c r="K55" i="3" s="1"/>
  <c r="I55" i="3"/>
  <c r="I8" i="3"/>
  <c r="I16" i="3"/>
  <c r="L22" i="3"/>
  <c r="M22" i="3"/>
  <c r="K26" i="3"/>
  <c r="M28" i="3"/>
  <c r="L28" i="3"/>
  <c r="M43" i="3"/>
  <c r="L43" i="3"/>
  <c r="J50" i="3"/>
  <c r="K50" i="3" s="1"/>
  <c r="J63" i="3"/>
  <c r="K63" i="3" s="1"/>
  <c r="I63" i="3"/>
  <c r="L68" i="3"/>
  <c r="I5" i="3"/>
  <c r="L5" i="3"/>
  <c r="I13" i="3"/>
  <c r="L13" i="3"/>
  <c r="J21" i="3"/>
  <c r="K21" i="3" s="1"/>
  <c r="I21" i="3"/>
  <c r="M31" i="3"/>
  <c r="L31" i="3"/>
  <c r="M7" i="3"/>
  <c r="L7" i="3"/>
  <c r="M16" i="3"/>
  <c r="L16" i="3"/>
  <c r="M71" i="3"/>
  <c r="L71" i="3"/>
  <c r="I7" i="3"/>
  <c r="J8" i="3"/>
  <c r="K8" i="3" s="1"/>
  <c r="K9" i="3"/>
  <c r="J16" i="3"/>
  <c r="K16" i="3" s="1"/>
  <c r="K17" i="3"/>
  <c r="I22" i="3"/>
  <c r="M26" i="3"/>
  <c r="L40" i="3"/>
  <c r="M51" i="3"/>
  <c r="L51" i="3"/>
  <c r="M69" i="3"/>
  <c r="L69" i="3"/>
  <c r="M74" i="3"/>
  <c r="L74" i="3"/>
  <c r="M49" i="3"/>
  <c r="L49" i="3"/>
  <c r="I44" i="3"/>
  <c r="S4" i="3"/>
  <c r="Q5" i="3"/>
  <c r="M15" i="3"/>
  <c r="L15" i="3"/>
  <c r="M25" i="3"/>
  <c r="L25" i="3"/>
  <c r="M63" i="3"/>
  <c r="L63" i="3"/>
  <c r="I6" i="3"/>
  <c r="I14" i="3"/>
  <c r="M21" i="3"/>
  <c r="L21" i="3"/>
  <c r="K22" i="3"/>
  <c r="I28" i="3"/>
  <c r="M41" i="3"/>
  <c r="L41" i="3"/>
  <c r="L48" i="3"/>
  <c r="M64" i="3"/>
  <c r="L64" i="3"/>
  <c r="M72" i="3"/>
  <c r="L72" i="3"/>
  <c r="K74" i="3"/>
  <c r="J23" i="3"/>
  <c r="K23" i="3" s="1"/>
  <c r="I23" i="3"/>
  <c r="K60" i="3"/>
  <c r="M62" i="3"/>
  <c r="L62" i="3"/>
  <c r="J75" i="3"/>
  <c r="K75" i="3" s="1"/>
  <c r="I75" i="3"/>
  <c r="K32" i="3"/>
  <c r="M34" i="3"/>
  <c r="L34" i="3"/>
  <c r="K35" i="3"/>
  <c r="K36" i="3"/>
  <c r="M38" i="3"/>
  <c r="L38" i="3"/>
  <c r="I41" i="3"/>
  <c r="K44" i="3"/>
  <c r="M46" i="3"/>
  <c r="L46" i="3"/>
  <c r="I49" i="3"/>
  <c r="K52" i="3"/>
  <c r="M54" i="3"/>
  <c r="L54" i="3"/>
  <c r="J67" i="3"/>
  <c r="K67" i="3" s="1"/>
  <c r="I67" i="3"/>
  <c r="I69" i="3"/>
  <c r="I3" i="3"/>
  <c r="I11" i="3"/>
  <c r="I19" i="3"/>
  <c r="I20" i="3"/>
  <c r="I25" i="3"/>
  <c r="I35" i="3"/>
  <c r="K57" i="3"/>
  <c r="K64" i="3"/>
  <c r="M66" i="3"/>
  <c r="L66" i="3"/>
  <c r="I74" i="3"/>
  <c r="I12" i="3"/>
  <c r="K25" i="3"/>
  <c r="I31" i="3"/>
  <c r="I34" i="3"/>
  <c r="I38" i="3"/>
  <c r="I46" i="3"/>
  <c r="I54" i="3"/>
  <c r="L57" i="3"/>
  <c r="J59" i="3"/>
  <c r="K59" i="3" s="1"/>
  <c r="I59" i="3"/>
  <c r="I61" i="3"/>
  <c r="K76" i="3"/>
  <c r="I40" i="3"/>
  <c r="J43" i="3"/>
  <c r="K43" i="3" s="1"/>
  <c r="I43" i="3"/>
  <c r="I48" i="3"/>
  <c r="J51" i="3"/>
  <c r="K51" i="3" s="1"/>
  <c r="I51" i="3"/>
  <c r="K56" i="3"/>
  <c r="M58" i="3"/>
  <c r="L58" i="3"/>
  <c r="I66" i="3"/>
  <c r="J71" i="3"/>
  <c r="K71" i="3" s="1"/>
  <c r="I71" i="3"/>
  <c r="I73" i="3"/>
  <c r="J77" i="3"/>
  <c r="U26" i="3"/>
  <c r="V26" i="3" s="1"/>
  <c r="U24" i="3"/>
  <c r="V24" i="3" s="1"/>
  <c r="U23" i="3"/>
  <c r="V23" i="3" s="1"/>
  <c r="I27" i="3"/>
  <c r="J30" i="3"/>
  <c r="K30" i="3" s="1"/>
  <c r="I37" i="3"/>
  <c r="K40" i="3"/>
  <c r="M42" i="3"/>
  <c r="L42" i="3"/>
  <c r="I45" i="3"/>
  <c r="K48" i="3"/>
  <c r="M50" i="3"/>
  <c r="L50" i="3"/>
  <c r="I53" i="3"/>
  <c r="K61" i="3"/>
  <c r="K68" i="3"/>
  <c r="M70" i="3"/>
  <c r="L70" i="3"/>
  <c r="C77" i="3"/>
  <c r="D77" i="3" s="1"/>
  <c r="E77" i="3" s="1"/>
  <c r="F77" i="3" s="1"/>
  <c r="I77" i="3" s="1"/>
  <c r="I24" i="3"/>
  <c r="I32" i="3"/>
  <c r="I56" i="3"/>
  <c r="I60" i="3"/>
  <c r="I64" i="3"/>
  <c r="I68" i="3"/>
  <c r="I72" i="3"/>
  <c r="I76" i="3"/>
  <c r="AI16" i="22" l="1"/>
  <c r="AF18" i="23"/>
  <c r="AH14" i="25"/>
  <c r="AE15" i="25"/>
  <c r="AG14" i="25"/>
  <c r="AE51" i="25"/>
  <c r="AG50" i="25"/>
  <c r="AH50" i="25" s="1"/>
  <c r="AF50" i="25"/>
  <c r="AF14" i="25"/>
  <c r="AF15" i="25" s="1"/>
  <c r="AD27" i="25"/>
  <c r="AI27" i="25" s="1"/>
  <c r="AJ27" i="25" s="1"/>
  <c r="AI26" i="25"/>
  <c r="AJ26" i="25" s="1"/>
  <c r="AK26" i="25" s="1"/>
  <c r="AK27" i="25" s="1"/>
  <c r="AV2" i="25" s="1"/>
  <c r="AL18" i="24"/>
  <c r="AE19" i="24"/>
  <c r="AJ18" i="24"/>
  <c r="AK18" i="24" s="1"/>
  <c r="AE55" i="24"/>
  <c r="AJ54" i="24"/>
  <c r="AK54" i="24" s="1"/>
  <c r="AL54" i="24" s="1"/>
  <c r="AG17" i="24"/>
  <c r="AF54" i="24"/>
  <c r="AH53" i="24"/>
  <c r="AI53" i="24" s="1"/>
  <c r="AF18" i="24"/>
  <c r="AH17" i="24"/>
  <c r="AI17" i="24" s="1"/>
  <c r="AG53" i="24"/>
  <c r="AE53" i="23"/>
  <c r="AG52" i="23"/>
  <c r="AH52" i="23" s="1"/>
  <c r="AI53" i="23"/>
  <c r="AJ53" i="23" s="1"/>
  <c r="AK53" i="23" s="1"/>
  <c r="AD54" i="23"/>
  <c r="AF52" i="23"/>
  <c r="AF53" i="23" s="1"/>
  <c r="AD19" i="23"/>
  <c r="AI18" i="23"/>
  <c r="AJ18" i="23" s="1"/>
  <c r="AK18" i="23" s="1"/>
  <c r="AE19" i="23"/>
  <c r="AG18" i="23"/>
  <c r="AH18" i="23" s="1"/>
  <c r="AG52" i="22"/>
  <c r="AK54" i="21"/>
  <c r="AE55" i="22"/>
  <c r="AJ54" i="22"/>
  <c r="AK54" i="22" s="1"/>
  <c r="AL54" i="22" s="1"/>
  <c r="AF18" i="22"/>
  <c r="AH17" i="22"/>
  <c r="AG17" i="22"/>
  <c r="AE21" i="22"/>
  <c r="AJ20" i="22"/>
  <c r="AK20" i="22" s="1"/>
  <c r="AL20" i="22" s="1"/>
  <c r="AF53" i="22"/>
  <c r="AH52" i="22"/>
  <c r="AI52" i="22" s="1"/>
  <c r="AG53" i="21"/>
  <c r="AH53" i="21" s="1"/>
  <c r="AE54" i="21"/>
  <c r="AD56" i="21"/>
  <c r="AI55" i="21"/>
  <c r="AJ55" i="21" s="1"/>
  <c r="AD24" i="21"/>
  <c r="AM23" i="21"/>
  <c r="AN23" i="21" s="1"/>
  <c r="AF53" i="21"/>
  <c r="AF16" i="19"/>
  <c r="AH15" i="19"/>
  <c r="AI15" i="19" s="1"/>
  <c r="AF54" i="19"/>
  <c r="AH53" i="19"/>
  <c r="AI53" i="19" s="1"/>
  <c r="AG53" i="19"/>
  <c r="AG15" i="19"/>
  <c r="AE55" i="19"/>
  <c r="AJ54" i="19"/>
  <c r="AK54" i="19" s="1"/>
  <c r="AL54" i="19" s="1"/>
  <c r="AE19" i="19"/>
  <c r="AJ18" i="19"/>
  <c r="AK18" i="19" s="1"/>
  <c r="AL18" i="19" s="1"/>
  <c r="AG15" i="18"/>
  <c r="AH52" i="18"/>
  <c r="AI52" i="18" s="1"/>
  <c r="AF53" i="18"/>
  <c r="AE19" i="18"/>
  <c r="AJ18" i="18"/>
  <c r="AK18" i="18" s="1"/>
  <c r="AL18" i="18" s="1"/>
  <c r="AE55" i="18"/>
  <c r="AJ54" i="18"/>
  <c r="AK54" i="18" s="1"/>
  <c r="AL54" i="18" s="1"/>
  <c r="AG52" i="18"/>
  <c r="AH15" i="18"/>
  <c r="AF16" i="18"/>
  <c r="AG16" i="18" s="1"/>
  <c r="AI15" i="18"/>
  <c r="AE16" i="17"/>
  <c r="AG15" i="17"/>
  <c r="AH15" i="17" s="1"/>
  <c r="AE53" i="17"/>
  <c r="AG52" i="17"/>
  <c r="AH52" i="17" s="1"/>
  <c r="AH13" i="16"/>
  <c r="AF14" i="16"/>
  <c r="AE52" i="16"/>
  <c r="AG51" i="16"/>
  <c r="AH51" i="16" s="1"/>
  <c r="AE15" i="16"/>
  <c r="AG14" i="16"/>
  <c r="AF51" i="16"/>
  <c r="AJ27" i="15"/>
  <c r="AD45" i="15"/>
  <c r="AF44" i="15"/>
  <c r="AG44" i="15" s="1"/>
  <c r="AF15" i="15"/>
  <c r="AG15" i="15" s="1"/>
  <c r="AD16" i="15"/>
  <c r="AE15" i="15"/>
  <c r="AB16" i="14"/>
  <c r="AC16" i="14" s="1"/>
  <c r="Z17" i="14"/>
  <c r="AB44" i="14"/>
  <c r="AC44" i="14" s="1"/>
  <c r="Z45" i="14"/>
  <c r="Y52" i="14"/>
  <c r="AD51" i="14"/>
  <c r="AE51" i="14" s="1"/>
  <c r="AF51" i="14" s="1"/>
  <c r="AA44" i="14"/>
  <c r="AA45" i="14" s="1"/>
  <c r="Y18" i="14"/>
  <c r="AD17" i="14"/>
  <c r="AE17" i="14" s="1"/>
  <c r="AF17" i="14" s="1"/>
  <c r="AA45" i="13"/>
  <c r="AB45" i="13" s="1"/>
  <c r="Y46" i="13"/>
  <c r="Y16" i="13"/>
  <c r="AA15" i="13"/>
  <c r="AB15" i="13" s="1"/>
  <c r="X26" i="12"/>
  <c r="AC25" i="12"/>
  <c r="AD25" i="12" s="1"/>
  <c r="AE25" i="12" s="1"/>
  <c r="AA17" i="12"/>
  <c r="AB17" i="12" s="1"/>
  <c r="Y18" i="12"/>
  <c r="AA46" i="12"/>
  <c r="AB46" i="12" s="1"/>
  <c r="Y47" i="12"/>
  <c r="Z17" i="12"/>
  <c r="S102" i="11"/>
  <c r="Q102" i="11"/>
  <c r="AE2" i="11"/>
  <c r="AE3" i="11" s="1"/>
  <c r="AE4" i="11" s="1"/>
  <c r="AE5" i="11" s="1"/>
  <c r="AE6" i="11" s="1"/>
  <c r="AE7" i="11" s="1"/>
  <c r="AE8" i="11" s="1"/>
  <c r="AE9" i="11" s="1"/>
  <c r="AE10" i="11" s="1"/>
  <c r="AE11" i="11" s="1"/>
  <c r="AE12" i="11" s="1"/>
  <c r="AE13" i="11" s="1"/>
  <c r="AE14" i="11" s="1"/>
  <c r="AE15" i="11" s="1"/>
  <c r="AE16" i="11" s="1"/>
  <c r="AE17" i="11" s="1"/>
  <c r="AE18" i="11" s="1"/>
  <c r="AE19" i="11" s="1"/>
  <c r="AE20" i="11" s="1"/>
  <c r="AE21" i="11" s="1"/>
  <c r="AE22" i="11" s="1"/>
  <c r="AE23" i="11" s="1"/>
  <c r="AE24" i="11" s="1"/>
  <c r="AE25" i="11" s="1"/>
  <c r="AE26" i="11" s="1"/>
  <c r="AE27" i="11" s="1"/>
  <c r="AC2" i="11"/>
  <c r="AB2" i="11"/>
  <c r="AB3" i="11" s="1"/>
  <c r="AB4" i="11" s="1"/>
  <c r="AB5" i="11" s="1"/>
  <c r="Z2" i="11"/>
  <c r="Z3" i="11" s="1"/>
  <c r="Z4" i="11" s="1"/>
  <c r="Z5" i="11" s="1"/>
  <c r="Z6" i="11" s="1"/>
  <c r="Z7" i="11" s="1"/>
  <c r="Z34" i="11"/>
  <c r="AA6" i="11"/>
  <c r="Y7" i="11"/>
  <c r="Y34" i="11"/>
  <c r="AA33" i="11"/>
  <c r="AB33" i="11" s="1"/>
  <c r="AB34" i="4"/>
  <c r="AA35" i="4"/>
  <c r="Y36" i="4"/>
  <c r="Z35" i="4"/>
  <c r="Z36" i="4" s="1"/>
  <c r="AC35" i="4"/>
  <c r="AD35" i="4" s="1"/>
  <c r="AE35" i="4" s="1"/>
  <c r="X36" i="4"/>
  <c r="S5" i="3"/>
  <c r="Q6" i="3"/>
  <c r="M77" i="3"/>
  <c r="L77" i="3"/>
  <c r="Q2" i="3"/>
  <c r="K77" i="3"/>
  <c r="AG18" i="22" l="1"/>
  <c r="AI17" i="22"/>
  <c r="AF19" i="23"/>
  <c r="AH51" i="25"/>
  <c r="AX102" i="25"/>
  <c r="AX44" i="25"/>
  <c r="AY44" i="25" s="1"/>
  <c r="AZ44" i="25" s="1"/>
  <c r="AX42" i="25"/>
  <c r="AY42" i="25" s="1"/>
  <c r="AZ42" i="25" s="1"/>
  <c r="AX36" i="25"/>
  <c r="AY36" i="25" s="1"/>
  <c r="AZ36" i="25" s="1"/>
  <c r="AX101" i="25"/>
  <c r="AX33" i="25"/>
  <c r="AY33" i="25" s="1"/>
  <c r="AZ33" i="25" s="1"/>
  <c r="AX54" i="25"/>
  <c r="AX37" i="25"/>
  <c r="AY37" i="25" s="1"/>
  <c r="AZ37" i="25" s="1"/>
  <c r="AX26" i="25"/>
  <c r="AY26" i="25" s="1"/>
  <c r="AZ26" i="25" s="1"/>
  <c r="AX13" i="25"/>
  <c r="AY13" i="25" s="1"/>
  <c r="AZ13" i="25" s="1"/>
  <c r="AX8" i="25"/>
  <c r="AY8" i="25" s="1"/>
  <c r="AZ8" i="25" s="1"/>
  <c r="AX2" i="25"/>
  <c r="AY2" i="25" s="1"/>
  <c r="AX98" i="25"/>
  <c r="AX40" i="25"/>
  <c r="AY40" i="25" s="1"/>
  <c r="AZ40" i="25" s="1"/>
  <c r="AX31" i="25"/>
  <c r="AY31" i="25" s="1"/>
  <c r="AZ31" i="25" s="1"/>
  <c r="AX5" i="25"/>
  <c r="AY5" i="25" s="1"/>
  <c r="AZ5" i="25" s="1"/>
  <c r="AX22" i="25"/>
  <c r="AY22" i="25" s="1"/>
  <c r="AZ22" i="25" s="1"/>
  <c r="AX57" i="25"/>
  <c r="AX49" i="25"/>
  <c r="AX35" i="25"/>
  <c r="AY35" i="25" s="1"/>
  <c r="AZ35" i="25" s="1"/>
  <c r="AX28" i="25"/>
  <c r="AY28" i="25" s="1"/>
  <c r="AZ28" i="25" s="1"/>
  <c r="AX10" i="25"/>
  <c r="AY10" i="25" s="1"/>
  <c r="AZ10" i="25" s="1"/>
  <c r="AX6" i="25"/>
  <c r="AY6" i="25" s="1"/>
  <c r="AZ6" i="25" s="1"/>
  <c r="AX27" i="25"/>
  <c r="AY27" i="25" s="1"/>
  <c r="AZ27" i="25" s="1"/>
  <c r="AX3" i="25"/>
  <c r="AY3" i="25" s="1"/>
  <c r="AZ3" i="25" s="1"/>
  <c r="AX38" i="25"/>
  <c r="AY38" i="25" s="1"/>
  <c r="AZ38" i="25" s="1"/>
  <c r="AX34" i="25"/>
  <c r="AY34" i="25" s="1"/>
  <c r="AZ34" i="25" s="1"/>
  <c r="AX9" i="25"/>
  <c r="AY9" i="25" s="1"/>
  <c r="AZ9" i="25" s="1"/>
  <c r="AX7" i="25"/>
  <c r="AY7" i="25" s="1"/>
  <c r="AZ7" i="25" s="1"/>
  <c r="AX68" i="25"/>
  <c r="AX20" i="25"/>
  <c r="AY20" i="25" s="1"/>
  <c r="AZ20" i="25" s="1"/>
  <c r="AX69" i="25"/>
  <c r="AX53" i="25"/>
  <c r="AX77" i="25"/>
  <c r="AX46" i="25"/>
  <c r="AY46" i="25" s="1"/>
  <c r="AZ46" i="25" s="1"/>
  <c r="AX100" i="25"/>
  <c r="AX19" i="25"/>
  <c r="AY19" i="25" s="1"/>
  <c r="AZ19" i="25" s="1"/>
  <c r="AX17" i="25"/>
  <c r="AY17" i="25" s="1"/>
  <c r="AZ17" i="25" s="1"/>
  <c r="AX74" i="25"/>
  <c r="AX24" i="25"/>
  <c r="AY24" i="25" s="1"/>
  <c r="AZ24" i="25" s="1"/>
  <c r="AX85" i="25"/>
  <c r="AX72" i="25"/>
  <c r="AX60" i="25"/>
  <c r="AX71" i="25"/>
  <c r="AX4" i="25"/>
  <c r="AY4" i="25" s="1"/>
  <c r="AZ4" i="25" s="1"/>
  <c r="AX59" i="25"/>
  <c r="AX14" i="25"/>
  <c r="AY14" i="25" s="1"/>
  <c r="AZ14" i="25" s="1"/>
  <c r="AX25" i="25"/>
  <c r="AY25" i="25" s="1"/>
  <c r="AZ25" i="25" s="1"/>
  <c r="AX52" i="25"/>
  <c r="AX79" i="25"/>
  <c r="AX90" i="25"/>
  <c r="AX15" i="25"/>
  <c r="AY15" i="25" s="1"/>
  <c r="AZ15" i="25" s="1"/>
  <c r="AX30" i="25"/>
  <c r="AY30" i="25" s="1"/>
  <c r="AZ30" i="25" s="1"/>
  <c r="AX32" i="25"/>
  <c r="AY32" i="25" s="1"/>
  <c r="AZ32" i="25" s="1"/>
  <c r="AX21" i="25"/>
  <c r="AY21" i="25" s="1"/>
  <c r="AZ21" i="25" s="1"/>
  <c r="AX51" i="25"/>
  <c r="AX76" i="25"/>
  <c r="AX39" i="25"/>
  <c r="AY39" i="25" s="1"/>
  <c r="AZ39" i="25" s="1"/>
  <c r="AX84" i="25"/>
  <c r="AX87" i="25"/>
  <c r="AX82" i="25"/>
  <c r="AX11" i="25"/>
  <c r="AY11" i="25" s="1"/>
  <c r="AZ11" i="25" s="1"/>
  <c r="AX93" i="25"/>
  <c r="AX88" i="25"/>
  <c r="AX95" i="25"/>
  <c r="AX16" i="25"/>
  <c r="AY16" i="25" s="1"/>
  <c r="AZ16" i="25" s="1"/>
  <c r="AX66" i="25"/>
  <c r="AX80" i="25"/>
  <c r="AX41" i="25"/>
  <c r="AY41" i="25" s="1"/>
  <c r="AZ41" i="25" s="1"/>
  <c r="AX55" i="25"/>
  <c r="AX23" i="25"/>
  <c r="AY23" i="25" s="1"/>
  <c r="AZ23" i="25" s="1"/>
  <c r="AX92" i="25"/>
  <c r="AX29" i="25"/>
  <c r="AY29" i="25" s="1"/>
  <c r="AZ29" i="25" s="1"/>
  <c r="AX18" i="25"/>
  <c r="AY18" i="25" s="1"/>
  <c r="AZ18" i="25" s="1"/>
  <c r="AX12" i="25"/>
  <c r="AY12" i="25" s="1"/>
  <c r="AZ12" i="25" s="1"/>
  <c r="AX43" i="25"/>
  <c r="AY43" i="25" s="1"/>
  <c r="AZ43" i="25" s="1"/>
  <c r="AX63" i="25"/>
  <c r="AX96" i="25"/>
  <c r="AX48" i="25"/>
  <c r="AX61" i="25"/>
  <c r="AX62" i="25"/>
  <c r="AX78" i="25"/>
  <c r="AX99" i="25"/>
  <c r="AX81" i="25"/>
  <c r="AX67" i="25"/>
  <c r="AX64" i="25"/>
  <c r="AX103" i="25"/>
  <c r="AX75" i="25"/>
  <c r="AX86" i="25"/>
  <c r="AX50" i="25"/>
  <c r="AX65" i="25"/>
  <c r="AX89" i="25"/>
  <c r="AX56" i="25"/>
  <c r="AX91" i="25"/>
  <c r="AX94" i="25"/>
  <c r="AX45" i="25"/>
  <c r="AY45" i="25" s="1"/>
  <c r="AZ45" i="25" s="1"/>
  <c r="AX73" i="25"/>
  <c r="AX58" i="25"/>
  <c r="AX97" i="25"/>
  <c r="AX70" i="25"/>
  <c r="AX83" i="25"/>
  <c r="AX47" i="25"/>
  <c r="AF16" i="25"/>
  <c r="AF51" i="25"/>
  <c r="AF52" i="25" s="1"/>
  <c r="AG51" i="25"/>
  <c r="AE52" i="25"/>
  <c r="AG15" i="25"/>
  <c r="AH15" i="25" s="1"/>
  <c r="AE16" i="25"/>
  <c r="AG18" i="24"/>
  <c r="AE56" i="24"/>
  <c r="AJ55" i="24"/>
  <c r="AK55" i="24" s="1"/>
  <c r="AL55" i="24" s="1"/>
  <c r="AF55" i="24"/>
  <c r="AH54" i="24"/>
  <c r="AI54" i="24" s="1"/>
  <c r="AG54" i="24"/>
  <c r="AE20" i="24"/>
  <c r="AJ19" i="24"/>
  <c r="AK19" i="24" s="1"/>
  <c r="AL19" i="24" s="1"/>
  <c r="AF19" i="24"/>
  <c r="AH18" i="24"/>
  <c r="AI18" i="24" s="1"/>
  <c r="AH19" i="23"/>
  <c r="AD20" i="23"/>
  <c r="AI19" i="23"/>
  <c r="AJ19" i="23" s="1"/>
  <c r="AK19" i="23" s="1"/>
  <c r="AI54" i="23"/>
  <c r="AJ54" i="23" s="1"/>
  <c r="AK54" i="23" s="1"/>
  <c r="AD55" i="23"/>
  <c r="AE20" i="23"/>
  <c r="AG19" i="23"/>
  <c r="AE54" i="23"/>
  <c r="AF54" i="23" s="1"/>
  <c r="AG53" i="23"/>
  <c r="AH53" i="23" s="1"/>
  <c r="AG53" i="22"/>
  <c r="AF54" i="21"/>
  <c r="AK55" i="21"/>
  <c r="AE22" i="22"/>
  <c r="AJ21" i="22"/>
  <c r="AK21" i="22" s="1"/>
  <c r="AL21" i="22" s="1"/>
  <c r="AF19" i="22"/>
  <c r="AH18" i="22"/>
  <c r="AI18" i="22" s="1"/>
  <c r="AF54" i="22"/>
  <c r="AH53" i="22"/>
  <c r="AI53" i="22" s="1"/>
  <c r="AE56" i="22"/>
  <c r="AJ55" i="22"/>
  <c r="AK55" i="22" s="1"/>
  <c r="AL55" i="22" s="1"/>
  <c r="AD57" i="21"/>
  <c r="AI56" i="21"/>
  <c r="AJ56" i="21" s="1"/>
  <c r="AG54" i="21"/>
  <c r="AH54" i="21" s="1"/>
  <c r="AE55" i="21"/>
  <c r="AD25" i="21"/>
  <c r="AM24" i="21"/>
  <c r="AN24" i="21" s="1"/>
  <c r="AF55" i="19"/>
  <c r="AH54" i="19"/>
  <c r="AI54" i="19" s="1"/>
  <c r="AE20" i="19"/>
  <c r="AJ19" i="19"/>
  <c r="AK19" i="19" s="1"/>
  <c r="AL19" i="19" s="1"/>
  <c r="AF17" i="19"/>
  <c r="AH16" i="19"/>
  <c r="AI16" i="19" s="1"/>
  <c r="AE56" i="19"/>
  <c r="AJ55" i="19"/>
  <c r="AK55" i="19" s="1"/>
  <c r="AL55" i="19" s="1"/>
  <c r="AG16" i="19"/>
  <c r="AG54" i="19"/>
  <c r="AG55" i="19" s="1"/>
  <c r="AE56" i="18"/>
  <c r="AJ55" i="18"/>
  <c r="AK55" i="18" s="1"/>
  <c r="AL55" i="18" s="1"/>
  <c r="AE20" i="18"/>
  <c r="AJ19" i="18"/>
  <c r="AK19" i="18" s="1"/>
  <c r="AL19" i="18" s="1"/>
  <c r="AG53" i="18"/>
  <c r="AF17" i="18"/>
  <c r="AH16" i="18"/>
  <c r="AI16" i="18" s="1"/>
  <c r="AF54" i="18"/>
  <c r="AH53" i="18"/>
  <c r="AI53" i="18" s="1"/>
  <c r="AF52" i="16"/>
  <c r="AG53" i="17"/>
  <c r="AH53" i="17" s="1"/>
  <c r="AE54" i="17"/>
  <c r="AG16" i="17"/>
  <c r="AH16" i="17" s="1"/>
  <c r="AE17" i="17"/>
  <c r="AF53" i="17"/>
  <c r="AF54" i="17" s="1"/>
  <c r="AF16" i="17"/>
  <c r="AF17" i="17" s="1"/>
  <c r="AH14" i="16"/>
  <c r="AE16" i="16"/>
  <c r="AG15" i="16"/>
  <c r="AF15" i="16"/>
  <c r="AF16" i="16" s="1"/>
  <c r="AE53" i="16"/>
  <c r="AG52" i="16"/>
  <c r="AH52" i="16" s="1"/>
  <c r="AE16" i="15"/>
  <c r="AF16" i="15"/>
  <c r="AG16" i="15" s="1"/>
  <c r="AD17" i="15"/>
  <c r="AD46" i="15"/>
  <c r="AF45" i="15"/>
  <c r="AG45" i="15" s="1"/>
  <c r="AE45" i="15"/>
  <c r="AE46" i="15" s="1"/>
  <c r="AB17" i="14"/>
  <c r="AC17" i="14" s="1"/>
  <c r="Z18" i="14"/>
  <c r="AD18" i="14"/>
  <c r="AE18" i="14" s="1"/>
  <c r="AF18" i="14" s="1"/>
  <c r="Y19" i="14"/>
  <c r="AA17" i="14"/>
  <c r="Y53" i="14"/>
  <c r="AD52" i="14"/>
  <c r="AE52" i="14" s="1"/>
  <c r="AF52" i="14" s="1"/>
  <c r="AB45" i="14"/>
  <c r="AC45" i="14" s="1"/>
  <c r="Z46" i="14"/>
  <c r="AA16" i="13"/>
  <c r="AB16" i="13" s="1"/>
  <c r="Y17" i="13"/>
  <c r="AA46" i="13"/>
  <c r="AB46" i="13" s="1"/>
  <c r="Y47" i="13"/>
  <c r="Z16" i="13"/>
  <c r="Z17" i="13" s="1"/>
  <c r="Z46" i="13"/>
  <c r="Z47" i="13" s="1"/>
  <c r="AB47" i="12"/>
  <c r="AA47" i="12"/>
  <c r="Y48" i="12"/>
  <c r="AA18" i="12"/>
  <c r="AB18" i="12" s="1"/>
  <c r="Y19" i="12"/>
  <c r="X27" i="12"/>
  <c r="AC27" i="12" s="1"/>
  <c r="AD27" i="12" s="1"/>
  <c r="AC26" i="12"/>
  <c r="AD26" i="12" s="1"/>
  <c r="AE26" i="12" s="1"/>
  <c r="AE27" i="12" s="1"/>
  <c r="Z18" i="12"/>
  <c r="Z47" i="12"/>
  <c r="AB34" i="11"/>
  <c r="Y35" i="11"/>
  <c r="AA34" i="11"/>
  <c r="AB6" i="11"/>
  <c r="Y8" i="11"/>
  <c r="AA7" i="11"/>
  <c r="AB35" i="4"/>
  <c r="AE36" i="4"/>
  <c r="AC36" i="4"/>
  <c r="AD36" i="4" s="1"/>
  <c r="X37" i="4"/>
  <c r="AA36" i="4"/>
  <c r="Y37" i="4"/>
  <c r="W2" i="3"/>
  <c r="W3" i="3" s="1"/>
  <c r="W4" i="3" s="1"/>
  <c r="W5" i="3" s="1"/>
  <c r="W6" i="3" s="1"/>
  <c r="U2" i="3"/>
  <c r="T2" i="3"/>
  <c r="T3" i="3" s="1"/>
  <c r="T4" i="3" s="1"/>
  <c r="R2" i="3"/>
  <c r="R3" i="3" s="1"/>
  <c r="R4" i="3" s="1"/>
  <c r="R5" i="3" s="1"/>
  <c r="T5" i="3"/>
  <c r="S6" i="3"/>
  <c r="T6" i="3" s="1"/>
  <c r="Q7" i="3"/>
  <c r="AH16" i="25" l="1"/>
  <c r="AE17" i="25"/>
  <c r="AG16" i="25"/>
  <c r="AV6" i="25"/>
  <c r="AV10" i="25" s="1"/>
  <c r="AZ2" i="25"/>
  <c r="AE53" i="25"/>
  <c r="AF53" i="25" s="1"/>
  <c r="AG52" i="25"/>
  <c r="AH52" i="25" s="1"/>
  <c r="AF17" i="25"/>
  <c r="AE57" i="24"/>
  <c r="AJ56" i="24"/>
  <c r="AK56" i="24" s="1"/>
  <c r="AL56" i="24" s="1"/>
  <c r="AE21" i="24"/>
  <c r="AJ20" i="24"/>
  <c r="AK20" i="24" s="1"/>
  <c r="AL20" i="24" s="1"/>
  <c r="AF56" i="24"/>
  <c r="AH55" i="24"/>
  <c r="AI55" i="24" s="1"/>
  <c r="AG55" i="24"/>
  <c r="AF20" i="24"/>
  <c r="AH19" i="24"/>
  <c r="AI19" i="24" s="1"/>
  <c r="AG19" i="24"/>
  <c r="AD21" i="23"/>
  <c r="AI20" i="23"/>
  <c r="AJ20" i="23" s="1"/>
  <c r="AK20" i="23" s="1"/>
  <c r="AD56" i="23"/>
  <c r="AI55" i="23"/>
  <c r="AJ55" i="23" s="1"/>
  <c r="AK55" i="23" s="1"/>
  <c r="AG20" i="23"/>
  <c r="AH20" i="23" s="1"/>
  <c r="AE21" i="23"/>
  <c r="AF20" i="23"/>
  <c r="AG54" i="23"/>
  <c r="AH54" i="23" s="1"/>
  <c r="AE55" i="23"/>
  <c r="AG54" i="22"/>
  <c r="AK56" i="21"/>
  <c r="AF55" i="21"/>
  <c r="AH19" i="22"/>
  <c r="AI19" i="22" s="1"/>
  <c r="AF20" i="22"/>
  <c r="AE57" i="22"/>
  <c r="AJ56" i="22"/>
  <c r="AK56" i="22" s="1"/>
  <c r="AL56" i="22" s="1"/>
  <c r="AG19" i="22"/>
  <c r="AE23" i="22"/>
  <c r="AJ22" i="22"/>
  <c r="AK22" i="22" s="1"/>
  <c r="AL22" i="22" s="1"/>
  <c r="AF55" i="22"/>
  <c r="AH54" i="22"/>
  <c r="AI54" i="22" s="1"/>
  <c r="AD58" i="21"/>
  <c r="AI57" i="21"/>
  <c r="AJ57" i="21" s="1"/>
  <c r="AD26" i="21"/>
  <c r="AM25" i="21"/>
  <c r="AN25" i="21" s="1"/>
  <c r="AG55" i="21"/>
  <c r="AH55" i="21" s="1"/>
  <c r="AE56" i="21"/>
  <c r="AG17" i="19"/>
  <c r="AF56" i="19"/>
  <c r="AH55" i="19"/>
  <c r="AI55" i="19" s="1"/>
  <c r="AE21" i="19"/>
  <c r="AJ20" i="19"/>
  <c r="AK20" i="19" s="1"/>
  <c r="AL20" i="19" s="1"/>
  <c r="AE57" i="19"/>
  <c r="AJ56" i="19"/>
  <c r="AK56" i="19" s="1"/>
  <c r="AL56" i="19" s="1"/>
  <c r="AF18" i="19"/>
  <c r="AH17" i="19"/>
  <c r="AI17" i="19" s="1"/>
  <c r="AG54" i="18"/>
  <c r="AF55" i="18"/>
  <c r="AH54" i="18"/>
  <c r="AI54" i="18" s="1"/>
  <c r="AE21" i="18"/>
  <c r="AJ20" i="18"/>
  <c r="AK20" i="18" s="1"/>
  <c r="AL20" i="18" s="1"/>
  <c r="AF18" i="18"/>
  <c r="AH17" i="18"/>
  <c r="AI17" i="18" s="1"/>
  <c r="AE57" i="18"/>
  <c r="AJ56" i="18"/>
  <c r="AK56" i="18" s="1"/>
  <c r="AL56" i="18" s="1"/>
  <c r="AG17" i="18"/>
  <c r="AG17" i="17"/>
  <c r="AH17" i="17" s="1"/>
  <c r="AE18" i="17"/>
  <c r="AF18" i="17"/>
  <c r="AG54" i="17"/>
  <c r="AH54" i="17" s="1"/>
  <c r="AE55" i="17"/>
  <c r="AF55" i="17" s="1"/>
  <c r="AH15" i="16"/>
  <c r="AG53" i="16"/>
  <c r="AH53" i="16" s="1"/>
  <c r="AE54" i="16"/>
  <c r="AE17" i="16"/>
  <c r="AG16" i="16"/>
  <c r="AF53" i="16"/>
  <c r="AF46" i="15"/>
  <c r="AG46" i="15" s="1"/>
  <c r="AD47" i="15"/>
  <c r="AD18" i="15"/>
  <c r="AF17" i="15"/>
  <c r="AG17" i="15" s="1"/>
  <c r="AE17" i="15"/>
  <c r="AD19" i="14"/>
  <c r="AE19" i="14" s="1"/>
  <c r="AF19" i="14" s="1"/>
  <c r="Y20" i="14"/>
  <c r="AB46" i="14"/>
  <c r="AC46" i="14" s="1"/>
  <c r="Z47" i="14"/>
  <c r="AB18" i="14"/>
  <c r="AC18" i="14" s="1"/>
  <c r="Z19" i="14"/>
  <c r="Y54" i="14"/>
  <c r="AD53" i="14"/>
  <c r="AE53" i="14" s="1"/>
  <c r="AF53" i="14" s="1"/>
  <c r="AA18" i="14"/>
  <c r="AA19" i="14" s="1"/>
  <c r="AA46" i="14"/>
  <c r="AA47" i="13"/>
  <c r="AB47" i="13" s="1"/>
  <c r="Y48" i="13"/>
  <c r="AA17" i="13"/>
  <c r="AB17" i="13" s="1"/>
  <c r="Y18" i="13"/>
  <c r="AA19" i="12"/>
  <c r="AB19" i="12" s="1"/>
  <c r="Y20" i="12"/>
  <c r="AA48" i="12"/>
  <c r="AB48" i="12" s="1"/>
  <c r="Y49" i="12"/>
  <c r="Z48" i="12"/>
  <c r="Z49" i="12" s="1"/>
  <c r="Z19" i="12"/>
  <c r="AA35" i="11"/>
  <c r="AB35" i="11" s="1"/>
  <c r="Y36" i="11"/>
  <c r="Z35" i="11"/>
  <c r="Z36" i="11" s="1"/>
  <c r="AA8" i="11"/>
  <c r="Y9" i="11"/>
  <c r="AB7" i="11"/>
  <c r="AB8" i="11" s="1"/>
  <c r="Z8" i="11"/>
  <c r="Z9" i="11" s="1"/>
  <c r="AB36" i="4"/>
  <c r="AA37" i="4"/>
  <c r="Y38" i="4"/>
  <c r="AC37" i="4"/>
  <c r="AD37" i="4" s="1"/>
  <c r="AE37" i="4" s="1"/>
  <c r="X38" i="4"/>
  <c r="Z37" i="4"/>
  <c r="S7" i="3"/>
  <c r="T7" i="3" s="1"/>
  <c r="Q8" i="3"/>
  <c r="R29" i="3"/>
  <c r="R6" i="3"/>
  <c r="R7" i="3" s="1"/>
  <c r="R8" i="3" s="1"/>
  <c r="T29" i="3"/>
  <c r="W29" i="3"/>
  <c r="W7" i="3"/>
  <c r="W8" i="3" s="1"/>
  <c r="W9" i="3" s="1"/>
  <c r="W10" i="3" s="1"/>
  <c r="W11" i="3" s="1"/>
  <c r="W12" i="3" s="1"/>
  <c r="W13" i="3" s="1"/>
  <c r="W14" i="3" s="1"/>
  <c r="W15" i="3" s="1"/>
  <c r="W16" i="3" s="1"/>
  <c r="W17" i="3" s="1"/>
  <c r="W18" i="3" s="1"/>
  <c r="W19" i="3" s="1"/>
  <c r="W20" i="3" s="1"/>
  <c r="W21" i="3" s="1"/>
  <c r="W22" i="3" s="1"/>
  <c r="W23" i="3" s="1"/>
  <c r="W24" i="3" s="1"/>
  <c r="W25" i="3" s="1"/>
  <c r="W26" i="3" s="1"/>
  <c r="W27" i="3" s="1"/>
  <c r="AH53" i="25" l="1"/>
  <c r="AG53" i="25"/>
  <c r="AE54" i="25"/>
  <c r="AF18" i="25"/>
  <c r="AE18" i="25"/>
  <c r="AG17" i="25"/>
  <c r="AH17" i="25" s="1"/>
  <c r="AY80" i="25"/>
  <c r="AZ80" i="25" s="1"/>
  <c r="AY88" i="25"/>
  <c r="AZ88" i="25" s="1"/>
  <c r="AY96" i="25"/>
  <c r="AZ96" i="25" s="1"/>
  <c r="AY72" i="25"/>
  <c r="AZ72" i="25" s="1"/>
  <c r="AY49" i="25"/>
  <c r="AZ49" i="25" s="1"/>
  <c r="AY101" i="25"/>
  <c r="AZ101" i="25" s="1"/>
  <c r="AY48" i="25"/>
  <c r="AZ48" i="25" s="1"/>
  <c r="AY57" i="25"/>
  <c r="AZ57" i="25" s="1"/>
  <c r="AY74" i="25"/>
  <c r="AZ74" i="25" s="1"/>
  <c r="AY69" i="25"/>
  <c r="AZ69" i="25" s="1"/>
  <c r="AY60" i="25"/>
  <c r="AZ60" i="25" s="1"/>
  <c r="AY77" i="25"/>
  <c r="AZ77" i="25" s="1"/>
  <c r="AY87" i="25"/>
  <c r="AZ87" i="25" s="1"/>
  <c r="AY53" i="25"/>
  <c r="AZ53" i="25" s="1"/>
  <c r="AY62" i="25"/>
  <c r="AZ62" i="25" s="1"/>
  <c r="AY85" i="25"/>
  <c r="AZ85" i="25" s="1"/>
  <c r="AY76" i="25"/>
  <c r="AZ76" i="25" s="1"/>
  <c r="AY52" i="25"/>
  <c r="AZ52" i="25" s="1"/>
  <c r="AY84" i="25"/>
  <c r="AZ84" i="25" s="1"/>
  <c r="AY95" i="25"/>
  <c r="AZ95" i="25" s="1"/>
  <c r="AY102" i="25"/>
  <c r="AZ102" i="25" s="1"/>
  <c r="AY82" i="25"/>
  <c r="AZ82" i="25" s="1"/>
  <c r="AY59" i="25"/>
  <c r="AZ59" i="25" s="1"/>
  <c r="AY66" i="25"/>
  <c r="AZ66" i="25" s="1"/>
  <c r="AY51" i="25"/>
  <c r="AZ51" i="25" s="1"/>
  <c r="AY54" i="25"/>
  <c r="AZ54" i="25" s="1"/>
  <c r="AY71" i="25"/>
  <c r="AZ71" i="25" s="1"/>
  <c r="AY92" i="25"/>
  <c r="AZ92" i="25" s="1"/>
  <c r="AY63" i="25"/>
  <c r="AZ63" i="25" s="1"/>
  <c r="AY93" i="25"/>
  <c r="AZ93" i="25" s="1"/>
  <c r="AY90" i="25"/>
  <c r="AZ90" i="25" s="1"/>
  <c r="AY55" i="25"/>
  <c r="AZ55" i="25" s="1"/>
  <c r="AY61" i="25"/>
  <c r="AZ61" i="25" s="1"/>
  <c r="AY68" i="25"/>
  <c r="AZ68" i="25" s="1"/>
  <c r="AY79" i="25"/>
  <c r="AZ79" i="25" s="1"/>
  <c r="AY98" i="25"/>
  <c r="AZ98" i="25" s="1"/>
  <c r="AY100" i="25"/>
  <c r="AZ100" i="25" s="1"/>
  <c r="AY81" i="25"/>
  <c r="AZ81" i="25" s="1"/>
  <c r="AY67" i="25"/>
  <c r="AZ67" i="25" s="1"/>
  <c r="AY70" i="25"/>
  <c r="AZ70" i="25" s="1"/>
  <c r="AY78" i="25"/>
  <c r="AZ78" i="25" s="1"/>
  <c r="AY64" i="25"/>
  <c r="AZ64" i="25" s="1"/>
  <c r="AY47" i="25"/>
  <c r="AZ47" i="25" s="1"/>
  <c r="AY75" i="25"/>
  <c r="AZ75" i="25" s="1"/>
  <c r="AY50" i="25"/>
  <c r="AZ50" i="25" s="1"/>
  <c r="AY103" i="25"/>
  <c r="AY89" i="25"/>
  <c r="AZ89" i="25" s="1"/>
  <c r="AY56" i="25"/>
  <c r="AZ56" i="25" s="1"/>
  <c r="AY86" i="25"/>
  <c r="AZ86" i="25" s="1"/>
  <c r="AY65" i="25"/>
  <c r="AZ65" i="25" s="1"/>
  <c r="AY91" i="25"/>
  <c r="AZ91" i="25" s="1"/>
  <c r="AY73" i="25"/>
  <c r="AZ73" i="25" s="1"/>
  <c r="AY58" i="25"/>
  <c r="AZ58" i="25" s="1"/>
  <c r="AY97" i="25"/>
  <c r="AZ97" i="25" s="1"/>
  <c r="AY83" i="25"/>
  <c r="AZ83" i="25" s="1"/>
  <c r="AY94" i="25"/>
  <c r="AZ94" i="25" s="1"/>
  <c r="AY99" i="25"/>
  <c r="AZ99" i="25" s="1"/>
  <c r="AG56" i="24"/>
  <c r="AG20" i="24"/>
  <c r="AF21" i="23"/>
  <c r="AH56" i="24"/>
  <c r="AI56" i="24" s="1"/>
  <c r="AF57" i="24"/>
  <c r="AE22" i="24"/>
  <c r="AJ21" i="24"/>
  <c r="AK21" i="24" s="1"/>
  <c r="AL21" i="24" s="1"/>
  <c r="AF21" i="24"/>
  <c r="AH20" i="24"/>
  <c r="AI20" i="24" s="1"/>
  <c r="AE58" i="24"/>
  <c r="AJ57" i="24"/>
  <c r="AK57" i="24" s="1"/>
  <c r="AL57" i="24" s="1"/>
  <c r="AH55" i="23"/>
  <c r="AK56" i="23"/>
  <c r="AE22" i="23"/>
  <c r="AG21" i="23"/>
  <c r="AH21" i="23" s="1"/>
  <c r="AG55" i="23"/>
  <c r="AE56" i="23"/>
  <c r="AI56" i="23"/>
  <c r="AJ56" i="23" s="1"/>
  <c r="AD57" i="23"/>
  <c r="AF55" i="23"/>
  <c r="AD22" i="23"/>
  <c r="AI21" i="23"/>
  <c r="AJ21" i="23" s="1"/>
  <c r="AK21" i="23" s="1"/>
  <c r="AG55" i="22"/>
  <c r="AF56" i="21"/>
  <c r="AK57" i="21"/>
  <c r="AH20" i="22"/>
  <c r="AI20" i="22" s="1"/>
  <c r="AF21" i="22"/>
  <c r="AE24" i="22"/>
  <c r="AJ23" i="22"/>
  <c r="AK23" i="22" s="1"/>
  <c r="AL23" i="22" s="1"/>
  <c r="AE58" i="22"/>
  <c r="AJ57" i="22"/>
  <c r="AK57" i="22" s="1"/>
  <c r="AL57" i="22" s="1"/>
  <c r="AH55" i="22"/>
  <c r="AI55" i="22" s="1"/>
  <c r="AF56" i="22"/>
  <c r="AG20" i="22"/>
  <c r="AD59" i="21"/>
  <c r="AI58" i="21"/>
  <c r="AJ58" i="21" s="1"/>
  <c r="AD27" i="21"/>
  <c r="AM26" i="21"/>
  <c r="AN26" i="21" s="1"/>
  <c r="AE57" i="21"/>
  <c r="AG56" i="21"/>
  <c r="AH56" i="21" s="1"/>
  <c r="AI56" i="19"/>
  <c r="AF19" i="19"/>
  <c r="AH18" i="19"/>
  <c r="AI18" i="19" s="1"/>
  <c r="AE22" i="19"/>
  <c r="AJ21" i="19"/>
  <c r="AK21" i="19" s="1"/>
  <c r="AL21" i="19" s="1"/>
  <c r="AG18" i="19"/>
  <c r="AH56" i="19"/>
  <c r="AF57" i="19"/>
  <c r="AE58" i="19"/>
  <c r="AJ57" i="19"/>
  <c r="AK57" i="19" s="1"/>
  <c r="AL57" i="19" s="1"/>
  <c r="AG56" i="19"/>
  <c r="AG57" i="19" s="1"/>
  <c r="AG18" i="18"/>
  <c r="AE22" i="18"/>
  <c r="AJ21" i="18"/>
  <c r="AK21" i="18" s="1"/>
  <c r="AL21" i="18" s="1"/>
  <c r="AH55" i="18"/>
  <c r="AI55" i="18" s="1"/>
  <c r="AF56" i="18"/>
  <c r="AG55" i="18"/>
  <c r="AG56" i="18" s="1"/>
  <c r="AJ57" i="18"/>
  <c r="AK57" i="18" s="1"/>
  <c r="AL57" i="18" s="1"/>
  <c r="AE58" i="18"/>
  <c r="AH18" i="18"/>
  <c r="AI18" i="18" s="1"/>
  <c r="AF19" i="18"/>
  <c r="AG19" i="18" s="1"/>
  <c r="AF54" i="16"/>
  <c r="AG55" i="17"/>
  <c r="AH55" i="17" s="1"/>
  <c r="AE56" i="17"/>
  <c r="AE19" i="17"/>
  <c r="AF19" i="17" s="1"/>
  <c r="AG18" i="17"/>
  <c r="AH18" i="17" s="1"/>
  <c r="AH16" i="16"/>
  <c r="AE18" i="16"/>
  <c r="AG17" i="16"/>
  <c r="AF17" i="16"/>
  <c r="AF18" i="16" s="1"/>
  <c r="AE55" i="16"/>
  <c r="AG54" i="16"/>
  <c r="AH54" i="16" s="1"/>
  <c r="AE18" i="15"/>
  <c r="AF47" i="15"/>
  <c r="AG47" i="15" s="1"/>
  <c r="AD48" i="15"/>
  <c r="AF18" i="15"/>
  <c r="AG18" i="15" s="1"/>
  <c r="AD19" i="15"/>
  <c r="AE47" i="15"/>
  <c r="AE48" i="15" s="1"/>
  <c r="Z48" i="14"/>
  <c r="AB47" i="14"/>
  <c r="AC47" i="14" s="1"/>
  <c r="AA47" i="14"/>
  <c r="AA48" i="14" s="1"/>
  <c r="Y21" i="14"/>
  <c r="AD20" i="14"/>
  <c r="AE20" i="14" s="1"/>
  <c r="AF20" i="14" s="1"/>
  <c r="Y55" i="14"/>
  <c r="AD54" i="14"/>
  <c r="AE54" i="14" s="1"/>
  <c r="AF54" i="14" s="1"/>
  <c r="AB19" i="14"/>
  <c r="AC19" i="14" s="1"/>
  <c r="Z20" i="14"/>
  <c r="AA18" i="13"/>
  <c r="AB18" i="13" s="1"/>
  <c r="Y19" i="13"/>
  <c r="AA48" i="13"/>
  <c r="AB48" i="13" s="1"/>
  <c r="Y49" i="13"/>
  <c r="Z18" i="13"/>
  <c r="Z19" i="13" s="1"/>
  <c r="Z48" i="13"/>
  <c r="Z49" i="13" s="1"/>
  <c r="Z20" i="12"/>
  <c r="AB49" i="12"/>
  <c r="Y50" i="12"/>
  <c r="AA49" i="12"/>
  <c r="AA20" i="12"/>
  <c r="AB20" i="12" s="1"/>
  <c r="Y21" i="12"/>
  <c r="AB36" i="11"/>
  <c r="Z10" i="11"/>
  <c r="Z37" i="11"/>
  <c r="Y37" i="11"/>
  <c r="AA36" i="11"/>
  <c r="Y10" i="11"/>
  <c r="AA9" i="11"/>
  <c r="AB9" i="11" s="1"/>
  <c r="AB37" i="4"/>
  <c r="Z38" i="4"/>
  <c r="Z39" i="4" s="1"/>
  <c r="Y39" i="4"/>
  <c r="AA38" i="4"/>
  <c r="AC38" i="4"/>
  <c r="AD38" i="4" s="1"/>
  <c r="AE38" i="4" s="1"/>
  <c r="X39" i="4"/>
  <c r="Q9" i="3"/>
  <c r="S8" i="3"/>
  <c r="T8" i="3" s="1"/>
  <c r="AH18" i="25" l="1"/>
  <c r="AG18" i="25"/>
  <c r="AE19" i="25"/>
  <c r="AG54" i="25"/>
  <c r="AH54" i="25" s="1"/>
  <c r="AE55" i="25"/>
  <c r="AF19" i="25"/>
  <c r="AF54" i="25"/>
  <c r="AF22" i="23"/>
  <c r="AL58" i="24"/>
  <c r="AE59" i="24"/>
  <c r="AJ58" i="24"/>
  <c r="AK58" i="24" s="1"/>
  <c r="AL29" i="24"/>
  <c r="AF22" i="24"/>
  <c r="AH21" i="24"/>
  <c r="AI21" i="24" s="1"/>
  <c r="AE23" i="24"/>
  <c r="AJ22" i="24"/>
  <c r="AK22" i="24" s="1"/>
  <c r="AL22" i="24" s="1"/>
  <c r="AH57" i="24"/>
  <c r="AI57" i="24" s="1"/>
  <c r="AF58" i="24"/>
  <c r="AG57" i="24"/>
  <c r="AG21" i="24"/>
  <c r="AK57" i="23"/>
  <c r="AD58" i="23"/>
  <c r="AI57" i="23"/>
  <c r="AJ57" i="23" s="1"/>
  <c r="AG56" i="23"/>
  <c r="AH56" i="23" s="1"/>
  <c r="AE57" i="23"/>
  <c r="AD23" i="23"/>
  <c r="AI22" i="23"/>
  <c r="AJ22" i="23" s="1"/>
  <c r="AK22" i="23" s="1"/>
  <c r="AE23" i="23"/>
  <c r="AG22" i="23"/>
  <c r="AH22" i="23" s="1"/>
  <c r="AF56" i="23"/>
  <c r="AK58" i="21"/>
  <c r="AE25" i="22"/>
  <c r="AJ24" i="22"/>
  <c r="AK24" i="22" s="1"/>
  <c r="AL24" i="22" s="1"/>
  <c r="AF22" i="22"/>
  <c r="AH21" i="22"/>
  <c r="AI21" i="22" s="1"/>
  <c r="AH56" i="22"/>
  <c r="AI56" i="22" s="1"/>
  <c r="AF57" i="22"/>
  <c r="AG56" i="22"/>
  <c r="AJ58" i="22"/>
  <c r="AK58" i="22" s="1"/>
  <c r="AL58" i="22" s="1"/>
  <c r="AE59" i="22"/>
  <c r="AG21" i="22"/>
  <c r="AE58" i="21"/>
  <c r="AG57" i="21"/>
  <c r="AH57" i="21" s="1"/>
  <c r="AD60" i="21"/>
  <c r="AI59" i="21"/>
  <c r="AJ59" i="21" s="1"/>
  <c r="AM27" i="21"/>
  <c r="AN27" i="21" s="1"/>
  <c r="AN29" i="21" s="1"/>
  <c r="AF57" i="21"/>
  <c r="AL58" i="19"/>
  <c r="AH19" i="19"/>
  <c r="AI19" i="19" s="1"/>
  <c r="AF20" i="19"/>
  <c r="AE23" i="19"/>
  <c r="AJ22" i="19"/>
  <c r="AK22" i="19" s="1"/>
  <c r="AL22" i="19" s="1"/>
  <c r="AE59" i="19"/>
  <c r="AJ58" i="19"/>
  <c r="AK58" i="19" s="1"/>
  <c r="AF58" i="19"/>
  <c r="AH57" i="19"/>
  <c r="AI57" i="19" s="1"/>
  <c r="AG19" i="19"/>
  <c r="AF20" i="18"/>
  <c r="AG20" i="18" s="1"/>
  <c r="AH19" i="18"/>
  <c r="AI19" i="18" s="1"/>
  <c r="AE59" i="18"/>
  <c r="AJ58" i="18"/>
  <c r="AK58" i="18" s="1"/>
  <c r="AL58" i="18" s="1"/>
  <c r="AE23" i="18"/>
  <c r="AJ22" i="18"/>
  <c r="AK22" i="18" s="1"/>
  <c r="AL22" i="18" s="1"/>
  <c r="AF57" i="18"/>
  <c r="AG57" i="18" s="1"/>
  <c r="AH56" i="18"/>
  <c r="AI56" i="18" s="1"/>
  <c r="AE20" i="17"/>
  <c r="AG19" i="17"/>
  <c r="AH19" i="17" s="1"/>
  <c r="AE57" i="17"/>
  <c r="AG56" i="17"/>
  <c r="AH56" i="17" s="1"/>
  <c r="AF56" i="17"/>
  <c r="AF57" i="17" s="1"/>
  <c r="AH17" i="16"/>
  <c r="AG55" i="16"/>
  <c r="AH55" i="16" s="1"/>
  <c r="AE56" i="16"/>
  <c r="AG18" i="16"/>
  <c r="AE19" i="16"/>
  <c r="AF55" i="16"/>
  <c r="AD20" i="15"/>
  <c r="AF19" i="15"/>
  <c r="AG19" i="15" s="1"/>
  <c r="AD49" i="15"/>
  <c r="AE49" i="15" s="1"/>
  <c r="AF48" i="15"/>
  <c r="AG48" i="15" s="1"/>
  <c r="AE19" i="15"/>
  <c r="AC48" i="14"/>
  <c r="Y22" i="14"/>
  <c r="AD21" i="14"/>
  <c r="AE21" i="14" s="1"/>
  <c r="AF21" i="14" s="1"/>
  <c r="AB20" i="14"/>
  <c r="AC20" i="14" s="1"/>
  <c r="Z21" i="14"/>
  <c r="Z49" i="14"/>
  <c r="AB48" i="14"/>
  <c r="Y56" i="14"/>
  <c r="AD56" i="14" s="1"/>
  <c r="AE56" i="14" s="1"/>
  <c r="AD55" i="14"/>
  <c r="AE55" i="14" s="1"/>
  <c r="AF55" i="14" s="1"/>
  <c r="AF56" i="14" s="1"/>
  <c r="AA20" i="14"/>
  <c r="Y50" i="13"/>
  <c r="AA49" i="13"/>
  <c r="AB49" i="13" s="1"/>
  <c r="AA19" i="13"/>
  <c r="AB19" i="13" s="1"/>
  <c r="Y20" i="13"/>
  <c r="Y22" i="12"/>
  <c r="AA21" i="12"/>
  <c r="AB21" i="12" s="1"/>
  <c r="Y51" i="12"/>
  <c r="AA50" i="12"/>
  <c r="AB50" i="12" s="1"/>
  <c r="Z50" i="12"/>
  <c r="Z51" i="12" s="1"/>
  <c r="Z21" i="12"/>
  <c r="Z22" i="12" s="1"/>
  <c r="AB10" i="11"/>
  <c r="Z11" i="11"/>
  <c r="Y11" i="11"/>
  <c r="AA10" i="11"/>
  <c r="AA37" i="11"/>
  <c r="AB37" i="11" s="1"/>
  <c r="Y38" i="11"/>
  <c r="AB38" i="4"/>
  <c r="AE39" i="4"/>
  <c r="AC39" i="4"/>
  <c r="AD39" i="4" s="1"/>
  <c r="X40" i="4"/>
  <c r="AA39" i="4"/>
  <c r="Y40" i="4"/>
  <c r="S9" i="3"/>
  <c r="T9" i="3" s="1"/>
  <c r="Q10" i="3"/>
  <c r="R9" i="3"/>
  <c r="AH55" i="25" l="1"/>
  <c r="AF55" i="25"/>
  <c r="AF56" i="25" s="1"/>
  <c r="AE56" i="25"/>
  <c r="AG55" i="25"/>
  <c r="AE20" i="25"/>
  <c r="AG19" i="25"/>
  <c r="AH19" i="25"/>
  <c r="AF23" i="23"/>
  <c r="AI58" i="24"/>
  <c r="AF23" i="24"/>
  <c r="AH22" i="24"/>
  <c r="AI22" i="24" s="1"/>
  <c r="AG22" i="24"/>
  <c r="AG58" i="24"/>
  <c r="AH58" i="24"/>
  <c r="AF59" i="24"/>
  <c r="AJ59" i="24"/>
  <c r="AK59" i="24" s="1"/>
  <c r="AL59" i="24" s="1"/>
  <c r="AE60" i="24"/>
  <c r="AE24" i="24"/>
  <c r="AJ23" i="24"/>
  <c r="AK23" i="24" s="1"/>
  <c r="AL23" i="24" s="1"/>
  <c r="AH57" i="23"/>
  <c r="AD24" i="23"/>
  <c r="AI23" i="23"/>
  <c r="AJ23" i="23" s="1"/>
  <c r="AK23" i="23" s="1"/>
  <c r="AG57" i="23"/>
  <c r="AE58" i="23"/>
  <c r="AF57" i="23"/>
  <c r="AD59" i="23"/>
  <c r="AI58" i="23"/>
  <c r="AJ58" i="23" s="1"/>
  <c r="AK58" i="23" s="1"/>
  <c r="AG23" i="23"/>
  <c r="AH23" i="23" s="1"/>
  <c r="AE24" i="23"/>
  <c r="AK59" i="21"/>
  <c r="AG22" i="22"/>
  <c r="AF58" i="21"/>
  <c r="AF58" i="22"/>
  <c r="AH57" i="22"/>
  <c r="AI57" i="22" s="1"/>
  <c r="AF23" i="22"/>
  <c r="AH22" i="22"/>
  <c r="AI22" i="22" s="1"/>
  <c r="AJ59" i="22"/>
  <c r="AK59" i="22" s="1"/>
  <c r="AL59" i="22" s="1"/>
  <c r="AE60" i="22"/>
  <c r="AE26" i="22"/>
  <c r="AJ25" i="22"/>
  <c r="AK25" i="22" s="1"/>
  <c r="AL25" i="22" s="1"/>
  <c r="AG57" i="22"/>
  <c r="AD61" i="21"/>
  <c r="AI60" i="21"/>
  <c r="AJ60" i="21" s="1"/>
  <c r="AG58" i="21"/>
  <c r="AH58" i="21" s="1"/>
  <c r="AE59" i="21"/>
  <c r="AG20" i="19"/>
  <c r="AE24" i="19"/>
  <c r="AJ23" i="19"/>
  <c r="AK23" i="19" s="1"/>
  <c r="AL23" i="19" s="1"/>
  <c r="AE60" i="19"/>
  <c r="AJ59" i="19"/>
  <c r="AK59" i="19" s="1"/>
  <c r="AL59" i="19" s="1"/>
  <c r="AH20" i="19"/>
  <c r="AI20" i="19" s="1"/>
  <c r="AF21" i="19"/>
  <c r="AF59" i="19"/>
  <c r="AH58" i="19"/>
  <c r="AI58" i="19" s="1"/>
  <c r="AG58" i="19"/>
  <c r="AG59" i="19" s="1"/>
  <c r="AJ59" i="18"/>
  <c r="AK59" i="18" s="1"/>
  <c r="AL59" i="18" s="1"/>
  <c r="AE60" i="18"/>
  <c r="AF58" i="18"/>
  <c r="AH57" i="18"/>
  <c r="AI57" i="18" s="1"/>
  <c r="AE24" i="18"/>
  <c r="AJ23" i="18"/>
  <c r="AK23" i="18" s="1"/>
  <c r="AL23" i="18" s="1"/>
  <c r="AF21" i="18"/>
  <c r="AH20" i="18"/>
  <c r="AI20" i="18" s="1"/>
  <c r="AF56" i="16"/>
  <c r="AE58" i="17"/>
  <c r="AG57" i="17"/>
  <c r="AH57" i="17" s="1"/>
  <c r="AE21" i="17"/>
  <c r="AG20" i="17"/>
  <c r="AH20" i="17" s="1"/>
  <c r="AF20" i="17"/>
  <c r="AF21" i="17" s="1"/>
  <c r="AH18" i="16"/>
  <c r="AE20" i="16"/>
  <c r="AG19" i="16"/>
  <c r="AF19" i="16"/>
  <c r="AF20" i="16" s="1"/>
  <c r="AE57" i="16"/>
  <c r="AG56" i="16"/>
  <c r="AH56" i="16" s="1"/>
  <c r="AE20" i="15"/>
  <c r="AD50" i="15"/>
  <c r="AF49" i="15"/>
  <c r="AG49" i="15" s="1"/>
  <c r="AD21" i="15"/>
  <c r="AF20" i="15"/>
  <c r="AG20" i="15" s="1"/>
  <c r="Z22" i="14"/>
  <c r="AB21" i="14"/>
  <c r="AC21" i="14" s="1"/>
  <c r="AA21" i="14"/>
  <c r="AA22" i="14" s="1"/>
  <c r="Y23" i="14"/>
  <c r="AD22" i="14"/>
  <c r="AE22" i="14" s="1"/>
  <c r="AF22" i="14" s="1"/>
  <c r="AB49" i="14"/>
  <c r="AC49" i="14" s="1"/>
  <c r="Z50" i="14"/>
  <c r="AA49" i="14"/>
  <c r="AA20" i="13"/>
  <c r="AB20" i="13" s="1"/>
  <c r="Y21" i="13"/>
  <c r="Y51" i="13"/>
  <c r="AA50" i="13"/>
  <c r="AB50" i="13" s="1"/>
  <c r="Z20" i="13"/>
  <c r="Z21" i="13" s="1"/>
  <c r="Z50" i="13"/>
  <c r="Z51" i="13" s="1"/>
  <c r="AA51" i="12"/>
  <c r="AB51" i="12" s="1"/>
  <c r="Y52" i="12"/>
  <c r="Y23" i="12"/>
  <c r="AA22" i="12"/>
  <c r="AB22" i="12" s="1"/>
  <c r="Y39" i="11"/>
  <c r="AA38" i="11"/>
  <c r="AB38" i="11" s="1"/>
  <c r="Z38" i="11"/>
  <c r="Z39" i="11" s="1"/>
  <c r="AA11" i="11"/>
  <c r="AB11" i="11" s="1"/>
  <c r="Y12" i="11"/>
  <c r="AB39" i="4"/>
  <c r="AA40" i="4"/>
  <c r="Y41" i="4"/>
  <c r="Z40" i="4"/>
  <c r="Z41" i="4" s="1"/>
  <c r="AC40" i="4"/>
  <c r="AD40" i="4" s="1"/>
  <c r="AE40" i="4" s="1"/>
  <c r="X41" i="4"/>
  <c r="R10" i="3"/>
  <c r="Q11" i="3"/>
  <c r="S10" i="3"/>
  <c r="T10" i="3" s="1"/>
  <c r="AG58" i="22" l="1"/>
  <c r="AE21" i="25"/>
  <c r="AG20" i="25"/>
  <c r="AH20" i="25" s="1"/>
  <c r="AG56" i="25"/>
  <c r="AH56" i="25" s="1"/>
  <c r="AE57" i="25"/>
  <c r="AF57" i="25" s="1"/>
  <c r="AF20" i="25"/>
  <c r="AF58" i="23"/>
  <c r="AF24" i="24"/>
  <c r="AH23" i="24"/>
  <c r="AI23" i="24" s="1"/>
  <c r="AG23" i="24"/>
  <c r="AE61" i="24"/>
  <c r="AJ60" i="24"/>
  <c r="AK60" i="24" s="1"/>
  <c r="AL60" i="24" s="1"/>
  <c r="AF60" i="24"/>
  <c r="AH59" i="24"/>
  <c r="AI59" i="24" s="1"/>
  <c r="AG59" i="24"/>
  <c r="AE25" i="24"/>
  <c r="AJ24" i="24"/>
  <c r="AK24" i="24" s="1"/>
  <c r="AL24" i="24" s="1"/>
  <c r="AI59" i="23"/>
  <c r="AJ59" i="23" s="1"/>
  <c r="AK59" i="23" s="1"/>
  <c r="AD60" i="23"/>
  <c r="AE59" i="23"/>
  <c r="AG58" i="23"/>
  <c r="AH58" i="23" s="1"/>
  <c r="AE25" i="23"/>
  <c r="AG24" i="23"/>
  <c r="AH24" i="23" s="1"/>
  <c r="AF59" i="23"/>
  <c r="AF24" i="23"/>
  <c r="AD25" i="23"/>
  <c r="AI24" i="23"/>
  <c r="AJ24" i="23" s="1"/>
  <c r="AK24" i="23" s="1"/>
  <c r="AK60" i="21"/>
  <c r="AG23" i="22"/>
  <c r="AF59" i="21"/>
  <c r="AE27" i="22"/>
  <c r="AJ27" i="22" s="1"/>
  <c r="AK27" i="22" s="1"/>
  <c r="AJ26" i="22"/>
  <c r="AK26" i="22" s="1"/>
  <c r="AL26" i="22" s="1"/>
  <c r="AH23" i="22"/>
  <c r="AI23" i="22" s="1"/>
  <c r="AF24" i="22"/>
  <c r="AH58" i="22"/>
  <c r="AI58" i="22" s="1"/>
  <c r="AF59" i="22"/>
  <c r="AE61" i="22"/>
  <c r="AJ60" i="22"/>
  <c r="AK60" i="22" s="1"/>
  <c r="AL60" i="22" s="1"/>
  <c r="AE60" i="21"/>
  <c r="AG59" i="21"/>
  <c r="AH59" i="21" s="1"/>
  <c r="AD62" i="21"/>
  <c r="AI61" i="21"/>
  <c r="AJ61" i="21" s="1"/>
  <c r="AG21" i="19"/>
  <c r="AE61" i="19"/>
  <c r="AJ60" i="19"/>
  <c r="AK60" i="19" s="1"/>
  <c r="AL60" i="19" s="1"/>
  <c r="AG60" i="19"/>
  <c r="AE25" i="19"/>
  <c r="AJ24" i="19"/>
  <c r="AK24" i="19" s="1"/>
  <c r="AL24" i="19" s="1"/>
  <c r="AF60" i="19"/>
  <c r="AH59" i="19"/>
  <c r="AI59" i="19" s="1"/>
  <c r="AH21" i="19"/>
  <c r="AI21" i="19" s="1"/>
  <c r="AF22" i="19"/>
  <c r="AH21" i="18"/>
  <c r="AI21" i="18" s="1"/>
  <c r="AF22" i="18"/>
  <c r="AE61" i="18"/>
  <c r="AJ60" i="18"/>
  <c r="AK60" i="18" s="1"/>
  <c r="AL60" i="18" s="1"/>
  <c r="AG21" i="18"/>
  <c r="AG22" i="18" s="1"/>
  <c r="AE25" i="18"/>
  <c r="AJ24" i="18"/>
  <c r="AK24" i="18" s="1"/>
  <c r="AL24" i="18" s="1"/>
  <c r="AH58" i="18"/>
  <c r="AI58" i="18" s="1"/>
  <c r="AF59" i="18"/>
  <c r="AG58" i="18"/>
  <c r="AG59" i="18" s="1"/>
  <c r="AG21" i="17"/>
  <c r="AH21" i="17" s="1"/>
  <c r="AE22" i="17"/>
  <c r="AG58" i="17"/>
  <c r="AH58" i="17" s="1"/>
  <c r="AE59" i="17"/>
  <c r="AF58" i="17"/>
  <c r="AF59" i="17" s="1"/>
  <c r="AH19" i="16"/>
  <c r="AG57" i="16"/>
  <c r="AH57" i="16" s="1"/>
  <c r="AE58" i="16"/>
  <c r="AG20" i="16"/>
  <c r="AE21" i="16"/>
  <c r="AF57" i="16"/>
  <c r="AD22" i="15"/>
  <c r="AF21" i="15"/>
  <c r="AG21" i="15" s="1"/>
  <c r="AF50" i="15"/>
  <c r="AG50" i="15" s="1"/>
  <c r="AD51" i="15"/>
  <c r="AE21" i="15"/>
  <c r="AE50" i="15"/>
  <c r="AE51" i="15" s="1"/>
  <c r="AA50" i="14"/>
  <c r="Y24" i="14"/>
  <c r="AD23" i="14"/>
  <c r="AE23" i="14" s="1"/>
  <c r="AF23" i="14" s="1"/>
  <c r="AB22" i="14"/>
  <c r="AC22" i="14" s="1"/>
  <c r="Z23" i="14"/>
  <c r="AA23" i="14" s="1"/>
  <c r="AB50" i="14"/>
  <c r="AC50" i="14" s="1"/>
  <c r="Z51" i="14"/>
  <c r="AA51" i="14" s="1"/>
  <c r="AA51" i="13"/>
  <c r="AB51" i="13" s="1"/>
  <c r="Y52" i="13"/>
  <c r="Y22" i="13"/>
  <c r="AA21" i="13"/>
  <c r="AB21" i="13" s="1"/>
  <c r="AA23" i="12"/>
  <c r="AB23" i="12" s="1"/>
  <c r="Y24" i="12"/>
  <c r="AA52" i="12"/>
  <c r="AB52" i="12" s="1"/>
  <c r="Y53" i="12"/>
  <c r="Z52" i="12"/>
  <c r="Z53" i="12" s="1"/>
  <c r="Z23" i="12"/>
  <c r="Z24" i="12" s="1"/>
  <c r="AA12" i="11"/>
  <c r="AB12" i="11" s="1"/>
  <c r="Y13" i="11"/>
  <c r="Z12" i="11"/>
  <c r="Z13" i="11" s="1"/>
  <c r="Y40" i="11"/>
  <c r="AA39" i="11"/>
  <c r="AB39" i="11" s="1"/>
  <c r="AB40" i="4"/>
  <c r="AE41" i="4"/>
  <c r="AC41" i="4"/>
  <c r="AD41" i="4" s="1"/>
  <c r="X42" i="4"/>
  <c r="Y42" i="4"/>
  <c r="AA41" i="4"/>
  <c r="Z42" i="4"/>
  <c r="S11" i="3"/>
  <c r="T11" i="3" s="1"/>
  <c r="Q12" i="3"/>
  <c r="R11" i="3"/>
  <c r="R12" i="3" s="1"/>
  <c r="AG59" i="22" l="1"/>
  <c r="AF21" i="25"/>
  <c r="AG57" i="25"/>
  <c r="AH57" i="25" s="1"/>
  <c r="AE58" i="25"/>
  <c r="AG21" i="25"/>
  <c r="AH21" i="25" s="1"/>
  <c r="AE22" i="25"/>
  <c r="AG24" i="24"/>
  <c r="AG25" i="24" s="1"/>
  <c r="AE62" i="24"/>
  <c r="AJ61" i="24"/>
  <c r="AK61" i="24" s="1"/>
  <c r="AL61" i="24" s="1"/>
  <c r="AE26" i="24"/>
  <c r="AJ25" i="24"/>
  <c r="AK25" i="24" s="1"/>
  <c r="AL25" i="24" s="1"/>
  <c r="AG60" i="24"/>
  <c r="AH24" i="24"/>
  <c r="AI24" i="24" s="1"/>
  <c r="AF25" i="24"/>
  <c r="AF61" i="24"/>
  <c r="AH60" i="24"/>
  <c r="AI60" i="24" s="1"/>
  <c r="AD61" i="23"/>
  <c r="AI60" i="23"/>
  <c r="AJ60" i="23" s="1"/>
  <c r="AK60" i="23" s="1"/>
  <c r="AG25" i="23"/>
  <c r="AH25" i="23" s="1"/>
  <c r="AE26" i="23"/>
  <c r="AD26" i="23"/>
  <c r="AI25" i="23"/>
  <c r="AJ25" i="23" s="1"/>
  <c r="AK25" i="23" s="1"/>
  <c r="AG59" i="23"/>
  <c r="AH59" i="23" s="1"/>
  <c r="AE60" i="23"/>
  <c r="AF25" i="23"/>
  <c r="AK61" i="21"/>
  <c r="AG24" i="22"/>
  <c r="AL27" i="22"/>
  <c r="AF60" i="21"/>
  <c r="AE62" i="22"/>
  <c r="AJ61" i="22"/>
  <c r="AK61" i="22" s="1"/>
  <c r="AL61" i="22" s="1"/>
  <c r="AH24" i="22"/>
  <c r="AI24" i="22" s="1"/>
  <c r="AF25" i="22"/>
  <c r="AF60" i="22"/>
  <c r="AH59" i="22"/>
  <c r="AI59" i="22" s="1"/>
  <c r="AD63" i="21"/>
  <c r="AI63" i="21" s="1"/>
  <c r="AJ63" i="21" s="1"/>
  <c r="AI62" i="21"/>
  <c r="AJ62" i="21" s="1"/>
  <c r="AE61" i="21"/>
  <c r="AG60" i="21"/>
  <c r="AH60" i="21" s="1"/>
  <c r="AE26" i="19"/>
  <c r="AJ25" i="19"/>
  <c r="AK25" i="19" s="1"/>
  <c r="AL25" i="19" s="1"/>
  <c r="AG61" i="19"/>
  <c r="AH22" i="19"/>
  <c r="AI22" i="19" s="1"/>
  <c r="AF23" i="19"/>
  <c r="AG22" i="19"/>
  <c r="AG23" i="19" s="1"/>
  <c r="AH60" i="19"/>
  <c r="AI60" i="19" s="1"/>
  <c r="AF61" i="19"/>
  <c r="AE62" i="19"/>
  <c r="AJ61" i="19"/>
  <c r="AK61" i="19" s="1"/>
  <c r="AL61" i="19" s="1"/>
  <c r="AE62" i="18"/>
  <c r="AJ61" i="18"/>
  <c r="AK61" i="18" s="1"/>
  <c r="AL61" i="18" s="1"/>
  <c r="AF23" i="18"/>
  <c r="AH22" i="18"/>
  <c r="AI22" i="18" s="1"/>
  <c r="AH59" i="18"/>
  <c r="AI59" i="18" s="1"/>
  <c r="AF60" i="18"/>
  <c r="AE26" i="18"/>
  <c r="AJ25" i="18"/>
  <c r="AK25" i="18" s="1"/>
  <c r="AL25" i="18" s="1"/>
  <c r="AF58" i="16"/>
  <c r="AG59" i="17"/>
  <c r="AH59" i="17" s="1"/>
  <c r="AE60" i="17"/>
  <c r="AE23" i="17"/>
  <c r="AG22" i="17"/>
  <c r="AH22" i="17" s="1"/>
  <c r="AF22" i="17"/>
  <c r="AF23" i="17" s="1"/>
  <c r="AH20" i="16"/>
  <c r="AG21" i="16"/>
  <c r="AE22" i="16"/>
  <c r="AF21" i="16"/>
  <c r="AG58" i="16"/>
  <c r="AH58" i="16" s="1"/>
  <c r="AE59" i="16"/>
  <c r="AE22" i="15"/>
  <c r="AD52" i="15"/>
  <c r="AF51" i="15"/>
  <c r="AG51" i="15" s="1"/>
  <c r="AD23" i="15"/>
  <c r="AF22" i="15"/>
  <c r="AG22" i="15" s="1"/>
  <c r="Z24" i="14"/>
  <c r="AB23" i="14"/>
  <c r="AC23" i="14" s="1"/>
  <c r="AB51" i="14"/>
  <c r="AC51" i="14" s="1"/>
  <c r="Z52" i="14"/>
  <c r="AA52" i="14" s="1"/>
  <c r="Y25" i="14"/>
  <c r="AD24" i="14"/>
  <c r="AE24" i="14" s="1"/>
  <c r="AF24" i="14" s="1"/>
  <c r="AA22" i="13"/>
  <c r="AB22" i="13" s="1"/>
  <c r="Y23" i="13"/>
  <c r="AA52" i="13"/>
  <c r="AB52" i="13" s="1"/>
  <c r="Y53" i="13"/>
  <c r="Z22" i="13"/>
  <c r="Z23" i="13" s="1"/>
  <c r="Z52" i="13"/>
  <c r="Z53" i="13" s="1"/>
  <c r="AA53" i="12"/>
  <c r="AB53" i="12" s="1"/>
  <c r="Y54" i="12"/>
  <c r="Y25" i="12"/>
  <c r="AA24" i="12"/>
  <c r="AB24" i="12" s="1"/>
  <c r="Y41" i="11"/>
  <c r="AA40" i="11"/>
  <c r="AB40" i="11" s="1"/>
  <c r="Z40" i="11"/>
  <c r="Z41" i="11" s="1"/>
  <c r="AA13" i="11"/>
  <c r="AB13" i="11" s="1"/>
  <c r="Y14" i="11"/>
  <c r="AB41" i="4"/>
  <c r="Y43" i="4"/>
  <c r="AA42" i="4"/>
  <c r="AC42" i="4"/>
  <c r="AD42" i="4" s="1"/>
  <c r="AE42" i="4" s="1"/>
  <c r="X43" i="4"/>
  <c r="S12" i="3"/>
  <c r="T12" i="3" s="1"/>
  <c r="Q13" i="3"/>
  <c r="AW23" i="22" l="1"/>
  <c r="AP13" i="22"/>
  <c r="AH58" i="25"/>
  <c r="AE23" i="25"/>
  <c r="AG22" i="25"/>
  <c r="AH22" i="25" s="1"/>
  <c r="AF22" i="25"/>
  <c r="AE59" i="25"/>
  <c r="AG58" i="25"/>
  <c r="AF58" i="25"/>
  <c r="AG61" i="24"/>
  <c r="AE27" i="24"/>
  <c r="AJ27" i="24" s="1"/>
  <c r="AK27" i="24" s="1"/>
  <c r="AJ26" i="24"/>
  <c r="AK26" i="24" s="1"/>
  <c r="AL26" i="24" s="1"/>
  <c r="AL27" i="24" s="1"/>
  <c r="AF62" i="24"/>
  <c r="AH61" i="24"/>
  <c r="AJ62" i="24"/>
  <c r="AK62" i="24" s="1"/>
  <c r="AL62" i="24" s="1"/>
  <c r="AE63" i="24"/>
  <c r="AJ63" i="24" s="1"/>
  <c r="AK63" i="24" s="1"/>
  <c r="AF26" i="24"/>
  <c r="AG26" i="24" s="1"/>
  <c r="AH25" i="24"/>
  <c r="AI25" i="24" s="1"/>
  <c r="AI61" i="24"/>
  <c r="AE27" i="23"/>
  <c r="AG26" i="23"/>
  <c r="AH26" i="23" s="1"/>
  <c r="AD27" i="23"/>
  <c r="AI27" i="23" s="1"/>
  <c r="AJ27" i="23" s="1"/>
  <c r="AI26" i="23"/>
  <c r="AJ26" i="23" s="1"/>
  <c r="AK26" i="23" s="1"/>
  <c r="AK27" i="23" s="1"/>
  <c r="AF26" i="23"/>
  <c r="AE61" i="23"/>
  <c r="AG60" i="23"/>
  <c r="AH60" i="23" s="1"/>
  <c r="AD62" i="23"/>
  <c r="AI61" i="23"/>
  <c r="AJ61" i="23" s="1"/>
  <c r="AK61" i="23" s="1"/>
  <c r="AF60" i="23"/>
  <c r="AK62" i="21"/>
  <c r="AK63" i="21" s="1"/>
  <c r="AG25" i="22"/>
  <c r="AF61" i="22"/>
  <c r="AH60" i="22"/>
  <c r="AI60" i="22" s="1"/>
  <c r="AH25" i="22"/>
  <c r="AI25" i="22" s="1"/>
  <c r="AF26" i="22"/>
  <c r="AE63" i="22"/>
  <c r="AJ63" i="22" s="1"/>
  <c r="AK63" i="22" s="1"/>
  <c r="AJ62" i="22"/>
  <c r="AK62" i="22" s="1"/>
  <c r="AL62" i="22" s="1"/>
  <c r="AG60" i="22"/>
  <c r="AE62" i="21"/>
  <c r="AG61" i="21"/>
  <c r="AH61" i="21" s="1"/>
  <c r="AF61" i="21"/>
  <c r="AE63" i="19"/>
  <c r="AJ63" i="19" s="1"/>
  <c r="AK63" i="19" s="1"/>
  <c r="AJ62" i="19"/>
  <c r="AK62" i="19" s="1"/>
  <c r="AL62" i="19" s="1"/>
  <c r="AL63" i="19" s="1"/>
  <c r="AF24" i="19"/>
  <c r="AH23" i="19"/>
  <c r="AI23" i="19" s="1"/>
  <c r="AE27" i="19"/>
  <c r="AJ27" i="19" s="1"/>
  <c r="AK27" i="19" s="1"/>
  <c r="AJ26" i="19"/>
  <c r="AK26" i="19" s="1"/>
  <c r="AL26" i="19" s="1"/>
  <c r="AF62" i="19"/>
  <c r="AH61" i="19"/>
  <c r="AI61" i="19" s="1"/>
  <c r="AE27" i="18"/>
  <c r="AJ27" i="18" s="1"/>
  <c r="AK27" i="18" s="1"/>
  <c r="AJ26" i="18"/>
  <c r="AK26" i="18" s="1"/>
  <c r="AL26" i="18" s="1"/>
  <c r="AL27" i="18" s="1"/>
  <c r="AF24" i="18"/>
  <c r="AH23" i="18"/>
  <c r="AI23" i="18" s="1"/>
  <c r="AE63" i="18"/>
  <c r="AJ63" i="18" s="1"/>
  <c r="AK63" i="18" s="1"/>
  <c r="AJ62" i="18"/>
  <c r="AK62" i="18" s="1"/>
  <c r="AL62" i="18" s="1"/>
  <c r="AG23" i="18"/>
  <c r="AH60" i="18"/>
  <c r="AI60" i="18" s="1"/>
  <c r="AF61" i="18"/>
  <c r="AG60" i="18"/>
  <c r="AG61" i="18" s="1"/>
  <c r="AG23" i="17"/>
  <c r="AH23" i="17" s="1"/>
  <c r="AE24" i="17"/>
  <c r="AE61" i="17"/>
  <c r="AG60" i="17"/>
  <c r="AH60" i="17" s="1"/>
  <c r="AF60" i="17"/>
  <c r="AF61" i="17" s="1"/>
  <c r="AH21" i="16"/>
  <c r="AF22" i="16"/>
  <c r="AG59" i="16"/>
  <c r="AH59" i="16" s="1"/>
  <c r="AE60" i="16"/>
  <c r="AF59" i="16"/>
  <c r="AF60" i="16" s="1"/>
  <c r="AE23" i="16"/>
  <c r="AG22" i="16"/>
  <c r="AF23" i="15"/>
  <c r="AG23" i="15" s="1"/>
  <c r="AD24" i="15"/>
  <c r="AF52" i="15"/>
  <c r="AG52" i="15" s="1"/>
  <c r="AD53" i="15"/>
  <c r="AE23" i="15"/>
  <c r="AE52" i="15"/>
  <c r="AE53" i="15" s="1"/>
  <c r="Z25" i="14"/>
  <c r="AB24" i="14"/>
  <c r="AC24" i="14" s="1"/>
  <c r="Y26" i="14"/>
  <c r="AD25" i="14"/>
  <c r="AE25" i="14" s="1"/>
  <c r="AF25" i="14" s="1"/>
  <c r="AA24" i="14"/>
  <c r="AB52" i="14"/>
  <c r="AC52" i="14" s="1"/>
  <c r="Z53" i="14"/>
  <c r="AA53" i="13"/>
  <c r="AB53" i="13" s="1"/>
  <c r="Y54" i="13"/>
  <c r="Y24" i="13"/>
  <c r="AA23" i="13"/>
  <c r="AB23" i="13" s="1"/>
  <c r="Y26" i="12"/>
  <c r="AA25" i="12"/>
  <c r="AB25" i="12" s="1"/>
  <c r="AA54" i="12"/>
  <c r="AB54" i="12" s="1"/>
  <c r="Y55" i="12"/>
  <c r="Z54" i="12"/>
  <c r="Z55" i="12" s="1"/>
  <c r="Z25" i="12"/>
  <c r="AA14" i="11"/>
  <c r="AB14" i="11" s="1"/>
  <c r="Y15" i="11"/>
  <c r="Z14" i="11"/>
  <c r="Z15" i="11" s="1"/>
  <c r="AA41" i="11"/>
  <c r="AB41" i="11" s="1"/>
  <c r="Y42" i="11"/>
  <c r="Z42" i="11" s="1"/>
  <c r="AB42" i="4"/>
  <c r="AC43" i="4"/>
  <c r="AD43" i="4" s="1"/>
  <c r="AE43" i="4" s="1"/>
  <c r="X44" i="4"/>
  <c r="AA43" i="4"/>
  <c r="Y44" i="4"/>
  <c r="Z43" i="4"/>
  <c r="Z44" i="4" s="1"/>
  <c r="S13" i="3"/>
  <c r="T13" i="3" s="1"/>
  <c r="Q14" i="3"/>
  <c r="R13" i="3"/>
  <c r="R14" i="3" s="1"/>
  <c r="AF59" i="25" l="1"/>
  <c r="AF60" i="25" s="1"/>
  <c r="AF23" i="25"/>
  <c r="AG59" i="25"/>
  <c r="AE60" i="25"/>
  <c r="AE24" i="25"/>
  <c r="AG23" i="25"/>
  <c r="AH23" i="25" s="1"/>
  <c r="AH59" i="25"/>
  <c r="AL63" i="24"/>
  <c r="AW2" i="24" s="1"/>
  <c r="AF61" i="23"/>
  <c r="AF27" i="23"/>
  <c r="AH62" i="24"/>
  <c r="AI62" i="24" s="1"/>
  <c r="AF63" i="24"/>
  <c r="AH63" i="24" s="1"/>
  <c r="AG62" i="24"/>
  <c r="AG63" i="24" s="1"/>
  <c r="AF27" i="24"/>
  <c r="AH26" i="24"/>
  <c r="AI26" i="24" s="1"/>
  <c r="AK62" i="23"/>
  <c r="AG27" i="23"/>
  <c r="AH27" i="23" s="1"/>
  <c r="AF31" i="23"/>
  <c r="AD63" i="23"/>
  <c r="AI63" i="23" s="1"/>
  <c r="AJ63" i="23" s="1"/>
  <c r="AI62" i="23"/>
  <c r="AJ62" i="23" s="1"/>
  <c r="AE62" i="23"/>
  <c r="AG61" i="23"/>
  <c r="AH61" i="23" s="1"/>
  <c r="AF27" i="22"/>
  <c r="AH26" i="22"/>
  <c r="AI26" i="22" s="1"/>
  <c r="AF62" i="22"/>
  <c r="AH61" i="22"/>
  <c r="AI61" i="22" s="1"/>
  <c r="AG26" i="22"/>
  <c r="AG61" i="22"/>
  <c r="AL63" i="22"/>
  <c r="AG62" i="21"/>
  <c r="AH62" i="21" s="1"/>
  <c r="AE63" i="21"/>
  <c r="AG63" i="21" s="1"/>
  <c r="AF62" i="21"/>
  <c r="AL27" i="19"/>
  <c r="AW2" i="19" s="1"/>
  <c r="AY80" i="19" s="1"/>
  <c r="AY65" i="19"/>
  <c r="AY63" i="19"/>
  <c r="AY72" i="19"/>
  <c r="AY84" i="19"/>
  <c r="AY55" i="19"/>
  <c r="AY69" i="19"/>
  <c r="AY61" i="19"/>
  <c r="AY49" i="19"/>
  <c r="AY44" i="19"/>
  <c r="BA44" i="19" s="1"/>
  <c r="AY39" i="19"/>
  <c r="BA39" i="19" s="1"/>
  <c r="AY76" i="19"/>
  <c r="AY96" i="19"/>
  <c r="AY59" i="19"/>
  <c r="AY51" i="19"/>
  <c r="AY37" i="19"/>
  <c r="BA37" i="19" s="1"/>
  <c r="AY32" i="19"/>
  <c r="BA32" i="19" s="1"/>
  <c r="AY28" i="19"/>
  <c r="BA28" i="19" s="1"/>
  <c r="AY78" i="19"/>
  <c r="AY27" i="19"/>
  <c r="BA27" i="19" s="1"/>
  <c r="AY23" i="19"/>
  <c r="BA23" i="19" s="1"/>
  <c r="AY22" i="19"/>
  <c r="BA22" i="19" s="1"/>
  <c r="AY5" i="19"/>
  <c r="BA5" i="19" s="1"/>
  <c r="AY53" i="19"/>
  <c r="AY11" i="19"/>
  <c r="BA11" i="19" s="1"/>
  <c r="AY2" i="19"/>
  <c r="AY66" i="19"/>
  <c r="AY26" i="19"/>
  <c r="BA26" i="19" s="1"/>
  <c r="AY6" i="19"/>
  <c r="BA6" i="19" s="1"/>
  <c r="AY46" i="19"/>
  <c r="BA46" i="19" s="1"/>
  <c r="AY45" i="19"/>
  <c r="BA45" i="19" s="1"/>
  <c r="AY34" i="19"/>
  <c r="BA34" i="19" s="1"/>
  <c r="AY7" i="19"/>
  <c r="BA7" i="19" s="1"/>
  <c r="AY57" i="19"/>
  <c r="AY33" i="19"/>
  <c r="BA33" i="19" s="1"/>
  <c r="AY88" i="19"/>
  <c r="AY38" i="19"/>
  <c r="BA38" i="19" s="1"/>
  <c r="AY52" i="19"/>
  <c r="AY42" i="19"/>
  <c r="BA42" i="19" s="1"/>
  <c r="AY73" i="19"/>
  <c r="AY68" i="19"/>
  <c r="AY21" i="19"/>
  <c r="BA21" i="19" s="1"/>
  <c r="AY18" i="19"/>
  <c r="BA18" i="19" s="1"/>
  <c r="AY24" i="19"/>
  <c r="BA24" i="19" s="1"/>
  <c r="AY36" i="19"/>
  <c r="BA36" i="19" s="1"/>
  <c r="AY56" i="19"/>
  <c r="AY90" i="19"/>
  <c r="AY10" i="19"/>
  <c r="BA10" i="19" s="1"/>
  <c r="AY43" i="19"/>
  <c r="BA43" i="19" s="1"/>
  <c r="AY85" i="19"/>
  <c r="AY89" i="19"/>
  <c r="AY99" i="19"/>
  <c r="AY30" i="19"/>
  <c r="BA30" i="19" s="1"/>
  <c r="AY13" i="19"/>
  <c r="BA13" i="19" s="1"/>
  <c r="AY31" i="19"/>
  <c r="BA31" i="19" s="1"/>
  <c r="AY8" i="19"/>
  <c r="BA8" i="19" s="1"/>
  <c r="AY91" i="19"/>
  <c r="AY79" i="19"/>
  <c r="AY67" i="19"/>
  <c r="AY97" i="19"/>
  <c r="AY82" i="19"/>
  <c r="AY103" i="19"/>
  <c r="AY93" i="19"/>
  <c r="AY19" i="19"/>
  <c r="BA19" i="19" s="1"/>
  <c r="AY54" i="19"/>
  <c r="AY86" i="19"/>
  <c r="AY3" i="19"/>
  <c r="BA3" i="19" s="1"/>
  <c r="AY15" i="19"/>
  <c r="BA15" i="19" s="1"/>
  <c r="AY4" i="19"/>
  <c r="BA4" i="19" s="1"/>
  <c r="AY58" i="19"/>
  <c r="AY12" i="19"/>
  <c r="BA12" i="19" s="1"/>
  <c r="AY14" i="19"/>
  <c r="BA14" i="19" s="1"/>
  <c r="AY25" i="19"/>
  <c r="BA25" i="19" s="1"/>
  <c r="AY41" i="19"/>
  <c r="BA41" i="19" s="1"/>
  <c r="AY95" i="19"/>
  <c r="AY60" i="19"/>
  <c r="AY47" i="19"/>
  <c r="AY50" i="19"/>
  <c r="AY83" i="19"/>
  <c r="AY20" i="19"/>
  <c r="BA20" i="19" s="1"/>
  <c r="AY64" i="19"/>
  <c r="AY29" i="19"/>
  <c r="BA29" i="19" s="1"/>
  <c r="AY71" i="19"/>
  <c r="AY98" i="19"/>
  <c r="AY81" i="19"/>
  <c r="AY77" i="19"/>
  <c r="AY35" i="19"/>
  <c r="BA35" i="19" s="1"/>
  <c r="AY62" i="19"/>
  <c r="AY94" i="19"/>
  <c r="AY87" i="19"/>
  <c r="AY75" i="19"/>
  <c r="AY102" i="19"/>
  <c r="AY101" i="19"/>
  <c r="AF25" i="19"/>
  <c r="AH24" i="19"/>
  <c r="AI24" i="19" s="1"/>
  <c r="AG24" i="19"/>
  <c r="AF63" i="19"/>
  <c r="AH63" i="19" s="1"/>
  <c r="AH62" i="19"/>
  <c r="AI62" i="19" s="1"/>
  <c r="AI63" i="19" s="1"/>
  <c r="AG62" i="19"/>
  <c r="AG63" i="19" s="1"/>
  <c r="AH24" i="18"/>
  <c r="AI24" i="18" s="1"/>
  <c r="AF25" i="18"/>
  <c r="AF62" i="18"/>
  <c r="AH61" i="18"/>
  <c r="AI61" i="18" s="1"/>
  <c r="AL63" i="18"/>
  <c r="AW2" i="18" s="1"/>
  <c r="AG24" i="18"/>
  <c r="AE25" i="17"/>
  <c r="AG24" i="17"/>
  <c r="AH24" i="17" s="1"/>
  <c r="AG61" i="17"/>
  <c r="AH61" i="17" s="1"/>
  <c r="AE62" i="17"/>
  <c r="AF24" i="17"/>
  <c r="AH22" i="16"/>
  <c r="AE24" i="16"/>
  <c r="AG23" i="16"/>
  <c r="AF23" i="16"/>
  <c r="AF24" i="16" s="1"/>
  <c r="AG60" i="16"/>
  <c r="AH60" i="16" s="1"/>
  <c r="AE61" i="16"/>
  <c r="AE24" i="15"/>
  <c r="AF53" i="15"/>
  <c r="AG53" i="15" s="1"/>
  <c r="AD54" i="15"/>
  <c r="AD25" i="15"/>
  <c r="AF24" i="15"/>
  <c r="AG24" i="15" s="1"/>
  <c r="Y27" i="14"/>
  <c r="AD27" i="14" s="1"/>
  <c r="AE27" i="14" s="1"/>
  <c r="AD26" i="14"/>
  <c r="AE26" i="14" s="1"/>
  <c r="AF26" i="14" s="1"/>
  <c r="AB25" i="14"/>
  <c r="AC25" i="14" s="1"/>
  <c r="Z26" i="14"/>
  <c r="AB53" i="14"/>
  <c r="AC53" i="14" s="1"/>
  <c r="Z54" i="14"/>
  <c r="AA53" i="14"/>
  <c r="AA54" i="14" s="1"/>
  <c r="AA25" i="14"/>
  <c r="Y25" i="13"/>
  <c r="AA24" i="13"/>
  <c r="AB24" i="13" s="1"/>
  <c r="AA54" i="13"/>
  <c r="AB54" i="13" s="1"/>
  <c r="Y55" i="13"/>
  <c r="Z24" i="13"/>
  <c r="Z25" i="13" s="1"/>
  <c r="Z54" i="13"/>
  <c r="Z55" i="13" s="1"/>
  <c r="Z26" i="12"/>
  <c r="AA55" i="12"/>
  <c r="AB55" i="12" s="1"/>
  <c r="AB56" i="12" s="1"/>
  <c r="Y56" i="12"/>
  <c r="AA56" i="12" s="1"/>
  <c r="Y27" i="12"/>
  <c r="AA27" i="12" s="1"/>
  <c r="AA26" i="12"/>
  <c r="AB26" i="12" s="1"/>
  <c r="AB27" i="12" s="1"/>
  <c r="AA15" i="11"/>
  <c r="AB15" i="11" s="1"/>
  <c r="Y16" i="11"/>
  <c r="AA42" i="11"/>
  <c r="AB42" i="11" s="1"/>
  <c r="Y43" i="11"/>
  <c r="AB43" i="4"/>
  <c r="AC44" i="4"/>
  <c r="AD44" i="4" s="1"/>
  <c r="AE44" i="4" s="1"/>
  <c r="X45" i="4"/>
  <c r="AA44" i="4"/>
  <c r="Y45" i="4"/>
  <c r="S14" i="3"/>
  <c r="T14" i="3" s="1"/>
  <c r="Q15" i="3"/>
  <c r="AG62" i="22" l="1"/>
  <c r="AH60" i="25"/>
  <c r="AE25" i="25"/>
  <c r="AG24" i="25"/>
  <c r="AH24" i="25" s="1"/>
  <c r="AE61" i="25"/>
  <c r="AG60" i="25"/>
  <c r="AF24" i="25"/>
  <c r="AF61" i="25"/>
  <c r="AI63" i="24"/>
  <c r="AF62" i="23"/>
  <c r="AH27" i="24"/>
  <c r="AI27" i="24" s="1"/>
  <c r="AG31" i="24"/>
  <c r="AG27" i="24"/>
  <c r="AY51" i="24"/>
  <c r="AY48" i="24"/>
  <c r="AY45" i="24"/>
  <c r="AZ45" i="24" s="1"/>
  <c r="BA45" i="24" s="1"/>
  <c r="AY57" i="24"/>
  <c r="AY99" i="24"/>
  <c r="AY98" i="24"/>
  <c r="AY83" i="24"/>
  <c r="AY82" i="24"/>
  <c r="AY67" i="24"/>
  <c r="AY66" i="24"/>
  <c r="AY50" i="24"/>
  <c r="AY47" i="24"/>
  <c r="AY81" i="24"/>
  <c r="AY65" i="24"/>
  <c r="AY91" i="24"/>
  <c r="AY90" i="24"/>
  <c r="AY73" i="24"/>
  <c r="AY89" i="24"/>
  <c r="AY58" i="24"/>
  <c r="AY24" i="24"/>
  <c r="AZ24" i="24" s="1"/>
  <c r="BA24" i="24" s="1"/>
  <c r="AY7" i="24"/>
  <c r="AZ7" i="24" s="1"/>
  <c r="BA7" i="24" s="1"/>
  <c r="AY2" i="24"/>
  <c r="AZ2" i="24" s="1"/>
  <c r="AY80" i="24"/>
  <c r="AY64" i="24"/>
  <c r="AY43" i="24"/>
  <c r="AZ43" i="24" s="1"/>
  <c r="BA43" i="24" s="1"/>
  <c r="AY36" i="24"/>
  <c r="AZ36" i="24" s="1"/>
  <c r="BA36" i="24" s="1"/>
  <c r="AY33" i="24"/>
  <c r="AZ33" i="24" s="1"/>
  <c r="BA33" i="24" s="1"/>
  <c r="AY25" i="24"/>
  <c r="AZ25" i="24" s="1"/>
  <c r="BA25" i="24" s="1"/>
  <c r="AY16" i="24"/>
  <c r="AZ16" i="24" s="1"/>
  <c r="BA16" i="24" s="1"/>
  <c r="AY14" i="24"/>
  <c r="AZ14" i="24" s="1"/>
  <c r="BA14" i="24" s="1"/>
  <c r="AY8" i="24"/>
  <c r="AZ8" i="24" s="1"/>
  <c r="BA8" i="24" s="1"/>
  <c r="AY46" i="24"/>
  <c r="AZ46" i="24" s="1"/>
  <c r="BA46" i="24" s="1"/>
  <c r="AY40" i="24"/>
  <c r="AZ40" i="24" s="1"/>
  <c r="BA40" i="24" s="1"/>
  <c r="AY18" i="24"/>
  <c r="AZ18" i="24" s="1"/>
  <c r="BA18" i="24" s="1"/>
  <c r="AY15" i="24"/>
  <c r="AZ15" i="24" s="1"/>
  <c r="BA15" i="24" s="1"/>
  <c r="AY32" i="24"/>
  <c r="AZ32" i="24" s="1"/>
  <c r="BA32" i="24" s="1"/>
  <c r="AY28" i="24"/>
  <c r="AZ28" i="24" s="1"/>
  <c r="BA28" i="24" s="1"/>
  <c r="AY13" i="24"/>
  <c r="AZ13" i="24" s="1"/>
  <c r="BA13" i="24" s="1"/>
  <c r="AY75" i="24"/>
  <c r="AY74" i="24"/>
  <c r="AY56" i="24"/>
  <c r="AY37" i="24"/>
  <c r="AZ37" i="24" s="1"/>
  <c r="BA37" i="24" s="1"/>
  <c r="AY11" i="24"/>
  <c r="AZ11" i="24" s="1"/>
  <c r="BA11" i="24" s="1"/>
  <c r="AY6" i="24"/>
  <c r="AZ6" i="24" s="1"/>
  <c r="BA6" i="24" s="1"/>
  <c r="AY5" i="24"/>
  <c r="AZ5" i="24" s="1"/>
  <c r="BA5" i="24" s="1"/>
  <c r="AY4" i="24"/>
  <c r="AZ4" i="24" s="1"/>
  <c r="BA4" i="24" s="1"/>
  <c r="AY17" i="24"/>
  <c r="AZ17" i="24" s="1"/>
  <c r="BA17" i="24" s="1"/>
  <c r="AY62" i="24"/>
  <c r="AY60" i="24"/>
  <c r="AY96" i="24"/>
  <c r="AY79" i="24"/>
  <c r="AY20" i="24"/>
  <c r="AZ20" i="24" s="1"/>
  <c r="BA20" i="24" s="1"/>
  <c r="AY31" i="24"/>
  <c r="AZ31" i="24" s="1"/>
  <c r="BA31" i="24" s="1"/>
  <c r="AY41" i="24"/>
  <c r="AZ41" i="24" s="1"/>
  <c r="BA41" i="24" s="1"/>
  <c r="AY92" i="24"/>
  <c r="AY68" i="24"/>
  <c r="AY23" i="24"/>
  <c r="AZ23" i="24" s="1"/>
  <c r="BA23" i="24" s="1"/>
  <c r="AY22" i="24"/>
  <c r="AZ22" i="24" s="1"/>
  <c r="BA22" i="24" s="1"/>
  <c r="AY55" i="24"/>
  <c r="AY54" i="24"/>
  <c r="AY94" i="24"/>
  <c r="AY26" i="24"/>
  <c r="AZ26" i="24" s="1"/>
  <c r="BA26" i="24" s="1"/>
  <c r="AY19" i="24"/>
  <c r="AZ19" i="24" s="1"/>
  <c r="BA19" i="24" s="1"/>
  <c r="AY30" i="24"/>
  <c r="AZ30" i="24" s="1"/>
  <c r="BA30" i="24" s="1"/>
  <c r="AY38" i="24"/>
  <c r="AZ38" i="24" s="1"/>
  <c r="BA38" i="24" s="1"/>
  <c r="AY77" i="24"/>
  <c r="AY35" i="24"/>
  <c r="AZ35" i="24" s="1"/>
  <c r="BA35" i="24" s="1"/>
  <c r="AY44" i="24"/>
  <c r="AZ44" i="24" s="1"/>
  <c r="BA44" i="24" s="1"/>
  <c r="AY27" i="24"/>
  <c r="AZ27" i="24" s="1"/>
  <c r="BA27" i="24" s="1"/>
  <c r="AY61" i="24"/>
  <c r="AY59" i="24"/>
  <c r="AY21" i="24"/>
  <c r="AZ21" i="24" s="1"/>
  <c r="BA21" i="24" s="1"/>
  <c r="AY49" i="24"/>
  <c r="AY78" i="24"/>
  <c r="AY39" i="24"/>
  <c r="AZ39" i="24" s="1"/>
  <c r="BA39" i="24" s="1"/>
  <c r="AY87" i="24"/>
  <c r="AY63" i="24"/>
  <c r="AY84" i="24"/>
  <c r="AY100" i="24"/>
  <c r="AY3" i="24"/>
  <c r="AZ3" i="24" s="1"/>
  <c r="BA3" i="24" s="1"/>
  <c r="AY9" i="24"/>
  <c r="AZ9" i="24" s="1"/>
  <c r="BA9" i="24" s="1"/>
  <c r="AY12" i="24"/>
  <c r="AZ12" i="24" s="1"/>
  <c r="BA12" i="24" s="1"/>
  <c r="AY76" i="24"/>
  <c r="AY42" i="24"/>
  <c r="AZ42" i="24" s="1"/>
  <c r="BA42" i="24" s="1"/>
  <c r="AY101" i="24"/>
  <c r="AY34" i="24"/>
  <c r="AZ34" i="24" s="1"/>
  <c r="BA34" i="24" s="1"/>
  <c r="AY72" i="24"/>
  <c r="AY86" i="24"/>
  <c r="AY10" i="24"/>
  <c r="AZ10" i="24" s="1"/>
  <c r="BA10" i="24" s="1"/>
  <c r="AY52" i="24"/>
  <c r="AY85" i="24"/>
  <c r="AY69" i="24"/>
  <c r="AY70" i="24"/>
  <c r="AY88" i="24"/>
  <c r="AY53" i="24"/>
  <c r="AY29" i="24"/>
  <c r="AZ29" i="24" s="1"/>
  <c r="BA29" i="24" s="1"/>
  <c r="AY103" i="24"/>
  <c r="AY71" i="24"/>
  <c r="AY93" i="24"/>
  <c r="AY95" i="24"/>
  <c r="AY102" i="24"/>
  <c r="AY97" i="24"/>
  <c r="AG62" i="23"/>
  <c r="AH62" i="23" s="1"/>
  <c r="AE63" i="23"/>
  <c r="AG63" i="23" s="1"/>
  <c r="AK63" i="23"/>
  <c r="AV2" i="23" s="1"/>
  <c r="AF63" i="21"/>
  <c r="AG27" i="22"/>
  <c r="AH63" i="21"/>
  <c r="AW27" i="22"/>
  <c r="AW2" i="22"/>
  <c r="AS10" i="22"/>
  <c r="AF63" i="22"/>
  <c r="AH63" i="22" s="1"/>
  <c r="AH62" i="22"/>
  <c r="AI62" i="22" s="1"/>
  <c r="AH27" i="22"/>
  <c r="AI27" i="22" s="1"/>
  <c r="AG31" i="22"/>
  <c r="AY70" i="19"/>
  <c r="AY9" i="19"/>
  <c r="BA9" i="19" s="1"/>
  <c r="AY40" i="19"/>
  <c r="BA40" i="19" s="1"/>
  <c r="AY74" i="19"/>
  <c r="AY92" i="19"/>
  <c r="AY16" i="19"/>
  <c r="BA16" i="19" s="1"/>
  <c r="AY17" i="19"/>
  <c r="BA17" i="19" s="1"/>
  <c r="AY48" i="19"/>
  <c r="AY100" i="19"/>
  <c r="AG25" i="19"/>
  <c r="BA2" i="19"/>
  <c r="AF26" i="19"/>
  <c r="AG26" i="19" s="1"/>
  <c r="AH25" i="19"/>
  <c r="AI25" i="19" s="1"/>
  <c r="AF63" i="18"/>
  <c r="AH63" i="18" s="1"/>
  <c r="AH62" i="18"/>
  <c r="AI62" i="18" s="1"/>
  <c r="AI63" i="18" s="1"/>
  <c r="AF26" i="18"/>
  <c r="AH25" i="18"/>
  <c r="AI25" i="18" s="1"/>
  <c r="AG25" i="18"/>
  <c r="AG26" i="18" s="1"/>
  <c r="AG62" i="18"/>
  <c r="AG63" i="18" s="1"/>
  <c r="AY79" i="18"/>
  <c r="AY71" i="18"/>
  <c r="AY62" i="18"/>
  <c r="AY54" i="18"/>
  <c r="AY103" i="18"/>
  <c r="AY76" i="18"/>
  <c r="AY100" i="18"/>
  <c r="AY51" i="18"/>
  <c r="AY92" i="18"/>
  <c r="AY88" i="18"/>
  <c r="AY85" i="18"/>
  <c r="AY84" i="18"/>
  <c r="AY52" i="18"/>
  <c r="AY39" i="18"/>
  <c r="AZ39" i="18" s="1"/>
  <c r="BA39" i="18" s="1"/>
  <c r="AY86" i="18"/>
  <c r="AY68" i="18"/>
  <c r="AY67" i="18"/>
  <c r="AY59" i="18"/>
  <c r="AY48" i="18"/>
  <c r="AY35" i="18"/>
  <c r="AZ35" i="18" s="1"/>
  <c r="BA35" i="18" s="1"/>
  <c r="AY97" i="18"/>
  <c r="AY83" i="18"/>
  <c r="AY30" i="18"/>
  <c r="AZ30" i="18" s="1"/>
  <c r="BA30" i="18" s="1"/>
  <c r="AY96" i="18"/>
  <c r="AY93" i="18"/>
  <c r="AY91" i="18"/>
  <c r="AY55" i="18"/>
  <c r="AY49" i="18"/>
  <c r="AY21" i="18"/>
  <c r="AZ21" i="18" s="1"/>
  <c r="BA21" i="18" s="1"/>
  <c r="AY18" i="18"/>
  <c r="AZ18" i="18" s="1"/>
  <c r="BA18" i="18" s="1"/>
  <c r="AY56" i="18"/>
  <c r="AY15" i="18"/>
  <c r="AZ15" i="18" s="1"/>
  <c r="BA15" i="18" s="1"/>
  <c r="AY4" i="18"/>
  <c r="AZ4" i="18" s="1"/>
  <c r="BA4" i="18" s="1"/>
  <c r="AY34" i="18"/>
  <c r="AZ34" i="18" s="1"/>
  <c r="BA34" i="18" s="1"/>
  <c r="AY5" i="18"/>
  <c r="AZ5" i="18" s="1"/>
  <c r="BA5" i="18" s="1"/>
  <c r="AY37" i="18"/>
  <c r="AZ37" i="18" s="1"/>
  <c r="BA37" i="18" s="1"/>
  <c r="AY25" i="18"/>
  <c r="AZ25" i="18" s="1"/>
  <c r="BA25" i="18" s="1"/>
  <c r="AY12" i="18"/>
  <c r="AZ12" i="18" s="1"/>
  <c r="BA12" i="18" s="1"/>
  <c r="AY10" i="18"/>
  <c r="AZ10" i="18" s="1"/>
  <c r="BA10" i="18" s="1"/>
  <c r="AY9" i="18"/>
  <c r="AZ9" i="18" s="1"/>
  <c r="BA9" i="18" s="1"/>
  <c r="AY6" i="18"/>
  <c r="AZ6" i="18" s="1"/>
  <c r="BA6" i="18" s="1"/>
  <c r="AY23" i="18"/>
  <c r="AZ23" i="18" s="1"/>
  <c r="BA23" i="18" s="1"/>
  <c r="AY32" i="18"/>
  <c r="AZ32" i="18" s="1"/>
  <c r="BA32" i="18" s="1"/>
  <c r="AY102" i="18"/>
  <c r="AY66" i="18"/>
  <c r="AY57" i="18"/>
  <c r="AY58" i="18"/>
  <c r="AY8" i="18"/>
  <c r="AZ8" i="18" s="1"/>
  <c r="BA8" i="18" s="1"/>
  <c r="AY19" i="18"/>
  <c r="AZ19" i="18" s="1"/>
  <c r="BA19" i="18" s="1"/>
  <c r="AY33" i="18"/>
  <c r="AZ33" i="18" s="1"/>
  <c r="BA33" i="18" s="1"/>
  <c r="AY42" i="18"/>
  <c r="AZ42" i="18" s="1"/>
  <c r="BA42" i="18" s="1"/>
  <c r="AY26" i="18"/>
  <c r="AZ26" i="18" s="1"/>
  <c r="BA26" i="18" s="1"/>
  <c r="AY89" i="18"/>
  <c r="AY74" i="18"/>
  <c r="AY101" i="18"/>
  <c r="AY90" i="18"/>
  <c r="AY69" i="18"/>
  <c r="AY41" i="18"/>
  <c r="AZ41" i="18" s="1"/>
  <c r="BA41" i="18" s="1"/>
  <c r="AY70" i="18"/>
  <c r="AY81" i="18"/>
  <c r="AY64" i="18"/>
  <c r="AY61" i="18"/>
  <c r="AY40" i="18"/>
  <c r="AZ40" i="18" s="1"/>
  <c r="BA40" i="18" s="1"/>
  <c r="AY78" i="18"/>
  <c r="AY7" i="18"/>
  <c r="AZ7" i="18" s="1"/>
  <c r="BA7" i="18" s="1"/>
  <c r="AY14" i="18"/>
  <c r="AZ14" i="18" s="1"/>
  <c r="BA14" i="18" s="1"/>
  <c r="AY22" i="18"/>
  <c r="AZ22" i="18" s="1"/>
  <c r="BA22" i="18" s="1"/>
  <c r="AY13" i="18"/>
  <c r="AZ13" i="18" s="1"/>
  <c r="BA13" i="18" s="1"/>
  <c r="AY36" i="18"/>
  <c r="AZ36" i="18" s="1"/>
  <c r="BA36" i="18" s="1"/>
  <c r="AY53" i="18"/>
  <c r="AY99" i="18"/>
  <c r="AY82" i="18"/>
  <c r="AY46" i="18"/>
  <c r="AZ46" i="18" s="1"/>
  <c r="BA46" i="18" s="1"/>
  <c r="AY44" i="18"/>
  <c r="AZ44" i="18" s="1"/>
  <c r="BA44" i="18" s="1"/>
  <c r="AY73" i="18"/>
  <c r="AY60" i="18"/>
  <c r="AY45" i="18"/>
  <c r="AZ45" i="18" s="1"/>
  <c r="BA45" i="18" s="1"/>
  <c r="AY75" i="18"/>
  <c r="AY2" i="18"/>
  <c r="AZ2" i="18" s="1"/>
  <c r="AY38" i="18"/>
  <c r="AZ38" i="18" s="1"/>
  <c r="BA38" i="18" s="1"/>
  <c r="AY17" i="18"/>
  <c r="AZ17" i="18" s="1"/>
  <c r="BA17" i="18" s="1"/>
  <c r="AY31" i="18"/>
  <c r="AZ31" i="18" s="1"/>
  <c r="BA31" i="18" s="1"/>
  <c r="AY94" i="18"/>
  <c r="AY63" i="18"/>
  <c r="AY77" i="18"/>
  <c r="AY98" i="18"/>
  <c r="AY3" i="18"/>
  <c r="AZ3" i="18" s="1"/>
  <c r="BA3" i="18" s="1"/>
  <c r="AY16" i="18"/>
  <c r="AZ16" i="18" s="1"/>
  <c r="BA16" i="18" s="1"/>
  <c r="AY20" i="18"/>
  <c r="AZ20" i="18" s="1"/>
  <c r="BA20" i="18" s="1"/>
  <c r="AY50" i="18"/>
  <c r="AY24" i="18"/>
  <c r="AZ24" i="18" s="1"/>
  <c r="BA24" i="18" s="1"/>
  <c r="AY27" i="18"/>
  <c r="AZ27" i="18" s="1"/>
  <c r="BA27" i="18" s="1"/>
  <c r="AY47" i="18"/>
  <c r="AY72" i="18"/>
  <c r="AY65" i="18"/>
  <c r="AY29" i="18"/>
  <c r="AZ29" i="18" s="1"/>
  <c r="BA29" i="18" s="1"/>
  <c r="AY11" i="18"/>
  <c r="AZ11" i="18" s="1"/>
  <c r="BA11" i="18" s="1"/>
  <c r="AY28" i="18"/>
  <c r="AZ28" i="18" s="1"/>
  <c r="BA28" i="18" s="1"/>
  <c r="AY80" i="18"/>
  <c r="AY43" i="18"/>
  <c r="AZ43" i="18" s="1"/>
  <c r="BA43" i="18" s="1"/>
  <c r="AY95" i="18"/>
  <c r="AY87" i="18"/>
  <c r="AF25" i="17"/>
  <c r="AG62" i="17"/>
  <c r="AH62" i="17" s="1"/>
  <c r="AE63" i="17"/>
  <c r="AG63" i="17" s="1"/>
  <c r="AE26" i="17"/>
  <c r="AG25" i="17"/>
  <c r="AH25" i="17" s="1"/>
  <c r="AF62" i="17"/>
  <c r="AF63" i="17" s="1"/>
  <c r="AH23" i="16"/>
  <c r="AG61" i="16"/>
  <c r="AH61" i="16" s="1"/>
  <c r="AE62" i="16"/>
  <c r="AF61" i="16"/>
  <c r="AF62" i="16" s="1"/>
  <c r="AG24" i="16"/>
  <c r="AE25" i="16"/>
  <c r="AD26" i="15"/>
  <c r="AF25" i="15"/>
  <c r="AG25" i="15" s="1"/>
  <c r="AF54" i="15"/>
  <c r="AG54" i="15" s="1"/>
  <c r="AD55" i="15"/>
  <c r="AE25" i="15"/>
  <c r="AE54" i="15"/>
  <c r="AE55" i="15" s="1"/>
  <c r="AF27" i="14"/>
  <c r="Z27" i="14"/>
  <c r="AB27" i="14" s="1"/>
  <c r="AB26" i="14"/>
  <c r="AC26" i="14" s="1"/>
  <c r="AA26" i="14"/>
  <c r="AB54" i="14"/>
  <c r="AC54" i="14" s="1"/>
  <c r="Z55" i="14"/>
  <c r="AA55" i="13"/>
  <c r="AB55" i="13" s="1"/>
  <c r="Y56" i="13"/>
  <c r="AA56" i="13" s="1"/>
  <c r="AA25" i="13"/>
  <c r="AB25" i="13" s="1"/>
  <c r="Y26" i="13"/>
  <c r="Z56" i="12"/>
  <c r="Z27" i="12"/>
  <c r="AA43" i="11"/>
  <c r="AB43" i="11" s="1"/>
  <c r="Y44" i="11"/>
  <c r="Y17" i="11"/>
  <c r="AA16" i="11"/>
  <c r="AB16" i="11" s="1"/>
  <c r="Z16" i="11"/>
  <c r="Z17" i="11" s="1"/>
  <c r="Z43" i="11"/>
  <c r="Z44" i="11" s="1"/>
  <c r="AB44" i="4"/>
  <c r="AA45" i="4"/>
  <c r="Y46" i="4"/>
  <c r="Z45" i="4"/>
  <c r="Z46" i="4" s="1"/>
  <c r="AC45" i="4"/>
  <c r="AD45" i="4" s="1"/>
  <c r="AE45" i="4" s="1"/>
  <c r="X46" i="4"/>
  <c r="S15" i="3"/>
  <c r="T15" i="3" s="1"/>
  <c r="Q16" i="3"/>
  <c r="R15" i="3"/>
  <c r="R16" i="3" s="1"/>
  <c r="AF62" i="25" l="1"/>
  <c r="AF25" i="25"/>
  <c r="AF26" i="25" s="1"/>
  <c r="AG61" i="25"/>
  <c r="AE62" i="25"/>
  <c r="AG25" i="25"/>
  <c r="AH25" i="25" s="1"/>
  <c r="AE26" i="25"/>
  <c r="AH61" i="25"/>
  <c r="AH63" i="23"/>
  <c r="AW6" i="24"/>
  <c r="AW10" i="24" s="1"/>
  <c r="BA2" i="24"/>
  <c r="AF63" i="23"/>
  <c r="AX100" i="23"/>
  <c r="AX92" i="23"/>
  <c r="AX84" i="23"/>
  <c r="AX76" i="23"/>
  <c r="AX68" i="23"/>
  <c r="AX59" i="23"/>
  <c r="AX51" i="23"/>
  <c r="AX89" i="23"/>
  <c r="AX73" i="23"/>
  <c r="AX64" i="23"/>
  <c r="AX47" i="23"/>
  <c r="AX39" i="23"/>
  <c r="AY39" i="23" s="1"/>
  <c r="AZ39" i="23" s="1"/>
  <c r="AX99" i="23"/>
  <c r="AX83" i="23"/>
  <c r="AX58" i="23"/>
  <c r="AX101" i="23"/>
  <c r="AX60" i="23"/>
  <c r="AX97" i="23"/>
  <c r="AX81" i="23"/>
  <c r="AX65" i="23"/>
  <c r="AX24" i="23"/>
  <c r="AY24" i="23" s="1"/>
  <c r="AZ24" i="23" s="1"/>
  <c r="AX50" i="23"/>
  <c r="AX48" i="23"/>
  <c r="AX38" i="23"/>
  <c r="AY38" i="23" s="1"/>
  <c r="AZ38" i="23" s="1"/>
  <c r="AX34" i="23"/>
  <c r="AY34" i="23" s="1"/>
  <c r="AZ34" i="23" s="1"/>
  <c r="AX31" i="23"/>
  <c r="AY31" i="23" s="1"/>
  <c r="AZ31" i="23" s="1"/>
  <c r="AX26" i="23"/>
  <c r="AY26" i="23" s="1"/>
  <c r="AZ26" i="23" s="1"/>
  <c r="AX32" i="23"/>
  <c r="AY32" i="23" s="1"/>
  <c r="AZ32" i="23" s="1"/>
  <c r="AX75" i="23"/>
  <c r="AX74" i="23"/>
  <c r="AX67" i="23"/>
  <c r="AX22" i="23"/>
  <c r="AY22" i="23" s="1"/>
  <c r="AZ22" i="23" s="1"/>
  <c r="AX18" i="23"/>
  <c r="AY18" i="23" s="1"/>
  <c r="AZ18" i="23" s="1"/>
  <c r="AX7" i="23"/>
  <c r="AY7" i="23" s="1"/>
  <c r="AZ7" i="23" s="1"/>
  <c r="AX2" i="23"/>
  <c r="AY2" i="23" s="1"/>
  <c r="AX20" i="23"/>
  <c r="AY20" i="23" s="1"/>
  <c r="AZ20" i="23" s="1"/>
  <c r="AX11" i="23"/>
  <c r="AY11" i="23" s="1"/>
  <c r="AZ11" i="23" s="1"/>
  <c r="AX30" i="23"/>
  <c r="AY30" i="23" s="1"/>
  <c r="AZ30" i="23" s="1"/>
  <c r="AX28" i="23"/>
  <c r="AY28" i="23" s="1"/>
  <c r="AZ28" i="23" s="1"/>
  <c r="AX23" i="23"/>
  <c r="AY23" i="23" s="1"/>
  <c r="AZ23" i="23" s="1"/>
  <c r="AX21" i="23"/>
  <c r="AY21" i="23" s="1"/>
  <c r="AZ21" i="23" s="1"/>
  <c r="AX14" i="23"/>
  <c r="AY14" i="23" s="1"/>
  <c r="AZ14" i="23" s="1"/>
  <c r="AX41" i="23"/>
  <c r="AY41" i="23" s="1"/>
  <c r="AZ41" i="23" s="1"/>
  <c r="AX90" i="23"/>
  <c r="AX52" i="23"/>
  <c r="AX15" i="23"/>
  <c r="AY15" i="23" s="1"/>
  <c r="AZ15" i="23" s="1"/>
  <c r="AX3" i="23"/>
  <c r="AY3" i="23" s="1"/>
  <c r="AZ3" i="23" s="1"/>
  <c r="AX91" i="23"/>
  <c r="AX56" i="23"/>
  <c r="AX46" i="23"/>
  <c r="AY46" i="23" s="1"/>
  <c r="AZ46" i="23" s="1"/>
  <c r="AX45" i="23"/>
  <c r="AY45" i="23" s="1"/>
  <c r="AZ45" i="23" s="1"/>
  <c r="AX17" i="23"/>
  <c r="AY17" i="23" s="1"/>
  <c r="AZ17" i="23" s="1"/>
  <c r="AX8" i="23"/>
  <c r="AY8" i="23" s="1"/>
  <c r="AZ8" i="23" s="1"/>
  <c r="AX4" i="23"/>
  <c r="AY4" i="23" s="1"/>
  <c r="AZ4" i="23" s="1"/>
  <c r="AX10" i="23"/>
  <c r="AY10" i="23" s="1"/>
  <c r="AZ10" i="23" s="1"/>
  <c r="AX40" i="23"/>
  <c r="AY40" i="23" s="1"/>
  <c r="AZ40" i="23" s="1"/>
  <c r="AX25" i="23"/>
  <c r="AY25" i="23" s="1"/>
  <c r="AZ25" i="23" s="1"/>
  <c r="AX87" i="23"/>
  <c r="AX12" i="23"/>
  <c r="AY12" i="23" s="1"/>
  <c r="AZ12" i="23" s="1"/>
  <c r="AX53" i="23"/>
  <c r="AX6" i="23"/>
  <c r="AY6" i="23" s="1"/>
  <c r="AZ6" i="23" s="1"/>
  <c r="AX63" i="23"/>
  <c r="AX42" i="23"/>
  <c r="AY42" i="23" s="1"/>
  <c r="AZ42" i="23" s="1"/>
  <c r="AX69" i="23"/>
  <c r="AX44" i="23"/>
  <c r="AY44" i="23" s="1"/>
  <c r="AZ44" i="23" s="1"/>
  <c r="AX88" i="23"/>
  <c r="AX79" i="23"/>
  <c r="AX98" i="23"/>
  <c r="AX13" i="23"/>
  <c r="AY13" i="23" s="1"/>
  <c r="AZ13" i="23" s="1"/>
  <c r="AX19" i="23"/>
  <c r="AY19" i="23" s="1"/>
  <c r="AZ19" i="23" s="1"/>
  <c r="AX55" i="23"/>
  <c r="AX43" i="23"/>
  <c r="AY43" i="23" s="1"/>
  <c r="AZ43" i="23" s="1"/>
  <c r="AX93" i="23"/>
  <c r="AX94" i="23"/>
  <c r="AX9" i="23"/>
  <c r="AY9" i="23" s="1"/>
  <c r="AZ9" i="23" s="1"/>
  <c r="AX96" i="23"/>
  <c r="AX57" i="23"/>
  <c r="AX71" i="23"/>
  <c r="AX72" i="23"/>
  <c r="AX35" i="23"/>
  <c r="AY35" i="23" s="1"/>
  <c r="AZ35" i="23" s="1"/>
  <c r="AX33" i="23"/>
  <c r="AY33" i="23" s="1"/>
  <c r="AZ33" i="23" s="1"/>
  <c r="AX86" i="23"/>
  <c r="AX82" i="23"/>
  <c r="AX102" i="23"/>
  <c r="AX5" i="23"/>
  <c r="AY5" i="23" s="1"/>
  <c r="AZ5" i="23" s="1"/>
  <c r="AX77" i="23"/>
  <c r="AX36" i="23"/>
  <c r="AY36" i="23" s="1"/>
  <c r="AZ36" i="23" s="1"/>
  <c r="AX27" i="23"/>
  <c r="AY27" i="23" s="1"/>
  <c r="AZ27" i="23" s="1"/>
  <c r="AX103" i="23"/>
  <c r="AX29" i="23"/>
  <c r="AY29" i="23" s="1"/>
  <c r="AZ29" i="23" s="1"/>
  <c r="AX16" i="23"/>
  <c r="AY16" i="23" s="1"/>
  <c r="AZ16" i="23" s="1"/>
  <c r="AX37" i="23"/>
  <c r="AY37" i="23" s="1"/>
  <c r="AZ37" i="23" s="1"/>
  <c r="AX61" i="23"/>
  <c r="AX62" i="23"/>
  <c r="AX70" i="23"/>
  <c r="AX95" i="23"/>
  <c r="AX80" i="23"/>
  <c r="AX78" i="23"/>
  <c r="AX49" i="23"/>
  <c r="AX85" i="23"/>
  <c r="AX66" i="23"/>
  <c r="AX54" i="23"/>
  <c r="AI63" i="22"/>
  <c r="AG63" i="22"/>
  <c r="AY65" i="22"/>
  <c r="AY16" i="22"/>
  <c r="AZ16" i="22" s="1"/>
  <c r="BA16" i="22" s="1"/>
  <c r="AY84" i="22"/>
  <c r="AY101" i="22"/>
  <c r="AY36" i="22"/>
  <c r="AZ36" i="22" s="1"/>
  <c r="BA36" i="22" s="1"/>
  <c r="AY85" i="22"/>
  <c r="AY14" i="22"/>
  <c r="AZ14" i="22" s="1"/>
  <c r="BA14" i="22" s="1"/>
  <c r="AY38" i="22"/>
  <c r="AZ38" i="22" s="1"/>
  <c r="BA38" i="22" s="1"/>
  <c r="AY35" i="22"/>
  <c r="AZ35" i="22" s="1"/>
  <c r="BA35" i="22" s="1"/>
  <c r="AY46" i="22"/>
  <c r="AZ46" i="22" s="1"/>
  <c r="BA46" i="22" s="1"/>
  <c r="AY42" i="22"/>
  <c r="AZ42" i="22" s="1"/>
  <c r="BA42" i="22" s="1"/>
  <c r="AY102" i="22"/>
  <c r="AY82" i="22"/>
  <c r="AY37" i="22"/>
  <c r="AZ37" i="22" s="1"/>
  <c r="BA37" i="22" s="1"/>
  <c r="AY68" i="22"/>
  <c r="AY40" i="22"/>
  <c r="AZ40" i="22" s="1"/>
  <c r="BA40" i="22" s="1"/>
  <c r="AY93" i="22"/>
  <c r="AY95" i="22"/>
  <c r="AY34" i="22"/>
  <c r="AZ34" i="22" s="1"/>
  <c r="BA34" i="22" s="1"/>
  <c r="AY100" i="22"/>
  <c r="AY3" i="22"/>
  <c r="AZ3" i="22" s="1"/>
  <c r="BA3" i="22" s="1"/>
  <c r="AY76" i="22"/>
  <c r="AY18" i="22"/>
  <c r="AZ18" i="22" s="1"/>
  <c r="BA18" i="22" s="1"/>
  <c r="AY17" i="22"/>
  <c r="AZ17" i="22" s="1"/>
  <c r="BA17" i="22" s="1"/>
  <c r="AY27" i="22"/>
  <c r="AZ27" i="22" s="1"/>
  <c r="BA27" i="22" s="1"/>
  <c r="AY86" i="22"/>
  <c r="AY28" i="22"/>
  <c r="AZ28" i="22" s="1"/>
  <c r="BA28" i="22" s="1"/>
  <c r="AY58" i="22"/>
  <c r="AY7" i="22"/>
  <c r="AZ7" i="22" s="1"/>
  <c r="BA7" i="22" s="1"/>
  <c r="AY24" i="22"/>
  <c r="AZ24" i="22" s="1"/>
  <c r="BA24" i="22" s="1"/>
  <c r="AY6" i="22"/>
  <c r="AZ6" i="22" s="1"/>
  <c r="BA6" i="22" s="1"/>
  <c r="AY32" i="22"/>
  <c r="AZ32" i="22" s="1"/>
  <c r="BA32" i="22" s="1"/>
  <c r="AY96" i="22"/>
  <c r="AY83" i="22"/>
  <c r="AY23" i="22"/>
  <c r="AZ23" i="22" s="1"/>
  <c r="BA23" i="22" s="1"/>
  <c r="AY13" i="22"/>
  <c r="AZ13" i="22" s="1"/>
  <c r="BA13" i="22" s="1"/>
  <c r="AY11" i="22"/>
  <c r="AZ11" i="22" s="1"/>
  <c r="BA11" i="22" s="1"/>
  <c r="AY57" i="22"/>
  <c r="AY70" i="22"/>
  <c r="AY12" i="22"/>
  <c r="AZ12" i="22" s="1"/>
  <c r="BA12" i="22" s="1"/>
  <c r="AY74" i="22"/>
  <c r="AY98" i="22"/>
  <c r="AY31" i="22"/>
  <c r="AZ31" i="22" s="1"/>
  <c r="BA31" i="22" s="1"/>
  <c r="AY99" i="22"/>
  <c r="AY64" i="22"/>
  <c r="AY44" i="22"/>
  <c r="AZ44" i="22" s="1"/>
  <c r="BA44" i="22" s="1"/>
  <c r="AY67" i="22"/>
  <c r="AY61" i="22"/>
  <c r="AY73" i="22"/>
  <c r="AY75" i="22"/>
  <c r="AY54" i="22"/>
  <c r="AY39" i="22"/>
  <c r="AZ39" i="22" s="1"/>
  <c r="BA39" i="22" s="1"/>
  <c r="AY43" i="22"/>
  <c r="AZ43" i="22" s="1"/>
  <c r="BA43" i="22" s="1"/>
  <c r="AY77" i="22"/>
  <c r="AY30" i="22"/>
  <c r="AZ30" i="22" s="1"/>
  <c r="BA30" i="22" s="1"/>
  <c r="AY10" i="22"/>
  <c r="AZ10" i="22" s="1"/>
  <c r="BA10" i="22" s="1"/>
  <c r="AY25" i="22"/>
  <c r="AZ25" i="22" s="1"/>
  <c r="BA25" i="22" s="1"/>
  <c r="AY48" i="22"/>
  <c r="AY59" i="22"/>
  <c r="AY22" i="22"/>
  <c r="AZ22" i="22" s="1"/>
  <c r="BA22" i="22" s="1"/>
  <c r="AY62" i="22"/>
  <c r="AY45" i="22"/>
  <c r="AZ45" i="22" s="1"/>
  <c r="BA45" i="22" s="1"/>
  <c r="AY47" i="22"/>
  <c r="AY51" i="22"/>
  <c r="AY89" i="22"/>
  <c r="AY63" i="22"/>
  <c r="AY5" i="22"/>
  <c r="AZ5" i="22" s="1"/>
  <c r="BA5" i="22" s="1"/>
  <c r="AY80" i="22"/>
  <c r="AY41" i="22"/>
  <c r="AZ41" i="22" s="1"/>
  <c r="BA41" i="22" s="1"/>
  <c r="AY79" i="22"/>
  <c r="AY87" i="22"/>
  <c r="AY91" i="22"/>
  <c r="AY20" i="22"/>
  <c r="AZ20" i="22" s="1"/>
  <c r="BA20" i="22" s="1"/>
  <c r="AY4" i="22"/>
  <c r="AZ4" i="22" s="1"/>
  <c r="BA4" i="22" s="1"/>
  <c r="AY90" i="22"/>
  <c r="AY69" i="22"/>
  <c r="AY81" i="22"/>
  <c r="AY26" i="22"/>
  <c r="AZ26" i="22" s="1"/>
  <c r="BA26" i="22" s="1"/>
  <c r="AY33" i="22"/>
  <c r="AZ33" i="22" s="1"/>
  <c r="BA33" i="22" s="1"/>
  <c r="AY9" i="22"/>
  <c r="AZ9" i="22" s="1"/>
  <c r="BA9" i="22" s="1"/>
  <c r="AY60" i="22"/>
  <c r="AY53" i="22"/>
  <c r="AY29" i="22"/>
  <c r="AZ29" i="22" s="1"/>
  <c r="BA29" i="22" s="1"/>
  <c r="AY72" i="22"/>
  <c r="AY19" i="22"/>
  <c r="AZ19" i="22" s="1"/>
  <c r="BA19" i="22" s="1"/>
  <c r="AY49" i="22"/>
  <c r="AY103" i="22"/>
  <c r="AY21" i="22"/>
  <c r="AZ21" i="22" s="1"/>
  <c r="BA21" i="22" s="1"/>
  <c r="AY66" i="22"/>
  <c r="AY8" i="22"/>
  <c r="AZ8" i="22" s="1"/>
  <c r="BA8" i="22" s="1"/>
  <c r="AY50" i="22"/>
  <c r="AY15" i="22"/>
  <c r="AZ15" i="22" s="1"/>
  <c r="BA15" i="22" s="1"/>
  <c r="AY56" i="22"/>
  <c r="AY94" i="22"/>
  <c r="AY97" i="22"/>
  <c r="AY2" i="22"/>
  <c r="AZ2" i="22" s="1"/>
  <c r="AY71" i="22"/>
  <c r="AY78" i="22"/>
  <c r="AY92" i="22"/>
  <c r="AY52" i="22"/>
  <c r="AY55" i="22"/>
  <c r="AY88" i="22"/>
  <c r="AW6" i="19"/>
  <c r="AH26" i="19"/>
  <c r="AI26" i="19" s="1"/>
  <c r="AF27" i="19"/>
  <c r="AW6" i="18"/>
  <c r="AW10" i="18" s="1"/>
  <c r="BA2" i="18"/>
  <c r="AF27" i="18"/>
  <c r="AH26" i="18"/>
  <c r="AI26" i="18" s="1"/>
  <c r="AH63" i="17"/>
  <c r="AE27" i="17"/>
  <c r="AG26" i="17"/>
  <c r="AH26" i="17" s="1"/>
  <c r="AF26" i="17"/>
  <c r="AH24" i="16"/>
  <c r="AE26" i="16"/>
  <c r="AG25" i="16"/>
  <c r="AF25" i="16"/>
  <c r="AF26" i="16" s="1"/>
  <c r="AE63" i="16"/>
  <c r="AG63" i="16" s="1"/>
  <c r="AG62" i="16"/>
  <c r="AH62" i="16" s="1"/>
  <c r="AE26" i="15"/>
  <c r="AF55" i="15"/>
  <c r="AG55" i="15" s="1"/>
  <c r="AD56" i="15"/>
  <c r="AF56" i="15" s="1"/>
  <c r="AD27" i="15"/>
  <c r="AF27" i="15" s="1"/>
  <c r="AF26" i="15"/>
  <c r="AG26" i="15" s="1"/>
  <c r="AG27" i="15" s="1"/>
  <c r="AA27" i="14"/>
  <c r="AC27" i="14"/>
  <c r="Z56" i="14"/>
  <c r="AB56" i="14" s="1"/>
  <c r="AB55" i="14"/>
  <c r="AC55" i="14" s="1"/>
  <c r="AC56" i="14" s="1"/>
  <c r="AA55" i="14"/>
  <c r="AA56" i="14" s="1"/>
  <c r="AB56" i="13"/>
  <c r="Y27" i="13"/>
  <c r="AA27" i="13" s="1"/>
  <c r="AA26" i="13"/>
  <c r="AB26" i="13" s="1"/>
  <c r="AB27" i="13" s="1"/>
  <c r="Z26" i="13"/>
  <c r="Z27" i="13" s="1"/>
  <c r="Z56" i="13"/>
  <c r="AA44" i="11"/>
  <c r="AB44" i="11" s="1"/>
  <c r="Y45" i="11"/>
  <c r="Z45" i="11"/>
  <c r="Y18" i="11"/>
  <c r="AA17" i="11"/>
  <c r="AB17" i="11" s="1"/>
  <c r="AB45" i="4"/>
  <c r="AC46" i="4"/>
  <c r="AD46" i="4" s="1"/>
  <c r="AE46" i="4" s="1"/>
  <c r="X47" i="4"/>
  <c r="AA46" i="4"/>
  <c r="AB46" i="4" s="1"/>
  <c r="Y47" i="4"/>
  <c r="Z47" i="4" s="1"/>
  <c r="Q17" i="3"/>
  <c r="S16" i="3"/>
  <c r="T16" i="3" s="1"/>
  <c r="AE27" i="25" l="1"/>
  <c r="AF27" i="25" s="1"/>
  <c r="AG26" i="25"/>
  <c r="AH26" i="25" s="1"/>
  <c r="AG62" i="25"/>
  <c r="AH62" i="25" s="1"/>
  <c r="AH63" i="25" s="1"/>
  <c r="AE63" i="25"/>
  <c r="AG63" i="25" s="1"/>
  <c r="AZ89" i="24"/>
  <c r="BA89" i="24" s="1"/>
  <c r="AZ81" i="24"/>
  <c r="BA81" i="24" s="1"/>
  <c r="AZ73" i="24"/>
  <c r="BA73" i="24" s="1"/>
  <c r="AZ65" i="24"/>
  <c r="BA65" i="24" s="1"/>
  <c r="AZ64" i="24"/>
  <c r="BA64" i="24" s="1"/>
  <c r="AZ90" i="24"/>
  <c r="BA90" i="24" s="1"/>
  <c r="AZ82" i="24"/>
  <c r="BA82" i="24" s="1"/>
  <c r="AZ74" i="24"/>
  <c r="BA74" i="24" s="1"/>
  <c r="AZ66" i="24"/>
  <c r="BA66" i="24" s="1"/>
  <c r="AZ99" i="24"/>
  <c r="BA99" i="24" s="1"/>
  <c r="AZ83" i="24"/>
  <c r="BA83" i="24" s="1"/>
  <c r="AZ67" i="24"/>
  <c r="BA67" i="24" s="1"/>
  <c r="AZ50" i="24"/>
  <c r="BA50" i="24" s="1"/>
  <c r="AZ47" i="24"/>
  <c r="BA47" i="24" s="1"/>
  <c r="AZ92" i="24"/>
  <c r="BA92" i="24" s="1"/>
  <c r="AZ91" i="24"/>
  <c r="BA91" i="24" s="1"/>
  <c r="AZ76" i="24"/>
  <c r="BA76" i="24" s="1"/>
  <c r="AZ58" i="24"/>
  <c r="BA58" i="24" s="1"/>
  <c r="AZ51" i="24"/>
  <c r="BA51" i="24" s="1"/>
  <c r="AZ48" i="24"/>
  <c r="BA48" i="24" s="1"/>
  <c r="AZ94" i="24"/>
  <c r="BA94" i="24" s="1"/>
  <c r="AZ86" i="24"/>
  <c r="BA86" i="24" s="1"/>
  <c r="AZ70" i="24"/>
  <c r="BA70" i="24" s="1"/>
  <c r="AZ68" i="24"/>
  <c r="BA68" i="24" s="1"/>
  <c r="AZ61" i="24"/>
  <c r="BA61" i="24" s="1"/>
  <c r="AZ84" i="24"/>
  <c r="BA84" i="24" s="1"/>
  <c r="AZ100" i="24"/>
  <c r="BA100" i="24" s="1"/>
  <c r="AZ77" i="24"/>
  <c r="BA77" i="24" s="1"/>
  <c r="AZ49" i="24"/>
  <c r="BA49" i="24" s="1"/>
  <c r="AZ75" i="24"/>
  <c r="BA75" i="24" s="1"/>
  <c r="AZ59" i="24"/>
  <c r="BA59" i="24" s="1"/>
  <c r="AZ54" i="24"/>
  <c r="BA54" i="24" s="1"/>
  <c r="AZ60" i="24"/>
  <c r="BA60" i="24" s="1"/>
  <c r="AZ85" i="24"/>
  <c r="BA85" i="24" s="1"/>
  <c r="AZ53" i="24"/>
  <c r="BA53" i="24" s="1"/>
  <c r="AZ98" i="24"/>
  <c r="BA98" i="24" s="1"/>
  <c r="AZ57" i="24"/>
  <c r="BA57" i="24" s="1"/>
  <c r="AZ93" i="24"/>
  <c r="BA93" i="24" s="1"/>
  <c r="AZ87" i="24"/>
  <c r="BA87" i="24" s="1"/>
  <c r="AZ63" i="24"/>
  <c r="BA63" i="24" s="1"/>
  <c r="AZ101" i="24"/>
  <c r="BA101" i="24" s="1"/>
  <c r="AZ72" i="24"/>
  <c r="BA72" i="24" s="1"/>
  <c r="AZ52" i="24"/>
  <c r="BA52" i="24" s="1"/>
  <c r="AZ78" i="24"/>
  <c r="BA78" i="24" s="1"/>
  <c r="AZ69" i="24"/>
  <c r="BA69" i="24" s="1"/>
  <c r="AZ55" i="24"/>
  <c r="BA55" i="24" s="1"/>
  <c r="AZ103" i="24"/>
  <c r="AZ71" i="24"/>
  <c r="BA71" i="24" s="1"/>
  <c r="AZ95" i="24"/>
  <c r="BA95" i="24" s="1"/>
  <c r="AZ62" i="24"/>
  <c r="BA62" i="24" s="1"/>
  <c r="AZ96" i="24"/>
  <c r="BA96" i="24" s="1"/>
  <c r="AZ79" i="24"/>
  <c r="BA79" i="24" s="1"/>
  <c r="AZ80" i="24"/>
  <c r="BA80" i="24" s="1"/>
  <c r="AZ56" i="24"/>
  <c r="BA56" i="24" s="1"/>
  <c r="AZ88" i="24"/>
  <c r="BA88" i="24" s="1"/>
  <c r="AZ102" i="24"/>
  <c r="BA102" i="24" s="1"/>
  <c r="AZ97" i="24"/>
  <c r="BA97" i="24" s="1"/>
  <c r="AV6" i="23"/>
  <c r="AV10" i="23" s="1"/>
  <c r="AZ2" i="23"/>
  <c r="BA2" i="22"/>
  <c r="AW6" i="22"/>
  <c r="AW10" i="19"/>
  <c r="AW14" i="19"/>
  <c r="AH27" i="19"/>
  <c r="AI27" i="19" s="1"/>
  <c r="AG31" i="19"/>
  <c r="AG27" i="19"/>
  <c r="AH27" i="18"/>
  <c r="AI27" i="18" s="1"/>
  <c r="AG31" i="18"/>
  <c r="AZ103" i="18"/>
  <c r="AZ71" i="18"/>
  <c r="BA71" i="18" s="1"/>
  <c r="AZ54" i="18"/>
  <c r="BA54" i="18" s="1"/>
  <c r="AZ48" i="18"/>
  <c r="BA48" i="18" s="1"/>
  <c r="AZ100" i="18"/>
  <c r="BA100" i="18" s="1"/>
  <c r="AZ51" i="18"/>
  <c r="BA51" i="18" s="1"/>
  <c r="AZ92" i="18"/>
  <c r="BA92" i="18" s="1"/>
  <c r="AZ84" i="18"/>
  <c r="BA84" i="18" s="1"/>
  <c r="AZ78" i="18"/>
  <c r="BA78" i="18" s="1"/>
  <c r="AZ68" i="18"/>
  <c r="BA68" i="18" s="1"/>
  <c r="AZ59" i="18"/>
  <c r="BA59" i="18" s="1"/>
  <c r="AZ76" i="18"/>
  <c r="BA76" i="18" s="1"/>
  <c r="AZ97" i="18"/>
  <c r="BA97" i="18" s="1"/>
  <c r="AZ83" i="18"/>
  <c r="BA83" i="18" s="1"/>
  <c r="AZ64" i="18"/>
  <c r="BA64" i="18" s="1"/>
  <c r="AZ55" i="18"/>
  <c r="BA55" i="18" s="1"/>
  <c r="AZ94" i="18"/>
  <c r="BA94" i="18" s="1"/>
  <c r="AZ80" i="18"/>
  <c r="BA80" i="18" s="1"/>
  <c r="AZ53" i="18"/>
  <c r="BA53" i="18" s="1"/>
  <c r="AZ89" i="18"/>
  <c r="BA89" i="18" s="1"/>
  <c r="AZ79" i="18"/>
  <c r="BA79" i="18" s="1"/>
  <c r="AZ73" i="18"/>
  <c r="BA73" i="18" s="1"/>
  <c r="AZ88" i="18"/>
  <c r="BA88" i="18" s="1"/>
  <c r="AZ62" i="18"/>
  <c r="BA62" i="18" s="1"/>
  <c r="AZ47" i="18"/>
  <c r="BA47" i="18" s="1"/>
  <c r="AZ56" i="18"/>
  <c r="BA56" i="18" s="1"/>
  <c r="AZ81" i="18"/>
  <c r="BA81" i="18" s="1"/>
  <c r="AZ74" i="18"/>
  <c r="BA74" i="18" s="1"/>
  <c r="AZ61" i="18"/>
  <c r="BA61" i="18" s="1"/>
  <c r="AZ67" i="18"/>
  <c r="BA67" i="18" s="1"/>
  <c r="AZ90" i="18"/>
  <c r="BA90" i="18" s="1"/>
  <c r="AZ70" i="18"/>
  <c r="BA70" i="18" s="1"/>
  <c r="AZ77" i="18"/>
  <c r="BA77" i="18" s="1"/>
  <c r="AZ49" i="18"/>
  <c r="BA49" i="18" s="1"/>
  <c r="AZ69" i="18"/>
  <c r="BA69" i="18" s="1"/>
  <c r="AZ82" i="18"/>
  <c r="BA82" i="18" s="1"/>
  <c r="AZ85" i="18"/>
  <c r="BA85" i="18" s="1"/>
  <c r="AZ60" i="18"/>
  <c r="BA60" i="18" s="1"/>
  <c r="AZ91" i="18"/>
  <c r="BA91" i="18" s="1"/>
  <c r="AZ86" i="18"/>
  <c r="BA86" i="18" s="1"/>
  <c r="AZ58" i="18"/>
  <c r="BA58" i="18" s="1"/>
  <c r="AZ93" i="18"/>
  <c r="BA93" i="18" s="1"/>
  <c r="AZ63" i="18"/>
  <c r="BA63" i="18" s="1"/>
  <c r="AZ101" i="18"/>
  <c r="BA101" i="18" s="1"/>
  <c r="AZ99" i="18"/>
  <c r="BA99" i="18" s="1"/>
  <c r="AZ52" i="18"/>
  <c r="BA52" i="18" s="1"/>
  <c r="AZ98" i="18"/>
  <c r="BA98" i="18" s="1"/>
  <c r="AZ72" i="18"/>
  <c r="BA72" i="18" s="1"/>
  <c r="AZ65" i="18"/>
  <c r="BA65" i="18" s="1"/>
  <c r="AZ96" i="18"/>
  <c r="BA96" i="18" s="1"/>
  <c r="AZ50" i="18"/>
  <c r="BA50" i="18" s="1"/>
  <c r="AZ75" i="18"/>
  <c r="BA75" i="18" s="1"/>
  <c r="AZ102" i="18"/>
  <c r="BA102" i="18" s="1"/>
  <c r="AZ66" i="18"/>
  <c r="BA66" i="18" s="1"/>
  <c r="AZ57" i="18"/>
  <c r="BA57" i="18" s="1"/>
  <c r="AZ95" i="18"/>
  <c r="BA95" i="18" s="1"/>
  <c r="AZ87" i="18"/>
  <c r="BA87" i="18" s="1"/>
  <c r="AG27" i="18"/>
  <c r="AH63" i="16"/>
  <c r="AF27" i="17"/>
  <c r="AG27" i="17"/>
  <c r="AH27" i="17" s="1"/>
  <c r="AF31" i="17"/>
  <c r="AH25" i="16"/>
  <c r="AF63" i="16"/>
  <c r="AE27" i="16"/>
  <c r="AG27" i="16" s="1"/>
  <c r="AG26" i="16"/>
  <c r="AG56" i="15"/>
  <c r="AE56" i="15"/>
  <c r="AE27" i="15"/>
  <c r="Y46" i="11"/>
  <c r="AA45" i="11"/>
  <c r="AB45" i="11" s="1"/>
  <c r="AA18" i="11"/>
  <c r="AB18" i="11" s="1"/>
  <c r="Y19" i="11"/>
  <c r="Z18" i="11"/>
  <c r="Z19" i="11" s="1"/>
  <c r="Y48" i="4"/>
  <c r="AA47" i="4"/>
  <c r="AB47" i="4" s="1"/>
  <c r="AC47" i="4"/>
  <c r="AD47" i="4" s="1"/>
  <c r="AE47" i="4" s="1"/>
  <c r="X48" i="4"/>
  <c r="S17" i="3"/>
  <c r="T17" i="3" s="1"/>
  <c r="Q18" i="3"/>
  <c r="R17" i="3"/>
  <c r="R18" i="3" s="1"/>
  <c r="AF63" i="25" l="1"/>
  <c r="AG27" i="25"/>
  <c r="AH27" i="25" s="1"/>
  <c r="AF31" i="25"/>
  <c r="AY99" i="23"/>
  <c r="AZ99" i="23" s="1"/>
  <c r="AY83" i="23"/>
  <c r="AZ83" i="23" s="1"/>
  <c r="AY67" i="23"/>
  <c r="AZ67" i="23" s="1"/>
  <c r="AY92" i="23"/>
  <c r="AZ92" i="23" s="1"/>
  <c r="AY101" i="23"/>
  <c r="AZ101" i="23" s="1"/>
  <c r="AY91" i="23"/>
  <c r="AZ91" i="23" s="1"/>
  <c r="AY75" i="23"/>
  <c r="AZ75" i="23" s="1"/>
  <c r="AY84" i="23"/>
  <c r="AZ84" i="23" s="1"/>
  <c r="AY76" i="23"/>
  <c r="AZ76" i="23" s="1"/>
  <c r="AY100" i="23"/>
  <c r="AZ100" i="23" s="1"/>
  <c r="AY68" i="23"/>
  <c r="AZ68" i="23" s="1"/>
  <c r="AY52" i="23"/>
  <c r="AZ52" i="23" s="1"/>
  <c r="AY58" i="23"/>
  <c r="AZ58" i="23" s="1"/>
  <c r="AY51" i="23"/>
  <c r="AZ51" i="23" s="1"/>
  <c r="AY47" i="23"/>
  <c r="AZ47" i="23" s="1"/>
  <c r="AY94" i="23"/>
  <c r="AZ94" i="23" s="1"/>
  <c r="AY55" i="23"/>
  <c r="AZ55" i="23" s="1"/>
  <c r="AY50" i="23"/>
  <c r="AZ50" i="23" s="1"/>
  <c r="AY78" i="23"/>
  <c r="AZ78" i="23" s="1"/>
  <c r="AY59" i="23"/>
  <c r="AZ59" i="23" s="1"/>
  <c r="AY48" i="23"/>
  <c r="AZ48" i="23" s="1"/>
  <c r="AY102" i="23"/>
  <c r="AZ102" i="23" s="1"/>
  <c r="AY63" i="23"/>
  <c r="AZ63" i="23" s="1"/>
  <c r="AY88" i="23"/>
  <c r="AZ88" i="23" s="1"/>
  <c r="AY79" i="23"/>
  <c r="AZ79" i="23" s="1"/>
  <c r="AY56" i="23"/>
  <c r="AZ56" i="23" s="1"/>
  <c r="AY49" i="23"/>
  <c r="AZ49" i="23" s="1"/>
  <c r="AY70" i="23"/>
  <c r="AZ70" i="23" s="1"/>
  <c r="AY90" i="23"/>
  <c r="AZ90" i="23" s="1"/>
  <c r="AY53" i="23"/>
  <c r="AZ53" i="23" s="1"/>
  <c r="AY60" i="23"/>
  <c r="AZ60" i="23" s="1"/>
  <c r="AY64" i="23"/>
  <c r="AZ64" i="23" s="1"/>
  <c r="AY82" i="23"/>
  <c r="AZ82" i="23" s="1"/>
  <c r="AY89" i="23"/>
  <c r="AZ89" i="23" s="1"/>
  <c r="AY57" i="23"/>
  <c r="AZ57" i="23" s="1"/>
  <c r="AY71" i="23"/>
  <c r="AZ71" i="23" s="1"/>
  <c r="AY72" i="23"/>
  <c r="AZ72" i="23" s="1"/>
  <c r="AY80" i="23"/>
  <c r="AZ80" i="23" s="1"/>
  <c r="AY77" i="23"/>
  <c r="AZ77" i="23" s="1"/>
  <c r="AY65" i="23"/>
  <c r="AZ65" i="23" s="1"/>
  <c r="AY74" i="23"/>
  <c r="AZ74" i="23" s="1"/>
  <c r="AY73" i="23"/>
  <c r="AZ73" i="23" s="1"/>
  <c r="AY97" i="23"/>
  <c r="AZ97" i="23" s="1"/>
  <c r="AY62" i="23"/>
  <c r="AZ62" i="23" s="1"/>
  <c r="AY66" i="23"/>
  <c r="AZ66" i="23" s="1"/>
  <c r="AY95" i="23"/>
  <c r="AZ95" i="23" s="1"/>
  <c r="AY81" i="23"/>
  <c r="AZ81" i="23" s="1"/>
  <c r="AY85" i="23"/>
  <c r="AZ85" i="23" s="1"/>
  <c r="AY103" i="23"/>
  <c r="AY86" i="23"/>
  <c r="AZ86" i="23" s="1"/>
  <c r="AY54" i="23"/>
  <c r="AZ54" i="23" s="1"/>
  <c r="AY93" i="23"/>
  <c r="AZ93" i="23" s="1"/>
  <c r="AY96" i="23"/>
  <c r="AZ96" i="23" s="1"/>
  <c r="AY61" i="23"/>
  <c r="AZ61" i="23" s="1"/>
  <c r="AY98" i="23"/>
  <c r="AZ98" i="23" s="1"/>
  <c r="AY87" i="23"/>
  <c r="AZ87" i="23" s="1"/>
  <c r="AY69" i="23"/>
  <c r="AZ69" i="23" s="1"/>
  <c r="AW14" i="22"/>
  <c r="AW10" i="22"/>
  <c r="AW18" i="19"/>
  <c r="AZ65" i="19"/>
  <c r="BA65" i="19" s="1"/>
  <c r="AZ100" i="19"/>
  <c r="BA100" i="19" s="1"/>
  <c r="AZ56" i="19"/>
  <c r="BA56" i="19" s="1"/>
  <c r="AZ85" i="19"/>
  <c r="BA85" i="19" s="1"/>
  <c r="AZ93" i="19"/>
  <c r="BA93" i="19" s="1"/>
  <c r="AZ54" i="19"/>
  <c r="BA54" i="19" s="1"/>
  <c r="AZ82" i="19"/>
  <c r="BA82" i="19" s="1"/>
  <c r="AZ49" i="19"/>
  <c r="BA49" i="19" s="1"/>
  <c r="AZ83" i="19"/>
  <c r="BA83" i="19" s="1"/>
  <c r="AZ52" i="19"/>
  <c r="BA52" i="19" s="1"/>
  <c r="AZ86" i="19"/>
  <c r="BA86" i="19" s="1"/>
  <c r="AZ103" i="19"/>
  <c r="AZ50" i="19"/>
  <c r="BA50" i="19" s="1"/>
  <c r="AZ79" i="19"/>
  <c r="BA79" i="19" s="1"/>
  <c r="AZ80" i="19"/>
  <c r="BA80" i="19" s="1"/>
  <c r="AZ71" i="19"/>
  <c r="BA71" i="19" s="1"/>
  <c r="AZ90" i="19"/>
  <c r="BA90" i="19" s="1"/>
  <c r="AZ66" i="19"/>
  <c r="BA66" i="19" s="1"/>
  <c r="AZ70" i="19"/>
  <c r="BA70" i="19" s="1"/>
  <c r="AZ77" i="19"/>
  <c r="BA77" i="19" s="1"/>
  <c r="AZ76" i="19"/>
  <c r="BA76" i="19" s="1"/>
  <c r="AZ51" i="19"/>
  <c r="BA51" i="19" s="1"/>
  <c r="AZ69" i="19"/>
  <c r="BA69" i="19" s="1"/>
  <c r="AZ53" i="19"/>
  <c r="BA53" i="19" s="1"/>
  <c r="AZ61" i="19"/>
  <c r="BA61" i="19" s="1"/>
  <c r="AZ81" i="19"/>
  <c r="BA81" i="19" s="1"/>
  <c r="AZ75" i="19"/>
  <c r="BA75" i="19" s="1"/>
  <c r="AZ48" i="19"/>
  <c r="BA48" i="19" s="1"/>
  <c r="AZ47" i="19"/>
  <c r="BA47" i="19" s="1"/>
  <c r="AZ89" i="19"/>
  <c r="BA89" i="19" s="1"/>
  <c r="AZ91" i="19"/>
  <c r="BA91" i="19" s="1"/>
  <c r="AZ58" i="19"/>
  <c r="BA58" i="19" s="1"/>
  <c r="AZ94" i="19"/>
  <c r="BA94" i="19" s="1"/>
  <c r="AZ74" i="19"/>
  <c r="BA74" i="19" s="1"/>
  <c r="AZ67" i="19"/>
  <c r="BA67" i="19" s="1"/>
  <c r="AZ57" i="19"/>
  <c r="BA57" i="19" s="1"/>
  <c r="AZ63" i="19"/>
  <c r="BA63" i="19" s="1"/>
  <c r="AZ88" i="19"/>
  <c r="BA88" i="19" s="1"/>
  <c r="AZ78" i="19"/>
  <c r="BA78" i="19" s="1"/>
  <c r="AZ59" i="19"/>
  <c r="BA59" i="19" s="1"/>
  <c r="AZ87" i="19"/>
  <c r="BA87" i="19" s="1"/>
  <c r="AZ95" i="19"/>
  <c r="BA95" i="19" s="1"/>
  <c r="AZ73" i="19"/>
  <c r="BA73" i="19" s="1"/>
  <c r="AZ98" i="19"/>
  <c r="BA98" i="19" s="1"/>
  <c r="AZ92" i="19"/>
  <c r="BA92" i="19" s="1"/>
  <c r="AZ62" i="19"/>
  <c r="BA62" i="19" s="1"/>
  <c r="AZ102" i="19"/>
  <c r="BA102" i="19" s="1"/>
  <c r="AZ72" i="19"/>
  <c r="BA72" i="19" s="1"/>
  <c r="AZ96" i="19"/>
  <c r="BA96" i="19" s="1"/>
  <c r="AZ99" i="19"/>
  <c r="BA99" i="19" s="1"/>
  <c r="AZ60" i="19"/>
  <c r="BA60" i="19" s="1"/>
  <c r="AZ84" i="19"/>
  <c r="BA84" i="19" s="1"/>
  <c r="AZ97" i="19"/>
  <c r="BA97" i="19" s="1"/>
  <c r="AZ101" i="19"/>
  <c r="BA101" i="19" s="1"/>
  <c r="AZ55" i="19"/>
  <c r="BA55" i="19" s="1"/>
  <c r="AZ68" i="19"/>
  <c r="BA68" i="19" s="1"/>
  <c r="AZ64" i="19"/>
  <c r="BA64" i="19" s="1"/>
  <c r="AH26" i="16"/>
  <c r="AH27" i="16" s="1"/>
  <c r="AF27" i="16"/>
  <c r="AA46" i="11"/>
  <c r="AB46" i="11" s="1"/>
  <c r="Y47" i="11"/>
  <c r="Y20" i="11"/>
  <c r="AA19" i="11"/>
  <c r="AB19" i="11" s="1"/>
  <c r="Z46" i="11"/>
  <c r="Z47" i="11" s="1"/>
  <c r="AC48" i="4"/>
  <c r="AD48" i="4" s="1"/>
  <c r="AE48" i="4" s="1"/>
  <c r="X49" i="4"/>
  <c r="AA48" i="4"/>
  <c r="AB48" i="4" s="1"/>
  <c r="Y49" i="4"/>
  <c r="Z48" i="4"/>
  <c r="Z49" i="4" s="1"/>
  <c r="Q19" i="3"/>
  <c r="S18" i="3"/>
  <c r="T18" i="3" s="1"/>
  <c r="AW18" i="22" l="1"/>
  <c r="AZ65" i="22"/>
  <c r="BA65" i="22" s="1"/>
  <c r="AZ84" i="22"/>
  <c r="BA84" i="22" s="1"/>
  <c r="AZ64" i="22"/>
  <c r="BA64" i="22" s="1"/>
  <c r="AZ69" i="22"/>
  <c r="BA69" i="22" s="1"/>
  <c r="AZ98" i="22"/>
  <c r="BA98" i="22" s="1"/>
  <c r="AZ81" i="22"/>
  <c r="BA81" i="22" s="1"/>
  <c r="AZ61" i="22"/>
  <c r="BA61" i="22" s="1"/>
  <c r="AZ73" i="22"/>
  <c r="BA73" i="22" s="1"/>
  <c r="AZ54" i="22"/>
  <c r="BA54" i="22" s="1"/>
  <c r="AZ86" i="22"/>
  <c r="BA86" i="22" s="1"/>
  <c r="AZ51" i="22"/>
  <c r="BA51" i="22" s="1"/>
  <c r="AZ93" i="22"/>
  <c r="BA93" i="22" s="1"/>
  <c r="AZ63" i="22"/>
  <c r="BA63" i="22" s="1"/>
  <c r="AZ94" i="22"/>
  <c r="BA94" i="22" s="1"/>
  <c r="AZ48" i="22"/>
  <c r="BA48" i="22" s="1"/>
  <c r="AZ79" i="22"/>
  <c r="BA79" i="22" s="1"/>
  <c r="AZ57" i="22"/>
  <c r="BA57" i="22" s="1"/>
  <c r="AZ74" i="22"/>
  <c r="BA74" i="22" s="1"/>
  <c r="AZ88" i="22"/>
  <c r="BA88" i="22" s="1"/>
  <c r="AZ101" i="22"/>
  <c r="BA101" i="22" s="1"/>
  <c r="AZ91" i="22"/>
  <c r="BA91" i="22" s="1"/>
  <c r="AZ52" i="22"/>
  <c r="BA52" i="22" s="1"/>
  <c r="AZ85" i="22"/>
  <c r="BA85" i="22" s="1"/>
  <c r="AZ53" i="22"/>
  <c r="BA53" i="22" s="1"/>
  <c r="AZ72" i="22"/>
  <c r="BA72" i="22" s="1"/>
  <c r="AZ103" i="22"/>
  <c r="AZ66" i="22"/>
  <c r="BA66" i="22" s="1"/>
  <c r="AZ82" i="22"/>
  <c r="BA82" i="22" s="1"/>
  <c r="AZ56" i="22"/>
  <c r="BA56" i="22" s="1"/>
  <c r="AZ68" i="22"/>
  <c r="BA68" i="22" s="1"/>
  <c r="AZ60" i="22"/>
  <c r="BA60" i="22" s="1"/>
  <c r="AZ49" i="22"/>
  <c r="BA49" i="22" s="1"/>
  <c r="AZ50" i="22"/>
  <c r="BA50" i="22" s="1"/>
  <c r="AZ100" i="22"/>
  <c r="BA100" i="22" s="1"/>
  <c r="AZ80" i="22"/>
  <c r="BA80" i="22" s="1"/>
  <c r="AZ77" i="22"/>
  <c r="BA77" i="22" s="1"/>
  <c r="AZ97" i="22"/>
  <c r="BA97" i="22" s="1"/>
  <c r="AZ96" i="22"/>
  <c r="BA96" i="22" s="1"/>
  <c r="AZ62" i="22"/>
  <c r="BA62" i="22" s="1"/>
  <c r="AZ78" i="22"/>
  <c r="BA78" i="22" s="1"/>
  <c r="AZ47" i="22"/>
  <c r="BA47" i="22" s="1"/>
  <c r="AZ89" i="22"/>
  <c r="BA89" i="22" s="1"/>
  <c r="AZ70" i="22"/>
  <c r="BA70" i="22" s="1"/>
  <c r="AZ83" i="22"/>
  <c r="BA83" i="22" s="1"/>
  <c r="AZ87" i="22"/>
  <c r="BA87" i="22" s="1"/>
  <c r="AZ71" i="22"/>
  <c r="BA71" i="22" s="1"/>
  <c r="AZ102" i="22"/>
  <c r="BA102" i="22" s="1"/>
  <c r="AZ90" i="22"/>
  <c r="BA90" i="22" s="1"/>
  <c r="AZ99" i="22"/>
  <c r="BA99" i="22" s="1"/>
  <c r="AZ95" i="22"/>
  <c r="BA95" i="22" s="1"/>
  <c r="AZ67" i="22"/>
  <c r="BA67" i="22" s="1"/>
  <c r="AZ76" i="22"/>
  <c r="BA76" i="22" s="1"/>
  <c r="AZ75" i="22"/>
  <c r="BA75" i="22" s="1"/>
  <c r="AZ59" i="22"/>
  <c r="BA59" i="22" s="1"/>
  <c r="AZ92" i="22"/>
  <c r="BA92" i="22" s="1"/>
  <c r="AZ58" i="22"/>
  <c r="BA58" i="22" s="1"/>
  <c r="AZ55" i="22"/>
  <c r="BA55" i="22" s="1"/>
  <c r="AA47" i="11"/>
  <c r="AB47" i="11" s="1"/>
  <c r="Y48" i="11"/>
  <c r="Z48" i="11"/>
  <c r="AA20" i="11"/>
  <c r="AB20" i="11" s="1"/>
  <c r="Y21" i="11"/>
  <c r="Z20" i="11"/>
  <c r="Z21" i="11" s="1"/>
  <c r="AE49" i="4"/>
  <c r="AA49" i="4"/>
  <c r="AB49" i="4" s="1"/>
  <c r="Y50" i="4"/>
  <c r="AC49" i="4"/>
  <c r="AD49" i="4" s="1"/>
  <c r="X50" i="4"/>
  <c r="S19" i="3"/>
  <c r="T19" i="3" s="1"/>
  <c r="Q20" i="3"/>
  <c r="R19" i="3"/>
  <c r="R20" i="3" s="1"/>
  <c r="Y49" i="11" l="1"/>
  <c r="AA48" i="11"/>
  <c r="AB48" i="11" s="1"/>
  <c r="Y22" i="11"/>
  <c r="AA21" i="11"/>
  <c r="AB21" i="11" s="1"/>
  <c r="Z49" i="11"/>
  <c r="AC50" i="4"/>
  <c r="AD50" i="4" s="1"/>
  <c r="AE50" i="4" s="1"/>
  <c r="X51" i="4"/>
  <c r="AA50" i="4"/>
  <c r="AB50" i="4" s="1"/>
  <c r="Y51" i="4"/>
  <c r="Z50" i="4"/>
  <c r="Q21" i="3"/>
  <c r="S20" i="3"/>
  <c r="T20" i="3" s="1"/>
  <c r="AA22" i="11" l="1"/>
  <c r="AB22" i="11" s="1"/>
  <c r="Y23" i="11"/>
  <c r="AA49" i="11"/>
  <c r="AB49" i="11" s="1"/>
  <c r="Y50" i="11"/>
  <c r="Z22" i="11"/>
  <c r="Z23" i="11" s="1"/>
  <c r="Z51" i="4"/>
  <c r="Z52" i="4" s="1"/>
  <c r="AA51" i="4"/>
  <c r="AB51" i="4" s="1"/>
  <c r="Y52" i="4"/>
  <c r="AC51" i="4"/>
  <c r="AD51" i="4" s="1"/>
  <c r="AE51" i="4" s="1"/>
  <c r="X52" i="4"/>
  <c r="Q22" i="3"/>
  <c r="S21" i="3"/>
  <c r="T21" i="3" s="1"/>
  <c r="R21" i="3"/>
  <c r="R22" i="3" s="1"/>
  <c r="AA50" i="11" l="1"/>
  <c r="AB50" i="11" s="1"/>
  <c r="Y51" i="11"/>
  <c r="AA23" i="11"/>
  <c r="AB23" i="11" s="1"/>
  <c r="Y24" i="11"/>
  <c r="Z50" i="11"/>
  <c r="Z51" i="11" s="1"/>
  <c r="AE52" i="4"/>
  <c r="AC52" i="4"/>
  <c r="AD52" i="4" s="1"/>
  <c r="X53" i="4"/>
  <c r="AA52" i="4"/>
  <c r="AB52" i="4" s="1"/>
  <c r="Y53" i="4"/>
  <c r="Q23" i="3"/>
  <c r="S22" i="3"/>
  <c r="T22" i="3" s="1"/>
  <c r="Y25" i="11" l="1"/>
  <c r="AA24" i="11"/>
  <c r="AB24" i="11" s="1"/>
  <c r="AA51" i="11"/>
  <c r="AB51" i="11" s="1"/>
  <c r="Y52" i="11"/>
  <c r="Z52" i="11"/>
  <c r="Z24" i="11"/>
  <c r="Z25" i="11" s="1"/>
  <c r="AA53" i="4"/>
  <c r="AB53" i="4" s="1"/>
  <c r="Y54" i="4"/>
  <c r="Z53" i="4"/>
  <c r="Z54" i="4" s="1"/>
  <c r="AC53" i="4"/>
  <c r="AD53" i="4" s="1"/>
  <c r="AE53" i="4" s="1"/>
  <c r="X54" i="4"/>
  <c r="Q24" i="3"/>
  <c r="S23" i="3"/>
  <c r="T23" i="3" s="1"/>
  <c r="R23" i="3"/>
  <c r="R24" i="3" s="1"/>
  <c r="AA52" i="11" l="1"/>
  <c r="AB52" i="11" s="1"/>
  <c r="Y53" i="11"/>
  <c r="AA25" i="11"/>
  <c r="AB25" i="11" s="1"/>
  <c r="Y26" i="11"/>
  <c r="AE54" i="4"/>
  <c r="AC54" i="4"/>
  <c r="AD54" i="4" s="1"/>
  <c r="X55" i="4"/>
  <c r="Y55" i="4"/>
  <c r="AA54" i="4"/>
  <c r="AB54" i="4" s="1"/>
  <c r="S24" i="3"/>
  <c r="T24" i="3" s="1"/>
  <c r="Q25" i="3"/>
  <c r="AA26" i="11" l="1"/>
  <c r="AB26" i="11" s="1"/>
  <c r="AB27" i="11" s="1"/>
  <c r="Y27" i="11"/>
  <c r="AA27" i="11" s="1"/>
  <c r="Y54" i="11"/>
  <c r="AA53" i="11"/>
  <c r="AB53" i="11" s="1"/>
  <c r="Z26" i="11"/>
  <c r="Z27" i="11" s="1"/>
  <c r="Z53" i="11"/>
  <c r="Z54" i="11" s="1"/>
  <c r="Y56" i="4"/>
  <c r="AA55" i="4"/>
  <c r="AB55" i="4" s="1"/>
  <c r="Z55" i="4"/>
  <c r="Z56" i="4" s="1"/>
  <c r="AC55" i="4"/>
  <c r="AD55" i="4" s="1"/>
  <c r="AE55" i="4" s="1"/>
  <c r="AE56" i="4" s="1"/>
  <c r="X56" i="4"/>
  <c r="AC56" i="4" s="1"/>
  <c r="AD56" i="4" s="1"/>
  <c r="S25" i="3"/>
  <c r="T25" i="3" s="1"/>
  <c r="Q26" i="3"/>
  <c r="R25" i="3"/>
  <c r="R26" i="3" s="1"/>
  <c r="AA54" i="11" l="1"/>
  <c r="AB54" i="11" s="1"/>
  <c r="Y55" i="11"/>
  <c r="AA56" i="4"/>
  <c r="AB56" i="4" s="1"/>
  <c r="S26" i="3"/>
  <c r="T26" i="3" s="1"/>
  <c r="Q27" i="3"/>
  <c r="AA55" i="11" l="1"/>
  <c r="AB55" i="11" s="1"/>
  <c r="AB56" i="11" s="1"/>
  <c r="Y56" i="11"/>
  <c r="AA56" i="11" s="1"/>
  <c r="Z55" i="11"/>
  <c r="Z56" i="11" s="1"/>
  <c r="S27" i="3"/>
  <c r="T27" i="3" s="1"/>
  <c r="R31" i="3"/>
  <c r="R27" i="3"/>
  <c r="AE3" i="21" l="1"/>
  <c r="AE4" i="21" s="1"/>
  <c r="AI3" i="21"/>
  <c r="AJ3" i="21" s="1"/>
  <c r="AK3" i="21" s="1"/>
  <c r="AI10" i="21"/>
  <c r="AJ10" i="21" s="1"/>
  <c r="AI9" i="21"/>
  <c r="AJ9" i="21" s="1"/>
  <c r="AI17" i="21"/>
  <c r="AJ17" i="21" s="1"/>
  <c r="AI16" i="21"/>
  <c r="AJ16" i="21" s="1"/>
  <c r="AI14" i="21"/>
  <c r="AJ14" i="21" s="1"/>
  <c r="AI6" i="21"/>
  <c r="AJ6" i="21" s="1"/>
  <c r="AI25" i="21"/>
  <c r="AJ25" i="21" s="1"/>
  <c r="AI7" i="21"/>
  <c r="AJ7" i="21" s="1"/>
  <c r="AI11" i="21"/>
  <c r="AJ11" i="21" s="1"/>
  <c r="AI12" i="21"/>
  <c r="AJ12" i="21" s="1"/>
  <c r="AI26" i="21"/>
  <c r="AJ26" i="21" s="1"/>
  <c r="AI27" i="21"/>
  <c r="AJ27" i="21" s="1"/>
  <c r="AI22" i="21"/>
  <c r="AJ22" i="21" s="1"/>
  <c r="AI4" i="21"/>
  <c r="AJ4" i="21" s="1"/>
  <c r="AI20" i="21"/>
  <c r="AJ20" i="21" s="1"/>
  <c r="AI15" i="21"/>
  <c r="AJ15" i="21" s="1"/>
  <c r="AI18" i="21"/>
  <c r="AJ18" i="21" s="1"/>
  <c r="AI8" i="21"/>
  <c r="AJ8" i="21" s="1"/>
  <c r="AI13" i="21"/>
  <c r="AJ13" i="21" s="1"/>
  <c r="AI19" i="21"/>
  <c r="AJ19" i="21" s="1"/>
  <c r="AI23" i="21"/>
  <c r="AJ23" i="21" s="1"/>
  <c r="AI21" i="21"/>
  <c r="AJ21" i="21" s="1"/>
  <c r="AI24" i="21"/>
  <c r="AJ24" i="21" s="1"/>
  <c r="AI5" i="21"/>
  <c r="AJ5" i="21" s="1"/>
  <c r="AK4" i="21" l="1"/>
  <c r="AK5" i="21" s="1"/>
  <c r="AK6" i="21" s="1"/>
  <c r="AK7" i="21" s="1"/>
  <c r="AK8" i="21" s="1"/>
  <c r="AK9" i="21" s="1"/>
  <c r="AK10" i="21" s="1"/>
  <c r="AK11" i="21" s="1"/>
  <c r="AK12" i="21" s="1"/>
  <c r="AK13" i="21" s="1"/>
  <c r="AK14" i="21" s="1"/>
  <c r="AK15" i="21" s="1"/>
  <c r="AK16" i="21" s="1"/>
  <c r="AK17" i="21" s="1"/>
  <c r="AK18" i="21" s="1"/>
  <c r="AK19" i="21" s="1"/>
  <c r="AK20" i="21" s="1"/>
  <c r="AK21" i="21" s="1"/>
  <c r="AK22" i="21" s="1"/>
  <c r="AK23" i="21" s="1"/>
  <c r="AK24" i="21" s="1"/>
  <c r="AK25" i="21" s="1"/>
  <c r="AK26" i="21" s="1"/>
  <c r="AK27" i="21" s="1"/>
  <c r="AV2" i="21" s="1"/>
  <c r="AF3" i="21"/>
  <c r="AF4" i="21" s="1"/>
  <c r="AG3" i="21"/>
  <c r="AH3" i="21" s="1"/>
  <c r="AG4" i="21"/>
  <c r="AE5" i="21"/>
  <c r="AH4" i="21" l="1"/>
  <c r="AK29" i="21"/>
  <c r="AG5" i="21"/>
  <c r="AE6" i="21"/>
  <c r="AF5" i="21"/>
  <c r="AX98" i="21"/>
  <c r="AX48" i="21"/>
  <c r="AX49" i="21"/>
  <c r="AX73" i="21"/>
  <c r="AX75" i="21"/>
  <c r="AX84" i="21"/>
  <c r="AX87" i="21"/>
  <c r="AX97" i="21"/>
  <c r="AX91" i="21"/>
  <c r="AX74" i="21"/>
  <c r="AX69" i="21"/>
  <c r="AX31" i="21"/>
  <c r="AX2" i="21"/>
  <c r="AX28" i="21"/>
  <c r="AX8" i="21"/>
  <c r="AX103" i="21"/>
  <c r="AY20" i="21"/>
  <c r="AY6" i="21"/>
  <c r="AX89" i="21"/>
  <c r="AX66" i="21"/>
  <c r="AX81" i="21"/>
  <c r="AX85" i="21"/>
  <c r="AX9" i="21"/>
  <c r="AX36" i="21"/>
  <c r="AX54" i="21"/>
  <c r="AX63" i="21"/>
  <c r="AX100" i="21"/>
  <c r="AX93" i="21"/>
  <c r="AX55" i="21"/>
  <c r="AX60" i="21"/>
  <c r="AX88" i="21"/>
  <c r="AY44" i="21"/>
  <c r="AY14" i="21"/>
  <c r="AY42" i="21"/>
  <c r="AY27" i="21"/>
  <c r="AY9" i="21"/>
  <c r="AY39" i="21"/>
  <c r="AY21" i="21"/>
  <c r="AX6" i="21"/>
  <c r="AX4" i="21"/>
  <c r="AX3" i="21"/>
  <c r="AX11" i="21"/>
  <c r="AY33" i="21"/>
  <c r="AX44" i="21"/>
  <c r="AY8" i="21"/>
  <c r="AX16" i="21"/>
  <c r="AX95" i="21"/>
  <c r="AY12" i="21"/>
  <c r="AX23" i="21"/>
  <c r="AX79" i="21"/>
  <c r="AX94" i="21"/>
  <c r="AX86" i="21"/>
  <c r="AX53" i="21"/>
  <c r="AX102" i="21"/>
  <c r="AX58" i="21"/>
  <c r="AY2" i="21"/>
  <c r="AX42" i="21"/>
  <c r="AX43" i="21"/>
  <c r="AY40" i="21"/>
  <c r="AX41" i="21"/>
  <c r="AX20" i="21"/>
  <c r="AX39" i="21"/>
  <c r="AY24" i="21"/>
  <c r="AX76" i="21"/>
  <c r="AX5" i="21"/>
  <c r="AX104" i="21"/>
  <c r="AX90" i="21"/>
  <c r="AX101" i="21"/>
  <c r="AX62" i="21"/>
  <c r="AX70" i="21"/>
  <c r="AX56" i="21"/>
  <c r="AX47" i="21"/>
  <c r="AX71" i="21"/>
  <c r="AX61" i="21"/>
  <c r="AX64" i="21"/>
  <c r="AY19" i="21"/>
  <c r="AY13" i="21"/>
  <c r="AY28" i="21"/>
  <c r="AZ28" i="21" s="1"/>
  <c r="AY16" i="21"/>
  <c r="AY17" i="21"/>
  <c r="AY30" i="21"/>
  <c r="AY23" i="21"/>
  <c r="AX13" i="21"/>
  <c r="AX12" i="21"/>
  <c r="AX18" i="21"/>
  <c r="AX29" i="21"/>
  <c r="AX14" i="21"/>
  <c r="AX26" i="21"/>
  <c r="AX17" i="21"/>
  <c r="AY46" i="21"/>
  <c r="AX24" i="21"/>
  <c r="AY38" i="21"/>
  <c r="AX51" i="21"/>
  <c r="AX30" i="21"/>
  <c r="AX35" i="21"/>
  <c r="AX72" i="21"/>
  <c r="AX19" i="21"/>
  <c r="AX57" i="21"/>
  <c r="AX78" i="21"/>
  <c r="AX59" i="21"/>
  <c r="AX50" i="21"/>
  <c r="AX92" i="21"/>
  <c r="AX68" i="21"/>
  <c r="AY3" i="21"/>
  <c r="AY26" i="21"/>
  <c r="AY18" i="21"/>
  <c r="AY36" i="21"/>
  <c r="AY35" i="21"/>
  <c r="AY34" i="21"/>
  <c r="AY10" i="21"/>
  <c r="AY25" i="21"/>
  <c r="AX32" i="21"/>
  <c r="AX45" i="21"/>
  <c r="AX10" i="21"/>
  <c r="AX15" i="21"/>
  <c r="AY5" i="21"/>
  <c r="AX22" i="21"/>
  <c r="AX25" i="21"/>
  <c r="AX27" i="21"/>
  <c r="AX65" i="21"/>
  <c r="AX67" i="21"/>
  <c r="AX96" i="21"/>
  <c r="AX80" i="21"/>
  <c r="AX99" i="21"/>
  <c r="AX82" i="21"/>
  <c r="AY43" i="21"/>
  <c r="AX38" i="21"/>
  <c r="AX21" i="21"/>
  <c r="AY32" i="21"/>
  <c r="AX33" i="21"/>
  <c r="AX40" i="21"/>
  <c r="AY22" i="21"/>
  <c r="AY11" i="21"/>
  <c r="AY29" i="21"/>
  <c r="AZ29" i="21" s="1"/>
  <c r="AX52" i="21"/>
  <c r="AX7" i="21"/>
  <c r="AY45" i="21"/>
  <c r="AZ45" i="21" s="1"/>
  <c r="AY31" i="21"/>
  <c r="AY7" i="21"/>
  <c r="AX77" i="21"/>
  <c r="AX37" i="21"/>
  <c r="AY15" i="21"/>
  <c r="AX83" i="21"/>
  <c r="AY41" i="21"/>
  <c r="AY37" i="21"/>
  <c r="AX34" i="21"/>
  <c r="AX46" i="21"/>
  <c r="AY4" i="21"/>
  <c r="AZ4" i="21" l="1"/>
  <c r="AZ6" i="21"/>
  <c r="AF6" i="21"/>
  <c r="AZ36" i="21"/>
  <c r="AZ23" i="21"/>
  <c r="AZ5" i="21"/>
  <c r="AZ35" i="21"/>
  <c r="AZ38" i="21"/>
  <c r="AZ19" i="21"/>
  <c r="AZ9" i="21"/>
  <c r="AZ42" i="21"/>
  <c r="AZ8" i="21"/>
  <c r="AH5" i="21"/>
  <c r="AZ22" i="21"/>
  <c r="AZ7" i="21"/>
  <c r="AZ37" i="21"/>
  <c r="AZ3" i="21"/>
  <c r="AZ16" i="21"/>
  <c r="AZ32" i="21"/>
  <c r="AZ26" i="21"/>
  <c r="AZ30" i="21"/>
  <c r="AZ13" i="21"/>
  <c r="AZ39" i="21"/>
  <c r="AZ31" i="21"/>
  <c r="AZ18" i="21"/>
  <c r="AZ40" i="21"/>
  <c r="AZ33" i="21"/>
  <c r="AZ27" i="21"/>
  <c r="AZ46" i="21"/>
  <c r="AZ41" i="21"/>
  <c r="AZ14" i="21"/>
  <c r="AZ20" i="21"/>
  <c r="AZ25" i="21"/>
  <c r="AZ17" i="21"/>
  <c r="AV6" i="21"/>
  <c r="AZ2" i="21"/>
  <c r="AZ12" i="21"/>
  <c r="AZ44" i="21"/>
  <c r="AZ10" i="21"/>
  <c r="AZ24" i="21"/>
  <c r="AE7" i="21"/>
  <c r="AG6" i="21"/>
  <c r="AZ15" i="21"/>
  <c r="AZ43" i="21"/>
  <c r="AZ11" i="21"/>
  <c r="AZ34" i="21"/>
  <c r="AZ21" i="21"/>
  <c r="AF7" i="21" l="1"/>
  <c r="AH6" i="21"/>
  <c r="AV14" i="21"/>
  <c r="AV10" i="21"/>
  <c r="AG7" i="21"/>
  <c r="AE8" i="21"/>
  <c r="AH7" i="21" l="1"/>
  <c r="AG8" i="21"/>
  <c r="AE9" i="21"/>
  <c r="AF8" i="21"/>
  <c r="AY65" i="21"/>
  <c r="AZ65" i="21" s="1"/>
  <c r="AY67" i="21"/>
  <c r="AZ67" i="21" s="1"/>
  <c r="AY96" i="21"/>
  <c r="AZ96" i="21" s="1"/>
  <c r="AY90" i="21"/>
  <c r="AZ90" i="21" s="1"/>
  <c r="AY98" i="21"/>
  <c r="AZ98" i="21" s="1"/>
  <c r="AY48" i="21"/>
  <c r="AZ48" i="21" s="1"/>
  <c r="AY49" i="21"/>
  <c r="AZ49" i="21" s="1"/>
  <c r="AY73" i="21"/>
  <c r="AZ73" i="21" s="1"/>
  <c r="AY75" i="21"/>
  <c r="AZ75" i="21" s="1"/>
  <c r="AY99" i="21"/>
  <c r="AZ99" i="21" s="1"/>
  <c r="AY83" i="21"/>
  <c r="AZ83" i="21" s="1"/>
  <c r="AY52" i="21"/>
  <c r="AZ52" i="21" s="1"/>
  <c r="AY70" i="21"/>
  <c r="AZ70" i="21" s="1"/>
  <c r="AY50" i="21"/>
  <c r="AZ50" i="21" s="1"/>
  <c r="AY92" i="21"/>
  <c r="AZ92" i="21" s="1"/>
  <c r="AY84" i="21"/>
  <c r="AZ84" i="21" s="1"/>
  <c r="AY87" i="21"/>
  <c r="AZ87" i="21" s="1"/>
  <c r="AV17" i="21"/>
  <c r="AY97" i="21"/>
  <c r="AZ97" i="21" s="1"/>
  <c r="AY91" i="21"/>
  <c r="AZ91" i="21" s="1"/>
  <c r="AY74" i="21"/>
  <c r="AZ74" i="21" s="1"/>
  <c r="AY69" i="21"/>
  <c r="AZ69" i="21" s="1"/>
  <c r="AY104" i="21"/>
  <c r="AY61" i="21"/>
  <c r="AZ61" i="21" s="1"/>
  <c r="AY59" i="21"/>
  <c r="AZ59" i="21" s="1"/>
  <c r="AY54" i="21"/>
  <c r="AZ54" i="21" s="1"/>
  <c r="AY63" i="21"/>
  <c r="AZ63" i="21" s="1"/>
  <c r="AY103" i="21"/>
  <c r="AY100" i="21"/>
  <c r="AZ100" i="21" s="1"/>
  <c r="AY93" i="21"/>
  <c r="AZ93" i="21" s="1"/>
  <c r="AY55" i="21"/>
  <c r="AZ55" i="21" s="1"/>
  <c r="AY60" i="21"/>
  <c r="AZ60" i="21" s="1"/>
  <c r="AY88" i="21"/>
  <c r="AZ88" i="21" s="1"/>
  <c r="AY101" i="21"/>
  <c r="AZ101" i="21" s="1"/>
  <c r="AY62" i="21"/>
  <c r="AZ62" i="21" s="1"/>
  <c r="AY47" i="21"/>
  <c r="AZ47" i="21" s="1"/>
  <c r="AY79" i="21"/>
  <c r="AZ79" i="21" s="1"/>
  <c r="AY94" i="21"/>
  <c r="AZ94" i="21" s="1"/>
  <c r="AY86" i="21"/>
  <c r="AZ86" i="21" s="1"/>
  <c r="AY53" i="21"/>
  <c r="AZ53" i="21" s="1"/>
  <c r="AY102" i="21"/>
  <c r="AZ102" i="21" s="1"/>
  <c r="AY58" i="21"/>
  <c r="AZ58" i="21" s="1"/>
  <c r="AY56" i="21"/>
  <c r="AZ56" i="21" s="1"/>
  <c r="AY71" i="21"/>
  <c r="AZ71" i="21" s="1"/>
  <c r="AY89" i="21"/>
  <c r="AZ89" i="21" s="1"/>
  <c r="AY51" i="21"/>
  <c r="AZ51" i="21" s="1"/>
  <c r="AY76" i="21"/>
  <c r="AZ76" i="21" s="1"/>
  <c r="AY95" i="21"/>
  <c r="AZ95" i="21" s="1"/>
  <c r="AY66" i="21"/>
  <c r="AZ66" i="21" s="1"/>
  <c r="AY81" i="21"/>
  <c r="AZ81" i="21" s="1"/>
  <c r="AY72" i="21"/>
  <c r="AZ72" i="21" s="1"/>
  <c r="AY85" i="21"/>
  <c r="AZ85" i="21" s="1"/>
  <c r="AY64" i="21"/>
  <c r="AZ64" i="21" s="1"/>
  <c r="AY57" i="21"/>
  <c r="AZ57" i="21" s="1"/>
  <c r="AY78" i="21"/>
  <c r="AZ78" i="21" s="1"/>
  <c r="AY77" i="21"/>
  <c r="AZ77" i="21" s="1"/>
  <c r="AY82" i="21"/>
  <c r="AZ82" i="21" s="1"/>
  <c r="AY80" i="21"/>
  <c r="AZ80" i="21" s="1"/>
  <c r="AY68" i="21"/>
  <c r="AZ68" i="21" s="1"/>
  <c r="AH8" i="21" l="1"/>
  <c r="AF9" i="21"/>
  <c r="AE10" i="21"/>
  <c r="AG9" i="21"/>
  <c r="AH9" i="21" l="1"/>
  <c r="AE11" i="21"/>
  <c r="AG10" i="21"/>
  <c r="AF10" i="21"/>
  <c r="AH10" i="21" l="1"/>
  <c r="AG11" i="21"/>
  <c r="AE12" i="21"/>
  <c r="AF11" i="21"/>
  <c r="AH11" i="21" l="1"/>
  <c r="AF12" i="21"/>
  <c r="AG12" i="21"/>
  <c r="AE13" i="21"/>
  <c r="AH12" i="21" l="1"/>
  <c r="AE14" i="21"/>
  <c r="AG13" i="21"/>
  <c r="AF13" i="21"/>
  <c r="AH13" i="21" l="1"/>
  <c r="AF14" i="21"/>
  <c r="AE15" i="21"/>
  <c r="AG14" i="21"/>
  <c r="AH14" i="21" l="1"/>
  <c r="AG15" i="21"/>
  <c r="AE16" i="21"/>
  <c r="AF15" i="21"/>
  <c r="AF16" i="21" l="1"/>
  <c r="AH15" i="21"/>
  <c r="AG16" i="21"/>
  <c r="AE17" i="21"/>
  <c r="AH16" i="21" l="1"/>
  <c r="AE18" i="21"/>
  <c r="AG17" i="21"/>
  <c r="AF17" i="21"/>
  <c r="AH17" i="21" l="1"/>
  <c r="AF18" i="21"/>
  <c r="AE19" i="21"/>
  <c r="AG18" i="21"/>
  <c r="AH18" i="21" l="1"/>
  <c r="AG19" i="21"/>
  <c r="AE20" i="21"/>
  <c r="AF19" i="21"/>
  <c r="AF20" i="21" l="1"/>
  <c r="AH19" i="21"/>
  <c r="AG20" i="21"/>
  <c r="AE21" i="21"/>
  <c r="AH20" i="21" l="1"/>
  <c r="AE22" i="21"/>
  <c r="AG21" i="21"/>
  <c r="AF21" i="21"/>
  <c r="AH21" i="21" l="1"/>
  <c r="AF22" i="21"/>
  <c r="AE23" i="21"/>
  <c r="AG22" i="21"/>
  <c r="AH22" i="21" l="1"/>
  <c r="AG23" i="21"/>
  <c r="AE24" i="21"/>
  <c r="AF23" i="21"/>
  <c r="AF24" i="21" l="1"/>
  <c r="AH23" i="21"/>
  <c r="AG24" i="21"/>
  <c r="AE25" i="21"/>
  <c r="AH24" i="21" l="1"/>
  <c r="AE26" i="21"/>
  <c r="AG25" i="21"/>
  <c r="AF25" i="21"/>
  <c r="AH25" i="21" l="1"/>
  <c r="AF26" i="21"/>
  <c r="AE27" i="21"/>
  <c r="AG27" i="21" s="1"/>
  <c r="AG26" i="21"/>
  <c r="AH26" i="21" l="1"/>
  <c r="AH27" i="21" s="1"/>
  <c r="AF27"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tc={0C7B6644-0DDE-464E-8BE6-F15AB6D393D9}</author>
  </authors>
  <commentList>
    <comment ref="A2" authorId="0" shapeId="0" xr:uid="{0C7B6644-0DDE-464E-8BE6-F15AB6D393D9}">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tc={F034AA7D-AED6-44CA-AE7A-4E1C350C6FC2}</author>
    <author>tc={50674387-F1AE-405E-9B4B-40AD3D2CA62C}</author>
    <author>tc={F792319B-7531-4A8E-AB27-63DF18F59809}</author>
    <author>tc={94E4721F-C80F-4A8D-876E-405DA62C37B6}</author>
    <author>tc={A4202539-256A-4844-9CB1-D2711A20B131}</author>
    <author>tc={AC709D7D-7337-4A32-980A-55D0F6A99C93}</author>
    <author>tc={C4E56381-5863-4AA6-994B-C1508817D309}</author>
    <author>tc={6E0F8CE1-FA58-4E40-8E46-6BD293917DFB}</author>
    <author>tc={E750C0BB-B593-4938-96EE-E0ECF646C01D}</author>
    <author>tc={F2F35A27-B154-4E0A-A0EA-291A373926F8}</author>
    <author>tc={7541E819-3A8F-481B-ABCB-283128C11BA0}</author>
    <author>tc={E56D3389-0509-4F25-BAD7-6262EA89FAB6}</author>
    <author>tc={2F48A4E8-9B12-4A93-86F0-0268215C20A6}</author>
    <author>tc={0C624DC4-7A65-4AB8-B044-EAF66A27BCC0}</author>
    <author>tc={4571F168-310F-4586-86CE-D7DFDD124531}</author>
    <author>tc={047C1ED4-77B8-435F-8E00-820713CF00E9}</author>
    <author>tc={086A0B7C-3ED3-4B28-A5AA-840704B51E14}</author>
    <author>tc={4469DF68-B7BA-4E90-8FE6-98495A24AD9E}</author>
    <author>tc={5D0D6313-0C42-451B-B4A6-8CAFB1BD47BA}</author>
    <author>tc={30A42B90-5F49-4AAD-96A3-6BE3D6DFBEFB}</author>
    <author>tc={F8FC4F20-DED4-4253-A607-DE1D52285B0B}</author>
    <author>tc={FF66A750-70C0-4C3E-8ED5-15E7851680BA}</author>
    <author>tc={6A39F124-D56C-45F9-B2B9-E070D5F5B528}</author>
    <author>tc={348EFE0F-2B8F-46D7-8B2D-419C1B54C15E}</author>
    <author>tc={6BA60C13-2EEE-41BB-8E44-652A6EAD6A44}</author>
    <author>tc={D654B9F2-55DE-4987-AA9F-E012E9E9C950}</author>
  </authors>
  <commentList>
    <comment ref="A1" authorId="0" shapeId="0" xr:uid="{F034AA7D-AED6-44CA-AE7A-4E1C350C6FC2}">
      <text>
        <t>[Threaded comment]
Your version of Excel allows you to read this threaded comment; however, any edits to it will get removed if the file is opened in a newer version of Excel. Learn more: https://go.microsoft.com/fwlink/?linkid=870924
Comment:
    My initial LEM, pros sell to dso with 0.087</t>
      </text>
    </comment>
    <comment ref="W1" authorId="1" shapeId="0" xr:uid="{50674387-F1AE-405E-9B4B-40AD3D2CA62C}">
      <text>
        <t>[Threaded comment]
Your version of Excel allows you to read this threaded comment; however, any edits to it will get removed if the file is opened in a newer version of Excel. Learn more: https://go.microsoft.com/fwlink/?linkid=870924
Comment:
    Prosumers sell to NESO with 0.087</t>
      </text>
    </comment>
    <comment ref="AY1" authorId="2" shapeId="0" xr:uid="{F792319B-7531-4A8E-AB27-63DF18F59809}">
      <text>
        <t>[Threaded comment]
Your version of Excel allows you to read this threaded comment; however, any edits to it will get removed if the file is opened in a newer version of Excel. Learn more: https://go.microsoft.com/fwlink/?linkid=870924
Comment:
    All agents are treated equal</t>
      </text>
    </comment>
    <comment ref="AZ1" authorId="3" shapeId="0" xr:uid="{94E4721F-C80F-4A8D-876E-405DA62C37B6}">
      <text>
        <t xml:space="preserve">[Threaded comment]
Your version of Excel allows you to read this threaded comment; however, any edits to it will get removed if the file is opened in a newer version of Excel. Learn more: https://go.microsoft.com/fwlink/?linkid=870924
Comment:
    Giving advantage to prosumers who took the risk of investment </t>
      </text>
    </comment>
    <comment ref="BA2" authorId="4" shapeId="0" xr:uid="{A4202539-256A-4844-9CB1-D2711A20B131}">
      <text>
        <t>[Threaded comment]
Your version of Excel allows you to read this threaded comment; however, any edits to it will get removed if the file is opened in a newer version of Excel. Learn more: https://go.microsoft.com/fwlink/?linkid=870924
Comment:
    What prosumers received more under this scheme</t>
      </text>
    </comment>
    <comment ref="AW5" authorId="5" shapeId="0" xr:uid="{AC709D7D-7337-4A32-980A-55D0F6A99C93}">
      <text>
        <t>[Threaded comment]
Your version of Excel allows you to read this threaded comment; however, any edits to it will get removed if the file is opened in a newer version of Excel. Learn more: https://go.microsoft.com/fwlink/?linkid=870924
Comment:
    Income of prosumers under the scheme giving them advantage</t>
      </text>
    </comment>
    <comment ref="U10" authorId="6" shapeId="0" xr:uid="{C4E56381-5863-4AA6-994B-C1508817D309}">
      <text>
        <t>[Threaded comment]
Your version of Excel allows you to read this threaded comment; however, any edits to it will get removed if the file is opened in a newer version of Excel. Learn more: https://go.microsoft.com/fwlink/?linkid=870924
Comment:
    Say that they will not pay as the cost of smart meters will be covered by the standard cost in the energy bills which will happen with every household in Greece and Europe</t>
      </text>
    </comment>
    <comment ref="U11" authorId="7" shapeId="0" xr:uid="{6E0F8CE1-FA58-4E40-8E46-6BD293917DFB}">
      <text>
        <t>[Threaded comment]
Your version of Excel allows you to read this threaded comment; however, any edits to it will get removed if the file is opened in a newer version of Excel. Learn more: https://go.microsoft.com/fwlink/?linkid=870924
Comment:
    For 3 people personel and 1700 euro gross salary per month
As if having personnel it will not be economically feasible say that for the monitoring it will be people from the community who could earn a discount on their expanses in the LEM and if they do extra works by offering service to the grid, they would be paid from there</t>
      </text>
    </comment>
    <comment ref="U12" authorId="8" shapeId="0" xr:uid="{E750C0BB-B593-4938-96EE-E0ECF646C01D}">
      <text>
        <t>[Threaded comment]
Your version of Excel allows you to read this threaded comment; however, any edits to it will get removed if the file is opened in a newer version of Excel. Learn more: https://go.microsoft.com/fwlink/?linkid=870924
Comment:
    Say that the building will be offered by a community member or the local authorities to support the scheme</t>
      </text>
    </comment>
    <comment ref="U13" authorId="9" shapeId="0" xr:uid="{F2F35A27-B154-4E0A-A0EA-291A373926F8}">
      <text>
        <t>[Threaded comment]
Your version of Excel allows you to read this threaded comment; however, any edits to it will get removed if the file is opened in a newer version of Excel. Learn more: https://go.microsoft.com/fwlink/?linkid=870924
Comment:
    It would be built by us, or there would be an annual fee to the whole LEM for using it by the provider company. This annual fee would be seperated over the bills of all the members of LEM</t>
      </text>
    </comment>
    <comment ref="S16" authorId="10" shapeId="0" xr:uid="{7541E819-3A8F-481B-ABCB-283128C11BA0}">
      <text>
        <t>[Threaded comment]
Your version of Excel allows you to read this threaded comment; however, any edits to it will get removed if the file is opened in a newer version of Excel. Learn more: https://go.microsoft.com/fwlink/?linkid=870924
Comment:
    Pg 45 NREL</t>
      </text>
    </comment>
    <comment ref="S18" authorId="11" shapeId="0" xr:uid="{E56D3389-0509-4F25-BAD7-6262EA89FAB6}">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 ref="S27" authorId="12" shapeId="0" xr:uid="{2F48A4E8-9B12-4A93-86F0-0268215C20A6}">
      <text>
        <t>[Threaded comment]
Your version of Excel allows you to read this threaded comment; however, any edits to it will get removed if the file is opened in a newer version of Excel. Learn more: https://go.microsoft.com/fwlink/?linkid=870924
Comment:
    pg 76 NREL</t>
      </text>
    </comment>
    <comment ref="U29" authorId="13" shapeId="0" xr:uid="{0C624DC4-7A65-4AB8-B044-EAF66A27BCC0}">
      <text>
        <t>[Threaded comment]
Your version of Excel allows you to read this threaded comment; however, any edits to it will get removed if the file is opened in a newer version of Excel. Learn more: https://go.microsoft.com/fwlink/?linkid=870924
Comment:
    1700 euro/kWh I consider</t>
      </text>
    </comment>
    <comment ref="U30" authorId="14" shapeId="0" xr:uid="{4571F168-310F-4586-86CE-D7DFDD124531}">
      <text>
        <t>[Threaded comment]
Your version of Excel allows you to read this threaded comment; however, any edits to it will get removed if the file is opened in a newer version of Excel. Learn more: https://go.microsoft.com/fwlink/?linkid=870924
Comment:
    1700 euro/kWh I consider</t>
      </text>
    </comment>
    <comment ref="U31" authorId="15" shapeId="0" xr:uid="{047C1ED4-77B8-435F-8E00-820713CF00E9}">
      <text>
        <t>[Threaded comment]
Your version of Excel allows you to read this threaded comment; however, any edits to it will get removed if the file is opened in a newer version of Excel. Learn more: https://go.microsoft.com/fwlink/?linkid=870924
Comment:
    1120 euro/kWh I consider</t>
      </text>
    </comment>
    <comment ref="U32" authorId="16" shapeId="0" xr:uid="{086A0B7C-3ED3-4B28-A5AA-840704B51E14}">
      <text>
        <t>[Threaded comment]
Your version of Excel allows you to read this threaded comment; however, any edits to it will get removed if the file is opened in a newer version of Excel. Learn more: https://go.microsoft.com/fwlink/?linkid=870924
Comment:
    1120 euro/kWh I consider</t>
      </text>
    </comment>
    <comment ref="U33" authorId="17" shapeId="0" xr:uid="{4469DF68-B7BA-4E90-8FE6-98495A24AD9E}">
      <text>
        <t>[Threaded comment]
Your version of Excel allows you to read this threaded comment; however, any edits to it will get removed if the file is opened in a newer version of Excel. Learn more: https://go.microsoft.com/fwlink/?linkid=870924
Comment:
    700 euro/kWh I consider</t>
      </text>
    </comment>
    <comment ref="U34" authorId="18" shapeId="0" xr:uid="{5D0D6313-0C42-451B-B4A6-8CAFB1BD47BA}">
      <text>
        <t>[Threaded comment]
Your version of Excel allows you to read this threaded comment; however, any edits to it will get removed if the file is opened in a newer version of Excel. Learn more: https://go.microsoft.com/fwlink/?linkid=870924
Comment:
    700 euro/kWh I consider</t>
      </text>
    </comment>
    <comment ref="U35" authorId="19" shapeId="0" xr:uid="{30A42B90-5F49-4AAD-96A3-6BE3D6DFBEFB}">
      <text>
        <t>[Threaded comment]
Your version of Excel allows you to read this threaded comment; however, any edits to it will get removed if the file is opened in a newer version of Excel. Learn more: https://go.microsoft.com/fwlink/?linkid=870924
Comment:
    825 euro / kWh is the cost</t>
      </text>
    </comment>
    <comment ref="A46" authorId="20" shapeId="0" xr:uid="{F8FC4F20-DED4-4253-A607-DE1D52285B0B}">
      <text>
        <t>[Threaded comment]
Your version of Excel allows you to read this threaded comment; however, any edits to it will get removed if the file is opened in a newer version of Excel. Learn more: https://go.microsoft.com/fwlink/?linkid=870924
Comment:
    Last Prosumer</t>
      </text>
    </comment>
    <comment ref="AX46" authorId="21" shapeId="0" xr:uid="{FF66A750-70C0-4C3E-8ED5-15E7851680BA}">
      <text>
        <t>[Threaded comment]
Your version of Excel allows you to read this threaded comment; however, any edits to it will get removed if the file is opened in a newer version of Excel. Learn more: https://go.microsoft.com/fwlink/?linkid=870924
Comment:
    Last prosumer</t>
      </text>
    </comment>
    <comment ref="A47" authorId="22" shapeId="0" xr:uid="{6A39F124-D56C-45F9-B2B9-E070D5F5B528}">
      <text>
        <t>[Threaded comment]
Your version of Excel allows you to read this threaded comment; however, any edits to it will get removed if the file is opened in a newer version of Excel. Learn more: https://go.microsoft.com/fwlink/?linkid=870924
Comment:
    First Consumer</t>
      </text>
    </comment>
    <comment ref="BA47" authorId="23" shapeId="0" xr:uid="{348EFE0F-2B8F-46D7-8B2D-419C1B54C15E}">
      <text>
        <t>[Threaded comment]
Your version of Excel allows you to read this threaded comment; however, any edits to it will get removed if the file is opened in a newer version of Excel. Learn more: https://go.microsoft.com/fwlink/?linkid=870924
Comment:
    What consumers received less under this scheme</t>
      </text>
    </comment>
    <comment ref="S50" authorId="24" shapeId="0" xr:uid="{6BA60C13-2EEE-41BB-8E44-652A6EAD6A44}">
      <text>
        <t>[Threaded comment]
Your version of Excel allows you to read this threaded comment; however, any edits to it will get removed if the file is opened in a newer version of Excel. Learn more: https://go.microsoft.com/fwlink/?linkid=870924
Comment:
    Keep the same for both?</t>
      </text>
    </comment>
    <comment ref="S67" authorId="25" shapeId="0" xr:uid="{D654B9F2-55DE-4987-AA9F-E012E9E9C950}">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tc={B292914A-FBD4-4E8D-AB54-8C250087EB9A}</author>
    <author>tc={35B5EB26-B5B1-4586-BF4D-68103D9842EC}</author>
    <author>tc={029FB911-EBE5-4FD0-A1D1-0C997D464DE4}</author>
    <author>tc={ADEDE235-240D-4310-8141-21FE6084DAE9}</author>
    <author>tc={30AB1C72-437F-456F-825E-1D0ED49ED852}</author>
    <author>tc={8BBE42F6-30CB-4CEE-B7A2-EEB763065FCD}</author>
    <author>tc={988755AC-8E32-47DB-B023-A6AEC7C750B9}</author>
    <author>tc={F8F26AD3-196D-4E17-8924-3E32F8166075}</author>
    <author>tc={859CD949-6698-4542-A0F7-E1EDD257038D}</author>
    <author>tc={E697CDAC-A1B7-473D-92E4-DE7189922076}</author>
    <author>tc={15F891DB-EF9D-4962-9178-D89E5479DAE3}</author>
    <author>tc={0729E9CE-2489-4DFC-88BB-235A450091F8}</author>
    <author>tc={20AB5D21-2579-4CD3-B269-498E51896521}</author>
    <author>tc={7F16305D-D5C3-4A98-BC1E-149E49BA9557}</author>
    <author>tc={4483B267-F0E5-4678-87CB-4C70EC878518}</author>
    <author>tc={95F933AB-BD2C-4B7D-9AAE-257615717441}</author>
    <author>tc={D88B16D0-4D30-40D9-9344-04208CFDBF1A}</author>
    <author>tc={89F7331E-3D1B-4FE7-90DC-193E3DA44A4B}</author>
    <author>tc={697F224A-40A5-4252-83F3-6E1BE4CAFCD5}</author>
    <author>tc={1FACCAD6-DE2D-49C2-AE92-78AEFD3127AB}</author>
    <author>tc={09F7A429-7908-48AE-AE0E-D0DB1640A0ED}</author>
    <author>tc={ED5DA2C6-2A40-4F47-AFBA-CEDBA2A8F375}</author>
    <author>tc={DD7AD9BB-22B5-497F-BF33-A3B79F8524AA}</author>
    <author>tc={83E891E1-86FF-4511-9797-9DE3482DDB04}</author>
    <author>tc={06BE2FB2-84A6-4D10-B327-87FE3D25C003}</author>
    <author>tc={957C7615-F785-4022-8339-9D1BD38BB6C7}</author>
  </authors>
  <commentList>
    <comment ref="A1" authorId="0" shapeId="0" xr:uid="{B292914A-FBD4-4E8D-AB54-8C250087EB9A}">
      <text>
        <t>[Threaded comment]
Your version of Excel allows you to read this threaded comment; however, any edits to it will get removed if the file is opened in a newer version of Excel. Learn more: https://go.microsoft.com/fwlink/?linkid=870924
Comment:
    My initial LEM, pros sell to dso with 0.087</t>
      </text>
    </comment>
    <comment ref="V1" authorId="1" shapeId="0" xr:uid="{35B5EB26-B5B1-4586-BF4D-68103D9842EC}">
      <text>
        <t>[Threaded comment]
Your version of Excel allows you to read this threaded comment; however, any edits to it will get removed if the file is opened in a newer version of Excel. Learn more: https://go.microsoft.com/fwlink/?linkid=870924
Comment:
    Prosumers sell to NESO with 0.087</t>
      </text>
    </comment>
    <comment ref="AX1" authorId="2" shapeId="0" xr:uid="{029FB911-EBE5-4FD0-A1D1-0C997D464DE4}">
      <text>
        <t>[Threaded comment]
Your version of Excel allows you to read this threaded comment; however, any edits to it will get removed if the file is opened in a newer version of Excel. Learn more: https://go.microsoft.com/fwlink/?linkid=870924
Comment:
    All agents are treated equal</t>
      </text>
    </comment>
    <comment ref="AY1" authorId="3" shapeId="0" xr:uid="{ADEDE235-240D-4310-8141-21FE6084DAE9}">
      <text>
        <t xml:space="preserve">[Threaded comment]
Your version of Excel allows you to read this threaded comment; however, any edits to it will get removed if the file is opened in a newer version of Excel. Learn more: https://go.microsoft.com/fwlink/?linkid=870924
Comment:
    Giving advantage to prosumers who took the risk of investment </t>
      </text>
    </comment>
    <comment ref="AZ2" authorId="4" shapeId="0" xr:uid="{30AB1C72-437F-456F-825E-1D0ED49ED852}">
      <text>
        <t>[Threaded comment]
Your version of Excel allows you to read this threaded comment; however, any edits to it will get removed if the file is opened in a newer version of Excel. Learn more: https://go.microsoft.com/fwlink/?linkid=870924
Comment:
    What prosumers received more under this scheme</t>
      </text>
    </comment>
    <comment ref="AV5" authorId="5" shapeId="0" xr:uid="{8BBE42F6-30CB-4CEE-B7A2-EEB763065FCD}">
      <text>
        <t>[Threaded comment]
Your version of Excel allows you to read this threaded comment; however, any edits to it will get removed if the file is opened in a newer version of Excel. Learn more: https://go.microsoft.com/fwlink/?linkid=870924
Comment:
    Income of prosumers under the scheme giving them advantage</t>
      </text>
    </comment>
    <comment ref="T10" authorId="6" shapeId="0" xr:uid="{988755AC-8E32-47DB-B023-A6AEC7C750B9}">
      <text>
        <t>[Threaded comment]
Your version of Excel allows you to read this threaded comment; however, any edits to it will get removed if the file is opened in a newer version of Excel. Learn more: https://go.microsoft.com/fwlink/?linkid=870924
Comment:
    Say that they will not pay as the cost of smart meters will be covered by the standard cost in the energy bills which will happen with every household in Greece and Europe</t>
      </text>
    </comment>
    <comment ref="T11" authorId="7" shapeId="0" xr:uid="{F8F26AD3-196D-4E17-8924-3E32F8166075}">
      <text>
        <t>[Threaded comment]
Your version of Excel allows you to read this threaded comment; however, any edits to it will get removed if the file is opened in a newer version of Excel. Learn more: https://go.microsoft.com/fwlink/?linkid=870924
Comment:
    For 3 people personel and 1700 euro gross salary per month
As if having personnel it will not be economically feasible say that for the monitoring it will be people from the community who could earn a discount on their expanses in the LEM and if they do extra works by offering service to the grid, they would be paid from there</t>
      </text>
    </comment>
    <comment ref="T12" authorId="8" shapeId="0" xr:uid="{859CD949-6698-4542-A0F7-E1EDD257038D}">
      <text>
        <t>[Threaded comment]
Your version of Excel allows you to read this threaded comment; however, any edits to it will get removed if the file is opened in a newer version of Excel. Learn more: https://go.microsoft.com/fwlink/?linkid=870924
Comment:
    Say that the building will be offered by a community member or the local authorities to support the scheme</t>
      </text>
    </comment>
    <comment ref="T13" authorId="9" shapeId="0" xr:uid="{E697CDAC-A1B7-473D-92E4-DE7189922076}">
      <text>
        <t>[Threaded comment]
Your version of Excel allows you to read this threaded comment; however, any edits to it will get removed if the file is opened in a newer version of Excel. Learn more: https://go.microsoft.com/fwlink/?linkid=870924
Comment:
    It would be built by us, or there would be an annual fee to the whole LEM for using it by the provider company. This annual fee would be seperated over the bills of all the members of LEM</t>
      </text>
    </comment>
    <comment ref="R16" authorId="10" shapeId="0" xr:uid="{15F891DB-EF9D-4962-9178-D89E5479DAE3}">
      <text>
        <t>[Threaded comment]
Your version of Excel allows you to read this threaded comment; however, any edits to it will get removed if the file is opened in a newer version of Excel. Learn more: https://go.microsoft.com/fwlink/?linkid=870924
Comment:
    Pg 45 NREL</t>
      </text>
    </comment>
    <comment ref="R18" authorId="11" shapeId="0" xr:uid="{0729E9CE-2489-4DFC-88BB-235A450091F8}">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 ref="R27" authorId="12" shapeId="0" xr:uid="{20AB5D21-2579-4CD3-B269-498E51896521}">
      <text>
        <t>[Threaded comment]
Your version of Excel allows you to read this threaded comment; however, any edits to it will get removed if the file is opened in a newer version of Excel. Learn more: https://go.microsoft.com/fwlink/?linkid=870924
Comment:
    pg 76 NREL</t>
      </text>
    </comment>
    <comment ref="T29" authorId="13" shapeId="0" xr:uid="{7F16305D-D5C3-4A98-BC1E-149E49BA9557}">
      <text>
        <t>[Threaded comment]
Your version of Excel allows you to read this threaded comment; however, any edits to it will get removed if the file is opened in a newer version of Excel. Learn more: https://go.microsoft.com/fwlink/?linkid=870924
Comment:
    1700 euro/kWh I consider</t>
      </text>
    </comment>
    <comment ref="T30" authorId="14" shapeId="0" xr:uid="{4483B267-F0E5-4678-87CB-4C70EC878518}">
      <text>
        <t>[Threaded comment]
Your version of Excel allows you to read this threaded comment; however, any edits to it will get removed if the file is opened in a newer version of Excel. Learn more: https://go.microsoft.com/fwlink/?linkid=870924
Comment:
    1700 euro/kWh I consider</t>
      </text>
    </comment>
    <comment ref="T31" authorId="15" shapeId="0" xr:uid="{95F933AB-BD2C-4B7D-9AAE-257615717441}">
      <text>
        <t>[Threaded comment]
Your version of Excel allows you to read this threaded comment; however, any edits to it will get removed if the file is opened in a newer version of Excel. Learn more: https://go.microsoft.com/fwlink/?linkid=870924
Comment:
    1120 euro/kWh I consider</t>
      </text>
    </comment>
    <comment ref="T32" authorId="16" shapeId="0" xr:uid="{D88B16D0-4D30-40D9-9344-04208CFDBF1A}">
      <text>
        <t>[Threaded comment]
Your version of Excel allows you to read this threaded comment; however, any edits to it will get removed if the file is opened in a newer version of Excel. Learn more: https://go.microsoft.com/fwlink/?linkid=870924
Comment:
    1120 euro/kWh I consider</t>
      </text>
    </comment>
    <comment ref="T33" authorId="17" shapeId="0" xr:uid="{89F7331E-3D1B-4FE7-90DC-193E3DA44A4B}">
      <text>
        <t>[Threaded comment]
Your version of Excel allows you to read this threaded comment; however, any edits to it will get removed if the file is opened in a newer version of Excel. Learn more: https://go.microsoft.com/fwlink/?linkid=870924
Comment:
    700 euro/kWh I consider</t>
      </text>
    </comment>
    <comment ref="T34" authorId="18" shapeId="0" xr:uid="{697F224A-40A5-4252-83F3-6E1BE4CAFCD5}">
      <text>
        <t>[Threaded comment]
Your version of Excel allows you to read this threaded comment; however, any edits to it will get removed if the file is opened in a newer version of Excel. Learn more: https://go.microsoft.com/fwlink/?linkid=870924
Comment:
    700 euro/kWh I consider</t>
      </text>
    </comment>
    <comment ref="T35" authorId="19" shapeId="0" xr:uid="{1FACCAD6-DE2D-49C2-AE92-78AEFD3127AB}">
      <text>
        <t>[Threaded comment]
Your version of Excel allows you to read this threaded comment; however, any edits to it will get removed if the file is opened in a newer version of Excel. Learn more: https://go.microsoft.com/fwlink/?linkid=870924
Comment:
    825 euro / kWh is the cost</t>
      </text>
    </comment>
    <comment ref="A46" authorId="20" shapeId="0" xr:uid="{09F7A429-7908-48AE-AE0E-D0DB1640A0ED}">
      <text>
        <t>[Threaded comment]
Your version of Excel allows you to read this threaded comment; however, any edits to it will get removed if the file is opened in a newer version of Excel. Learn more: https://go.microsoft.com/fwlink/?linkid=870924
Comment:
    Last Prosumer</t>
      </text>
    </comment>
    <comment ref="AW46" authorId="21" shapeId="0" xr:uid="{ED5DA2C6-2A40-4F47-AFBA-CEDBA2A8F375}">
      <text>
        <t>[Threaded comment]
Your version of Excel allows you to read this threaded comment; however, any edits to it will get removed if the file is opened in a newer version of Excel. Learn more: https://go.microsoft.com/fwlink/?linkid=870924
Comment:
    Last prosumer</t>
      </text>
    </comment>
    <comment ref="A47" authorId="22" shapeId="0" xr:uid="{DD7AD9BB-22B5-497F-BF33-A3B79F8524AA}">
      <text>
        <t>[Threaded comment]
Your version of Excel allows you to read this threaded comment; however, any edits to it will get removed if the file is opened in a newer version of Excel. Learn more: https://go.microsoft.com/fwlink/?linkid=870924
Comment:
    First Consumer</t>
      </text>
    </comment>
    <comment ref="AZ47" authorId="23" shapeId="0" xr:uid="{83E891E1-86FF-4511-9797-9DE3482DDB04}">
      <text>
        <t>[Threaded comment]
Your version of Excel allows you to read this threaded comment; however, any edits to it will get removed if the file is opened in a newer version of Excel. Learn more: https://go.microsoft.com/fwlink/?linkid=870924
Comment:
    What consumers received less under this scheme</t>
      </text>
    </comment>
    <comment ref="R50" authorId="24" shapeId="0" xr:uid="{06BE2FB2-84A6-4D10-B327-87FE3D25C003}">
      <text>
        <t>[Threaded comment]
Your version of Excel allows you to read this threaded comment; however, any edits to it will get removed if the file is opened in a newer version of Excel. Learn more: https://go.microsoft.com/fwlink/?linkid=870924
Comment:
    Keep the same for both?</t>
      </text>
    </comment>
    <comment ref="R67" authorId="25" shapeId="0" xr:uid="{957C7615-F785-4022-8339-9D1BD38BB6C7}">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tc={830D854A-7DB3-4498-86D0-A5DE0D8C0F79}</author>
    <author>tc={411DD8F9-52C4-4B87-BD55-7E0372C4D7BB}</author>
    <author>tc={26DF7B50-2307-4BFC-A4A9-BD6366F49716}</author>
    <author>tc={38EF1BC6-FA9E-444E-AD12-5864A81CAD3E}</author>
    <author>tc={C397760A-1D75-4BF6-A383-CF1AD48217F0}</author>
    <author>tc={48C66A87-76C9-4A9E-8EC6-6265BFAA0748}</author>
    <author>tc={16904B91-4F17-44F3-8FD4-819651EE76BB}</author>
    <author>tc={614A01E5-FD38-49AC-836C-0D4ADD131EA5}</author>
    <author>tc={98AB1EDB-8D07-4E7C-8CBD-DD78FB131CCD}</author>
    <author>tc={CDF59DBE-7EDE-43F0-9DE2-79FB3B0E5F9B}</author>
    <author>tc={B44332FC-83A9-4105-8FB5-DE0814120CB6}</author>
    <author>tc={3F821FB6-8DA0-47D2-B44A-B13402D2FE8F}</author>
    <author>tc={0BEF03A2-0050-46BC-8A6D-4E46AEAC1F76}</author>
    <author>tc={8E513E9D-7841-4277-9B9B-28EEF879D195}</author>
    <author>tc={1A73F206-965E-4193-88FE-6FC4BADCC28C}</author>
    <author>tc={DB87D610-C4A1-461F-95EB-1FBC4725829B}</author>
  </authors>
  <commentList>
    <comment ref="A1" authorId="0" shapeId="0" xr:uid="{830D854A-7DB3-4498-86D0-A5DE0D8C0F79}">
      <text>
        <t>[Threaded comment]
Your version of Excel allows you to read this threaded comment; however, any edits to it will get removed if the file is opened in a newer version of Excel. Learn more: https://go.microsoft.com/fwlink/?linkid=870924
Comment:
    If agents not in LEM
Reply:
    I made 2.5 into 2.6 to include an extra installation cost because of the batts</t>
      </text>
    </comment>
    <comment ref="U1" authorId="1" shapeId="0" xr:uid="{411DD8F9-52C4-4B87-BD55-7E0372C4D7BB}">
      <text>
        <t>[Threaded comment]
Your version of Excel allows you to read this threaded comment; however, any edits to it will get removed if the file is opened in a newer version of Excel. Learn more: https://go.microsoft.com/fwlink/?linkid=870924
Comment:
    Prosumers sell to NESO with 0.155</t>
      </text>
    </comment>
    <comment ref="Q9" authorId="2" shapeId="0" xr:uid="{26DF7B50-2307-4BFC-A4A9-BD6366F49716}">
      <text>
        <t>[Threaded comment]
Your version of Excel allows you to read this threaded comment; however, any edits to it will get removed if the file is opened in a newer version of Excel. Learn more: https://go.microsoft.com/fwlink/?linkid=870924
Comment:
    Pg 45 NREL</t>
      </text>
    </comment>
    <comment ref="Q11" authorId="3" shapeId="0" xr:uid="{38EF1BC6-FA9E-444E-AD12-5864A81CAD3E}">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 ref="Q20" authorId="4" shapeId="0" xr:uid="{C397760A-1D75-4BF6-A383-CF1AD48217F0}">
      <text>
        <t>[Threaded comment]
Your version of Excel allows you to read this threaded comment; however, any edits to it will get removed if the file is opened in a newer version of Excel. Learn more: https://go.microsoft.com/fwlink/?linkid=870924
Comment:
    pg 76 NREL</t>
      </text>
    </comment>
    <comment ref="S22" authorId="5" shapeId="0" xr:uid="{48C66A87-76C9-4A9E-8EC6-6265BFAA0748}">
      <text>
        <t>[Threaded comment]
Your version of Excel allows you to read this threaded comment; however, any edits to it will get removed if the file is opened in a newer version of Excel. Learn more: https://go.microsoft.com/fwlink/?linkid=870924
Comment:
    1700 euro/kWh I consider</t>
      </text>
    </comment>
    <comment ref="S23" authorId="6" shapeId="0" xr:uid="{16904B91-4F17-44F3-8FD4-819651EE76BB}">
      <text>
        <t>[Threaded comment]
Your version of Excel allows you to read this threaded comment; however, any edits to it will get removed if the file is opened in a newer version of Excel. Learn more: https://go.microsoft.com/fwlink/?linkid=870924
Comment:
    1700 euro/kWh I consider</t>
      </text>
    </comment>
    <comment ref="S24" authorId="7" shapeId="0" xr:uid="{614A01E5-FD38-49AC-836C-0D4ADD131EA5}">
      <text>
        <t>[Threaded comment]
Your version of Excel allows you to read this threaded comment; however, any edits to it will get removed if the file is opened in a newer version of Excel. Learn more: https://go.microsoft.com/fwlink/?linkid=870924
Comment:
    1120 euro/kWh I consider</t>
      </text>
    </comment>
    <comment ref="S25" authorId="8" shapeId="0" xr:uid="{98AB1EDB-8D07-4E7C-8CBD-DD78FB131CCD}">
      <text>
        <t>[Threaded comment]
Your version of Excel allows you to read this threaded comment; however, any edits to it will get removed if the file is opened in a newer version of Excel. Learn more: https://go.microsoft.com/fwlink/?linkid=870924
Comment:
    1120 euro/kWh I consider</t>
      </text>
    </comment>
    <comment ref="S26" authorId="9" shapeId="0" xr:uid="{CDF59DBE-7EDE-43F0-9DE2-79FB3B0E5F9B}">
      <text>
        <t>[Threaded comment]
Your version of Excel allows you to read this threaded comment; however, any edits to it will get removed if the file is opened in a newer version of Excel. Learn more: https://go.microsoft.com/fwlink/?linkid=870924
Comment:
    700 euro/kWh I consider</t>
      </text>
    </comment>
    <comment ref="S27" authorId="10" shapeId="0" xr:uid="{B44332FC-83A9-4105-8FB5-DE0814120CB6}">
      <text>
        <t>[Threaded comment]
Your version of Excel allows you to read this threaded comment; however, any edits to it will get removed if the file is opened in a newer version of Excel. Learn more: https://go.microsoft.com/fwlink/?linkid=870924
Comment:
    700 euro/kWh I consider</t>
      </text>
    </comment>
    <comment ref="S28" authorId="11" shapeId="0" xr:uid="{3F821FB6-8DA0-47D2-B44A-B13402D2FE8F}">
      <text>
        <t>[Threaded comment]
Your version of Excel allows you to read this threaded comment; however, any edits to it will get removed if the file is opened in a newer version of Excel. Learn more: https://go.microsoft.com/fwlink/?linkid=870924
Comment:
    825 euro / kWh is the cost</t>
      </text>
    </comment>
    <comment ref="Q43" authorId="12" shapeId="0" xr:uid="{0BEF03A2-0050-46BC-8A6D-4E46AEAC1F76}">
      <text>
        <t>[Threaded comment]
Your version of Excel allows you to read this threaded comment; however, any edits to it will get removed if the file is opened in a newer version of Excel. Learn more: https://go.microsoft.com/fwlink/?linkid=870924
Comment:
    Keep the same for both?</t>
      </text>
    </comment>
    <comment ref="A46" authorId="13" shapeId="0" xr:uid="{8E513E9D-7841-4277-9B9B-28EEF879D195}">
      <text>
        <t>[Threaded comment]
Your version of Excel allows you to read this threaded comment; however, any edits to it will get removed if the file is opened in a newer version of Excel. Learn more: https://go.microsoft.com/fwlink/?linkid=870924
Comment:
    Last Prosumer</t>
      </text>
    </comment>
    <comment ref="A47" authorId="14" shapeId="0" xr:uid="{1A73F206-965E-4193-88FE-6FC4BADCC28C}">
      <text>
        <t>[Threaded comment]
Your version of Excel allows you to read this threaded comment; however, any edits to it will get removed if the file is opened in a newer version of Excel. Learn more: https://go.microsoft.com/fwlink/?linkid=870924
Comment:
    First Consumer</t>
      </text>
    </comment>
    <comment ref="Q67" authorId="15" shapeId="0" xr:uid="{DB87D610-C4A1-461F-95EB-1FBC4725829B}">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tc={D893FEB2-D1F1-44E7-93A4-7D9179FE40E8}</author>
    <author>tc={2AB68765-E109-4C58-A21D-B29E77CE2650}</author>
    <author>tc={A8D22EC3-405A-42E4-A721-815417B19FE5}</author>
    <author>tc={F423BF0C-126B-4AEF-AE01-A17F3ADDA244}</author>
    <author>tc={9C2984CC-7696-46EB-AFB6-1639E14C033E}</author>
    <author>tc={4FA7A86C-F1DA-41C7-AE3A-1ADF65869ACB}</author>
    <author>tc={8891C0D2-E844-43B2-8121-6D5ED51DFCA4}</author>
    <author>tc={CFB15CEA-2EFC-494D-BA3B-84AD0315A778}</author>
    <author>tc={AF175EE3-A7E4-46D9-AFE6-4DCC519BC59E}</author>
    <author>tc={0EB8D1B1-69C4-4293-9AAF-5D0BA883D17C}</author>
    <author>tc={BB547E57-E073-45C3-A95D-B947C3C7C742}</author>
    <author>tc={CA9370EE-BEAD-431A-A028-522E0166552A}</author>
    <author>tc={3E822ECA-D881-455C-ABD0-BC2D6F146D24}</author>
    <author>tc={4D470238-4769-4419-87E3-236EFA234663}</author>
    <author>tc={C19B9B01-AC05-406B-B06A-5197F81D50F6}</author>
    <author>tc={AE955A74-85E8-4AC3-BF6D-282C0DA59BB4}</author>
  </authors>
  <commentList>
    <comment ref="A1" authorId="0" shapeId="0" xr:uid="{D893FEB2-D1F1-44E7-93A4-7D9179FE40E8}">
      <text>
        <t>[Threaded comment]
Your version of Excel allows you to read this threaded comment; however, any edits to it will get removed if the file is opened in a newer version of Excel. Learn more: https://go.microsoft.com/fwlink/?linkid=870924
Comment:
    In this one I could add the cost reduction to batts as currently from Greek state - and I do have separate batts price for each agent
Reply:
    I made 2.5 into 2.6 to include an extra installation cost because of the batts</t>
      </text>
    </comment>
    <comment ref="Q1" authorId="1" shapeId="0" xr:uid="{2AB68765-E109-4C58-A21D-B29E77CE2650}">
      <text>
        <t>[Threaded comment]
Your version of Excel allows you to read this threaded comment; however, any edits to it will get removed if the file is opened in a newer version of Excel. Learn more: https://go.microsoft.com/fwlink/?linkid=870924
Comment:
    Prosumers sell to NESO with 0.155</t>
      </text>
    </comment>
    <comment ref="M9" authorId="2" shapeId="0" xr:uid="{A8D22EC3-405A-42E4-A721-815417B19FE5}">
      <text>
        <t>[Threaded comment]
Your version of Excel allows you to read this threaded comment; however, any edits to it will get removed if the file is opened in a newer version of Excel. Learn more: https://go.microsoft.com/fwlink/?linkid=870924
Comment:
    Pg 45 NREL</t>
      </text>
    </comment>
    <comment ref="M11" authorId="3" shapeId="0" xr:uid="{F423BF0C-126B-4AEF-AE01-A17F3ADDA244}">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 ref="M20" authorId="4" shapeId="0" xr:uid="{9C2984CC-7696-46EB-AFB6-1639E14C033E}">
      <text>
        <t>[Threaded comment]
Your version of Excel allows you to read this threaded comment; however, any edits to it will get removed if the file is opened in a newer version of Excel. Learn more: https://go.microsoft.com/fwlink/?linkid=870924
Comment:
    pg 76 NREL</t>
      </text>
    </comment>
    <comment ref="O22" authorId="5" shapeId="0" xr:uid="{4FA7A86C-F1DA-41C7-AE3A-1ADF65869ACB}">
      <text>
        <t>[Threaded comment]
Your version of Excel allows you to read this threaded comment; however, any edits to it will get removed if the file is opened in a newer version of Excel. Learn more: https://go.microsoft.com/fwlink/?linkid=870924
Comment:
    1700 euro/kWh I consider</t>
      </text>
    </comment>
    <comment ref="O23" authorId="6" shapeId="0" xr:uid="{8891C0D2-E844-43B2-8121-6D5ED51DFCA4}">
      <text>
        <t>[Threaded comment]
Your version of Excel allows you to read this threaded comment; however, any edits to it will get removed if the file is opened in a newer version of Excel. Learn more: https://go.microsoft.com/fwlink/?linkid=870924
Comment:
    1700 euro/kWh I consider</t>
      </text>
    </comment>
    <comment ref="O24" authorId="7" shapeId="0" xr:uid="{CFB15CEA-2EFC-494D-BA3B-84AD0315A778}">
      <text>
        <t>[Threaded comment]
Your version of Excel allows you to read this threaded comment; however, any edits to it will get removed if the file is opened in a newer version of Excel. Learn more: https://go.microsoft.com/fwlink/?linkid=870924
Comment:
    1120 euro/kWh I consider</t>
      </text>
    </comment>
    <comment ref="O25" authorId="8" shapeId="0" xr:uid="{AF175EE3-A7E4-46D9-AFE6-4DCC519BC59E}">
      <text>
        <t>[Threaded comment]
Your version of Excel allows you to read this threaded comment; however, any edits to it will get removed if the file is opened in a newer version of Excel. Learn more: https://go.microsoft.com/fwlink/?linkid=870924
Comment:
    1120 euro/kWh I consider</t>
      </text>
    </comment>
    <comment ref="O26" authorId="9" shapeId="0" xr:uid="{0EB8D1B1-69C4-4293-9AAF-5D0BA883D17C}">
      <text>
        <t>[Threaded comment]
Your version of Excel allows you to read this threaded comment; however, any edits to it will get removed if the file is opened in a newer version of Excel. Learn more: https://go.microsoft.com/fwlink/?linkid=870924
Comment:
    700 euro/kWh I consider</t>
      </text>
    </comment>
    <comment ref="O27" authorId="10" shapeId="0" xr:uid="{BB547E57-E073-45C3-A95D-B947C3C7C742}">
      <text>
        <t>[Threaded comment]
Your version of Excel allows you to read this threaded comment; however, any edits to it will get removed if the file is opened in a newer version of Excel. Learn more: https://go.microsoft.com/fwlink/?linkid=870924
Comment:
    700 euro/kWh I consider</t>
      </text>
    </comment>
    <comment ref="O28" authorId="11" shapeId="0" xr:uid="{CA9370EE-BEAD-431A-A028-522E0166552A}">
      <text>
        <t>[Threaded comment]
Your version of Excel allows you to read this threaded comment; however, any edits to it will get removed if the file is opened in a newer version of Excel. Learn more: https://go.microsoft.com/fwlink/?linkid=870924
Comment:
    825 euro / kWh is the cost</t>
      </text>
    </comment>
    <comment ref="M43" authorId="12" shapeId="0" xr:uid="{3E822ECA-D881-455C-ABD0-BC2D6F146D24}">
      <text>
        <t>[Threaded comment]
Your version of Excel allows you to read this threaded comment; however, any edits to it will get removed if the file is opened in a newer version of Excel. Learn more: https://go.microsoft.com/fwlink/?linkid=870924
Comment:
    Keep the same for both?</t>
      </text>
    </comment>
    <comment ref="A46" authorId="13" shapeId="0" xr:uid="{4D470238-4769-4419-87E3-236EFA234663}">
      <text>
        <t>[Threaded comment]
Your version of Excel allows you to read this threaded comment; however, any edits to it will get removed if the file is opened in a newer version of Excel. Learn more: https://go.microsoft.com/fwlink/?linkid=870924
Comment:
    Last Prosumer</t>
      </text>
    </comment>
    <comment ref="A47" authorId="14" shapeId="0" xr:uid="{C19B9B01-AC05-406B-B06A-5197F81D50F6}">
      <text>
        <t>[Threaded comment]
Your version of Excel allows you to read this threaded comment; however, any edits to it will get removed if the file is opened in a newer version of Excel. Learn more: https://go.microsoft.com/fwlink/?linkid=870924
Comment:
    First Consumer</t>
      </text>
    </comment>
    <comment ref="M67" authorId="15" shapeId="0" xr:uid="{AE955A74-85E8-4AC3-BF6D-282C0DA59BB4}">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tc={9C57653E-9A0F-4594-BD1F-C563AC6B8051}</author>
    <author>tc={6313803B-0174-4A56-B33C-284AC86B0839}</author>
    <author>tc={769348AA-BA19-4EAE-8113-0CE77A5A7255}</author>
    <author>tc={477B094E-B01D-4F45-AE2E-3A05E3F0B8F4}</author>
    <author>tc={4924C2D5-77DF-4EBE-9519-DDFF2D971F16}</author>
    <author>tc={50D17609-C232-419C-AA7C-55809C6FB439}</author>
    <author>tc={C76BB9B9-264E-4DA3-91E1-4938012F2D05}</author>
    <author>tc={446C032F-2AF1-435F-AD8A-C188B10CA678}</author>
    <author>tc={0B25B1CC-70BA-4C10-BEA4-C28A976DFAB7}</author>
    <author>tc={99CE10B1-8DE0-4C78-844D-ADC1321AB54F}</author>
    <author>tc={BE3B750C-2597-4F4B-AD1F-7461FF2A0500}</author>
    <author>tc={1688110E-7DB8-476F-AC44-6CCD58414B48}</author>
    <author>tc={1A9A753B-A449-4195-85F5-740BB5B084FC}</author>
    <author>tc={E9543D92-2610-4B1B-9F70-1E70D4E7A8E9}</author>
    <author>tc={A1211E02-1EC3-481C-97D1-CC6DD4EA9509}</author>
    <author>tc={DFD4CC35-E26A-4F5C-A58C-92299AE87253}</author>
  </authors>
  <commentList>
    <comment ref="A1" authorId="0" shapeId="0" xr:uid="{9C57653E-9A0F-4594-BD1F-C563AC6B8051}">
      <text>
        <t>[Threaded comment]
Your version of Excel allows you to read this threaded comment; however, any edits to it will get removed if the file is opened in a newer version of Excel. Learn more: https://go.microsoft.com/fwlink/?linkid=870924
Comment:
    In this one I could add the cost reduction to batts as currently from Greek state - and I do have separate batts price for each agent
Reply:
    I made 2.5 into 2.6 to include an extra installation cost because of the batts</t>
      </text>
    </comment>
    <comment ref="P1" authorId="1" shapeId="0" xr:uid="{6313803B-0174-4A56-B33C-284AC86B0839}">
      <text>
        <t>[Threaded comment]
Your version of Excel allows you to read this threaded comment; however, any edits to it will get removed if the file is opened in a newer version of Excel. Learn more: https://go.microsoft.com/fwlink/?linkid=870924
Comment:
    Prosumers sell to NESO with 0.155</t>
      </text>
    </comment>
    <comment ref="L9" authorId="2" shapeId="0" xr:uid="{769348AA-BA19-4EAE-8113-0CE77A5A7255}">
      <text>
        <t>[Threaded comment]
Your version of Excel allows you to read this threaded comment; however, any edits to it will get removed if the file is opened in a newer version of Excel. Learn more: https://go.microsoft.com/fwlink/?linkid=870924
Comment:
    Pg 45 NREL</t>
      </text>
    </comment>
    <comment ref="L11" authorId="3" shapeId="0" xr:uid="{477B094E-B01D-4F45-AE2E-3A05E3F0B8F4}">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 ref="L20" authorId="4" shapeId="0" xr:uid="{4924C2D5-77DF-4EBE-9519-DDFF2D971F16}">
      <text>
        <t>[Threaded comment]
Your version of Excel allows you to read this threaded comment; however, any edits to it will get removed if the file is opened in a newer version of Excel. Learn more: https://go.microsoft.com/fwlink/?linkid=870924
Comment:
    pg 76 NREL</t>
      </text>
    </comment>
    <comment ref="M22" authorId="5" shapeId="0" xr:uid="{50D17609-C232-419C-AA7C-55809C6FB439}">
      <text>
        <t>[Threaded comment]
Your version of Excel allows you to read this threaded comment; however, any edits to it will get removed if the file is opened in a newer version of Excel. Learn more: https://go.microsoft.com/fwlink/?linkid=870924
Comment:
    1670 euro / kWh is the cost</t>
      </text>
    </comment>
    <comment ref="M23" authorId="6" shapeId="0" xr:uid="{C76BB9B9-264E-4DA3-91E1-4938012F2D05}">
      <text>
        <t>[Threaded comment]
Your version of Excel allows you to read this threaded comment; however, any edits to it will get removed if the file is opened in a newer version of Excel. Learn more: https://go.microsoft.com/fwlink/?linkid=870924
Comment:
    1750 euro / kWh is the cost</t>
      </text>
    </comment>
    <comment ref="N24" authorId="7" shapeId="0" xr:uid="{446C032F-2AF1-435F-AD8A-C188B10CA678}">
      <text>
        <t>[Threaded comment]
Your version of Excel allows you to read this threaded comment; however, any edits to it will get removed if the file is opened in a newer version of Excel. Learn more: https://go.microsoft.com/fwlink/?linkid=870924
Comment:
    1180 euro/kWh</t>
      </text>
    </comment>
    <comment ref="N25" authorId="8" shapeId="0" xr:uid="{0B25B1CC-70BA-4C10-BEA4-C28A976DFAB7}">
      <text>
        <t>[Threaded comment]
Your version of Excel allows you to read this threaded comment; however, any edits to it will get removed if the file is opened in a newer version of Excel. Learn more: https://go.microsoft.com/fwlink/?linkid=870924
Comment:
    1095 euro/kWh</t>
      </text>
    </comment>
    <comment ref="M26" authorId="9" shapeId="0" xr:uid="{99CE10B1-8DE0-4C78-844D-ADC1321AB54F}">
      <text>
        <t>[Threaded comment]
Your version of Excel allows you to read this threaded comment; however, any edits to it will get removed if the file is opened in a newer version of Excel. Learn more: https://go.microsoft.com/fwlink/?linkid=870924
Comment:
    680 euro / kWh is the cost</t>
      </text>
    </comment>
    <comment ref="M27" authorId="10" shapeId="0" xr:uid="{BE3B750C-2597-4F4B-AD1F-7461FF2A0500}">
      <text>
        <t>[Threaded comment]
Your version of Excel allows you to read this threaded comment; however, any edits to it will get removed if the file is opened in a newer version of Excel. Learn more: https://go.microsoft.com/fwlink/?linkid=870924
Comment:
    733 euro / kWh is the cost</t>
      </text>
    </comment>
    <comment ref="N28" authorId="11" shapeId="0" xr:uid="{1688110E-7DB8-476F-AC44-6CCD58414B48}">
      <text>
        <t>[Threaded comment]
Your version of Excel allows you to read this threaded comment; however, any edits to it will get removed if the file is opened in a newer version of Excel. Learn more: https://go.microsoft.com/fwlink/?linkid=870924
Comment:
    825 euro / kWh is the cost</t>
      </text>
    </comment>
    <comment ref="L43" authorId="12" shapeId="0" xr:uid="{1A9A753B-A449-4195-85F5-740BB5B084FC}">
      <text>
        <t>[Threaded comment]
Your version of Excel allows you to read this threaded comment; however, any edits to it will get removed if the file is opened in a newer version of Excel. Learn more: https://go.microsoft.com/fwlink/?linkid=870924
Comment:
    Keep the same for both?</t>
      </text>
    </comment>
    <comment ref="A46" authorId="13" shapeId="0" xr:uid="{E9543D92-2610-4B1B-9F70-1E70D4E7A8E9}">
      <text>
        <t>[Threaded comment]
Your version of Excel allows you to read this threaded comment; however, any edits to it will get removed if the file is opened in a newer version of Excel. Learn more: https://go.microsoft.com/fwlink/?linkid=870924
Comment:
    Last Prosumer</t>
      </text>
    </comment>
    <comment ref="A47" authorId="14" shapeId="0" xr:uid="{A1211E02-1EC3-481C-97D1-CC6DD4EA9509}">
      <text>
        <t>[Threaded comment]
Your version of Excel allows you to read this threaded comment; however, any edits to it will get removed if the file is opened in a newer version of Excel. Learn more: https://go.microsoft.com/fwlink/?linkid=870924
Comment:
    First Consumer</t>
      </text>
    </comment>
    <comment ref="L67" authorId="15" shapeId="0" xr:uid="{DFD4CC35-E26A-4F5C-A58C-92299AE87253}">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tc={0DCFB093-3393-4A93-9EFF-CCC945E1086F}</author>
    <author>tc={13B2AA9D-04C3-4A6B-8CAC-04BE570D108D}</author>
    <author>tc={386C479D-7626-42C2-8B13-917A7947DF50}</author>
    <author>tc={A92A4547-BA4F-4307-B6FE-35BF9B1D38A2}</author>
    <author>tc={3C7947AD-A7C0-4358-A8DF-52A456DC99AA}</author>
    <author>tc={3A75CF65-14B0-4554-B7A5-891B56340E5A}</author>
    <author>tc={9577222D-B759-4805-BA98-9C959A7DA0A8}</author>
    <author>tc={89455C68-7223-40C1-A4AD-774232964545}</author>
    <author>tc={D68FADA4-0688-4BC3-8BDF-46E700FF2F9B}</author>
  </authors>
  <commentList>
    <comment ref="A1" authorId="0" shapeId="0" xr:uid="{0DCFB093-3393-4A93-9EFF-CCC945E1086F}">
      <text>
        <t>[Threaded comment]
Your version of Excel allows you to read this threaded comment; however, any edits to it will get removed if the file is opened in a newer version of Excel. Learn more: https://go.microsoft.com/fwlink/?linkid=870924
Comment:
    In this one I could add the cost reduction to batts as currently from Greek state - and I have the prosumers sell to NESO with 0.155</t>
      </text>
    </comment>
    <comment ref="P1" authorId="1" shapeId="0" xr:uid="{13B2AA9D-04C3-4A6B-8CAC-04BE570D108D}">
      <text>
        <t>[Threaded comment]
Your version of Excel allows you to read this threaded comment; however, any edits to it will get removed if the file is opened in a newer version of Excel. Learn more: https://go.microsoft.com/fwlink/?linkid=870924
Comment:
    Prosumers sell to NESO with 0.155</t>
      </text>
    </comment>
    <comment ref="L9" authorId="2" shapeId="0" xr:uid="{386C479D-7626-42C2-8B13-917A7947DF50}">
      <text>
        <t>[Threaded comment]
Your version of Excel allows you to read this threaded comment; however, any edits to it will get removed if the file is opened in a newer version of Excel. Learn more: https://go.microsoft.com/fwlink/?linkid=870924
Comment:
    Pg 45 NREL</t>
      </text>
    </comment>
    <comment ref="L11" authorId="3" shapeId="0" xr:uid="{A92A4547-BA4F-4307-B6FE-35BF9B1D38A2}">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 ref="L20" authorId="4" shapeId="0" xr:uid="{3C7947AD-A7C0-4358-A8DF-52A456DC99AA}">
      <text>
        <t>[Threaded comment]
Your version of Excel allows you to read this threaded comment; however, any edits to it will get removed if the file is opened in a newer version of Excel. Learn more: https://go.microsoft.com/fwlink/?linkid=870924
Comment:
    pg 76 NREL</t>
      </text>
    </comment>
    <comment ref="L40" authorId="5" shapeId="0" xr:uid="{3A75CF65-14B0-4554-B7A5-891B56340E5A}">
      <text>
        <t>[Threaded comment]
Your version of Excel allows you to read this threaded comment; however, any edits to it will get removed if the file is opened in a newer version of Excel. Learn more: https://go.microsoft.com/fwlink/?linkid=870924
Comment:
    Keep the same for both?</t>
      </text>
    </comment>
    <comment ref="L45" authorId="6" shapeId="0" xr:uid="{9577222D-B759-4805-BA98-9C959A7DA0A8}">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 ref="A46" authorId="7" shapeId="0" xr:uid="{89455C68-7223-40C1-A4AD-774232964545}">
      <text>
        <t>[Threaded comment]
Your version of Excel allows you to read this threaded comment; however, any edits to it will get removed if the file is opened in a newer version of Excel. Learn more: https://go.microsoft.com/fwlink/?linkid=870924
Comment:
    Last Prosumer</t>
      </text>
    </comment>
    <comment ref="A47" authorId="8" shapeId="0" xr:uid="{D68FADA4-0688-4BC3-8BDF-46E700FF2F9B}">
      <text>
        <t>[Threaded comment]
Your version of Excel allows you to read this threaded comment; however, any edits to it will get removed if the file is opened in a newer version of Excel. Learn more: https://go.microsoft.com/fwlink/?linkid=870924
Comment:
    First Consumer</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tc={09707F5C-B6D8-4725-9EA0-8C68B60FD8CE}</author>
  </authors>
  <commentList>
    <comment ref="A29" authorId="0" shapeId="0" xr:uid="{09707F5C-B6D8-4725-9EA0-8C68B60FD8CE}">
      <text>
        <t>[Threaded comment]
Your version of Excel allows you to read this threaded comment; however, any edits to it will get removed if the file is opened in a newer version of Excel. Learn more: https://go.microsoft.com/fwlink/?linkid=870924
Comment:
    Seems to be the best case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tc={EDC57C77-7E60-4F81-B64D-977277A5C05B}</author>
    <author>tc={03C09990-B917-48BD-9005-AC7C2968D918}</author>
    <author>tc={2E6D298F-BABC-4DB2-8F7D-781CFDB518A5}</author>
    <author>tc={0C74D6F0-ECE1-4806-A30D-21B0E4D58E4B}</author>
    <author>tc={111117E1-6D82-403A-8B95-2DBBABE14556}</author>
    <author>tc={E533EF17-69B8-495A-916F-73040BD0ACED}</author>
    <author>tc={038AA409-FBBE-4517-B69E-2EFF2F86B4CC}</author>
    <author>tc={2F9D89AE-C31E-4095-86F9-E2375580505F}</author>
    <author>tc={883CDBDD-D13D-41E6-9CDD-35EB885D2DBA}</author>
  </authors>
  <commentList>
    <comment ref="A1" authorId="0" shapeId="0" xr:uid="{EDC57C77-7E60-4F81-B64D-977277A5C05B}">
      <text>
        <t>[Threaded comment]
Your version of Excel allows you to read this threaded comment; however, any edits to it will get removed if the file is opened in a newer version of Excel. Learn more: https://go.microsoft.com/fwlink/?linkid=870924
Comment:
    In this one I could add the cost reduction to batts as currently from Greek state - but I do not have separate batts price for each agent</t>
      </text>
    </comment>
    <comment ref="P1" authorId="1" shapeId="0" xr:uid="{03C09990-B917-48BD-9005-AC7C2968D918}">
      <text>
        <t>[Threaded comment]
Your version of Excel allows you to read this threaded comment; however, any edits to it will get removed if the file is opened in a newer version of Excel. Learn more: https://go.microsoft.com/fwlink/?linkid=870924
Comment:
    Prosumers sell to NESO with 0.087</t>
      </text>
    </comment>
    <comment ref="L9" authorId="2" shapeId="0" xr:uid="{2E6D298F-BABC-4DB2-8F7D-781CFDB518A5}">
      <text>
        <t>[Threaded comment]
Your version of Excel allows you to read this threaded comment; however, any edits to it will get removed if the file is opened in a newer version of Excel. Learn more: https://go.microsoft.com/fwlink/?linkid=870924
Comment:
    Pg 45 NREL</t>
      </text>
    </comment>
    <comment ref="L11" authorId="3" shapeId="0" xr:uid="{0C74D6F0-ECE1-4806-A30D-21B0E4D58E4B}">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 ref="L20" authorId="4" shapeId="0" xr:uid="{111117E1-6D82-403A-8B95-2DBBABE14556}">
      <text>
        <t>[Threaded comment]
Your version of Excel allows you to read this threaded comment; however, any edits to it will get removed if the file is opened in a newer version of Excel. Learn more: https://go.microsoft.com/fwlink/?linkid=870924
Comment:
    pg 76 NREL</t>
      </text>
    </comment>
    <comment ref="L40" authorId="5" shapeId="0" xr:uid="{E533EF17-69B8-495A-916F-73040BD0ACED}">
      <text>
        <t>[Threaded comment]
Your version of Excel allows you to read this threaded comment; however, any edits to it will get removed if the file is opened in a newer version of Excel. Learn more: https://go.microsoft.com/fwlink/?linkid=870924
Comment:
    Keep the same for both?</t>
      </text>
    </comment>
    <comment ref="L45" authorId="6" shapeId="0" xr:uid="{038AA409-FBBE-4517-B69E-2EFF2F86B4CC}">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 ref="A46" authorId="7" shapeId="0" xr:uid="{2F9D89AE-C31E-4095-86F9-E2375580505F}">
      <text>
        <t>[Threaded comment]
Your version of Excel allows you to read this threaded comment; however, any edits to it will get removed if the file is opened in a newer version of Excel. Learn more: https://go.microsoft.com/fwlink/?linkid=870924
Comment:
    Last Prosumer</t>
      </text>
    </comment>
    <comment ref="A47" authorId="8" shapeId="0" xr:uid="{883CDBDD-D13D-41E6-9CDD-35EB885D2DBA}">
      <text>
        <t>[Threaded comment]
Your version of Excel allows you to read this threaded comment; however, any edits to it will get removed if the file is opened in a newer version of Excel. Learn more: https://go.microsoft.com/fwlink/?linkid=870924
Comment:
    First Consumer</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tc={4A8A65D0-41A6-462A-8A95-9099557A75E5}</author>
    <author>tc={445F603F-4729-44BC-B53B-4A5DE9F8E8DF}</author>
    <author>tc={03849517-D2B0-47E1-98B1-8E1EFD526AA6}</author>
    <author>tc={F0457ADC-7784-4AB9-8E35-370A8ED7D1E1}</author>
    <author>tc={9B59EAC2-9D8B-428F-AAF1-C631C4465C7C}</author>
    <author>tc={02BB228A-0989-4672-9870-02D0C8780D67}</author>
    <author>tc={12E78773-0D18-4F9B-BD1A-BB64CA6EA227}</author>
  </authors>
  <commentList>
    <comment ref="L9" authorId="0" shapeId="0" xr:uid="{4A8A65D0-41A6-462A-8A95-9099557A75E5}">
      <text>
        <t>[Threaded comment]
Your version of Excel allows you to read this threaded comment; however, any edits to it will get removed if the file is opened in a newer version of Excel. Learn more: https://go.microsoft.com/fwlink/?linkid=870924
Comment:
    Pg 45 NREL</t>
      </text>
    </comment>
    <comment ref="L11" authorId="1" shapeId="0" xr:uid="{445F603F-4729-44BC-B53B-4A5DE9F8E8DF}">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 ref="L20" authorId="2" shapeId="0" xr:uid="{03849517-D2B0-47E1-98B1-8E1EFD526AA6}">
      <text>
        <t>[Threaded comment]
Your version of Excel allows you to read this threaded comment; however, any edits to it will get removed if the file is opened in a newer version of Excel. Learn more: https://go.microsoft.com/fwlink/?linkid=870924
Comment:
    pg 76 NREL</t>
      </text>
    </comment>
    <comment ref="L40" authorId="3" shapeId="0" xr:uid="{F0457ADC-7784-4AB9-8E35-370A8ED7D1E1}">
      <text>
        <t>[Threaded comment]
Your version of Excel allows you to read this threaded comment; however, any edits to it will get removed if the file is opened in a newer version of Excel. Learn more: https://go.microsoft.com/fwlink/?linkid=870924
Comment:
    Keep the same for both?</t>
      </text>
    </comment>
    <comment ref="L45" authorId="4" shapeId="0" xr:uid="{9B59EAC2-9D8B-428F-AAF1-C631C4465C7C}">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 ref="A46" authorId="5" shapeId="0" xr:uid="{02BB228A-0989-4672-9870-02D0C8780D67}">
      <text>
        <t>[Threaded comment]
Your version of Excel allows you to read this threaded comment; however, any edits to it will get removed if the file is opened in a newer version of Excel. Learn more: https://go.microsoft.com/fwlink/?linkid=870924
Comment:
    Last Prosumer</t>
      </text>
    </comment>
    <comment ref="A47" authorId="6" shapeId="0" xr:uid="{12E78773-0D18-4F9B-BD1A-BB64CA6EA227}">
      <text>
        <t>[Threaded comment]
Your version of Excel allows you to read this threaded comment; however, any edits to it will get removed if the file is opened in a newer version of Excel. Learn more: https://go.microsoft.com/fwlink/?linkid=870924
Comment:
    First Consumer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tc={41CD502E-FFCE-430B-8E07-36E6F294CB1D}</author>
  </authors>
  <commentList>
    <comment ref="G10" authorId="0" shapeId="0" xr:uid="{41CD502E-FFCE-430B-8E07-36E6F294CB1D}">
      <text>
        <t>[Threaded comment]
Your version of Excel allows you to read this threaded comment; however, any edits to it will get removed if the file is opened in a newer version of Excel. Learn more: https://go.microsoft.com/fwlink/?linkid=870924
Comment:
    Includes O&amp;M costs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tc={F1320AF8-0F39-4A3B-A26E-95E527870B2E}</author>
    <author>tc={4D0B9070-7069-4A20-9D70-E8DB3776F2F3}</author>
    <author>tc={062D443E-AA29-4D48-B9E0-E9932F87C0DB}</author>
    <author>tc={6603EC94-7C13-4729-8DC8-2EB224514C03}</author>
    <author>tc={391B6FAB-A24A-4792-8DD8-3E4A12B4A620}</author>
    <author>tc={2DF7AA92-19AE-46BF-A28A-843727C78174}</author>
    <author>tc={BA256A7E-A9C3-4A47-AEC8-82B94A7C514F}</author>
    <author>tc={E3F5BD72-D26D-438A-A156-54E42EE17CF0}</author>
    <author>tc={EBEA8837-DEA0-431A-965E-066ACC1C2150}</author>
    <author>tc={26ADDA16-1B21-4100-8AD8-A05AF166FD93}</author>
    <author>tc={743D042C-7B5E-4E73-B3E5-0BBBBDA97C25}</author>
    <author>tc={8E407A42-ECEC-4E0D-93F8-28B485966C01}</author>
    <author>tc={7FDCE187-E0E7-4853-A87D-5FFF731EA5F9}</author>
    <author>tc={D7B6411B-7B04-4678-8225-70BE51D4DB82}</author>
    <author>tc={3ACB2DCC-3D62-4F5F-B4EB-BA9BDCA583C6}</author>
    <author>tc={721C35F2-FCFF-46C3-ABAD-963D1D52EF79}</author>
    <author>tc={E2F0C697-B57E-4B6C-8DB8-87EAFC4906BE}</author>
    <author>tc={8AD9384C-932B-4B71-AC6F-FC5ED385350F}</author>
    <author>tc={F76D6F41-2F46-49DF-B542-B80E5C8AB622}</author>
    <author>tc={2FA537C4-F8D9-4BA4-88BF-AB7FF254101D}</author>
    <author>tc={A440A223-4372-4745-9D51-1CA0DF76C222}</author>
    <author>tc={BAA34289-E356-4DCB-8C53-A112D3193FF6}</author>
    <author>tc={F07CBCA4-6F38-47FE-BE71-8ECE3EE6F50F}</author>
    <author>tc={695C78EF-80BC-4C12-8FC1-7F6AA5319889}</author>
    <author>tc={315D8384-DEC2-4C19-BA7B-A6E391DA1115}</author>
    <author>tc={EDA673C0-57DF-4F26-96C0-B8609320730E}</author>
    <author>tc={3BF173BC-8AF1-4CC3-BDDA-F29613156A78}</author>
  </authors>
  <commentList>
    <comment ref="A1" authorId="0" shapeId="0" xr:uid="{F1320AF8-0F39-4A3B-A26E-95E527870B2E}">
      <text>
        <t>[Threaded comment]
Your version of Excel allows you to read this threaded comment; however, any edits to it will get removed if the file is opened in a newer version of Excel. Learn more: https://go.microsoft.com/fwlink/?linkid=870924
Comment:
    My initial LEM, pros sell to dso with 0.087</t>
      </text>
    </comment>
    <comment ref="V1" authorId="1" shapeId="0" xr:uid="{4D0B9070-7069-4A20-9D70-E8DB3776F2F3}">
      <text>
        <t>[Threaded comment]
Your version of Excel allows you to read this threaded comment; however, any edits to it will get removed if the file is opened in a newer version of Excel. Learn more: https://go.microsoft.com/fwlink/?linkid=870924
Comment:
    Prosumers sell to NESO with 0.087</t>
      </text>
    </comment>
    <comment ref="AX1" authorId="2" shapeId="0" xr:uid="{062D443E-AA29-4D48-B9E0-E9932F87C0DB}">
      <text>
        <t>[Threaded comment]
Your version of Excel allows you to read this threaded comment; however, any edits to it will get removed if the file is opened in a newer version of Excel. Learn more: https://go.microsoft.com/fwlink/?linkid=870924
Comment:
    All agents are treated equal</t>
      </text>
    </comment>
    <comment ref="AY1" authorId="3" shapeId="0" xr:uid="{6603EC94-7C13-4729-8DC8-2EB224514C03}">
      <text>
        <t xml:space="preserve">[Threaded comment]
Your version of Excel allows you to read this threaded comment; however, any edits to it will get removed if the file is opened in a newer version of Excel. Learn more: https://go.microsoft.com/fwlink/?linkid=870924
Comment:
    Giving advantage to prosumers who took the risk of investment </t>
      </text>
    </comment>
    <comment ref="AZ2" authorId="4" shapeId="0" xr:uid="{391B6FAB-A24A-4792-8DD8-3E4A12B4A620}">
      <text>
        <t>[Threaded comment]
Your version of Excel allows you to read this threaded comment; however, any edits to it will get removed if the file is opened in a newer version of Excel. Learn more: https://go.microsoft.com/fwlink/?linkid=870924
Comment:
    What prosumers received more under this scheme</t>
      </text>
    </comment>
    <comment ref="AC4" authorId="5" shapeId="0" xr:uid="{2DF7AA92-19AE-46BF-A28A-843727C78174}">
      <text>
        <t>[Threaded comment]
Your version of Excel allows you to read this threaded comment; however, any edits to it will get removed if the file is opened in a newer version of Excel. Learn more: https://go.microsoft.com/fwlink/?linkid=870924
Comment:
    No initial costs for installation of equipment</t>
      </text>
    </comment>
    <comment ref="AV5" authorId="6" shapeId="0" xr:uid="{BA256A7E-A9C3-4A47-AEC8-82B94A7C514F}">
      <text>
        <t>[Threaded comment]
Your version of Excel allows you to read this threaded comment; however, any edits to it will get removed if the file is opened in a newer version of Excel. Learn more: https://go.microsoft.com/fwlink/?linkid=870924
Comment:
    Income of prosumers under the scheme giving them advantage</t>
      </text>
    </comment>
    <comment ref="T10" authorId="7" shapeId="0" xr:uid="{E3F5BD72-D26D-438A-A156-54E42EE17CF0}">
      <text>
        <t>[Threaded comment]
Your version of Excel allows you to read this threaded comment; however, any edits to it will get removed if the file is opened in a newer version of Excel. Learn more: https://go.microsoft.com/fwlink/?linkid=870924
Comment:
    Say that they will not pay as the cost of smart meters will be covered by the standard cost in the energy bills which will happen with every household in Greece and Europe</t>
      </text>
    </comment>
    <comment ref="T11" authorId="8" shapeId="0" xr:uid="{EBEA8837-DEA0-431A-965E-066ACC1C2150}">
      <text>
        <t>[Threaded comment]
Your version of Excel allows you to read this threaded comment; however, any edits to it will get removed if the file is opened in a newer version of Excel. Learn more: https://go.microsoft.com/fwlink/?linkid=870924
Comment:
    For 3 people personel and 1700 euro gross salary per month
As if having personnel it will not be economically feasible say that for the monitoring it will be people from the community who could earn a discount on their expanses in the LEM and if they do extra works by offering service to the grid, they would be paid from there</t>
      </text>
    </comment>
    <comment ref="T12" authorId="9" shapeId="0" xr:uid="{26ADDA16-1B21-4100-8AD8-A05AF166FD93}">
      <text>
        <t>[Threaded comment]
Your version of Excel allows you to read this threaded comment; however, any edits to it will get removed if the file is opened in a newer version of Excel. Learn more: https://go.microsoft.com/fwlink/?linkid=870924
Comment:
    Say that the building will be offered by a community member or the local authorities to support the scheme</t>
      </text>
    </comment>
    <comment ref="T13" authorId="10" shapeId="0" xr:uid="{743D042C-7B5E-4E73-B3E5-0BBBBDA97C25}">
      <text>
        <t>[Threaded comment]
Your version of Excel allows you to read this threaded comment; however, any edits to it will get removed if the file is opened in a newer version of Excel. Learn more: https://go.microsoft.com/fwlink/?linkid=870924
Comment:
    It would be built by us, or there would be an annual fee to the whole LEM for using it by the provider company. This annual fee would be seperated over the bills of all the members of LEM</t>
      </text>
    </comment>
    <comment ref="R16" authorId="11" shapeId="0" xr:uid="{8E407A42-ECEC-4E0D-93F8-28B485966C01}">
      <text>
        <t>[Threaded comment]
Your version of Excel allows you to read this threaded comment; however, any edits to it will get removed if the file is opened in a newer version of Excel. Learn more: https://go.microsoft.com/fwlink/?linkid=870924
Comment:
    Pg 45 NREL</t>
      </text>
    </comment>
    <comment ref="R18" authorId="12" shapeId="0" xr:uid="{7FDCE187-E0E7-4853-A87D-5FFF731EA5F9}">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 ref="R27" authorId="13" shapeId="0" xr:uid="{D7B6411B-7B04-4678-8225-70BE51D4DB82}">
      <text>
        <t>[Threaded comment]
Your version of Excel allows you to read this threaded comment; however, any edits to it will get removed if the file is opened in a newer version of Excel. Learn more: https://go.microsoft.com/fwlink/?linkid=870924
Comment:
    pg 76 NREL</t>
      </text>
    </comment>
    <comment ref="T29" authorId="14" shapeId="0" xr:uid="{3ACB2DCC-3D62-4F5F-B4EB-BA9BDCA583C6}">
      <text>
        <t>[Threaded comment]
Your version of Excel allows you to read this threaded comment; however, any edits to it will get removed if the file is opened in a newer version of Excel. Learn more: https://go.microsoft.com/fwlink/?linkid=870924
Comment:
    1700 euro/kWh I consider</t>
      </text>
    </comment>
    <comment ref="T30" authorId="15" shapeId="0" xr:uid="{721C35F2-FCFF-46C3-ABAD-963D1D52EF79}">
      <text>
        <t>[Threaded comment]
Your version of Excel allows you to read this threaded comment; however, any edits to it will get removed if the file is opened in a newer version of Excel. Learn more: https://go.microsoft.com/fwlink/?linkid=870924
Comment:
    1700 euro/kWh I consider</t>
      </text>
    </comment>
    <comment ref="T31" authorId="16" shapeId="0" xr:uid="{E2F0C697-B57E-4B6C-8DB8-87EAFC4906BE}">
      <text>
        <t>[Threaded comment]
Your version of Excel allows you to read this threaded comment; however, any edits to it will get removed if the file is opened in a newer version of Excel. Learn more: https://go.microsoft.com/fwlink/?linkid=870924
Comment:
    1120 euro/kWh I consider</t>
      </text>
    </comment>
    <comment ref="T32" authorId="17" shapeId="0" xr:uid="{8AD9384C-932B-4B71-AC6F-FC5ED385350F}">
      <text>
        <t>[Threaded comment]
Your version of Excel allows you to read this threaded comment; however, any edits to it will get removed if the file is opened in a newer version of Excel. Learn more: https://go.microsoft.com/fwlink/?linkid=870924
Comment:
    1120 euro/kWh I consider</t>
      </text>
    </comment>
    <comment ref="T33" authorId="18" shapeId="0" xr:uid="{F76D6F41-2F46-49DF-B542-B80E5C8AB622}">
      <text>
        <t>[Threaded comment]
Your version of Excel allows you to read this threaded comment; however, any edits to it will get removed if the file is opened in a newer version of Excel. Learn more: https://go.microsoft.com/fwlink/?linkid=870924
Comment:
    700 euro/kWh I consider</t>
      </text>
    </comment>
    <comment ref="T34" authorId="19" shapeId="0" xr:uid="{2FA537C4-F8D9-4BA4-88BF-AB7FF254101D}">
      <text>
        <t>[Threaded comment]
Your version of Excel allows you to read this threaded comment; however, any edits to it will get removed if the file is opened in a newer version of Excel. Learn more: https://go.microsoft.com/fwlink/?linkid=870924
Comment:
    700 euro/kWh I consider</t>
      </text>
    </comment>
    <comment ref="T35" authorId="20" shapeId="0" xr:uid="{A440A223-4372-4745-9D51-1CA0DF76C222}">
      <text>
        <t>[Threaded comment]
Your version of Excel allows you to read this threaded comment; however, any edits to it will get removed if the file is opened in a newer version of Excel. Learn more: https://go.microsoft.com/fwlink/?linkid=870924
Comment:
    825 euro / kWh is the cost</t>
      </text>
    </comment>
    <comment ref="A46" authorId="21" shapeId="0" xr:uid="{BAA34289-E356-4DCB-8C53-A112D3193FF6}">
      <text>
        <t>[Threaded comment]
Your version of Excel allows you to read this threaded comment; however, any edits to it will get removed if the file is opened in a newer version of Excel. Learn more: https://go.microsoft.com/fwlink/?linkid=870924
Comment:
    Last Prosumer</t>
      </text>
    </comment>
    <comment ref="AW46" authorId="22" shapeId="0" xr:uid="{F07CBCA4-6F38-47FE-BE71-8ECE3EE6F50F}">
      <text>
        <t>[Threaded comment]
Your version of Excel allows you to read this threaded comment; however, any edits to it will get removed if the file is opened in a newer version of Excel. Learn more: https://go.microsoft.com/fwlink/?linkid=870924
Comment:
    Last prosumer</t>
      </text>
    </comment>
    <comment ref="A47" authorId="23" shapeId="0" xr:uid="{695C78EF-80BC-4C12-8FC1-7F6AA5319889}">
      <text>
        <t>[Threaded comment]
Your version of Excel allows you to read this threaded comment; however, any edits to it will get removed if the file is opened in a newer version of Excel. Learn more: https://go.microsoft.com/fwlink/?linkid=870924
Comment:
    First Consumer</t>
      </text>
    </comment>
    <comment ref="AZ47" authorId="24" shapeId="0" xr:uid="{315D8384-DEC2-4C19-BA7B-A6E391DA1115}">
      <text>
        <t>[Threaded comment]
Your version of Excel allows you to read this threaded comment; however, any edits to it will get removed if the file is opened in a newer version of Excel. Learn more: https://go.microsoft.com/fwlink/?linkid=870924
Comment:
    What consumers received less under this scheme</t>
      </text>
    </comment>
    <comment ref="R50" authorId="25" shapeId="0" xr:uid="{EDA673C0-57DF-4F26-96C0-B8609320730E}">
      <text>
        <t>[Threaded comment]
Your version of Excel allows you to read this threaded comment; however, any edits to it will get removed if the file is opened in a newer version of Excel. Learn more: https://go.microsoft.com/fwlink/?linkid=870924
Comment:
    Keep the same for both?</t>
      </text>
    </comment>
    <comment ref="R67" authorId="26" shapeId="0" xr:uid="{3BF173BC-8AF1-4CC3-BDDA-F29613156A78}">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tc={22BD0EF9-835B-42FA-9131-FD4B8A4847CF}</author>
    <author>tc={B68126F0-9E00-4004-9635-A00AD659C6B0}</author>
    <author>tc={8F911108-F16B-4FE8-9B46-15475DD2CFBB}</author>
    <author>tc={DE9168D5-38D4-4364-8062-28825792AF63}</author>
    <author>tc={968B68B2-9191-4832-A691-6A395071274E}</author>
    <author>tc={7DA02641-D94B-4806-BF31-6C6C9C6FCEC7}</author>
    <author>tc={7ADE5DAB-EC91-48DE-A740-D584072BD23A}</author>
    <author>tc={D6E9C286-AAC0-413F-9889-5D37C71415CB}</author>
    <author>tc={714F1D8A-F930-4A81-BF1F-D0F983D21084}</author>
    <author>tc={B79C81E3-73BA-484D-9F10-9C87A0A7B101}</author>
    <author>tc={75E79309-370F-4FDD-B8E4-AE373D2C3BE7}</author>
    <author>tc={6FF802ED-B70C-46AE-B74C-9E126B3FDC09}</author>
    <author>tc={475B7C8A-4EC1-4AB7-A3F7-210F4BCCC1A0}</author>
    <author>tc={FAA11EEB-37C5-4BC4-9547-EBAC8569F918}</author>
    <author>tc={F0BD69BA-A3CF-4763-8EBB-AA3530816D0A}</author>
    <author>tc={2BC69D52-C710-4631-9BE6-038D477974C9}</author>
    <author>tc={36E99283-35A6-4437-A8E0-504A2DF2724C}</author>
    <author>tc={A763D275-B90D-406D-88DB-61D683538AC9}</author>
    <author>tc={28E2536F-2A19-4748-A98E-228B9322E39C}</author>
    <author>tc={8EDB8DFA-39FF-47BF-B4C5-D5E8BAA03932}</author>
    <author>tc={DC449C48-ECE9-4D64-93A2-529AA29692C5}</author>
    <author>tc={BFBA9ECE-A55F-4C1C-82DB-6574111959F6}</author>
    <author>tc={8DC34451-DC13-44B0-A306-698D8E5123F9}</author>
    <author>tc={DA49C2E2-630F-443B-8D25-A53AF08414CE}</author>
    <author>tc={AC5526A4-8B20-4275-8922-70EAA495B646}</author>
    <author>tc={00BD0DF2-A077-4FAB-A7B6-2D18E98248AF}</author>
    <author>tc={F5E00E96-9993-45A1-8905-1EC8441D0440}</author>
    <author>tc={9979DF46-E3D1-4107-85DF-AED4BAF01EF8}</author>
  </authors>
  <commentList>
    <comment ref="A1" authorId="0" shapeId="0" xr:uid="{22BD0EF9-835B-42FA-9131-FD4B8A4847CF}">
      <text>
        <t>[Threaded comment]
Your version of Excel allows you to read this threaded comment; however, any edits to it will get removed if the file is opened in a newer version of Excel. Learn more: https://go.microsoft.com/fwlink/?linkid=870924
Comment:
    My initial LEM, pros sell to dso with 0.087</t>
      </text>
    </comment>
    <comment ref="W1" authorId="1" shapeId="0" xr:uid="{B68126F0-9E00-4004-9635-A00AD659C6B0}">
      <text>
        <t>[Threaded comment]
Your version of Excel allows you to read this threaded comment; however, any edits to it will get removed if the file is opened in a newer version of Excel. Learn more: https://go.microsoft.com/fwlink/?linkid=870924
Comment:
    Prosumers sell to NESO with 0.087</t>
      </text>
    </comment>
    <comment ref="AQ1" authorId="2" shapeId="0" xr:uid="{8F911108-F16B-4FE8-9B46-15475DD2CFBB}">
      <text>
        <t>[Threaded comment]
Your version of Excel allows you to read this threaded comment; however, any edits to it will get removed if the file is opened in a newer version of Excel. Learn more: https://go.microsoft.com/fwlink/?linkid=870924
Comment:
    Over the 25 years</t>
      </text>
    </comment>
    <comment ref="AY1" authorId="3" shapeId="0" xr:uid="{DE9168D5-38D4-4364-8062-28825792AF63}">
      <text>
        <t>[Threaded comment]
Your version of Excel allows you to read this threaded comment; however, any edits to it will get removed if the file is opened in a newer version of Excel. Learn more: https://go.microsoft.com/fwlink/?linkid=870924
Comment:
    All agents are treated equal</t>
      </text>
    </comment>
    <comment ref="AZ1" authorId="4" shapeId="0" xr:uid="{968B68B2-9191-4832-A691-6A395071274E}">
      <text>
        <t xml:space="preserve">[Threaded comment]
Your version of Excel allows you to read this threaded comment; however, any edits to it will get removed if the file is opened in a newer version of Excel. Learn more: https://go.microsoft.com/fwlink/?linkid=870924
Comment:
    Giving advantage to prosumers who took the risk of investment </t>
      </text>
    </comment>
    <comment ref="BA2" authorId="5" shapeId="0" xr:uid="{7DA02641-D94B-4806-BF31-6C6C9C6FCEC7}">
      <text>
        <t>[Threaded comment]
Your version of Excel allows you to read this threaded comment; however, any edits to it will get removed if the file is opened in a newer version of Excel. Learn more: https://go.microsoft.com/fwlink/?linkid=870924
Comment:
    What prosumers received more under this scheme</t>
      </text>
    </comment>
    <comment ref="AQ3" authorId="6" shapeId="0" xr:uid="{7ADE5DAB-EC91-48DE-A740-D584072BD23A}">
      <text>
        <t>[Threaded comment]
Your version of Excel allows you to read this threaded comment; however, any edits to it will get removed if the file is opened in a newer version of Excel. Learn more: https://go.microsoft.com/fwlink/?linkid=870924
Comment:
    To increase social welfare we can say that over the lifetime of the project 20% of these funds will go for O&amp;M of LEM if needed or if LEM has funding then will be invested in projects that … inside the munic of the community.</t>
      </text>
    </comment>
    <comment ref="AW5" authorId="7" shapeId="0" xr:uid="{D6E9C286-AAC0-413F-9889-5D37C71415CB}">
      <text>
        <t>[Threaded comment]
Your version of Excel allows you to read this threaded comment; however, any edits to it will get removed if the file is opened in a newer version of Excel. Learn more: https://go.microsoft.com/fwlink/?linkid=870924
Comment:
    Income of prosumers under the scheme giving them advantage</t>
      </text>
    </comment>
    <comment ref="U10" authorId="8" shapeId="0" xr:uid="{714F1D8A-F930-4A81-BF1F-D0F983D21084}">
      <text>
        <t>[Threaded comment]
Your version of Excel allows you to read this threaded comment; however, any edits to it will get removed if the file is opened in a newer version of Excel. Learn more: https://go.microsoft.com/fwlink/?linkid=870924
Comment:
    Say that they will not pay as the cost of smart meters will be covered by the standard cost in the energy bills which will happen with every household in Greece and Europe</t>
      </text>
    </comment>
    <comment ref="U11" authorId="9" shapeId="0" xr:uid="{B79C81E3-73BA-484D-9F10-9C87A0A7B101}">
      <text>
        <t>[Threaded comment]
Your version of Excel allows you to read this threaded comment; however, any edits to it will get removed if the file is opened in a newer version of Excel. Learn more: https://go.microsoft.com/fwlink/?linkid=870924
Comment:
    For 3 people personel and 1700 euro gross salary per month
As if having personnel it will not be economically feasible say that for the monitoring it will be people from the community who could earn a discount on their expanses in the LEM and if they do extra works by offering service to the grid, they would be paid from there</t>
      </text>
    </comment>
    <comment ref="U12" authorId="10" shapeId="0" xr:uid="{75E79309-370F-4FDD-B8E4-AE373D2C3BE7}">
      <text>
        <t>[Threaded comment]
Your version of Excel allows you to read this threaded comment; however, any edits to it will get removed if the file is opened in a newer version of Excel. Learn more: https://go.microsoft.com/fwlink/?linkid=870924
Comment:
    Say that the building will be offered by a community member or the local authorities to support the scheme</t>
      </text>
    </comment>
    <comment ref="U13" authorId="11" shapeId="0" xr:uid="{6FF802ED-B70C-46AE-B74C-9E126B3FDC09}">
      <text>
        <t>[Threaded comment]
Your version of Excel allows you to read this threaded comment; however, any edits to it will get removed if the file is opened in a newer version of Excel. Learn more: https://go.microsoft.com/fwlink/?linkid=870924
Comment:
    It would be built by us, or there would be an annual fee to the whole LEM for using it by the provider company. This annual fee would be seperated over the bills of all the members of LEM</t>
      </text>
    </comment>
    <comment ref="S16" authorId="12" shapeId="0" xr:uid="{475B7C8A-4EC1-4AB7-A3F7-210F4BCCC1A0}">
      <text>
        <t>[Threaded comment]
Your version of Excel allows you to read this threaded comment; however, any edits to it will get removed if the file is opened in a newer version of Excel. Learn more: https://go.microsoft.com/fwlink/?linkid=870924
Comment:
    Pg 45 NREL</t>
      </text>
    </comment>
    <comment ref="S18" authorId="13" shapeId="0" xr:uid="{FAA11EEB-37C5-4BC4-9547-EBAC8569F918}">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 ref="S27" authorId="14" shapeId="0" xr:uid="{F0BD69BA-A3CF-4763-8EBB-AA3530816D0A}">
      <text>
        <t>[Threaded comment]
Your version of Excel allows you to read this threaded comment; however, any edits to it will get removed if the file is opened in a newer version of Excel. Learn more: https://go.microsoft.com/fwlink/?linkid=870924
Comment:
    pg 76 NREL</t>
      </text>
    </comment>
    <comment ref="U29" authorId="15" shapeId="0" xr:uid="{2BC69D52-C710-4631-9BE6-038D477974C9}">
      <text>
        <t>[Threaded comment]
Your version of Excel allows you to read this threaded comment; however, any edits to it will get removed if the file is opened in a newer version of Excel. Learn more: https://go.microsoft.com/fwlink/?linkid=870924
Comment:
    1700 euro/kWh I consider</t>
      </text>
    </comment>
    <comment ref="U30" authorId="16" shapeId="0" xr:uid="{36E99283-35A6-4437-A8E0-504A2DF2724C}">
      <text>
        <t>[Threaded comment]
Your version of Excel allows you to read this threaded comment; however, any edits to it will get removed if the file is opened in a newer version of Excel. Learn more: https://go.microsoft.com/fwlink/?linkid=870924
Comment:
    1700 euro/kWh I consider</t>
      </text>
    </comment>
    <comment ref="U31" authorId="17" shapeId="0" xr:uid="{A763D275-B90D-406D-88DB-61D683538AC9}">
      <text>
        <t>[Threaded comment]
Your version of Excel allows you to read this threaded comment; however, any edits to it will get removed if the file is opened in a newer version of Excel. Learn more: https://go.microsoft.com/fwlink/?linkid=870924
Comment:
    1120 euro/kWh I consider</t>
      </text>
    </comment>
    <comment ref="U32" authorId="18" shapeId="0" xr:uid="{28E2536F-2A19-4748-A98E-228B9322E39C}">
      <text>
        <t>[Threaded comment]
Your version of Excel allows you to read this threaded comment; however, any edits to it will get removed if the file is opened in a newer version of Excel. Learn more: https://go.microsoft.com/fwlink/?linkid=870924
Comment:
    1120 euro/kWh I consider</t>
      </text>
    </comment>
    <comment ref="U33" authorId="19" shapeId="0" xr:uid="{8EDB8DFA-39FF-47BF-B4C5-D5E8BAA03932}">
      <text>
        <t>[Threaded comment]
Your version of Excel allows you to read this threaded comment; however, any edits to it will get removed if the file is opened in a newer version of Excel. Learn more: https://go.microsoft.com/fwlink/?linkid=870924
Comment:
    700 euro/kWh I consider</t>
      </text>
    </comment>
    <comment ref="U34" authorId="20" shapeId="0" xr:uid="{DC449C48-ECE9-4D64-93A2-529AA29692C5}">
      <text>
        <t>[Threaded comment]
Your version of Excel allows you to read this threaded comment; however, any edits to it will get removed if the file is opened in a newer version of Excel. Learn more: https://go.microsoft.com/fwlink/?linkid=870924
Comment:
    700 euro/kWh I consider</t>
      </text>
    </comment>
    <comment ref="U35" authorId="21" shapeId="0" xr:uid="{BFBA9ECE-A55F-4C1C-82DB-6574111959F6}">
      <text>
        <t>[Threaded comment]
Your version of Excel allows you to read this threaded comment; however, any edits to it will get removed if the file is opened in a newer version of Excel. Learn more: https://go.microsoft.com/fwlink/?linkid=870924
Comment:
    825 euro / kWh is the cost</t>
      </text>
    </comment>
    <comment ref="A46" authorId="22" shapeId="0" xr:uid="{8DC34451-DC13-44B0-A306-698D8E5123F9}">
      <text>
        <t>[Threaded comment]
Your version of Excel allows you to read this threaded comment; however, any edits to it will get removed if the file is opened in a newer version of Excel. Learn more: https://go.microsoft.com/fwlink/?linkid=870924
Comment:
    Last Prosumer</t>
      </text>
    </comment>
    <comment ref="AX46" authorId="23" shapeId="0" xr:uid="{DA49C2E2-630F-443B-8D25-A53AF08414CE}">
      <text>
        <t>[Threaded comment]
Your version of Excel allows you to read this threaded comment; however, any edits to it will get removed if the file is opened in a newer version of Excel. Learn more: https://go.microsoft.com/fwlink/?linkid=870924
Comment:
    Last prosumer</t>
      </text>
    </comment>
    <comment ref="A47" authorId="24" shapeId="0" xr:uid="{AC5526A4-8B20-4275-8922-70EAA495B646}">
      <text>
        <t>[Threaded comment]
Your version of Excel allows you to read this threaded comment; however, any edits to it will get removed if the file is opened in a newer version of Excel. Learn more: https://go.microsoft.com/fwlink/?linkid=870924
Comment:
    First Consumer</t>
      </text>
    </comment>
    <comment ref="BA47" authorId="25" shapeId="0" xr:uid="{00BD0DF2-A077-4FAB-A7B6-2D18E98248AF}">
      <text>
        <t>[Threaded comment]
Your version of Excel allows you to read this threaded comment; however, any edits to it will get removed if the file is opened in a newer version of Excel. Learn more: https://go.microsoft.com/fwlink/?linkid=870924
Comment:
    What consumers received less under this scheme</t>
      </text>
    </comment>
    <comment ref="S50" authorId="26" shapeId="0" xr:uid="{F5E00E96-9993-45A1-8905-1EC8441D0440}">
      <text>
        <t>[Threaded comment]
Your version of Excel allows you to read this threaded comment; however, any edits to it will get removed if the file is opened in a newer version of Excel. Learn more: https://go.microsoft.com/fwlink/?linkid=870924
Comment:
    Keep the same for both?</t>
      </text>
    </comment>
    <comment ref="S67" authorId="27" shapeId="0" xr:uid="{9979DF46-E3D1-4107-85DF-AED4BAF01EF8}">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tc={29D01F37-93E5-4E74-855A-B5D5EB4E50BE}</author>
    <author>tc={694E501C-A39F-4214-83E1-1F834501BDBE}</author>
    <author>tc={94459458-5C0C-43AF-B84C-260ECC45ED0B}</author>
    <author>tc={CEA12A8E-D5F2-4B49-BDD9-78A4697F7A1E}</author>
    <author>tc={C59F2871-A57A-4750-ABAA-0AD687276572}</author>
    <author>tc={04789A6F-EC03-4F9D-84FA-E4C3ACF5559E}</author>
    <author>tc={E59ADC19-12E0-4DC6-8B9C-746DF4FFBBF9}</author>
    <author>tc={24592BF0-6887-4C62-9872-73EA7969B522}</author>
    <author>tc={84CC32D3-C56F-4620-BCF9-5F6AB19A3BA2}</author>
    <author>tc={644D7E77-8935-4E24-87AB-29AFC633BF41}</author>
    <author>tc={D34535C5-E52B-42DA-A814-B5AD3E3629ED}</author>
    <author>tc={C14B32A7-F147-4C11-870C-6F95C0E7C520}</author>
    <author>tc={ADD425F6-7A60-4C4D-9D5E-902881F645E2}</author>
    <author>tc={9178CEBF-0275-4AFA-9EFF-8103FC3BC3E2}</author>
    <author>tc={EB3EEBCC-4C66-4FA7-9133-B072890A8BF7}</author>
    <author>tc={E5022BB7-7477-4A46-8E9C-DEE1AD4C6D96}</author>
    <author>tc={485EC6E4-24EF-47FC-B9C1-35800E07995F}</author>
    <author>tc={E14A163D-C560-46C6-B767-7EFA1DAFD34B}</author>
    <author>tc={41ABE0BA-E48C-4BB7-9712-84E5978F0534}</author>
    <author>tc={8800C209-E3DA-413F-B572-C5800A3A5940}</author>
    <author>tc={489792DD-C34B-42C1-BB3A-ED023FCEBF10}</author>
    <author>tc={6818E91E-F12E-4773-AB37-F0380304B605}</author>
    <author>tc={0700FD33-5624-407F-8C11-933644F53D91}</author>
    <author>tc={36EA7325-7838-4D81-8E0C-E55EC7EE0714}</author>
    <author>tc={896A542D-B708-400C-8898-BA1A176880B3}</author>
    <author>tc={4DF79804-A782-4FD7-9DA6-96C32C2F97CE}</author>
    <author>tc={0883EFB9-255F-4BE1-A715-B287A8A24415}</author>
    <author>tc={50911B54-EA5E-4EF5-B2D5-67D98FC2A5E2}</author>
    <author>tc={441BFF8E-2C47-476A-B126-74FC40A738C1}</author>
    <author>tc={9DCC17B2-3911-4A24-BBED-3A97B099376A}</author>
  </authors>
  <commentList>
    <comment ref="A1" authorId="0" shapeId="0" xr:uid="{29D01F37-93E5-4E74-855A-B5D5EB4E50BE}">
      <text>
        <t>[Threaded comment]
Your version of Excel allows you to read this threaded comment; however, any edits to it will get removed if the file is opened in a newer version of Excel. Learn more: https://go.microsoft.com/fwlink/?linkid=870924
Comment:
    Similar to v6 but agents in LEM and buy from NESO for 0 and sell to neso for 0.155
Reply:
    I made 2.5 into 2.6 to include an extra installation cost because of the batts</t>
      </text>
    </comment>
    <comment ref="J1" authorId="1" shapeId="0" xr:uid="{694E501C-A39F-4214-83E1-1F834501BDBE}">
      <text>
        <t>[Threaded comment]
Your version of Excel allows you to read this threaded comment; however, any edits to it will get removed if the file is opened in a newer version of Excel. Learn more: https://go.microsoft.com/fwlink/?linkid=870924
Comment:
    This is now net-metered</t>
      </text>
    </comment>
    <comment ref="V1" authorId="2" shapeId="0" xr:uid="{94459458-5C0C-43AF-B84C-260ECC45ED0B}">
      <text>
        <t>[Threaded comment]
Your version of Excel allows you to read this threaded comment; however, any edits to it will get removed if the file is opened in a newer version of Excel. Learn more: https://go.microsoft.com/fwlink/?linkid=870924
Comment:
    Prosumers sell to NESO with 0.155</t>
      </text>
    </comment>
    <comment ref="AX1" authorId="3" shapeId="0" xr:uid="{CEA12A8E-D5F2-4B49-BDD9-78A4697F7A1E}">
      <text>
        <t>[Threaded comment]
Your version of Excel allows you to read this threaded comment; however, any edits to it will get removed if the file is opened in a newer version of Excel. Learn more: https://go.microsoft.com/fwlink/?linkid=870924
Comment:
    All agents are treated equal</t>
      </text>
    </comment>
    <comment ref="AY1" authorId="4" shapeId="0" xr:uid="{C59F2871-A57A-4750-ABAA-0AD687276572}">
      <text>
        <t>[Threaded comment]
Your version of Excel allows you to read this threaded comment; however, any edits to it will get removed if the file is opened in a newer version of Excel. Learn more: https://go.microsoft.com/fwlink/?linkid=870924
Comment:
    Giving advantage to prosumers who took the risk of investment 
The extra funds could be transferred to the accounts of the prosumers either straight for this reason by consumers or from the beginning by adding an extra charge at the billing of consumers</t>
      </text>
    </comment>
    <comment ref="AZ2" authorId="5" shapeId="0" xr:uid="{04789A6F-EC03-4F9D-84FA-E4C3ACF5559E}">
      <text>
        <t>[Threaded comment]
Your version of Excel allows you to read this threaded comment; however, any edits to it will get removed if the file is opened in a newer version of Excel. Learn more: https://go.microsoft.com/fwlink/?linkid=870924
Comment:
    What prosumers received more under this scheme</t>
      </text>
    </comment>
    <comment ref="AV5" authorId="6" shapeId="0" xr:uid="{E59ADC19-12E0-4DC6-8B9C-746DF4FFBBF9}">
      <text>
        <t>[Threaded comment]
Your version of Excel allows you to read this threaded comment; however, any edits to it will get removed if the file is opened in a newer version of Excel. Learn more: https://go.microsoft.com/fwlink/?linkid=870924
Comment:
    Income of prosumers under the scheme giving them advantage</t>
      </text>
    </comment>
    <comment ref="T10" authorId="7" shapeId="0" xr:uid="{24592BF0-6887-4C62-9872-73EA7969B522}">
      <text>
        <t>[Threaded comment]
Your version of Excel allows you to read this threaded comment; however, any edits to it will get removed if the file is opened in a newer version of Excel. Learn more: https://go.microsoft.com/fwlink/?linkid=870924
Comment:
    Say that they will not pay as the cost of smart meters will be covered by the standard cost in the energy bills which will happen with every household in Greece and Europe</t>
      </text>
    </comment>
    <comment ref="T11" authorId="8" shapeId="0" xr:uid="{84CC32D3-C56F-4620-BCF9-5F6AB19A3BA2}">
      <text>
        <t>[Threaded comment]
Your version of Excel allows you to read this threaded comment; however, any edits to it will get removed if the file is opened in a newer version of Excel. Learn more: https://go.microsoft.com/fwlink/?linkid=870924
Comment:
    For 3 people personel and 1700 euro gross salary per month
As if having personnel it will not be economically feasible say that for the monitoring it will be people from the community who could earn a discount on their expanses in the LEM and if they do extra works by offering service to the grid, they would be paid from there</t>
      </text>
    </comment>
    <comment ref="T12" authorId="9" shapeId="0" xr:uid="{644D7E77-8935-4E24-87AB-29AFC633BF41}">
      <text>
        <t>[Threaded comment]
Your version of Excel allows you to read this threaded comment; however, any edits to it will get removed if the file is opened in a newer version of Excel. Learn more: https://go.microsoft.com/fwlink/?linkid=870924
Comment:
    Say that the building will be offered by a community member or the local authorities to support the scheme</t>
      </text>
    </comment>
    <comment ref="T13" authorId="10" shapeId="0" xr:uid="{D34535C5-E52B-42DA-A814-B5AD3E3629ED}">
      <text>
        <t>[Threaded comment]
Your version of Excel allows you to read this threaded comment; however, any edits to it will get removed if the file is opened in a newer version of Excel. Learn more: https://go.microsoft.com/fwlink/?linkid=870924
Comment:
    It would be built by us, or there would be an annual fee to the whole LEM for using it by the provider company. This annual fee would be seperated over the bills of all the members of LEM</t>
      </text>
    </comment>
    <comment ref="AV13" authorId="11" shapeId="0" xr:uid="{C14B32A7-F147-4C11-870C-6F95C0E7C520}">
      <text>
        <t>[Threaded comment]
Your version of Excel allows you to read this threaded comment; however, any edits to it will get removed if the file is opened in a newer version of Excel. Learn more: https://go.microsoft.com/fwlink/?linkid=870924
Comment:
    We see that the average profit for 1 pros and cons are close, over the 25 year period, which means that we achieve good social welfare</t>
      </text>
    </comment>
    <comment ref="R16" authorId="12" shapeId="0" xr:uid="{ADD425F6-7A60-4C4D-9D5E-902881F645E2}">
      <text>
        <t>[Threaded comment]
Your version of Excel allows you to read this threaded comment; however, any edits to it will get removed if the file is opened in a newer version of Excel. Learn more: https://go.microsoft.com/fwlink/?linkid=870924
Comment:
    Pg 45 NREL</t>
      </text>
    </comment>
    <comment ref="R18" authorId="13" shapeId="0" xr:uid="{9178CEBF-0275-4AFA-9EFF-8103FC3BC3E2}">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 ref="R27" authorId="14" shapeId="0" xr:uid="{EB3EEBCC-4C66-4FA7-9133-B072890A8BF7}">
      <text>
        <t>[Threaded comment]
Your version of Excel allows you to read this threaded comment; however, any edits to it will get removed if the file is opened in a newer version of Excel. Learn more: https://go.microsoft.com/fwlink/?linkid=870924
Comment:
    pg 76 NREL</t>
      </text>
    </comment>
    <comment ref="T29" authorId="15" shapeId="0" xr:uid="{E5022BB7-7477-4A46-8E9C-DEE1AD4C6D96}">
      <text>
        <t>[Threaded comment]
Your version of Excel allows you to read this threaded comment; however, any edits to it will get removed if the file is opened in a newer version of Excel. Learn more: https://go.microsoft.com/fwlink/?linkid=870924
Comment:
    1700 euro/kWh I consider</t>
      </text>
    </comment>
    <comment ref="T30" authorId="16" shapeId="0" xr:uid="{485EC6E4-24EF-47FC-B9C1-35800E07995F}">
      <text>
        <t>[Threaded comment]
Your version of Excel allows you to read this threaded comment; however, any edits to it will get removed if the file is opened in a newer version of Excel. Learn more: https://go.microsoft.com/fwlink/?linkid=870924
Comment:
    1700 euro/kWh I consider</t>
      </text>
    </comment>
    <comment ref="T31" authorId="17" shapeId="0" xr:uid="{E14A163D-C560-46C6-B767-7EFA1DAFD34B}">
      <text>
        <t>[Threaded comment]
Your version of Excel allows you to read this threaded comment; however, any edits to it will get removed if the file is opened in a newer version of Excel. Learn more: https://go.microsoft.com/fwlink/?linkid=870924
Comment:
    1120 euro/kWh I consider</t>
      </text>
    </comment>
    <comment ref="T32" authorId="18" shapeId="0" xr:uid="{41ABE0BA-E48C-4BB7-9712-84E5978F0534}">
      <text>
        <t>[Threaded comment]
Your version of Excel allows you to read this threaded comment; however, any edits to it will get removed if the file is opened in a newer version of Excel. Learn more: https://go.microsoft.com/fwlink/?linkid=870924
Comment:
    1120 euro/kWh I consider</t>
      </text>
    </comment>
    <comment ref="T33" authorId="19" shapeId="0" xr:uid="{8800C209-E3DA-413F-B572-C5800A3A5940}">
      <text>
        <t>[Threaded comment]
Your version of Excel allows you to read this threaded comment; however, any edits to it will get removed if the file is opened in a newer version of Excel. Learn more: https://go.microsoft.com/fwlink/?linkid=870924
Comment:
    700 euro/kWh I consider</t>
      </text>
    </comment>
    <comment ref="T34" authorId="20" shapeId="0" xr:uid="{489792DD-C34B-42C1-BB3A-ED023FCEBF10}">
      <text>
        <t>[Threaded comment]
Your version of Excel allows you to read this threaded comment; however, any edits to it will get removed if the file is opened in a newer version of Excel. Learn more: https://go.microsoft.com/fwlink/?linkid=870924
Comment:
    700 euro/kWh I consider</t>
      </text>
    </comment>
    <comment ref="T35" authorId="21" shapeId="0" xr:uid="{6818E91E-F12E-4773-AB37-F0380304B605}">
      <text>
        <t>[Threaded comment]
Your version of Excel allows you to read this threaded comment; however, any edits to it will get removed if the file is opened in a newer version of Excel. Learn more: https://go.microsoft.com/fwlink/?linkid=870924
Comment:
    825 euro / kWh is the cost</t>
      </text>
    </comment>
    <comment ref="A46" authorId="22" shapeId="0" xr:uid="{0700FD33-5624-407F-8C11-933644F53D91}">
      <text>
        <t>[Threaded comment]
Your version of Excel allows you to read this threaded comment; however, any edits to it will get removed if the file is opened in a newer version of Excel. Learn more: https://go.microsoft.com/fwlink/?linkid=870924
Comment:
    Last Prosumer</t>
      </text>
    </comment>
    <comment ref="AW46" authorId="23" shapeId="0" xr:uid="{36EA7325-7838-4D81-8E0C-E55EC7EE0714}">
      <text>
        <t>[Threaded comment]
Your version of Excel allows you to read this threaded comment; however, any edits to it will get removed if the file is opened in a newer version of Excel. Learn more: https://go.microsoft.com/fwlink/?linkid=870924
Comment:
    Last prosumer</t>
      </text>
    </comment>
    <comment ref="A47" authorId="24" shapeId="0" xr:uid="{896A542D-B708-400C-8898-BA1A176880B3}">
      <text>
        <t>[Threaded comment]
Your version of Excel allows you to read this threaded comment; however, any edits to it will get removed if the file is opened in a newer version of Excel. Learn more: https://go.microsoft.com/fwlink/?linkid=870924
Comment:
    First Consumer</t>
      </text>
    </comment>
    <comment ref="AZ47" authorId="25" shapeId="0" xr:uid="{4DF79804-A782-4FD7-9DA6-96C32C2F97CE}">
      <text>
        <t>[Threaded comment]
Your version of Excel allows you to read this threaded comment; however, any edits to it will get removed if the file is opened in a newer version of Excel. Learn more: https://go.microsoft.com/fwlink/?linkid=870924
Comment:
    What consumers received less under this scheme</t>
      </text>
    </comment>
    <comment ref="R50" authorId="26" shapeId="0" xr:uid="{0883EFB9-255F-4BE1-A715-B287A8A24415}">
      <text>
        <t>[Threaded comment]
Your version of Excel allows you to read this threaded comment; however, any edits to it will get removed if the file is opened in a newer version of Excel. Learn more: https://go.microsoft.com/fwlink/?linkid=870924
Comment:
    Keep the same for both?</t>
      </text>
    </comment>
    <comment ref="R67" authorId="27" shapeId="0" xr:uid="{50911B54-EA5E-4EF5-B2D5-67D98FC2A5E2}">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 ref="G105" authorId="28" shapeId="0" xr:uid="{441BFF8E-2C47-476A-B126-74FC40A738C1}">
      <text>
        <t>[Threaded comment]
Your version of Excel allows you to read this threaded comment; however, any edits to it will get removed if the file is opened in a newer version of Excel. Learn more: https://go.microsoft.com/fwlink/?linkid=870924
Comment:
    Not in net meter</t>
      </text>
    </comment>
    <comment ref="D111" authorId="29" shapeId="0" xr:uid="{9DCC17B2-3911-4A24-BBED-3A97B099376A}">
      <text>
        <t>[Threaded comment]
Your version of Excel allows you to read this threaded comment; however, any edits to it will get removed if the file is opened in a newer version of Excel. Learn more: https://go.microsoft.com/fwlink/?linkid=870924
Comment:
    With flexible net meter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tc={57330509-3D5B-4664-BB66-3BCEE89EF1A3}</author>
    <author>tc={CCA50B4D-552B-46C9-8A08-855320018E7B}</author>
    <author>tc={56066A01-4F25-4D1C-A91E-C1082E0EE5CB}</author>
    <author>tc={D08658FB-DB93-48FD-8987-ADA6E9063820}</author>
    <author>tc={C1771760-EED8-4660-BE3B-2BDA5959DB9D}</author>
    <author>tc={A0A0E578-DA3A-4D50-82A2-0EEB5E6F7113}</author>
    <author>tc={E7E12943-9A15-40CF-8776-F912B31D6DE9}</author>
    <author>tc={412176F2-C61B-4FF1-A7B2-CD89230EDDE7}</author>
    <author>tc={2D7293DA-DF50-4041-A155-5F71AF4A8A3E}</author>
    <author>tc={60ED0AE5-1281-4DB0-A10E-28A9E6ABBAA7}</author>
    <author>tc={C964C7E8-BE2F-45E7-9DC1-5A12EC712241}</author>
    <author>tc={11EAE7F9-25AE-4E7E-85E4-BF4254EAC1A2}</author>
    <author>tc={B96BED18-EBA2-404C-9C0D-2D2C251E5CCE}</author>
    <author>tc={43BAE627-E19B-405C-8627-0C11BB49B0CE}</author>
    <author>tc={0BA58174-8CC6-4E72-A9F0-775B129D0D28}</author>
    <author>tc={BFFBCC8C-447C-4CA2-81F2-3CB022BB0485}</author>
    <author>tc={604CEDE7-A04F-4B25-BF92-DBEAAF07EC07}</author>
    <author>tc={67E6F654-9B9D-4787-AFF9-A2AA3DBF581C}</author>
    <author>tc={EED6F8C6-F16B-48F5-B248-684B4F557D79}</author>
    <author>tc={8DADBD31-9C69-4E4B-B16F-7104143132D5}</author>
    <author>tc={8D752D30-C901-4075-AE38-A8D09B59B30B}</author>
    <author>tc={AA2C77C7-BEFD-4226-8154-C833489DBE04}</author>
    <author>tc={4B24A808-1CB5-458B-9B90-09EB93EA0B83}</author>
    <author>tc={84803E39-4599-4B75-A4EA-BF5B8B859372}</author>
    <author>tc={010F7B79-7656-4AA7-A95E-065C9CE41974}</author>
    <author>tc={3ADAF4A0-1EEC-4F61-ABE8-861D8A37C8C2}</author>
  </authors>
  <commentList>
    <comment ref="A1" authorId="0" shapeId="0" xr:uid="{57330509-3D5B-4664-BB66-3BCEE89EF1A3}">
      <text>
        <t>[Threaded comment]
Your version of Excel allows you to read this threaded comment; however, any edits to it will get removed if the file is opened in a newer version of Excel. Learn more: https://go.microsoft.com/fwlink/?linkid=870924
Comment:
    My initial LEM, pros sell to dso with 0.087</t>
      </text>
    </comment>
    <comment ref="W1" authorId="1" shapeId="0" xr:uid="{CCA50B4D-552B-46C9-8A08-855320018E7B}">
      <text>
        <t>[Threaded comment]
Your version of Excel allows you to read this threaded comment; however, any edits to it will get removed if the file is opened in a newer version of Excel. Learn more: https://go.microsoft.com/fwlink/?linkid=870924
Comment:
    Prosumers sell to NESO with 0.087</t>
      </text>
    </comment>
    <comment ref="AY1" authorId="2" shapeId="0" xr:uid="{56066A01-4F25-4D1C-A91E-C1082E0EE5CB}">
      <text>
        <t>[Threaded comment]
Your version of Excel allows you to read this threaded comment; however, any edits to it will get removed if the file is opened in a newer version of Excel. Learn more: https://go.microsoft.com/fwlink/?linkid=870924
Comment:
    All agents are treated equal</t>
      </text>
    </comment>
    <comment ref="AZ1" authorId="3" shapeId="0" xr:uid="{D08658FB-DB93-48FD-8987-ADA6E9063820}">
      <text>
        <t xml:space="preserve">[Threaded comment]
Your version of Excel allows you to read this threaded comment; however, any edits to it will get removed if the file is opened in a newer version of Excel. Learn more: https://go.microsoft.com/fwlink/?linkid=870924
Comment:
    Giving advantage to prosumers who took the risk of investment </t>
      </text>
    </comment>
    <comment ref="BA2" authorId="4" shapeId="0" xr:uid="{C1771760-EED8-4660-BE3B-2BDA5959DB9D}">
      <text>
        <t>[Threaded comment]
Your version of Excel allows you to read this threaded comment; however, any edits to it will get removed if the file is opened in a newer version of Excel. Learn more: https://go.microsoft.com/fwlink/?linkid=870924
Comment:
    What prosumers received more under this scheme</t>
      </text>
    </comment>
    <comment ref="AW5" authorId="5" shapeId="0" xr:uid="{A0A0E578-DA3A-4D50-82A2-0EEB5E6F7113}">
      <text>
        <t>[Threaded comment]
Your version of Excel allows you to read this threaded comment; however, any edits to it will get removed if the file is opened in a newer version of Excel. Learn more: https://go.microsoft.com/fwlink/?linkid=870924
Comment:
    Income of prosumers under the scheme giving them advantage</t>
      </text>
    </comment>
    <comment ref="U10" authorId="6" shapeId="0" xr:uid="{E7E12943-9A15-40CF-8776-F912B31D6DE9}">
      <text>
        <t>[Threaded comment]
Your version of Excel allows you to read this threaded comment; however, any edits to it will get removed if the file is opened in a newer version of Excel. Learn more: https://go.microsoft.com/fwlink/?linkid=870924
Comment:
    Say that they will not pay as the cost of smart meters will be covered by the standard cost in the energy bills which will happen with every household in Greece and Europe</t>
      </text>
    </comment>
    <comment ref="U11" authorId="7" shapeId="0" xr:uid="{412176F2-C61B-4FF1-A7B2-CD89230EDDE7}">
      <text>
        <t>[Threaded comment]
Your version of Excel allows you to read this threaded comment; however, any edits to it will get removed if the file is opened in a newer version of Excel. Learn more: https://go.microsoft.com/fwlink/?linkid=870924
Comment:
    For 3 people personel and 1700 euro gross salary per month
As if having personnel it will not be economically feasible say that for the monitoring it will be people from the community who could earn a discount on their expanses in the LEM and if they do extra works by offering service to the grid, they would be paid from there</t>
      </text>
    </comment>
    <comment ref="U12" authorId="8" shapeId="0" xr:uid="{2D7293DA-DF50-4041-A155-5F71AF4A8A3E}">
      <text>
        <t>[Threaded comment]
Your version of Excel allows you to read this threaded comment; however, any edits to it will get removed if the file is opened in a newer version of Excel. Learn more: https://go.microsoft.com/fwlink/?linkid=870924
Comment:
    Say that the building will be offered by a community member or the local authorities to support the scheme</t>
      </text>
    </comment>
    <comment ref="U13" authorId="9" shapeId="0" xr:uid="{60ED0AE5-1281-4DB0-A10E-28A9E6ABBAA7}">
      <text>
        <t>[Threaded comment]
Your version of Excel allows you to read this threaded comment; however, any edits to it will get removed if the file is opened in a newer version of Excel. Learn more: https://go.microsoft.com/fwlink/?linkid=870924
Comment:
    It would be built by us, or there would be an annual fee to the whole LEM for using it by the provider company. This annual fee would be seperated over the bills of all the members of LEM</t>
      </text>
    </comment>
    <comment ref="S16" authorId="10" shapeId="0" xr:uid="{C964C7E8-BE2F-45E7-9DC1-5A12EC712241}">
      <text>
        <t>[Threaded comment]
Your version of Excel allows you to read this threaded comment; however, any edits to it will get removed if the file is opened in a newer version of Excel. Learn more: https://go.microsoft.com/fwlink/?linkid=870924
Comment:
    Pg 45 NREL</t>
      </text>
    </comment>
    <comment ref="S18" authorId="11" shapeId="0" xr:uid="{11EAE7F9-25AE-4E7E-85E4-BF4254EAC1A2}">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 ref="S27" authorId="12" shapeId="0" xr:uid="{B96BED18-EBA2-404C-9C0D-2D2C251E5CCE}">
      <text>
        <t>[Threaded comment]
Your version of Excel allows you to read this threaded comment; however, any edits to it will get removed if the file is opened in a newer version of Excel. Learn more: https://go.microsoft.com/fwlink/?linkid=870924
Comment:
    pg 76 NREL</t>
      </text>
    </comment>
    <comment ref="U29" authorId="13" shapeId="0" xr:uid="{43BAE627-E19B-405C-8627-0C11BB49B0CE}">
      <text>
        <t>[Threaded comment]
Your version of Excel allows you to read this threaded comment; however, any edits to it will get removed if the file is opened in a newer version of Excel. Learn more: https://go.microsoft.com/fwlink/?linkid=870924
Comment:
    1700 euro/kWh I consider</t>
      </text>
    </comment>
    <comment ref="U30" authorId="14" shapeId="0" xr:uid="{0BA58174-8CC6-4E72-A9F0-775B129D0D28}">
      <text>
        <t>[Threaded comment]
Your version of Excel allows you to read this threaded comment; however, any edits to it will get removed if the file is opened in a newer version of Excel. Learn more: https://go.microsoft.com/fwlink/?linkid=870924
Comment:
    1700 euro/kWh I consider</t>
      </text>
    </comment>
    <comment ref="U31" authorId="15" shapeId="0" xr:uid="{BFFBCC8C-447C-4CA2-81F2-3CB022BB0485}">
      <text>
        <t>[Threaded comment]
Your version of Excel allows you to read this threaded comment; however, any edits to it will get removed if the file is opened in a newer version of Excel. Learn more: https://go.microsoft.com/fwlink/?linkid=870924
Comment:
    1120 euro/kWh I consider</t>
      </text>
    </comment>
    <comment ref="U32" authorId="16" shapeId="0" xr:uid="{604CEDE7-A04F-4B25-BF92-DBEAAF07EC07}">
      <text>
        <t>[Threaded comment]
Your version of Excel allows you to read this threaded comment; however, any edits to it will get removed if the file is opened in a newer version of Excel. Learn more: https://go.microsoft.com/fwlink/?linkid=870924
Comment:
    1120 euro/kWh I consider</t>
      </text>
    </comment>
    <comment ref="U33" authorId="17" shapeId="0" xr:uid="{67E6F654-9B9D-4787-AFF9-A2AA3DBF581C}">
      <text>
        <t>[Threaded comment]
Your version of Excel allows you to read this threaded comment; however, any edits to it will get removed if the file is opened in a newer version of Excel. Learn more: https://go.microsoft.com/fwlink/?linkid=870924
Comment:
    700 euro/kWh I consider</t>
      </text>
    </comment>
    <comment ref="U34" authorId="18" shapeId="0" xr:uid="{EED6F8C6-F16B-48F5-B248-684B4F557D79}">
      <text>
        <t>[Threaded comment]
Your version of Excel allows you to read this threaded comment; however, any edits to it will get removed if the file is opened in a newer version of Excel. Learn more: https://go.microsoft.com/fwlink/?linkid=870924
Comment:
    700 euro/kWh I consider</t>
      </text>
    </comment>
    <comment ref="U35" authorId="19" shapeId="0" xr:uid="{8DADBD31-9C69-4E4B-B16F-7104143132D5}">
      <text>
        <t>[Threaded comment]
Your version of Excel allows you to read this threaded comment; however, any edits to it will get removed if the file is opened in a newer version of Excel. Learn more: https://go.microsoft.com/fwlink/?linkid=870924
Comment:
    825 euro / kWh is the cost</t>
      </text>
    </comment>
    <comment ref="A46" authorId="20" shapeId="0" xr:uid="{8D752D30-C901-4075-AE38-A8D09B59B30B}">
      <text>
        <t>[Threaded comment]
Your version of Excel allows you to read this threaded comment; however, any edits to it will get removed if the file is opened in a newer version of Excel. Learn more: https://go.microsoft.com/fwlink/?linkid=870924
Comment:
    Last Prosumer</t>
      </text>
    </comment>
    <comment ref="AX46" authorId="21" shapeId="0" xr:uid="{AA2C77C7-BEFD-4226-8154-C833489DBE04}">
      <text>
        <t>[Threaded comment]
Your version of Excel allows you to read this threaded comment; however, any edits to it will get removed if the file is opened in a newer version of Excel. Learn more: https://go.microsoft.com/fwlink/?linkid=870924
Comment:
    Last prosumer</t>
      </text>
    </comment>
    <comment ref="A47" authorId="22" shapeId="0" xr:uid="{4B24A808-1CB5-458B-9B90-09EB93EA0B83}">
      <text>
        <t>[Threaded comment]
Your version of Excel allows you to read this threaded comment; however, any edits to it will get removed if the file is opened in a newer version of Excel. Learn more: https://go.microsoft.com/fwlink/?linkid=870924
Comment:
    First Consumer</t>
      </text>
    </comment>
    <comment ref="BA47" authorId="23" shapeId="0" xr:uid="{84803E39-4599-4B75-A4EA-BF5B8B859372}">
      <text>
        <t>[Threaded comment]
Your version of Excel allows you to read this threaded comment; however, any edits to it will get removed if the file is opened in a newer version of Excel. Learn more: https://go.microsoft.com/fwlink/?linkid=870924
Comment:
    What consumers received less under this scheme</t>
      </text>
    </comment>
    <comment ref="S50" authorId="24" shapeId="0" xr:uid="{010F7B79-7656-4AA7-A95E-065C9CE41974}">
      <text>
        <t>[Threaded comment]
Your version of Excel allows you to read this threaded comment; however, any edits to it will get removed if the file is opened in a newer version of Excel. Learn more: https://go.microsoft.com/fwlink/?linkid=870924
Comment:
    Keep the same for both?</t>
      </text>
    </comment>
    <comment ref="S67" authorId="25" shapeId="0" xr:uid="{3ADAF4A0-1EEC-4F61-ABE8-861D8A37C8C2}">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tc={A3A70D91-12CF-4CDE-89FD-7322B3EA7032}</author>
    <author>tc={8ECF0D28-80D5-42B9-B3B2-FE2C66524998}</author>
    <author>tc={DCB065F7-990E-4C3B-981D-01EF4D0B5008}</author>
    <author>tc={79607108-7085-44CA-8E46-5EA3F4C0B924}</author>
    <author>tc={184012CB-A746-459B-ACCD-7C3492B67123}</author>
    <author>tc={8985E2D4-71CC-4224-813A-A95D58EC138A}</author>
    <author>tc={233C84B8-49F0-4A19-9612-BF1EFABD8B43}</author>
    <author>tc={035E5B01-1299-4EB0-9FBB-831835739405}</author>
    <author>tc={EA95309D-8588-4028-AC8E-27D211137299}</author>
    <author>tc={1D5766FE-8DEC-4815-9046-0BE87E71BD6D}</author>
    <author>tc={C622DCE5-D72E-4D5A-9EA1-F42DD21D0DC4}</author>
    <author>tc={0F6F37F6-5DD6-4B1A-BA0F-F1D5C6C53346}</author>
    <author>tc={03E45444-02A2-47E3-B32F-E9D50EA51AD6}</author>
    <author>tc={A524ADCD-7461-4D23-908D-FD763C84CD05}</author>
    <author>tc={230F3F92-67D4-40FB-9FB6-7184B9E1FE23}</author>
    <author>tc={592217D8-DD43-48DB-B026-B129CA5C0BF9}</author>
    <author>tc={ABE90BFE-0B54-4DA4-BFD2-D4D4EB22A4E7}</author>
    <author>tc={BFC54BF6-610B-4E9F-8983-B152204B04B9}</author>
    <author>tc={59A2A432-86CF-4FF4-8449-6047C4AA8721}</author>
    <author>tc={5684B457-BBC4-4695-BB6A-5D2760779A9C}</author>
    <author>tc={0102CBF4-F5A4-4BF3-887B-7855D01B2226}</author>
    <author>tc={801F0EBB-9CDC-4ECA-81DC-A3B8BE0EEF70}</author>
    <author>tc={686E8D13-241F-4554-A142-93901835541B}</author>
    <author>tc={D7A89392-5653-40B2-8C31-8067D3DE3230}</author>
    <author>tc={1CCF59B2-416D-437C-905F-0BEC34E46623}</author>
    <author>tc={BF178F40-609F-42E1-A6AE-DD34ED586B23}</author>
  </authors>
  <commentList>
    <comment ref="A1" authorId="0" shapeId="0" xr:uid="{A3A70D91-12CF-4CDE-89FD-7322B3EA7032}">
      <text>
        <t>[Threaded comment]
Your version of Excel allows you to read this threaded comment; however, any edits to it will get removed if the file is opened in a newer version of Excel. Learn more: https://go.microsoft.com/fwlink/?linkid=870924
Comment:
    My initial LEM, pros sell to dso with 0.087</t>
      </text>
    </comment>
    <comment ref="V1" authorId="1" shapeId="0" xr:uid="{8ECF0D28-80D5-42B9-B3B2-FE2C66524998}">
      <text>
        <t>[Threaded comment]
Your version of Excel allows you to read this threaded comment; however, any edits to it will get removed if the file is opened in a newer version of Excel. Learn more: https://go.microsoft.com/fwlink/?linkid=870924
Comment:
    Prosumers sell to NESO with 0.087</t>
      </text>
    </comment>
    <comment ref="AX1" authorId="2" shapeId="0" xr:uid="{DCB065F7-990E-4C3B-981D-01EF4D0B5008}">
      <text>
        <t>[Threaded comment]
Your version of Excel allows you to read this threaded comment; however, any edits to it will get removed if the file is opened in a newer version of Excel. Learn more: https://go.microsoft.com/fwlink/?linkid=870924
Comment:
    All agents are treated equal</t>
      </text>
    </comment>
    <comment ref="AY1" authorId="3" shapeId="0" xr:uid="{79607108-7085-44CA-8E46-5EA3F4C0B924}">
      <text>
        <t xml:space="preserve">[Threaded comment]
Your version of Excel allows you to read this threaded comment; however, any edits to it will get removed if the file is opened in a newer version of Excel. Learn more: https://go.microsoft.com/fwlink/?linkid=870924
Comment:
    Giving advantage to prosumers who took the risk of investment </t>
      </text>
    </comment>
    <comment ref="AZ2" authorId="4" shapeId="0" xr:uid="{184012CB-A746-459B-ACCD-7C3492B67123}">
      <text>
        <t>[Threaded comment]
Your version of Excel allows you to read this threaded comment; however, any edits to it will get removed if the file is opened in a newer version of Excel. Learn more: https://go.microsoft.com/fwlink/?linkid=870924
Comment:
    What prosumers received more under this scheme</t>
      </text>
    </comment>
    <comment ref="AV5" authorId="5" shapeId="0" xr:uid="{8985E2D4-71CC-4224-813A-A95D58EC138A}">
      <text>
        <t>[Threaded comment]
Your version of Excel allows you to read this threaded comment; however, any edits to it will get removed if the file is opened in a newer version of Excel. Learn more: https://go.microsoft.com/fwlink/?linkid=870924
Comment:
    Income of prosumers under the scheme giving them advantage</t>
      </text>
    </comment>
    <comment ref="T10" authorId="6" shapeId="0" xr:uid="{233C84B8-49F0-4A19-9612-BF1EFABD8B43}">
      <text>
        <t>[Threaded comment]
Your version of Excel allows you to read this threaded comment; however, any edits to it will get removed if the file is opened in a newer version of Excel. Learn more: https://go.microsoft.com/fwlink/?linkid=870924
Comment:
    Say that they will not pay as the cost of smart meters will be covered by the standard cost in the energy bills which will happen with every household in Greece and Europe</t>
      </text>
    </comment>
    <comment ref="T11" authorId="7" shapeId="0" xr:uid="{035E5B01-1299-4EB0-9FBB-831835739405}">
      <text>
        <t>[Threaded comment]
Your version of Excel allows you to read this threaded comment; however, any edits to it will get removed if the file is opened in a newer version of Excel. Learn more: https://go.microsoft.com/fwlink/?linkid=870924
Comment:
    For 3 people personel and 1700 euro gross salary per month
As if having personnel it will not be economically feasible say that for the monitoring it will be people from the community who could earn a discount on their expanses in the LEM and if they do extra works by offering service to the grid, they would be paid from there</t>
      </text>
    </comment>
    <comment ref="T12" authorId="8" shapeId="0" xr:uid="{EA95309D-8588-4028-AC8E-27D211137299}">
      <text>
        <t>[Threaded comment]
Your version of Excel allows you to read this threaded comment; however, any edits to it will get removed if the file is opened in a newer version of Excel. Learn more: https://go.microsoft.com/fwlink/?linkid=870924
Comment:
    Say that the building will be offered by a community member or the local authorities to support the scheme</t>
      </text>
    </comment>
    <comment ref="T13" authorId="9" shapeId="0" xr:uid="{1D5766FE-8DEC-4815-9046-0BE87E71BD6D}">
      <text>
        <t>[Threaded comment]
Your version of Excel allows you to read this threaded comment; however, any edits to it will get removed if the file is opened in a newer version of Excel. Learn more: https://go.microsoft.com/fwlink/?linkid=870924
Comment:
    It would be built by us, or there would be an annual fee to the whole LEM for using it by the provider company. This annual fee would be seperated over the bills of all the members of LEM</t>
      </text>
    </comment>
    <comment ref="R16" authorId="10" shapeId="0" xr:uid="{C622DCE5-D72E-4D5A-9EA1-F42DD21D0DC4}">
      <text>
        <t>[Threaded comment]
Your version of Excel allows you to read this threaded comment; however, any edits to it will get removed if the file is opened in a newer version of Excel. Learn more: https://go.microsoft.com/fwlink/?linkid=870924
Comment:
    Pg 45 NREL</t>
      </text>
    </comment>
    <comment ref="R18" authorId="11" shapeId="0" xr:uid="{0F6F37F6-5DD6-4B1A-BA0F-F1D5C6C53346}">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 ref="R27" authorId="12" shapeId="0" xr:uid="{03E45444-02A2-47E3-B32F-E9D50EA51AD6}">
      <text>
        <t>[Threaded comment]
Your version of Excel allows you to read this threaded comment; however, any edits to it will get removed if the file is opened in a newer version of Excel. Learn more: https://go.microsoft.com/fwlink/?linkid=870924
Comment:
    pg 76 NREL</t>
      </text>
    </comment>
    <comment ref="T29" authorId="13" shapeId="0" xr:uid="{A524ADCD-7461-4D23-908D-FD763C84CD05}">
      <text>
        <t>[Threaded comment]
Your version of Excel allows you to read this threaded comment; however, any edits to it will get removed if the file is opened in a newer version of Excel. Learn more: https://go.microsoft.com/fwlink/?linkid=870924
Comment:
    1700 euro/kWh I consider</t>
      </text>
    </comment>
    <comment ref="T30" authorId="14" shapeId="0" xr:uid="{230F3F92-67D4-40FB-9FB6-7184B9E1FE23}">
      <text>
        <t>[Threaded comment]
Your version of Excel allows you to read this threaded comment; however, any edits to it will get removed if the file is opened in a newer version of Excel. Learn more: https://go.microsoft.com/fwlink/?linkid=870924
Comment:
    1700 euro/kWh I consider</t>
      </text>
    </comment>
    <comment ref="T31" authorId="15" shapeId="0" xr:uid="{592217D8-DD43-48DB-B026-B129CA5C0BF9}">
      <text>
        <t>[Threaded comment]
Your version of Excel allows you to read this threaded comment; however, any edits to it will get removed if the file is opened in a newer version of Excel. Learn more: https://go.microsoft.com/fwlink/?linkid=870924
Comment:
    1120 euro/kWh I consider</t>
      </text>
    </comment>
    <comment ref="T32" authorId="16" shapeId="0" xr:uid="{ABE90BFE-0B54-4DA4-BFD2-D4D4EB22A4E7}">
      <text>
        <t>[Threaded comment]
Your version of Excel allows you to read this threaded comment; however, any edits to it will get removed if the file is opened in a newer version of Excel. Learn more: https://go.microsoft.com/fwlink/?linkid=870924
Comment:
    1120 euro/kWh I consider</t>
      </text>
    </comment>
    <comment ref="T33" authorId="17" shapeId="0" xr:uid="{BFC54BF6-610B-4E9F-8983-B152204B04B9}">
      <text>
        <t>[Threaded comment]
Your version of Excel allows you to read this threaded comment; however, any edits to it will get removed if the file is opened in a newer version of Excel. Learn more: https://go.microsoft.com/fwlink/?linkid=870924
Comment:
    700 euro/kWh I consider</t>
      </text>
    </comment>
    <comment ref="T34" authorId="18" shapeId="0" xr:uid="{59A2A432-86CF-4FF4-8449-6047C4AA8721}">
      <text>
        <t>[Threaded comment]
Your version of Excel allows you to read this threaded comment; however, any edits to it will get removed if the file is opened in a newer version of Excel. Learn more: https://go.microsoft.com/fwlink/?linkid=870924
Comment:
    700 euro/kWh I consider</t>
      </text>
    </comment>
    <comment ref="T35" authorId="19" shapeId="0" xr:uid="{5684B457-BBC4-4695-BB6A-5D2760779A9C}">
      <text>
        <t>[Threaded comment]
Your version of Excel allows you to read this threaded comment; however, any edits to it will get removed if the file is opened in a newer version of Excel. Learn more: https://go.microsoft.com/fwlink/?linkid=870924
Comment:
    825 euro / kWh is the cost</t>
      </text>
    </comment>
    <comment ref="A46" authorId="20" shapeId="0" xr:uid="{0102CBF4-F5A4-4BF3-887B-7855D01B2226}">
      <text>
        <t>[Threaded comment]
Your version of Excel allows you to read this threaded comment; however, any edits to it will get removed if the file is opened in a newer version of Excel. Learn more: https://go.microsoft.com/fwlink/?linkid=870924
Comment:
    Last Prosumer</t>
      </text>
    </comment>
    <comment ref="AW46" authorId="21" shapeId="0" xr:uid="{801F0EBB-9CDC-4ECA-81DC-A3B8BE0EEF70}">
      <text>
        <t>[Threaded comment]
Your version of Excel allows you to read this threaded comment; however, any edits to it will get removed if the file is opened in a newer version of Excel. Learn more: https://go.microsoft.com/fwlink/?linkid=870924
Comment:
    Last prosumer</t>
      </text>
    </comment>
    <comment ref="A47" authorId="22" shapeId="0" xr:uid="{686E8D13-241F-4554-A142-93901835541B}">
      <text>
        <t>[Threaded comment]
Your version of Excel allows you to read this threaded comment; however, any edits to it will get removed if the file is opened in a newer version of Excel. Learn more: https://go.microsoft.com/fwlink/?linkid=870924
Comment:
    First Consumer</t>
      </text>
    </comment>
    <comment ref="AZ47" authorId="23" shapeId="0" xr:uid="{D7A89392-5653-40B2-8C31-8067D3DE3230}">
      <text>
        <t>[Threaded comment]
Your version of Excel allows you to read this threaded comment; however, any edits to it will get removed if the file is opened in a newer version of Excel. Learn more: https://go.microsoft.com/fwlink/?linkid=870924
Comment:
    What consumers received less under this scheme</t>
      </text>
    </comment>
    <comment ref="R50" authorId="24" shapeId="0" xr:uid="{1CCF59B2-416D-437C-905F-0BEC34E46623}">
      <text>
        <t>[Threaded comment]
Your version of Excel allows you to read this threaded comment; however, any edits to it will get removed if the file is opened in a newer version of Excel. Learn more: https://go.microsoft.com/fwlink/?linkid=870924
Comment:
    Keep the same for both?</t>
      </text>
    </comment>
    <comment ref="R67" authorId="25" shapeId="0" xr:uid="{BF178F40-609F-42E1-A6AE-DD34ED586B23}">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tc={AAE95478-4381-4ACB-BE88-310442DB7CC0}</author>
    <author>tc={A3A00E62-6216-4493-8D8E-DE4CBD226828}</author>
    <author>tc={23956C00-2855-4659-8613-2669C9CEC0EF}</author>
    <author>tc={3085D613-6E39-48C7-8240-FE5DE1B5BB38}</author>
    <author>tc={9CD9BEDB-767C-477F-B12F-557B29BC0B73}</author>
    <author>tc={16785166-4A4D-469B-BBE0-62F84B997672}</author>
    <author>tc={0FE96924-F032-489B-93C4-5DB365298FED}</author>
    <author>tc={82AF86B9-BA94-4252-9AB4-6B6C406AF4A9}</author>
    <author>tc={D0D6E0A1-82A9-4617-9337-FFC5506D9488}</author>
    <author>tc={C4F9DF63-2706-487F-928E-9B1DD5088701}</author>
    <author>tc={1ED06997-6BF5-44A0-98C0-EE059051903C}</author>
    <author>tc={C7E42453-5848-4EA7-984B-184CD4D65BEC}</author>
    <author>tc={82C7434A-4E21-458E-A785-E07B25374955}</author>
    <author>tc={A2E0ECD0-3AE2-451F-A5E4-96AC2745C036}</author>
    <author>tc={9722B659-E304-4578-B531-AE6BE42666AE}</author>
    <author>tc={E4E098B3-A285-4824-B6CF-62CC752CEDB8}</author>
    <author>tc={B883BA65-87B4-4479-BF15-06525D959CAB}</author>
    <author>tc={595BD7AF-28EC-4F8C-A0E9-F2F9ABF71190}</author>
    <author>tc={36AB707A-3B07-4603-A873-EE6EF9E18C70}</author>
    <author>tc={A2035031-F82C-4A5B-872A-737A7FD1042F}</author>
    <author>tc={C12E73D0-C9DE-4342-8D85-13CC0DBE601D}</author>
    <author>tc={660D4FB9-F150-48A4-8442-C999A79F7AAD}</author>
    <author>tc={445BC1B4-BC84-43BE-A694-17874686F447}</author>
    <author>tc={1FE6EB7C-4A03-4BC6-8EBE-5FB0EDE16CE9}</author>
    <author>tc={9FC1475D-2F34-4B4F-A5B9-8DEAB5784B0C}</author>
    <author>tc={58526FA3-5FF2-4633-9240-BAB20AC3055C}</author>
    <author>tc={0D22C9B7-E9E3-4A56-947F-F199C711708D}</author>
    <author>tc={1DC223C3-83B1-472C-B658-801C57146455}</author>
  </authors>
  <commentList>
    <comment ref="A1" authorId="0" shapeId="0" xr:uid="{AAE95478-4381-4ACB-BE88-310442DB7CC0}">
      <text>
        <t>[Threaded comment]
Your version of Excel allows you to read this threaded comment; however, any edits to it will get removed if the file is opened in a newer version of Excel. Learn more: https://go.microsoft.com/fwlink/?linkid=870924
Comment:
    My initial LEM, pros sell to dso with 0.087</t>
      </text>
    </comment>
    <comment ref="W1" authorId="1" shapeId="0" xr:uid="{A3A00E62-6216-4493-8D8E-DE4CBD226828}">
      <text>
        <t>[Threaded comment]
Your version of Excel allows you to read this threaded comment; however, any edits to it will get removed if the file is opened in a newer version of Excel. Learn more: https://go.microsoft.com/fwlink/?linkid=870924
Comment:
    Prosumers sell to NESO with 0.087</t>
      </text>
    </comment>
    <comment ref="AQ1" authorId="2" shapeId="0" xr:uid="{23956C00-2855-4659-8613-2669C9CEC0EF}">
      <text>
        <t>[Threaded comment]
Your version of Excel allows you to read this threaded comment; however, any edits to it will get removed if the file is opened in a newer version of Excel. Learn more: https://go.microsoft.com/fwlink/?linkid=870924
Comment:
    Over the 25 years</t>
      </text>
    </comment>
    <comment ref="AY1" authorId="3" shapeId="0" xr:uid="{3085D613-6E39-48C7-8240-FE5DE1B5BB38}">
      <text>
        <t>[Threaded comment]
Your version of Excel allows you to read this threaded comment; however, any edits to it will get removed if the file is opened in a newer version of Excel. Learn more: https://go.microsoft.com/fwlink/?linkid=870924
Comment:
    All agents are treated equal</t>
      </text>
    </comment>
    <comment ref="AZ1" authorId="4" shapeId="0" xr:uid="{9CD9BEDB-767C-477F-B12F-557B29BC0B73}">
      <text>
        <t xml:space="preserve">[Threaded comment]
Your version of Excel allows you to read this threaded comment; however, any edits to it will get removed if the file is opened in a newer version of Excel. Learn more: https://go.microsoft.com/fwlink/?linkid=870924
Comment:
    Giving advantage to prosumers who took the risk of investment </t>
      </text>
    </comment>
    <comment ref="BA2" authorId="5" shapeId="0" xr:uid="{16785166-4A4D-469B-BBE0-62F84B997672}">
      <text>
        <t>[Threaded comment]
Your version of Excel allows you to read this threaded comment; however, any edits to it will get removed if the file is opened in a newer version of Excel. Learn more: https://go.microsoft.com/fwlink/?linkid=870924
Comment:
    What prosumers received more under this scheme</t>
      </text>
    </comment>
    <comment ref="AQ3" authorId="6" shapeId="0" xr:uid="{0FE96924-F032-489B-93C4-5DB365298FED}">
      <text>
        <t>[Threaded comment]
Your version of Excel allows you to read this threaded comment; however, any edits to it will get removed if the file is opened in a newer version of Excel. Learn more: https://go.microsoft.com/fwlink/?linkid=870924
Comment:
    To increase social welfare we can say that over the lifetime of the project 20% of these funds will go for O&amp;M of LEM if needed or if LEM has funding then will be invested in projects that … inside the munic of the community.</t>
      </text>
    </comment>
    <comment ref="AW5" authorId="7" shapeId="0" xr:uid="{82AF86B9-BA94-4252-9AB4-6B6C406AF4A9}">
      <text>
        <t>[Threaded comment]
Your version of Excel allows you to read this threaded comment; however, any edits to it will get removed if the file is opened in a newer version of Excel. Learn more: https://go.microsoft.com/fwlink/?linkid=870924
Comment:
    Income of prosumers under the scheme giving them advantage</t>
      </text>
    </comment>
    <comment ref="U10" authorId="8" shapeId="0" xr:uid="{D0D6E0A1-82A9-4617-9337-FFC5506D9488}">
      <text>
        <t>[Threaded comment]
Your version of Excel allows you to read this threaded comment; however, any edits to it will get removed if the file is opened in a newer version of Excel. Learn more: https://go.microsoft.com/fwlink/?linkid=870924
Comment:
    Say that they will not pay as the cost of smart meters will be covered by the standard cost in the energy bills which will happen with every household in Greece and Europe</t>
      </text>
    </comment>
    <comment ref="U11" authorId="9" shapeId="0" xr:uid="{C4F9DF63-2706-487F-928E-9B1DD5088701}">
      <text>
        <t>[Threaded comment]
Your version of Excel allows you to read this threaded comment; however, any edits to it will get removed if the file is opened in a newer version of Excel. Learn more: https://go.microsoft.com/fwlink/?linkid=870924
Comment:
    For 3 people personel and 1700 euro gross salary per month
As if having personnel it will not be economically feasible say that for the monitoring it will be people from the community who could earn a discount on their expanses in the LEM and if they do extra works by offering service to the grid, they would be paid from there</t>
      </text>
    </comment>
    <comment ref="U12" authorId="10" shapeId="0" xr:uid="{1ED06997-6BF5-44A0-98C0-EE059051903C}">
      <text>
        <t>[Threaded comment]
Your version of Excel allows you to read this threaded comment; however, any edits to it will get removed if the file is opened in a newer version of Excel. Learn more: https://go.microsoft.com/fwlink/?linkid=870924
Comment:
    Say that the building will be offered by a community member or the local authorities to support the scheme</t>
      </text>
    </comment>
    <comment ref="U13" authorId="11" shapeId="0" xr:uid="{C7E42453-5848-4EA7-984B-184CD4D65BEC}">
      <text>
        <t>[Threaded comment]
Your version of Excel allows you to read this threaded comment; however, any edits to it will get removed if the file is opened in a newer version of Excel. Learn more: https://go.microsoft.com/fwlink/?linkid=870924
Comment:
    It would be built by us, or there would be an annual fee to the whole LEM for using it by the provider company. This annual fee would be seperated over the bills of all the members of LEM</t>
      </text>
    </comment>
    <comment ref="S16" authorId="12" shapeId="0" xr:uid="{82C7434A-4E21-458E-A785-E07B25374955}">
      <text>
        <t>[Threaded comment]
Your version of Excel allows you to read this threaded comment; however, any edits to it will get removed if the file is opened in a newer version of Excel. Learn more: https://go.microsoft.com/fwlink/?linkid=870924
Comment:
    Pg 45 NREL</t>
      </text>
    </comment>
    <comment ref="S18" authorId="13" shapeId="0" xr:uid="{A2E0ECD0-3AE2-451F-A5E4-96AC2745C036}">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 ref="S27" authorId="14" shapeId="0" xr:uid="{9722B659-E304-4578-B531-AE6BE42666AE}">
      <text>
        <t>[Threaded comment]
Your version of Excel allows you to read this threaded comment; however, any edits to it will get removed if the file is opened in a newer version of Excel. Learn more: https://go.microsoft.com/fwlink/?linkid=870924
Comment:
    pg 76 NREL</t>
      </text>
    </comment>
    <comment ref="U29" authorId="15" shapeId="0" xr:uid="{E4E098B3-A285-4824-B6CF-62CC752CEDB8}">
      <text>
        <t>[Threaded comment]
Your version of Excel allows you to read this threaded comment; however, any edits to it will get removed if the file is opened in a newer version of Excel. Learn more: https://go.microsoft.com/fwlink/?linkid=870924
Comment:
    1700 euro/kWh I consider</t>
      </text>
    </comment>
    <comment ref="U30" authorId="16" shapeId="0" xr:uid="{B883BA65-87B4-4479-BF15-06525D959CAB}">
      <text>
        <t>[Threaded comment]
Your version of Excel allows you to read this threaded comment; however, any edits to it will get removed if the file is opened in a newer version of Excel. Learn more: https://go.microsoft.com/fwlink/?linkid=870924
Comment:
    1700 euro/kWh I consider</t>
      </text>
    </comment>
    <comment ref="U31" authorId="17" shapeId="0" xr:uid="{595BD7AF-28EC-4F8C-A0E9-F2F9ABF71190}">
      <text>
        <t>[Threaded comment]
Your version of Excel allows you to read this threaded comment; however, any edits to it will get removed if the file is opened in a newer version of Excel. Learn more: https://go.microsoft.com/fwlink/?linkid=870924
Comment:
    1120 euro/kWh I consider</t>
      </text>
    </comment>
    <comment ref="U32" authorId="18" shapeId="0" xr:uid="{36AB707A-3B07-4603-A873-EE6EF9E18C70}">
      <text>
        <t>[Threaded comment]
Your version of Excel allows you to read this threaded comment; however, any edits to it will get removed if the file is opened in a newer version of Excel. Learn more: https://go.microsoft.com/fwlink/?linkid=870924
Comment:
    1120 euro/kWh I consider</t>
      </text>
    </comment>
    <comment ref="U33" authorId="19" shapeId="0" xr:uid="{A2035031-F82C-4A5B-872A-737A7FD1042F}">
      <text>
        <t>[Threaded comment]
Your version of Excel allows you to read this threaded comment; however, any edits to it will get removed if the file is opened in a newer version of Excel. Learn more: https://go.microsoft.com/fwlink/?linkid=870924
Comment:
    700 euro/kWh I consider</t>
      </text>
    </comment>
    <comment ref="U34" authorId="20" shapeId="0" xr:uid="{C12E73D0-C9DE-4342-8D85-13CC0DBE601D}">
      <text>
        <t>[Threaded comment]
Your version of Excel allows you to read this threaded comment; however, any edits to it will get removed if the file is opened in a newer version of Excel. Learn more: https://go.microsoft.com/fwlink/?linkid=870924
Comment:
    700 euro/kWh I consider</t>
      </text>
    </comment>
    <comment ref="U35" authorId="21" shapeId="0" xr:uid="{660D4FB9-F150-48A4-8442-C999A79F7AAD}">
      <text>
        <t>[Threaded comment]
Your version of Excel allows you to read this threaded comment; however, any edits to it will get removed if the file is opened in a newer version of Excel. Learn more: https://go.microsoft.com/fwlink/?linkid=870924
Comment:
    825 euro / kWh is the cost</t>
      </text>
    </comment>
    <comment ref="A46" authorId="22" shapeId="0" xr:uid="{445BC1B4-BC84-43BE-A694-17874686F447}">
      <text>
        <t>[Threaded comment]
Your version of Excel allows you to read this threaded comment; however, any edits to it will get removed if the file is opened in a newer version of Excel. Learn more: https://go.microsoft.com/fwlink/?linkid=870924
Comment:
    Last Prosumer</t>
      </text>
    </comment>
    <comment ref="AX46" authorId="23" shapeId="0" xr:uid="{1FE6EB7C-4A03-4BC6-8EBE-5FB0EDE16CE9}">
      <text>
        <t>[Threaded comment]
Your version of Excel allows you to read this threaded comment; however, any edits to it will get removed if the file is opened in a newer version of Excel. Learn more: https://go.microsoft.com/fwlink/?linkid=870924
Comment:
    Last prosumer</t>
      </text>
    </comment>
    <comment ref="A47" authorId="24" shapeId="0" xr:uid="{9FC1475D-2F34-4B4F-A5B9-8DEAB5784B0C}">
      <text>
        <t>[Threaded comment]
Your version of Excel allows you to read this threaded comment; however, any edits to it will get removed if the file is opened in a newer version of Excel. Learn more: https://go.microsoft.com/fwlink/?linkid=870924
Comment:
    First Consumer</t>
      </text>
    </comment>
    <comment ref="BA47" authorId="25" shapeId="0" xr:uid="{58526FA3-5FF2-4633-9240-BAB20AC3055C}">
      <text>
        <t>[Threaded comment]
Your version of Excel allows you to read this threaded comment; however, any edits to it will get removed if the file is opened in a newer version of Excel. Learn more: https://go.microsoft.com/fwlink/?linkid=870924
Comment:
    What consumers received less under this scheme</t>
      </text>
    </comment>
    <comment ref="S50" authorId="26" shapeId="0" xr:uid="{0D22C9B7-E9E3-4A56-947F-F199C711708D}">
      <text>
        <t>[Threaded comment]
Your version of Excel allows you to read this threaded comment; however, any edits to it will get removed if the file is opened in a newer version of Excel. Learn more: https://go.microsoft.com/fwlink/?linkid=870924
Comment:
    Keep the same for both?</t>
      </text>
    </comment>
    <comment ref="S67" authorId="27" shapeId="0" xr:uid="{1DC223C3-83B1-472C-B658-801C57146455}">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tc={939357B6-7B45-4473-9517-2262C27B35EC}</author>
    <author>tc={B7276132-B1EB-47F4-99AB-CE68306F67DF}</author>
    <author>tc={A6A33C80-589F-4DDF-BC02-523222ED812D}</author>
    <author>tc={F11C43F4-D6A3-4CB9-9B9A-F1555599B2D8}</author>
    <author>tc={DAAB0CB3-63C6-46AB-AD53-485D59CA9696}</author>
    <author>tc={07E438CA-05E4-4CBF-8196-958C3AF0687E}</author>
    <author>tc={66922BE8-F86A-4EBC-87F3-11EA09EDD315}</author>
    <author>tc={4A124A5C-81C3-4085-A4FA-61651C37DC28}</author>
    <author>tc={2D4349AF-00B0-409D-90B8-DE8000B49A4B}</author>
    <author>tc={4A26B0E2-ACB1-4940-B8AF-3FA68351CA92}</author>
    <author>tc={DF05AD8A-78F6-40E8-A110-5629E24AFCBB}</author>
    <author>tc={E6E8B57E-CD30-4595-B9E3-3F9921D5D521}</author>
    <author>tc={B39B46F9-DFE4-4155-959B-021D5B010CD5}</author>
    <author>tc={191F8204-23A5-4E01-B435-292145E48374}</author>
    <author>tc={EDB28AE7-9E8A-460B-9373-D6D3DD0A7ED2}</author>
    <author>tc={A16F7599-3EE3-4452-952F-A3F3ADEC38B5}</author>
    <author>tc={037DD45A-8AA6-42C7-AD3F-7E80A0B44DD6}</author>
    <author>tc={60C924EC-2793-48E4-8E1C-AC7AAA9B74BD}</author>
    <author>tc={299BCE2D-0A26-4ABC-BD41-CA6922F4CFF1}</author>
    <author>tc={01FC9E86-8652-4BF4-9E0D-8AFAF90C07A6}</author>
    <author>tc={58DAF102-C045-49C9-AC45-F51FB1E3D2F0}</author>
    <author>tc={22CF91AD-8A8A-475B-9386-DCE5713F4D80}</author>
    <author>tc={1FC1FCE3-0BA0-4F32-B1D8-AC723CE6CAB2}</author>
    <author>tc={57B82767-222F-46BD-9706-BCD7DE2C8AF9}</author>
    <author>tc={56B43883-88D3-4AD8-B263-5F9B07251F4F}</author>
    <author>tc={C70B84E5-A66C-4B64-A7EF-96EE0556CD27}</author>
    <author>tc={7E7C2EE9-B5C3-41CC-9A89-219C16F05605}</author>
  </authors>
  <commentList>
    <comment ref="A1" authorId="0" shapeId="0" xr:uid="{939357B6-7B45-4473-9517-2262C27B35EC}">
      <text>
        <t>[Threaded comment]
Your version of Excel allows you to read this threaded comment; however, any edits to it will get removed if the file is opened in a newer version of Excel. Learn more: https://go.microsoft.com/fwlink/?linkid=870924
Comment:
    Similar to v6 but agents in LEM and buy from NESO for 0 and sell to neso for 0.155
Reply:
    I made 2.5 into 2.6 to include an extra installation cost because of the batts</t>
      </text>
    </comment>
    <comment ref="V1" authorId="1" shapeId="0" xr:uid="{B7276132-B1EB-47F4-99AB-CE68306F67DF}">
      <text>
        <t>[Threaded comment]
Your version of Excel allows you to read this threaded comment; however, any edits to it will get removed if the file is opened in a newer version of Excel. Learn more: https://go.microsoft.com/fwlink/?linkid=870924
Comment:
    Prosumers sell to NESO with 0.155</t>
      </text>
    </comment>
    <comment ref="AX1" authorId="2" shapeId="0" xr:uid="{A6A33C80-589F-4DDF-BC02-523222ED812D}">
      <text>
        <t>[Threaded comment]
Your version of Excel allows you to read this threaded comment; however, any edits to it will get removed if the file is opened in a newer version of Excel. Learn more: https://go.microsoft.com/fwlink/?linkid=870924
Comment:
    All agents are treated equal</t>
      </text>
    </comment>
    <comment ref="AY1" authorId="3" shapeId="0" xr:uid="{F11C43F4-D6A3-4CB9-9B9A-F1555599B2D8}">
      <text>
        <t>[Threaded comment]
Your version of Excel allows you to read this threaded comment; however, any edits to it will get removed if the file is opened in a newer version of Excel. Learn more: https://go.microsoft.com/fwlink/?linkid=870924
Comment:
    Giving advantage to prosumers who took the risk of investment 
The extra funds could be transferred to the accounts of the prosumers either straight for this reason by consumers or from the beginning by adding an extra charge at the billing of consumers</t>
      </text>
    </comment>
    <comment ref="AZ2" authorId="4" shapeId="0" xr:uid="{DAAB0CB3-63C6-46AB-AD53-485D59CA9696}">
      <text>
        <t>[Threaded comment]
Your version of Excel allows you to read this threaded comment; however, any edits to it will get removed if the file is opened in a newer version of Excel. Learn more: https://go.microsoft.com/fwlink/?linkid=870924
Comment:
    What prosumers received more under this scheme</t>
      </text>
    </comment>
    <comment ref="AV5" authorId="5" shapeId="0" xr:uid="{07E438CA-05E4-4CBF-8196-958C3AF0687E}">
      <text>
        <t>[Threaded comment]
Your version of Excel allows you to read this threaded comment; however, any edits to it will get removed if the file is opened in a newer version of Excel. Learn more: https://go.microsoft.com/fwlink/?linkid=870924
Comment:
    Income of prosumers under the scheme giving them advantage</t>
      </text>
    </comment>
    <comment ref="T10" authorId="6" shapeId="0" xr:uid="{66922BE8-F86A-4EBC-87F3-11EA09EDD315}">
      <text>
        <t>[Threaded comment]
Your version of Excel allows you to read this threaded comment; however, any edits to it will get removed if the file is opened in a newer version of Excel. Learn more: https://go.microsoft.com/fwlink/?linkid=870924
Comment:
    Say that they will not pay as the cost of smart meters will be covered by the standard cost in the energy bills which will happen with every household in Greece and Europe</t>
      </text>
    </comment>
    <comment ref="T11" authorId="7" shapeId="0" xr:uid="{4A124A5C-81C3-4085-A4FA-61651C37DC28}">
      <text>
        <t>[Threaded comment]
Your version of Excel allows you to read this threaded comment; however, any edits to it will get removed if the file is opened in a newer version of Excel. Learn more: https://go.microsoft.com/fwlink/?linkid=870924
Comment:
    For 3 people personel and 1700 euro gross salary per month
As if having personnel it will not be economically feasible say that for the monitoring it will be people from the community who could earn a discount on their expanses in the LEM and if they do extra works by offering service to the grid, they would be paid from there</t>
      </text>
    </comment>
    <comment ref="T12" authorId="8" shapeId="0" xr:uid="{2D4349AF-00B0-409D-90B8-DE8000B49A4B}">
      <text>
        <t>[Threaded comment]
Your version of Excel allows you to read this threaded comment; however, any edits to it will get removed if the file is opened in a newer version of Excel. Learn more: https://go.microsoft.com/fwlink/?linkid=870924
Comment:
    Say that the building will be offered by a community member or the local authorities to support the scheme</t>
      </text>
    </comment>
    <comment ref="T13" authorId="9" shapeId="0" xr:uid="{4A26B0E2-ACB1-4940-B8AF-3FA68351CA92}">
      <text>
        <t>[Threaded comment]
Your version of Excel allows you to read this threaded comment; however, any edits to it will get removed if the file is opened in a newer version of Excel. Learn more: https://go.microsoft.com/fwlink/?linkid=870924
Comment:
    It would be built by us, or there would be an annual fee to the whole LEM for using it by the provider company. This annual fee would be seperated over the bills of all the members of LEM</t>
      </text>
    </comment>
    <comment ref="AV13" authorId="10" shapeId="0" xr:uid="{DF05AD8A-78F6-40E8-A110-5629E24AFCBB}">
      <text>
        <t>[Threaded comment]
Your version of Excel allows you to read this threaded comment; however, any edits to it will get removed if the file is opened in a newer version of Excel. Learn more: https://go.microsoft.com/fwlink/?linkid=870924
Comment:
    We see that the average profit for 1 pros and cons are close, over the 25 year period, which means that we achieve good social welfare</t>
      </text>
    </comment>
    <comment ref="R16" authorId="11" shapeId="0" xr:uid="{E6E8B57E-CD30-4595-B9E3-3F9921D5D521}">
      <text>
        <t>[Threaded comment]
Your version of Excel allows you to read this threaded comment; however, any edits to it will get removed if the file is opened in a newer version of Excel. Learn more: https://go.microsoft.com/fwlink/?linkid=870924
Comment:
    Pg 45 NREL</t>
      </text>
    </comment>
    <comment ref="R18" authorId="12" shapeId="0" xr:uid="{B39B46F9-DFE4-4155-959B-021D5B010CD5}">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 ref="R27" authorId="13" shapeId="0" xr:uid="{191F8204-23A5-4E01-B435-292145E48374}">
      <text>
        <t>[Threaded comment]
Your version of Excel allows you to read this threaded comment; however, any edits to it will get removed if the file is opened in a newer version of Excel. Learn more: https://go.microsoft.com/fwlink/?linkid=870924
Comment:
    pg 76 NREL</t>
      </text>
    </comment>
    <comment ref="T29" authorId="14" shapeId="0" xr:uid="{EDB28AE7-9E8A-460B-9373-D6D3DD0A7ED2}">
      <text>
        <t>[Threaded comment]
Your version of Excel allows you to read this threaded comment; however, any edits to it will get removed if the file is opened in a newer version of Excel. Learn more: https://go.microsoft.com/fwlink/?linkid=870924
Comment:
    1700 euro/kWh I consider</t>
      </text>
    </comment>
    <comment ref="T30" authorId="15" shapeId="0" xr:uid="{A16F7599-3EE3-4452-952F-A3F3ADEC38B5}">
      <text>
        <t>[Threaded comment]
Your version of Excel allows you to read this threaded comment; however, any edits to it will get removed if the file is opened in a newer version of Excel. Learn more: https://go.microsoft.com/fwlink/?linkid=870924
Comment:
    1700 euro/kWh I consider</t>
      </text>
    </comment>
    <comment ref="T31" authorId="16" shapeId="0" xr:uid="{037DD45A-8AA6-42C7-AD3F-7E80A0B44DD6}">
      <text>
        <t>[Threaded comment]
Your version of Excel allows you to read this threaded comment; however, any edits to it will get removed if the file is opened in a newer version of Excel. Learn more: https://go.microsoft.com/fwlink/?linkid=870924
Comment:
    1120 euro/kWh I consider</t>
      </text>
    </comment>
    <comment ref="T32" authorId="17" shapeId="0" xr:uid="{60C924EC-2793-48E4-8E1C-AC7AAA9B74BD}">
      <text>
        <t>[Threaded comment]
Your version of Excel allows you to read this threaded comment; however, any edits to it will get removed if the file is opened in a newer version of Excel. Learn more: https://go.microsoft.com/fwlink/?linkid=870924
Comment:
    1120 euro/kWh I consider</t>
      </text>
    </comment>
    <comment ref="T33" authorId="18" shapeId="0" xr:uid="{299BCE2D-0A26-4ABC-BD41-CA6922F4CFF1}">
      <text>
        <t>[Threaded comment]
Your version of Excel allows you to read this threaded comment; however, any edits to it will get removed if the file is opened in a newer version of Excel. Learn more: https://go.microsoft.com/fwlink/?linkid=870924
Comment:
    700 euro/kWh I consider</t>
      </text>
    </comment>
    <comment ref="T34" authorId="19" shapeId="0" xr:uid="{01FC9E86-8652-4BF4-9E0D-8AFAF90C07A6}">
      <text>
        <t>[Threaded comment]
Your version of Excel allows you to read this threaded comment; however, any edits to it will get removed if the file is opened in a newer version of Excel. Learn more: https://go.microsoft.com/fwlink/?linkid=870924
Comment:
    700 euro/kWh I consider</t>
      </text>
    </comment>
    <comment ref="T35" authorId="20" shapeId="0" xr:uid="{58DAF102-C045-49C9-AC45-F51FB1E3D2F0}">
      <text>
        <t>[Threaded comment]
Your version of Excel allows you to read this threaded comment; however, any edits to it will get removed if the file is opened in a newer version of Excel. Learn more: https://go.microsoft.com/fwlink/?linkid=870924
Comment:
    825 euro / kWh is the cost</t>
      </text>
    </comment>
    <comment ref="A46" authorId="21" shapeId="0" xr:uid="{22CF91AD-8A8A-475B-9386-DCE5713F4D80}">
      <text>
        <t>[Threaded comment]
Your version of Excel allows you to read this threaded comment; however, any edits to it will get removed if the file is opened in a newer version of Excel. Learn more: https://go.microsoft.com/fwlink/?linkid=870924
Comment:
    Last Prosumer</t>
      </text>
    </comment>
    <comment ref="AW46" authorId="22" shapeId="0" xr:uid="{1FC1FCE3-0BA0-4F32-B1D8-AC723CE6CAB2}">
      <text>
        <t>[Threaded comment]
Your version of Excel allows you to read this threaded comment; however, any edits to it will get removed if the file is opened in a newer version of Excel. Learn more: https://go.microsoft.com/fwlink/?linkid=870924
Comment:
    Last prosumer</t>
      </text>
    </comment>
    <comment ref="A47" authorId="23" shapeId="0" xr:uid="{57B82767-222F-46BD-9706-BCD7DE2C8AF9}">
      <text>
        <t>[Threaded comment]
Your version of Excel allows you to read this threaded comment; however, any edits to it will get removed if the file is opened in a newer version of Excel. Learn more: https://go.microsoft.com/fwlink/?linkid=870924
Comment:
    First Consumer</t>
      </text>
    </comment>
    <comment ref="AZ47" authorId="24" shapeId="0" xr:uid="{56B43883-88D3-4AD8-B263-5F9B07251F4F}">
      <text>
        <t>[Threaded comment]
Your version of Excel allows you to read this threaded comment; however, any edits to it will get removed if the file is opened in a newer version of Excel. Learn more: https://go.microsoft.com/fwlink/?linkid=870924
Comment:
    What consumers received less under this scheme</t>
      </text>
    </comment>
    <comment ref="R50" authorId="25" shapeId="0" xr:uid="{C70B84E5-A66C-4B64-A7EF-96EE0556CD27}">
      <text>
        <t>[Threaded comment]
Your version of Excel allows you to read this threaded comment; however, any edits to it will get removed if the file is opened in a newer version of Excel. Learn more: https://go.microsoft.com/fwlink/?linkid=870924
Comment:
    Keep the same for both?</t>
      </text>
    </comment>
    <comment ref="R67" authorId="26" shapeId="0" xr:uid="{7E7C2EE9-B5C3-41CC-9A89-219C16F05605}">
      <text>
        <t>[Threaded comment]
Your version of Excel allows you to read this threaded comment; however, any edits to it will get removed if the file is opened in a newer version of Excel. Learn more: https://go.microsoft.com/fwlink/?linkid=870924
Comment:
    Based on NREL 2020 report (pg 45 etc) making dollars to euro and to article by Οικονομικός Ταχυδρόμος</t>
      </text>
    </comment>
  </commentList>
</comments>
</file>

<file path=xl/sharedStrings.xml><?xml version="1.0" encoding="utf-8"?>
<sst xmlns="http://schemas.openxmlformats.org/spreadsheetml/2006/main" count="2619" uniqueCount="408">
  <si>
    <t>Total money the community has gathered (euro):</t>
  </si>
  <si>
    <t>Total kWhs the PV plant will generate:</t>
  </si>
  <si>
    <t>Average consumption (kWh) for 1 household per year:</t>
  </si>
  <si>
    <t>Percentage over total consumption:</t>
  </si>
  <si>
    <t>What they should pay from the total amount (euro):</t>
  </si>
  <si>
    <t>Household members kWh consumption:</t>
  </si>
  <si>
    <t xml:space="preserve"> </t>
  </si>
  <si>
    <t>My LEM member number:</t>
  </si>
  <si>
    <t>Member demand kWh/year:</t>
  </si>
  <si>
    <t>Sum from 1 to 74:</t>
  </si>
  <si>
    <t>Sum from 69 to 99:</t>
  </si>
  <si>
    <t>Sum from 1 to 44:</t>
  </si>
  <si>
    <t>Sum from 1 to 11:</t>
  </si>
  <si>
    <t>Sum from 13 to 44:</t>
  </si>
  <si>
    <t>Sum of mine:</t>
  </si>
  <si>
    <t>kWh needed:</t>
  </si>
  <si>
    <t>difference:</t>
  </si>
  <si>
    <t>ok difference, very small</t>
  </si>
  <si>
    <t>So I will use the households:</t>
  </si>
  <si>
    <t>1 to 11</t>
  </si>
  <si>
    <t>13 to 44</t>
  </si>
  <si>
    <t>58 and</t>
  </si>
  <si>
    <t>69 to 98</t>
  </si>
  <si>
    <t>Percentage over kWh generated by farm:</t>
  </si>
  <si>
    <t>Part of total cost each member pays:</t>
  </si>
  <si>
    <t>Shares of 100 euro each members finally buys:</t>
  </si>
  <si>
    <t>Final amount in euro each member pays:</t>
  </si>
  <si>
    <t>Total kWh the EC needs:</t>
  </si>
  <si>
    <t>Euro for their kWh out of the EC:</t>
  </si>
  <si>
    <t>Minus the initial investment:</t>
  </si>
  <si>
    <t>Euro for kWh for 25 years:</t>
  </si>
  <si>
    <t>LCOE simple (eur/kWh):</t>
  </si>
  <si>
    <t>LCOE (eur/kWh):</t>
  </si>
  <si>
    <t>For the comulative cash flows graph:</t>
  </si>
  <si>
    <t>Year:</t>
  </si>
  <si>
    <t>Cash flow</t>
  </si>
  <si>
    <t>Running balance (euro) - no discount included:</t>
  </si>
  <si>
    <t>Present value of future cash flows (yes discount - no inflation):</t>
  </si>
  <si>
    <t>Running balance (euro) - discount included:</t>
  </si>
  <si>
    <t>Cash flow (including inflation rate):</t>
  </si>
  <si>
    <t>Present value of future cash flows (yes discount - yes inflation):</t>
  </si>
  <si>
    <t>Running balance (euro) - discount and inflation included:</t>
  </si>
  <si>
    <t>Total kWh the PV array will generate:</t>
  </si>
  <si>
    <t>Total kWh the PV array will induce to grid:</t>
  </si>
  <si>
    <t>Amount gathered by all EC members (euro):</t>
  </si>
  <si>
    <t>PV farm construction costs (euro):</t>
  </si>
  <si>
    <t>watch video by the Indian to see how to make this graph more pretty - also make it start from 0</t>
  </si>
  <si>
    <t>Euro/kWh normal bill at DEI:</t>
  </si>
  <si>
    <t>Price of one community share in euro:</t>
  </si>
  <si>
    <t>Period under study (years):</t>
  </si>
  <si>
    <t>Inflation rate 2.5% (based on NREL reports):</t>
  </si>
  <si>
    <t>Payback period (years):</t>
  </si>
  <si>
    <t>Discount rate including inflation rate:</t>
  </si>
  <si>
    <t>IRR:</t>
  </si>
  <si>
    <t>Payback period = Full years until recovery + (unrecovered cost at start of recovery year / CF in recovery year)</t>
  </si>
  <si>
    <t>Sn calculation:</t>
  </si>
  <si>
    <t>Also choose for example 4 indicative EC member and also do their individual economic evaluation as above and compare with the same members for the case we run the LEM.</t>
  </si>
  <si>
    <t>sum:</t>
  </si>
  <si>
    <t>Scenario</t>
  </si>
  <si>
    <t>Average price (cEUR/kWh):</t>
  </si>
  <si>
    <t>Pros kWh offer LEM (NO BESS)</t>
  </si>
  <si>
    <t>Pros kWh offer LEM (YES BESS)</t>
  </si>
  <si>
    <t>Pros kwh sell Con+Prs</t>
  </si>
  <si>
    <t>Pros kwh sell DSO</t>
  </si>
  <si>
    <t>Pros self covered demand (kWh):</t>
  </si>
  <si>
    <t xml:space="preserve">Pros savings by not buying from DSO (EUR): </t>
  </si>
  <si>
    <t>Income of Pros by selling in LEM (EUR):</t>
  </si>
  <si>
    <t>Income of Pros by selling to DSO (EUR):</t>
  </si>
  <si>
    <t>Income of Pros by selling in LEM+DSO (EUR):</t>
  </si>
  <si>
    <t>Profit of Pros (EUR):</t>
  </si>
  <si>
    <t>kWh buyers bought from LEM (NO BESS):</t>
  </si>
  <si>
    <t>kWh buyers bought from LEM (YES BESS):</t>
  </si>
  <si>
    <t>kWh buyers bought from BESS only:</t>
  </si>
  <si>
    <t>kWh buyers bought from DSO (NO BESS):</t>
  </si>
  <si>
    <t>kWh buyers bought from DSO (YES BESS):</t>
  </si>
  <si>
    <t>kWh buyers bought (LEM+DSO):</t>
  </si>
  <si>
    <t>Amount buyers paid in LEM NO BESS (EUR):</t>
  </si>
  <si>
    <t>Amount buyers paid in DSO NO BESS (EUR):</t>
  </si>
  <si>
    <t>Amount buyers paid to LEM+DSO NO BESS (EUR):</t>
  </si>
  <si>
    <t>Amount buyers paid in LEM YES BESS (EUR):</t>
  </si>
  <si>
    <t>Amount buyers paid in DSO YES BESS (EUR):</t>
  </si>
  <si>
    <t>Amount buyers paid to LEM+DSO YES BESS (EUR):</t>
  </si>
  <si>
    <t>Amount buyers paid to LEM only for BESS (EUR):</t>
  </si>
  <si>
    <t>Amount buyers (pr+con) would pay only DSO (EUR):</t>
  </si>
  <si>
    <t>Buyers NO BESS profit (EUR):</t>
  </si>
  <si>
    <t>Buyers YES BESS profit (EUR):</t>
  </si>
  <si>
    <t>Profit for LEM members if all there kWh were bought out of LEM:</t>
  </si>
  <si>
    <t>Sc 1 - Pros = 15 / Batt = NO</t>
  </si>
  <si>
    <t>Sc 2 - Pros = 15 / Batt = 20%</t>
  </si>
  <si>
    <t>Sc 3 - Pros = 15 / Batt = 40%</t>
  </si>
  <si>
    <t>Sc 4 - Pros = 15 / Batt = 60%</t>
  </si>
  <si>
    <t>Sc 5 - Pros = 20 / Batt = NO</t>
  </si>
  <si>
    <t>Sc 6 - Pros = 20 / Batt = 20%</t>
  </si>
  <si>
    <t>Sc 7 - Pros = 20 / Batt = 40%</t>
  </si>
  <si>
    <t>Sc 8 - Pros = 20 / Batt = 60%</t>
  </si>
  <si>
    <t>Sc 9 - Pros = 25 / Batt = NO</t>
  </si>
  <si>
    <t>Sc 10 - Pros = 25 / Batt = 20%</t>
  </si>
  <si>
    <t>Sc 11 - Pros = 25 / Batt = 40%</t>
  </si>
  <si>
    <t>Sc 12 - Pros = 25 / Batt = 60%</t>
  </si>
  <si>
    <t>Sc 13 - Pros = 30 / Batt = NO</t>
  </si>
  <si>
    <t>Sc 14 - Pros = 30 / Batt = 20%</t>
  </si>
  <si>
    <t>Sc 15 - Pros = 30 / Batt = 40%</t>
  </si>
  <si>
    <t>Sc 16 - Pros = 30 / Batt = 60%</t>
  </si>
  <si>
    <t>Sc 17 - Pros = 35 / Batt = NO</t>
  </si>
  <si>
    <t>Sc 18 - Pros = 35 / Batt = 20%</t>
  </si>
  <si>
    <t>Sc 19 - Pros = 35 / Batt = 40%</t>
  </si>
  <si>
    <t>Sc 20 - Pros = 35 / Batt = 60%</t>
  </si>
  <si>
    <t>Sc 21 - Pros = 40 / Batt = NO</t>
  </si>
  <si>
    <t>Sc 22 - Pros = 40 / Batt = 20%</t>
  </si>
  <si>
    <t>Sc 23 - Pros = 40 / Batt = 40%</t>
  </si>
  <si>
    <t>Sc 24 - Pros = 40 / Batt = 60%</t>
  </si>
  <si>
    <t>Sc 25 - Pros = 45 / Batt = NO</t>
  </si>
  <si>
    <t>Sc 26 - Pros = 45 / Batt = 20%</t>
  </si>
  <si>
    <t>Sc 27 - Pros = 45 / Batt = 40%</t>
  </si>
  <si>
    <t>Sc 28 - Pros = 45 / Batt = 60%</t>
  </si>
  <si>
    <t>Sc 29 - Pros = 50 / Batt = NO</t>
  </si>
  <si>
    <t>Sc 30 - Pros = 50 / Batt = 20%</t>
  </si>
  <si>
    <t>Sc 31 - Pros = 50 / Batt = 40%</t>
  </si>
  <si>
    <t>Sc 32 - Pros = 50 / Batt = 60%</t>
  </si>
  <si>
    <t>Sc 33 - Pros = 60 / Batt = NO</t>
  </si>
  <si>
    <t>Sc 34 - Pros = 60 / Batt = 20%</t>
  </si>
  <si>
    <t>Sc 35 - Pros = 60 / Batt = 40%</t>
  </si>
  <si>
    <t>Sc 36 - Pros = 60 / Batt = 60%</t>
  </si>
  <si>
    <t>Sc 37 - Pros = 70 / Batt = NO</t>
  </si>
  <si>
    <t>Sc 38 - Pros = 70 / Batt = 20%</t>
  </si>
  <si>
    <t>Sc 39 - Pros = 70 / Batt = 40%</t>
  </si>
  <si>
    <t>Sc 40 - Pros = 70 / Batt = 60%</t>
  </si>
  <si>
    <t>Total demand of 99 LEM members in kWh during 1 year:</t>
  </si>
  <si>
    <t>Min ave Price:</t>
  </si>
  <si>
    <t>Min</t>
  </si>
  <si>
    <t>Min self cover:</t>
  </si>
  <si>
    <t>Min pros savings:</t>
  </si>
  <si>
    <t>Min pros income:</t>
  </si>
  <si>
    <t>Min pros profit:</t>
  </si>
  <si>
    <t>Min kWh bought:</t>
  </si>
  <si>
    <t>Min EUR paid in LEM:</t>
  </si>
  <si>
    <t>Min EUR paid in DSO:</t>
  </si>
  <si>
    <t>Min EUR paid in LEM + DSO:</t>
  </si>
  <si>
    <t>Min EUR paid if only DSO:</t>
  </si>
  <si>
    <t>Min EUR profit for buyers:</t>
  </si>
  <si>
    <t>Index of above:</t>
  </si>
  <si>
    <t>Max ave Price:</t>
  </si>
  <si>
    <t>Max</t>
  </si>
  <si>
    <t>Max self cover:</t>
  </si>
  <si>
    <t>Max pros savings:</t>
  </si>
  <si>
    <t>Max pros income:</t>
  </si>
  <si>
    <t>Max pros profit:</t>
  </si>
  <si>
    <t>Max kWh bought:</t>
  </si>
  <si>
    <t>Max EUR paid in LEM:</t>
  </si>
  <si>
    <t>Max EUR paid in DSO:</t>
  </si>
  <si>
    <t>Max EUR paid in LEM + DSO:</t>
  </si>
  <si>
    <t>Max EUR paid if only DSO:</t>
  </si>
  <si>
    <t>Max EUR profit for buyers:</t>
  </si>
  <si>
    <t>cEUR/kWh charge by DSO:</t>
  </si>
  <si>
    <t>Cost for all kWh out of LEM (EUR):</t>
  </si>
  <si>
    <t>So sc9</t>
  </si>
  <si>
    <t>For that case</t>
  </si>
  <si>
    <t xml:space="preserve">From the case with pros 50 and batt=60% and after we start to have ave Price less than what without batteries </t>
  </si>
  <si>
    <t>It probably happened that sc38 higher income than sc40 because they used what they had extra in batt to cover their own needs instead of selling it, which couldn't happen for sc 38 and 39. Double check also when it's time to write down on report to be sure.</t>
  </si>
  <si>
    <t>Max EUR profit for Pros:</t>
  </si>
  <si>
    <t>Sc9 has no Batt - I think that Buyers have the max profit when Batts = NO because in that case they buy more kWh from the LEM which are cheaper than buying from the DSO. As when pros have Batts then they use more kWh for self cover of their generation and so it is more usual for buyers to by from DSO whose kWh are more expensive than the LEM's.</t>
  </si>
  <si>
    <t>Count</t>
  </si>
  <si>
    <t>Average price -maxPr = 0.5:</t>
  </si>
  <si>
    <t>Average price -maxPr = 0.155:</t>
  </si>
  <si>
    <t>Here I gather data for the bar chart of the 4 individual prosumers and consumers</t>
  </si>
  <si>
    <t>Prosumer</t>
  </si>
  <si>
    <t>Consumer</t>
  </si>
  <si>
    <t>Agent type</t>
  </si>
  <si>
    <t>Symbol</t>
  </si>
  <si>
    <t>Max daily demand (kWh)</t>
  </si>
  <si>
    <t>BESS max capacity (kWh)</t>
  </si>
  <si>
    <t>PV capacity (kW)</t>
  </si>
  <si>
    <t>P1</t>
  </si>
  <si>
    <t>P2</t>
  </si>
  <si>
    <t>P3</t>
  </si>
  <si>
    <t>P4</t>
  </si>
  <si>
    <t>C1</t>
  </si>
  <si>
    <t>C2</t>
  </si>
  <si>
    <t>C3</t>
  </si>
  <si>
    <t>C4</t>
  </si>
  <si>
    <t>Excel number</t>
  </si>
  <si>
    <t>all following values concern a whole year duration</t>
  </si>
  <si>
    <t>Total generation (kWh)</t>
  </si>
  <si>
    <t>Self consumption (kWh)</t>
  </si>
  <si>
    <t>Sold in LEM (kWh)</t>
  </si>
  <si>
    <t>Sold to NESO (kWh)</t>
  </si>
  <si>
    <t>Prosumer:</t>
  </si>
  <si>
    <t>Total income (Euro)</t>
  </si>
  <si>
    <t>Income from NESO (Euro)</t>
  </si>
  <si>
    <t>Income from LEM (Euro)</t>
  </si>
  <si>
    <t>Would pay only NESO (Euro)</t>
  </si>
  <si>
    <t>Profit (Euro)</t>
  </si>
  <si>
    <t>Consumer:</t>
  </si>
  <si>
    <t>Total demand (kWh)</t>
  </si>
  <si>
    <t>Covered by LEM (kWh)</t>
  </si>
  <si>
    <t>Total pay (Euro)</t>
  </si>
  <si>
    <t>Pay LEM for PV (Euro)</t>
  </si>
  <si>
    <t>Pay LEM for BESS (Euro)</t>
  </si>
  <si>
    <t>Total demand</t>
  </si>
  <si>
    <t>P1 (44)</t>
  </si>
  <si>
    <t>P2 (16)</t>
  </si>
  <si>
    <t>P3 (32)</t>
  </si>
  <si>
    <t>P4 (2)</t>
  </si>
  <si>
    <t>C1 (60)</t>
  </si>
  <si>
    <t>C2 (75)</t>
  </si>
  <si>
    <t>C3 (81)</t>
  </si>
  <si>
    <t>C4 (95)</t>
  </si>
  <si>
    <t>Covered by NESO + BESS (kWh)</t>
  </si>
  <si>
    <t>Pay NESO + BESS (Euro)</t>
  </si>
  <si>
    <t>Final profit:</t>
  </si>
  <si>
    <t>Prosumers total pay</t>
  </si>
  <si>
    <t>kWh pros bought from NESO</t>
  </si>
  <si>
    <t>If buy only NESO</t>
  </si>
  <si>
    <t>Profit by buying in LEM</t>
  </si>
  <si>
    <t>Profit by selling</t>
  </si>
  <si>
    <t>Initial total profit</t>
  </si>
  <si>
    <t>Final profit</t>
  </si>
  <si>
    <t xml:space="preserve">kWh total pros bought </t>
  </si>
  <si>
    <t>kWh pros bought from LEM</t>
  </si>
  <si>
    <t>Cons total kWh bough</t>
  </si>
  <si>
    <t>kWh total from LEM</t>
  </si>
  <si>
    <t>kWh total from NESO</t>
  </si>
  <si>
    <t>Profits</t>
  </si>
  <si>
    <t>Euro</t>
  </si>
  <si>
    <t>kWh</t>
  </si>
  <si>
    <t>Profit initial (Euro)</t>
  </si>
  <si>
    <t>Final profit (Euro)</t>
  </si>
  <si>
    <t xml:space="preserve">Total income </t>
  </si>
  <si>
    <t xml:space="preserve">Income from NESO </t>
  </si>
  <si>
    <t xml:space="preserve">Income from LEM </t>
  </si>
  <si>
    <t xml:space="preserve">Final profit </t>
  </si>
  <si>
    <t xml:space="preserve">Total pay </t>
  </si>
  <si>
    <t xml:space="preserve">Total generation </t>
  </si>
  <si>
    <t>Initial demand</t>
  </si>
  <si>
    <t xml:space="preserve">Self consumption </t>
  </si>
  <si>
    <t xml:space="preserve">Sold in LEM </t>
  </si>
  <si>
    <t xml:space="preserve">Sold to NESO </t>
  </si>
  <si>
    <t xml:space="preserve">Covered by LEM </t>
  </si>
  <si>
    <t>Total pay</t>
  </si>
  <si>
    <t>Pay LEM for PV</t>
  </si>
  <si>
    <t>Profit</t>
  </si>
  <si>
    <t>Final demand for LEM</t>
  </si>
  <si>
    <t>If buy only from NESO</t>
  </si>
  <si>
    <t>Pay NESO and/or BESS</t>
  </si>
  <si>
    <t xml:space="preserve">Covered by NESO and/or BESS </t>
  </si>
  <si>
    <t>Procedure/Part:</t>
  </si>
  <si>
    <t>Cost:</t>
  </si>
  <si>
    <t>Installed cost (eur/W)</t>
  </si>
  <si>
    <t>O&amp;M costs (eur/kW-yr)</t>
  </si>
  <si>
    <t>Discount rate (nominal) based on NREL (6.1%):</t>
  </si>
  <si>
    <t>Discount rate real</t>
  </si>
  <si>
    <t>Loan</t>
  </si>
  <si>
    <t>No</t>
  </si>
  <si>
    <t>PVs' capacity (kW)</t>
  </si>
  <si>
    <t>Number of panels</t>
  </si>
  <si>
    <t>Battery max capacity (kWh) - ~60% own batts</t>
  </si>
  <si>
    <t>Initial cost (euro)</t>
  </si>
  <si>
    <t>O&amp;M cost per year (euro)</t>
  </si>
  <si>
    <t>No BESS</t>
  </si>
  <si>
    <t>YES BESS</t>
  </si>
  <si>
    <t>Follow on investment (year 10)</t>
  </si>
  <si>
    <t>Follow on investment (year 20)</t>
  </si>
  <si>
    <t>Annual PV degra</t>
  </si>
  <si>
    <t>Inflation 2.5%</t>
  </si>
  <si>
    <t>7kW PV and batt 6 kWh</t>
  </si>
  <si>
    <t>7 kW PV and batt 5kWh</t>
  </si>
  <si>
    <t>7 kW PV and batt 20kWh</t>
  </si>
  <si>
    <t>1 kWh -&gt; 3000 euro</t>
  </si>
  <si>
    <t>4kW PV and batt 3 kWh</t>
  </si>
  <si>
    <t>2 kW and 1.2 kWh batt</t>
  </si>
  <si>
    <t>4 kW and 3.3 kWh batt</t>
  </si>
  <si>
    <t>6 kW and 3.3 kWh batt</t>
  </si>
  <si>
    <t>10 kW and 5 kWh batt</t>
  </si>
  <si>
    <t>10 kW and 20 kWh batt</t>
  </si>
  <si>
    <t>2 kW and 5 kWh batt</t>
  </si>
  <si>
    <t>O&amp;M cost for 25 years - no BESS (euro)</t>
  </si>
  <si>
    <t>Profit per year (Euro):</t>
  </si>
  <si>
    <t>Minus init invest:</t>
  </si>
  <si>
    <t>Profits over 25 years:</t>
  </si>
  <si>
    <t>minus init invest:</t>
  </si>
  <si>
    <t>Sn calculation (no BESS):</t>
  </si>
  <si>
    <t>PV gen in 1 year (kWh):</t>
  </si>
  <si>
    <t>O&amp;M cost per year (euro/kWh)</t>
  </si>
  <si>
    <t>LCOE (EUR/kWh):</t>
  </si>
  <si>
    <t>for PROS</t>
  </si>
  <si>
    <t>Pros all - initial cost:</t>
  </si>
  <si>
    <t>Pros all - profit (1 year):</t>
  </si>
  <si>
    <t>for Cons</t>
  </si>
  <si>
    <t xml:space="preserve">Installed cost </t>
  </si>
  <si>
    <t>1.2 kWh</t>
  </si>
  <si>
    <t>3.3 kWh</t>
  </si>
  <si>
    <t>4.2 kWh</t>
  </si>
  <si>
    <t>6 kWh</t>
  </si>
  <si>
    <t>5 kWh</t>
  </si>
  <si>
    <t>9.7 kWh</t>
  </si>
  <si>
    <t>13.5 kWh</t>
  </si>
  <si>
    <t>2 kWh</t>
  </si>
  <si>
    <t>19.4 kWh</t>
  </si>
  <si>
    <t>Gov supp BESS (-%):</t>
  </si>
  <si>
    <t>Cost per kWh</t>
  </si>
  <si>
    <t>Cpacity of BESS (kWh)</t>
  </si>
  <si>
    <t>Agent total demand in 1 year:</t>
  </si>
  <si>
    <t>Cost/kWh NESO:</t>
  </si>
  <si>
    <t>Ave price in LEM:</t>
  </si>
  <si>
    <t>Pros sold to LEM</t>
  </si>
  <si>
    <t>Pros sold to DSO</t>
  </si>
  <si>
    <t>Pros self cover</t>
  </si>
  <si>
    <t xml:space="preserve">Pros bought </t>
  </si>
  <si>
    <t>Pros sold to LEM (kWh)</t>
  </si>
  <si>
    <t>Pros sold to DSO (kWh)</t>
  </si>
  <si>
    <t>Pros self cover (kWh)</t>
  </si>
  <si>
    <t>Pros bought (kWh)</t>
  </si>
  <si>
    <t>Pros receive from LEM (Euro)</t>
  </si>
  <si>
    <t>Pros number</t>
  </si>
  <si>
    <t>Each</t>
  </si>
  <si>
    <t>For all</t>
  </si>
  <si>
    <t>Personell cost (euro)</t>
  </si>
  <si>
    <t>Building rent</t>
  </si>
  <si>
    <t>Cost to built the platform</t>
  </si>
  <si>
    <t>Smart meter + RasPi cost (euro)</t>
  </si>
  <si>
    <t>Total profits of pros and cons after 25 years:</t>
  </si>
  <si>
    <t>% of each agent demand over total demand of community:</t>
  </si>
  <si>
    <t>Amount each agent receives from tot profits over 25 years:</t>
  </si>
  <si>
    <t>Left for consumers:</t>
  </si>
  <si>
    <t>Pros income v2</t>
  </si>
  <si>
    <t>Profit for 1 pros:</t>
  </si>
  <si>
    <t>Profit for 1 cons:</t>
  </si>
  <si>
    <t>Ave LCOE:</t>
  </si>
  <si>
    <t>Cons all - profit (1 year):</t>
  </si>
  <si>
    <t>Pros min profit</t>
  </si>
  <si>
    <t>Pros max profit</t>
  </si>
  <si>
    <t>Cons min profit</t>
  </si>
  <si>
    <t>Cons max profit</t>
  </si>
  <si>
    <t>PV &lt; 5 kW</t>
  </si>
  <si>
    <t>5 &lt; PV &lt; 10 kW</t>
  </si>
  <si>
    <t>BESS kWh &lt; 5 kWh</t>
  </si>
  <si>
    <t>5 &lt; BESS kWh &lt; 10.8 kWh</t>
  </si>
  <si>
    <t>eur/kW</t>
  </si>
  <si>
    <t>eur/kWh</t>
  </si>
  <si>
    <t>Subsidy</t>
  </si>
  <si>
    <t>Initial cost with subsidy (euro)</t>
  </si>
  <si>
    <t>Not use</t>
  </si>
  <si>
    <t>level 1</t>
  </si>
  <si>
    <t>level 2</t>
  </si>
  <si>
    <t>level 3</t>
  </si>
  <si>
    <t>level 4</t>
  </si>
  <si>
    <t>Aver income per pros</t>
  </si>
  <si>
    <t>Aver income per cons</t>
  </si>
  <si>
    <t>Aver income per pros - Ini</t>
  </si>
  <si>
    <t>Aver income per cons - Ini</t>
  </si>
  <si>
    <t>Present value of future cash flows from LEM only (yes discount - yes inflation):</t>
  </si>
  <si>
    <t>Cash flow from LEM only (including inflation rate):</t>
  </si>
  <si>
    <t>Pros all - profit LEM only (1 year):</t>
  </si>
  <si>
    <t>Pros cashflows from cons:</t>
  </si>
  <si>
    <t>What to do?</t>
  </si>
  <si>
    <t xml:space="preserve">Cons dem </t>
  </si>
  <si>
    <t>Cons buy DSO final</t>
  </si>
  <si>
    <t>Value euro</t>
  </si>
  <si>
    <t>Pros sold LEM</t>
  </si>
  <si>
    <t>Pros sell DSO+LEM</t>
  </si>
  <si>
    <t>Pros sold dso</t>
  </si>
  <si>
    <t>Cons buy DSO</t>
  </si>
  <si>
    <t>WRONG</t>
  </si>
  <si>
    <t>Cons buy LEM</t>
  </si>
  <si>
    <t>Value</t>
  </si>
  <si>
    <t>Sum</t>
  </si>
  <si>
    <t>Cons all - initial cost:</t>
  </si>
  <si>
    <t>Correct old case</t>
  </si>
  <si>
    <t>Correct new case</t>
  </si>
  <si>
    <t>Cons net meter</t>
  </si>
  <si>
    <t>profit final</t>
  </si>
  <si>
    <t>Pros sold DSO</t>
  </si>
  <si>
    <t>Pros net met LEM</t>
  </si>
  <si>
    <t>Pros tot gen</t>
  </si>
  <si>
    <t>Pros net met self</t>
  </si>
  <si>
    <t>Pros tot dem</t>
  </si>
  <si>
    <t>NESO value</t>
  </si>
  <si>
    <t>LEM value</t>
  </si>
  <si>
    <t>NESO net met value</t>
  </si>
  <si>
    <t>if NESO  value</t>
  </si>
  <si>
    <t>if NESO value</t>
  </si>
  <si>
    <t>Pros sold DSO (old)</t>
  </si>
  <si>
    <t>Pros buy DSO (old)</t>
  </si>
  <si>
    <t>Cons dem</t>
  </si>
  <si>
    <t>LEMvalue</t>
  </si>
  <si>
    <t>self cover v2</t>
  </si>
  <si>
    <t>Tot gen</t>
  </si>
  <si>
    <t>Pros sold</t>
  </si>
  <si>
    <t>Pros buy</t>
  </si>
  <si>
    <t>Sum gen</t>
  </si>
  <si>
    <t>Sum dem</t>
  </si>
  <si>
    <t>LEM net met to Pros</t>
  </si>
  <si>
    <t>Pros buy DSO</t>
  </si>
  <si>
    <t>Sell NESO value</t>
  </si>
  <si>
    <t>Buy NESO value</t>
  </si>
  <si>
    <t>Sell NESO:</t>
  </si>
  <si>
    <t>O&amp;M cost for 25 years - yes BESS (euro)</t>
  </si>
  <si>
    <t>O&amp;M</t>
  </si>
  <si>
    <t>`</t>
  </si>
  <si>
    <t>Cons Buy</t>
  </si>
  <si>
    <t>Pros Sell</t>
  </si>
  <si>
    <t>Deploy</t>
  </si>
  <si>
    <t>DSO 1</t>
  </si>
  <si>
    <t>DSO 2</t>
  </si>
  <si>
    <t>EURO</t>
  </si>
  <si>
    <t>TOTAL</t>
  </si>
  <si>
    <t>Year</t>
  </si>
  <si>
    <t>euro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</si>
</sst>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3" x14ac:knownFonts="1">
    <font>
      <sz val="11"/>
      <color theme="1"/>
      <name val="Calibri"/>
      <family val="2"/>
      <scheme val="minor"/>
    </font>
    <font>
      <b/>
      <sz val="11"/>
      <color theme="1"/>
      <name val="Calibri"/>
      <family val="2"/>
      <scheme val="minor"/>
    </font>
    <font>
      <sz val="8"/>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2" tint="-9.9978637043366805E-2"/>
        <bgColor indexed="64"/>
      </patternFill>
    </fill>
  </fills>
  <borders count="2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122">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2" borderId="0" xfId="0" applyFill="1" applyAlignment="1">
      <alignment horizontal="center" vertical="center"/>
    </xf>
    <xf numFmtId="0" fontId="0" fillId="0" borderId="0" xfId="0" applyAlignment="1">
      <alignment horizontal="center"/>
    </xf>
    <xf numFmtId="0" fontId="0" fillId="0" borderId="0" xfId="0" applyAlignment="1">
      <alignment horizontal="left"/>
    </xf>
    <xf numFmtId="0" fontId="1" fillId="0" borderId="0" xfId="0" applyFont="1" applyAlignment="1">
      <alignment horizontal="center" vertical="center" wrapText="1"/>
    </xf>
    <xf numFmtId="0" fontId="0" fillId="2" borderId="0" xfId="0" applyFill="1" applyAlignment="1">
      <alignment horizontal="center"/>
    </xf>
    <xf numFmtId="8" fontId="0" fillId="0" borderId="0" xfId="0" applyNumberFormat="1" applyAlignment="1">
      <alignment horizontal="center"/>
    </xf>
    <xf numFmtId="9" fontId="0" fillId="0" borderId="0" xfId="0" applyNumberFormat="1" applyAlignment="1">
      <alignment horizontal="center"/>
    </xf>
    <xf numFmtId="0" fontId="1" fillId="2" borderId="0" xfId="0" applyFont="1" applyFill="1" applyAlignment="1">
      <alignment horizontal="center"/>
    </xf>
    <xf numFmtId="0" fontId="0" fillId="2" borderId="0" xfId="0" applyFill="1" applyAlignment="1">
      <alignment horizont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0" borderId="0" xfId="0" applyFont="1"/>
    <xf numFmtId="0" fontId="1" fillId="4" borderId="0" xfId="0" applyFont="1" applyFill="1" applyAlignment="1">
      <alignment horizontal="center" vertical="center" wrapText="1"/>
    </xf>
    <xf numFmtId="0" fontId="1" fillId="4" borderId="0" xfId="0" applyFont="1" applyFill="1" applyAlignment="1">
      <alignment horizontal="center" wrapText="1"/>
    </xf>
    <xf numFmtId="0" fontId="1" fillId="2" borderId="0" xfId="0" applyFont="1" applyFill="1" applyAlignment="1">
      <alignment horizontal="center" vertical="center"/>
    </xf>
    <xf numFmtId="0" fontId="0" fillId="0" borderId="4" xfId="0" applyBorder="1"/>
    <xf numFmtId="0" fontId="0" fillId="0" borderId="5" xfId="0" applyBorder="1"/>
    <xf numFmtId="0" fontId="1" fillId="4" borderId="9" xfId="0" applyFont="1" applyFill="1" applyBorder="1" applyAlignment="1">
      <alignment horizontal="center" vertical="center"/>
    </xf>
    <xf numFmtId="0" fontId="0" fillId="4" borderId="9" xfId="0" applyFill="1" applyBorder="1" applyAlignment="1">
      <alignment horizontal="center" vertical="center"/>
    </xf>
    <xf numFmtId="0" fontId="1" fillId="0" borderId="0" xfId="0" applyFont="1" applyAlignment="1">
      <alignment horizontal="center"/>
    </xf>
    <xf numFmtId="0" fontId="1" fillId="0" borderId="0" xfId="0" applyFont="1" applyAlignment="1">
      <alignment horizontal="left" vertical="center"/>
    </xf>
    <xf numFmtId="0" fontId="1" fillId="4" borderId="9" xfId="0" applyFont="1" applyFill="1" applyBorder="1" applyAlignment="1">
      <alignment horizontal="center" vertical="center" wrapText="1"/>
    </xf>
    <xf numFmtId="0" fontId="1" fillId="0" borderId="10" xfId="0" applyFont="1" applyBorder="1" applyAlignment="1">
      <alignment horizontal="center"/>
    </xf>
    <xf numFmtId="0" fontId="0" fillId="0" borderId="10" xfId="0" applyBorder="1" applyAlignment="1">
      <alignment horizontal="center" vertical="center"/>
    </xf>
    <xf numFmtId="0" fontId="0" fillId="8" borderId="0" xfId="0" applyFill="1" applyAlignment="1">
      <alignment horizontal="center" vertical="center"/>
    </xf>
    <xf numFmtId="0" fontId="0" fillId="0" borderId="11" xfId="0" applyBorder="1"/>
    <xf numFmtId="0" fontId="0" fillId="0" borderId="13" xfId="0" applyBorder="1"/>
    <xf numFmtId="0" fontId="1" fillId="0" borderId="12" xfId="0" applyFont="1" applyBorder="1"/>
    <xf numFmtId="0" fontId="1" fillId="0" borderId="3" xfId="0" applyFont="1" applyBorder="1"/>
    <xf numFmtId="0" fontId="1" fillId="4" borderId="14" xfId="0" applyFont="1" applyFill="1" applyBorder="1"/>
    <xf numFmtId="0" fontId="1" fillId="9" borderId="15" xfId="0" applyFont="1" applyFill="1" applyBorder="1"/>
    <xf numFmtId="0" fontId="1" fillId="4" borderId="16" xfId="0" applyFont="1" applyFill="1" applyBorder="1"/>
    <xf numFmtId="0" fontId="1" fillId="9" borderId="17" xfId="0" applyFont="1" applyFill="1" applyBorder="1"/>
    <xf numFmtId="0" fontId="1" fillId="4" borderId="18" xfId="0" applyFont="1" applyFill="1" applyBorder="1"/>
    <xf numFmtId="0" fontId="1" fillId="9" borderId="19" xfId="0" applyFont="1" applyFill="1" applyBorder="1"/>
    <xf numFmtId="0" fontId="1" fillId="4" borderId="20" xfId="0" applyFont="1" applyFill="1" applyBorder="1"/>
    <xf numFmtId="0" fontId="1" fillId="9" borderId="21" xfId="0" applyFont="1" applyFill="1" applyBorder="1"/>
    <xf numFmtId="0" fontId="1" fillId="0" borderId="11" xfId="0" applyFont="1" applyBorder="1" applyAlignment="1">
      <alignment horizontal="lef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left" vertical="center"/>
    </xf>
    <xf numFmtId="0" fontId="1" fillId="0" borderId="12" xfId="0" applyFont="1" applyBorder="1" applyAlignment="1">
      <alignment horizontal="left" vertical="center"/>
    </xf>
    <xf numFmtId="0" fontId="0" fillId="0" borderId="13" xfId="0" applyBorder="1" applyAlignment="1">
      <alignment horizontal="center"/>
    </xf>
    <xf numFmtId="0" fontId="0" fillId="0" borderId="11" xfId="0"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12" xfId="0" applyFont="1" applyBorder="1" applyAlignment="1">
      <alignment horizontal="center" vertical="center"/>
    </xf>
    <xf numFmtId="0" fontId="1" fillId="0" borderId="3" xfId="0" applyFont="1" applyBorder="1" applyAlignment="1">
      <alignment horizontal="center" vertical="center"/>
    </xf>
    <xf numFmtId="0" fontId="0" fillId="0" borderId="4" xfId="0" applyBorder="1" applyAlignment="1">
      <alignment horizontal="center"/>
    </xf>
    <xf numFmtId="0" fontId="0" fillId="0" borderId="5" xfId="0"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4" borderId="0" xfId="0" applyFill="1" applyAlignment="1">
      <alignment horizontal="center"/>
    </xf>
    <xf numFmtId="0" fontId="1" fillId="3" borderId="0" xfId="0" applyFont="1" applyFill="1" applyAlignment="1">
      <alignment horizontal="center" vertical="center"/>
    </xf>
    <xf numFmtId="0" fontId="1" fillId="10" borderId="0" xfId="0" applyFont="1" applyFill="1" applyAlignment="1">
      <alignment horizontal="center" vertical="center"/>
    </xf>
    <xf numFmtId="0" fontId="1" fillId="4" borderId="0" xfId="0" applyFont="1" applyFill="1" applyAlignment="1">
      <alignment horizontal="center"/>
    </xf>
    <xf numFmtId="0" fontId="1" fillId="3" borderId="9" xfId="0" applyFont="1" applyFill="1" applyBorder="1" applyAlignment="1">
      <alignment horizontal="center" vertical="center"/>
    </xf>
    <xf numFmtId="0" fontId="1" fillId="3" borderId="9" xfId="0" applyFont="1" applyFill="1" applyBorder="1" applyAlignment="1">
      <alignment horizontal="center" vertical="center" wrapText="1"/>
    </xf>
    <xf numFmtId="0" fontId="0" fillId="4" borderId="0" xfId="0" applyFill="1" applyAlignment="1">
      <alignment horizontal="center" vertical="center"/>
    </xf>
    <xf numFmtId="0" fontId="0" fillId="0" borderId="12" xfId="0" applyBorder="1" applyAlignment="1">
      <alignment horizontal="center"/>
    </xf>
    <xf numFmtId="0" fontId="0" fillId="0" borderId="2" xfId="0" applyBorder="1" applyAlignment="1">
      <alignment horizontal="center"/>
    </xf>
    <xf numFmtId="0" fontId="0" fillId="0" borderId="12" xfId="0" applyBorder="1" applyAlignment="1">
      <alignment horizontal="center" vertical="center"/>
    </xf>
    <xf numFmtId="0" fontId="0" fillId="0" borderId="3" xfId="0" applyBorder="1" applyAlignment="1">
      <alignment horizontal="center"/>
    </xf>
    <xf numFmtId="0" fontId="1" fillId="8" borderId="12" xfId="0" applyFont="1" applyFill="1" applyBorder="1" applyAlignment="1">
      <alignment horizontal="center"/>
    </xf>
    <xf numFmtId="0" fontId="0" fillId="8" borderId="12" xfId="0" applyFill="1" applyBorder="1" applyAlignment="1">
      <alignment horizontal="center" wrapText="1"/>
    </xf>
    <xf numFmtId="0" fontId="0" fillId="3" borderId="9" xfId="0" applyFill="1" applyBorder="1" applyAlignment="1">
      <alignment horizontal="center"/>
    </xf>
    <xf numFmtId="0" fontId="0" fillId="11" borderId="0" xfId="0" applyFill="1" applyAlignment="1">
      <alignment horizontal="center" vertical="center"/>
    </xf>
    <xf numFmtId="0" fontId="0" fillId="11" borderId="0" xfId="0" applyFill="1" applyAlignment="1">
      <alignment horizontal="center"/>
    </xf>
    <xf numFmtId="0" fontId="0" fillId="0" borderId="12" xfId="0" applyBorder="1"/>
    <xf numFmtId="0" fontId="0" fillId="0" borderId="0" xfId="0" applyAlignment="1">
      <alignment horizontal="center" vertical="center" wrapText="1"/>
    </xf>
    <xf numFmtId="0" fontId="0" fillId="0" borderId="1" xfId="0" applyBorder="1"/>
    <xf numFmtId="0" fontId="0" fillId="0" borderId="2" xfId="0" applyBorder="1"/>
    <xf numFmtId="0" fontId="1" fillId="8" borderId="0" xfId="0" applyFont="1" applyFill="1" applyAlignment="1">
      <alignment horizontal="center"/>
    </xf>
    <xf numFmtId="0" fontId="0" fillId="8" borderId="0" xfId="0" applyFill="1" applyAlignment="1">
      <alignment horizontal="center" wrapText="1"/>
    </xf>
    <xf numFmtId="0" fontId="0" fillId="0" borderId="13" xfId="0" applyBorder="1" applyAlignment="1">
      <alignment horizontal="center" vertical="center"/>
    </xf>
    <xf numFmtId="0" fontId="0" fillId="4" borderId="0" xfId="0" applyFill="1"/>
    <xf numFmtId="0" fontId="0" fillId="4" borderId="11"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12" xfId="0" applyFill="1" applyBorder="1" applyAlignment="1">
      <alignment horizontal="center"/>
    </xf>
    <xf numFmtId="0" fontId="0" fillId="4" borderId="12" xfId="0" applyFill="1" applyBorder="1"/>
    <xf numFmtId="0" fontId="0" fillId="4" borderId="13" xfId="0" applyFill="1" applyBorder="1" applyAlignment="1">
      <alignment horizontal="center" vertical="center"/>
    </xf>
    <xf numFmtId="0" fontId="1" fillId="0" borderId="0" xfId="0" applyFont="1" applyAlignment="1">
      <alignment wrapText="1"/>
    </xf>
    <xf numFmtId="0" fontId="1" fillId="0" borderId="12" xfId="0" applyFont="1" applyBorder="1" applyAlignment="1">
      <alignment horizontal="center"/>
    </xf>
    <xf numFmtId="0" fontId="0" fillId="10" borderId="0" xfId="0" applyFill="1" applyAlignment="1">
      <alignment horizontal="center" vertical="center"/>
    </xf>
    <xf numFmtId="0" fontId="0" fillId="5" borderId="0" xfId="0" applyFill="1" applyAlignment="1">
      <alignment horizontal="center" vertical="center"/>
    </xf>
    <xf numFmtId="0" fontId="0" fillId="3" borderId="0" xfId="0" applyFill="1" applyAlignment="1">
      <alignment horizontal="center" vertical="center"/>
    </xf>
    <xf numFmtId="0" fontId="0" fillId="12" borderId="0" xfId="0" applyFill="1" applyAlignment="1">
      <alignment horizontal="center" vertical="center"/>
    </xf>
    <xf numFmtId="0" fontId="1" fillId="4" borderId="0" xfId="0" applyFont="1" applyFill="1"/>
    <xf numFmtId="0" fontId="1" fillId="4" borderId="11"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0" xfId="0" applyAlignment="1">
      <alignment horizontal="center" wrapText="1"/>
    </xf>
    <xf numFmtId="0" fontId="0" fillId="0" borderId="0" xfId="0"/>
    <xf numFmtId="0" fontId="0" fillId="2" borderId="0" xfId="0" applyFill="1" applyAlignment="1">
      <alignment horizontal="center" wrapText="1"/>
    </xf>
    <xf numFmtId="0" fontId="0" fillId="0" borderId="0" xfId="0" applyAlignment="1">
      <alignment horizontal="center"/>
    </xf>
    <xf numFmtId="0" fontId="1" fillId="0" borderId="6" xfId="0" applyFont="1" applyBorder="1" applyAlignment="1">
      <alignment horizontal="center"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1" fillId="8" borderId="12" xfId="0" applyFont="1" applyFill="1" applyBorder="1" applyAlignment="1">
      <alignment horizontal="center"/>
    </xf>
    <xf numFmtId="0" fontId="1" fillId="8" borderId="0" xfId="0" applyFont="1" applyFill="1" applyAlignment="1">
      <alignment horizontal="center"/>
    </xf>
    <xf numFmtId="0" fontId="1" fillId="8" borderId="11" xfId="0" applyFont="1" applyFill="1" applyBorder="1" applyAlignment="1">
      <alignment horizontal="center"/>
    </xf>
    <xf numFmtId="0" fontId="1" fillId="8" borderId="1" xfId="0" applyFont="1" applyFill="1" applyBorder="1" applyAlignment="1">
      <alignment horizontal="center"/>
    </xf>
    <xf numFmtId="0" fontId="0" fillId="7" borderId="0" xfId="0" applyFill="1" applyAlignment="1">
      <alignment horizontal="center"/>
    </xf>
    <xf numFmtId="0" fontId="1" fillId="3" borderId="0" xfId="0" applyFont="1" applyFill="1" applyAlignment="1">
      <alignment horizontal="center" vertical="center" wrapText="1"/>
    </xf>
    <xf numFmtId="0" fontId="1" fillId="6" borderId="0" xfId="0" applyFont="1" applyFill="1" applyAlignment="1">
      <alignment horizontal="center" vertical="center" wrapText="1"/>
    </xf>
    <xf numFmtId="0" fontId="0" fillId="8" borderId="0" xfId="0" applyFill="1" applyAlignment="1">
      <alignment horizontal="center"/>
    </xf>
    <xf numFmtId="0" fontId="1" fillId="8" borderId="0" xfId="0" applyFont="1" applyFill="1" applyAlignment="1">
      <alignment horizontal="center" vertical="center"/>
    </xf>
    <xf numFmtId="0" fontId="1" fillId="7" borderId="0" xfId="0" applyFont="1" applyFill="1" applyAlignment="1">
      <alignment horizontal="center"/>
    </xf>
    <xf numFmtId="0" fontId="0" fillId="8" borderId="0" xfId="0" applyFill="1" applyAlignment="1">
      <alignment horizontal="center" vertical="center"/>
    </xf>
    <xf numFmtId="0" fontId="1" fillId="4" borderId="6" xfId="0" applyFont="1" applyFill="1" applyBorder="1" applyAlignment="1">
      <alignment horizontal="center" wrapText="1"/>
    </xf>
    <xf numFmtId="0" fontId="0" fillId="0" borderId="7" xfId="0" applyBorder="1"/>
    <xf numFmtId="0" fontId="0" fillId="0" borderId="8" xfId="0" applyBorder="1"/>
    <xf numFmtId="0" fontId="1" fillId="4" borderId="6" xfId="0" applyFont="1" applyFill="1" applyBorder="1"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0.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1.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2.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3.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4.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5.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6.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7.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8.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9.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0.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1.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Running</a:t>
            </a:r>
            <a:r>
              <a:rPr lang="en-US" baseline="0"/>
              <a:t> balance (no inflation)</a:t>
            </a:r>
            <a:endParaRPr lang="en-US"/>
          </a:p>
        </c:rich>
      </c:tx>
      <c:overlay val="0"/>
      <c:spPr>
        <a:noFill/>
        <a:ln>
          <a:noFill/>
          <a:prstDash val="solid"/>
        </a:ln>
      </c:spPr>
    </c:title>
    <c:autoTitleDeleted val="0"/>
    <c:plotArea>
      <c:layout/>
      <c:barChart>
        <c:barDir val="col"/>
        <c:grouping val="clustered"/>
        <c:varyColors val="0"/>
        <c:ser>
          <c:idx val="0"/>
          <c:order val="0"/>
          <c:spPr>
            <a:solidFill>
              <a:schemeClr val="accent1"/>
            </a:solidFill>
            <a:ln>
              <a:noFill/>
              <a:prstDash val="solid"/>
            </a:ln>
          </c:spPr>
          <c:invertIfNegative val="0"/>
          <c:val>
            <c:numRef>
              <c:f>'EC economic evaluation'!$T$2:$T$27</c:f>
              <c:numCache>
                <c:formatCode>"$"#,##0.00_);[Red]\("$"#,##0.00\)</c:formatCode>
                <c:ptCount val="26"/>
                <c:pt idx="0" formatCode="General">
                  <c:v>-200800</c:v>
                </c:pt>
                <c:pt idx="1">
                  <c:v>-152459.37291907877</c:v>
                </c:pt>
                <c:pt idx="2">
                  <c:v>-106897.99018493999</c:v>
                </c:pt>
                <c:pt idx="3">
                  <c:v>-63956.064893574505</c:v>
                </c:pt>
                <c:pt idx="4">
                  <c:v>-23482.996758451525</c:v>
                </c:pt>
                <c:pt idx="5">
                  <c:v>14663.156055047984</c:v>
                </c:pt>
                <c:pt idx="6">
                  <c:v>50616.17472941133</c:v>
                </c:pt>
                <c:pt idx="7">
                  <c:v>84502.148974805634</c:v>
                </c:pt>
                <c:pt idx="8">
                  <c:v>116439.91923436671</c:v>
                </c:pt>
                <c:pt idx="9">
                  <c:v>146541.49346580976</c:v>
                </c:pt>
                <c:pt idx="10">
                  <c:v>174912.43996104354</c:v>
                </c:pt>
                <c:pt idx="11">
                  <c:v>201652.25758143354</c:v>
                </c:pt>
                <c:pt idx="12">
                  <c:v>226854.72470715456</c:v>
                </c:pt>
                <c:pt idx="13">
                  <c:v>250608.22812442225</c:v>
                </c:pt>
                <c:pt idx="14">
                  <c:v>272996.07300403365</c:v>
                </c:pt>
                <c:pt idx="15">
                  <c:v>294096.77505833277</c:v>
                </c:pt>
                <c:pt idx="16">
                  <c:v>313984.33590121602</c:v>
                </c:pt>
                <c:pt idx="17">
                  <c:v>332728.50257688359</c:v>
                </c:pt>
                <c:pt idx="18">
                  <c:v>350395.01216752216</c:v>
                </c:pt>
                <c:pt idx="19">
                  <c:v>367045.82233777532</c:v>
                </c:pt>
                <c:pt idx="20">
                  <c:v>382739.32862453605</c:v>
                </c:pt>
                <c:pt idx="21">
                  <c:v>397530.56923411263</c:v>
                </c:pt>
                <c:pt idx="22">
                  <c:v>411471.41806500481</c:v>
                </c:pt>
                <c:pt idx="23">
                  <c:v>424610.76663323492</c:v>
                </c:pt>
                <c:pt idx="24">
                  <c:v>436994.69553825859</c:v>
                </c:pt>
                <c:pt idx="25">
                  <c:v>448666.63607079739</c:v>
                </c:pt>
              </c:numCache>
            </c:numRef>
          </c:val>
          <c:extLst>
            <c:ext xmlns:c16="http://schemas.microsoft.com/office/drawing/2014/chart" uri="{C3380CC4-5D6E-409C-BE32-E72D297353CC}">
              <c16:uniqueId val="{00000000-43FB-4716-BF13-159E49F76430}"/>
            </c:ext>
          </c:extLst>
        </c:ser>
        <c:dLbls>
          <c:showLegendKey val="0"/>
          <c:showVal val="0"/>
          <c:showCatName val="0"/>
          <c:showSerName val="0"/>
          <c:showPercent val="0"/>
          <c:showBubbleSize val="0"/>
        </c:dLbls>
        <c:gapWidth val="219"/>
        <c:overlap val="-27"/>
        <c:axId val="2061714159"/>
        <c:axId val="2061714639"/>
      </c:barChart>
      <c:catAx>
        <c:axId val="2061714159"/>
        <c:scaling>
          <c:orientation val="minMax"/>
        </c:scaling>
        <c:delete val="0"/>
        <c:axPos val="b"/>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61714639"/>
        <c:crosses val="autoZero"/>
        <c:auto val="1"/>
        <c:lblAlgn val="ctr"/>
        <c:lblOffset val="100"/>
        <c:tickLblSkip val="1"/>
        <c:noMultiLvlLbl val="0"/>
      </c:catAx>
      <c:valAx>
        <c:axId val="2061714639"/>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061714159"/>
        <c:crossesAt val="1"/>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Off val="35000"/>
                    <a:lumMod val="65000"/>
                  </a:sysClr>
                </a:solidFill>
              </a:rPr>
              <a:t>Running balance and payback period for consumers</a:t>
            </a:r>
            <a:endParaRPr lang="en-US" sz="1600" b="0" i="0" u="none" strike="noStrike" kern="1200" spc="0" baseline="0">
              <a:solidFill>
                <a:sysClr val="windowText" lastClr="000000">
                  <a:lumMod val="65000"/>
                  <a:lumOff val="35000"/>
                </a:sysClr>
              </a:solidFill>
            </a:endParaRPr>
          </a:p>
        </c:rich>
      </c:tx>
      <c:layout>
        <c:manualLayout>
          <c:xMode val="edge"/>
          <c:yMode val="edge"/>
          <c:x val="0.21165241686463529"/>
          <c:y val="4.859382339540809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dLbls>
            <c:dLbl>
              <c:idx val="0"/>
              <c:layout>
                <c:manualLayout>
                  <c:x val="8.1144426953499937E-2"/>
                  <c:y val="4.86674393994063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A99-4B33-9F4B-69B9DD2D1FD9}"/>
                </c:ext>
              </c:extLst>
            </c:dLbl>
            <c:dLbl>
              <c:idx val="25"/>
              <c:layout>
                <c:manualLayout>
                  <c:x val="-9.7985701803417397E-2"/>
                  <c:y val="1.62833733210451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A99-4B33-9F4B-69B9DD2D1FD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'LEM economic evaluation_v8G (2)'!$AL$38:$AL$63</c:f>
              <c:numCache>
                <c:formatCode>General</c:formatCode>
                <c:ptCount val="26"/>
                <c:pt idx="0">
                  <c:v>-15950</c:v>
                </c:pt>
                <c:pt idx="1">
                  <c:v>-10619.224758011307</c:v>
                </c:pt>
                <c:pt idx="2">
                  <c:v>-5469.3240765424944</c:v>
                </c:pt>
                <c:pt idx="3">
                  <c:v>-494.16083572672323</c:v>
                </c:pt>
                <c:pt idx="4">
                  <c:v>4312.1938502640069</c:v>
                </c:pt>
                <c:pt idx="5">
                  <c:v>8955.4676986527884</c:v>
                </c:pt>
                <c:pt idx="6">
                  <c:v>13441.194083759765</c:v>
                </c:pt>
                <c:pt idx="7">
                  <c:v>17774.71863110628</c:v>
                </c:pt>
                <c:pt idx="8">
                  <c:v>21961.205587779397</c:v>
                </c:pt>
                <c:pt idx="9">
                  <c:v>26005.643976648335</c:v>
                </c:pt>
                <c:pt idx="10">
                  <c:v>29912.85354176677</c:v>
                </c:pt>
                <c:pt idx="11">
                  <c:v>33687.490492046127</c:v>
                </c:pt>
                <c:pt idx="12">
                  <c:v>37334.05305004456</c:v>
                </c:pt>
                <c:pt idx="13">
                  <c:v>40856.886812484139</c:v>
                </c:pt>
                <c:pt idx="14">
                  <c:v>44260.189928884298</c:v>
                </c:pt>
                <c:pt idx="15">
                  <c:v>47548.018104482944</c:v>
                </c:pt>
                <c:pt idx="16">
                  <c:v>50724.289433407183</c:v>
                </c:pt>
                <c:pt idx="17">
                  <c:v>53792.789067853315</c:v>
                </c:pt>
                <c:pt idx="18">
                  <c:v>56757.173728840389</c:v>
                </c:pt>
                <c:pt idx="19">
                  <c:v>59620.976063912727</c:v>
                </c:pt>
                <c:pt idx="20">
                  <c:v>62387.608856984494</c:v>
                </c:pt>
                <c:pt idx="21">
                  <c:v>65060.369095343172</c:v>
                </c:pt>
                <c:pt idx="22">
                  <c:v>67642.441898658581</c:v>
                </c:pt>
                <c:pt idx="23">
                  <c:v>70136.904314679588</c:v>
                </c:pt>
                <c:pt idx="24">
                  <c:v>72546.728986141927</c:v>
                </c:pt>
                <c:pt idx="25">
                  <c:v>74874.787693256803</c:v>
                </c:pt>
              </c:numCache>
            </c:numRef>
          </c:val>
          <c:extLst>
            <c:ext xmlns:c16="http://schemas.microsoft.com/office/drawing/2014/chart" uri="{C3380CC4-5D6E-409C-BE32-E72D297353CC}">
              <c16:uniqueId val="{00000000-AA99-4B33-9F4B-69B9DD2D1FD9}"/>
            </c:ext>
          </c:extLst>
        </c:ser>
        <c:dLbls>
          <c:showLegendKey val="0"/>
          <c:showVal val="0"/>
          <c:showCatName val="0"/>
          <c:showSerName val="0"/>
          <c:showPercent val="0"/>
          <c:showBubbleSize val="0"/>
        </c:dLbls>
        <c:gapWidth val="219"/>
        <c:overlap val="-27"/>
        <c:axId val="158101007"/>
        <c:axId val="165725311"/>
      </c:barChart>
      <c:catAx>
        <c:axId val="158101007"/>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rPr>
                  <a:t>Time (Years)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65725311"/>
        <c:crosses val="autoZero"/>
        <c:auto val="1"/>
        <c:lblAlgn val="ctr"/>
        <c:lblOffset val="100"/>
        <c:noMultiLvlLbl val="0"/>
      </c:catAx>
      <c:valAx>
        <c:axId val="165725311"/>
        <c:scaling>
          <c:orientation val="minMax"/>
          <c:max val="75000"/>
          <c:min val="-17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rPr>
                  <a:t>Profit (Euro)</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58101007"/>
        <c:crosses val="autoZero"/>
        <c:crossBetween val="between"/>
        <c:majorUnit val="13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Off val="35000"/>
                    <a:lumMod val="65000"/>
                  </a:sysClr>
                </a:solidFill>
              </a:rPr>
              <a:t>Running balance and payback period for prosumers</a:t>
            </a:r>
            <a:endParaRPr lang="en-US" sz="1400" b="1"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lumMod val="60000"/>
                <a:lumOff val="40000"/>
              </a:schemeClr>
            </a:solidFill>
            <a:ln>
              <a:noFill/>
            </a:ln>
            <a:effectLst/>
          </c:spPr>
          <c:invertIfNegative val="0"/>
          <c:dLbls>
            <c:dLbl>
              <c:idx val="0"/>
              <c:layout>
                <c:manualLayout>
                  <c:x val="4.5894214438006647E-2"/>
                  <c:y val="-2.04374869374083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FD4-428C-A3EA-0A6707737CE7}"/>
                </c:ext>
              </c:extLst>
            </c:dLbl>
            <c:dLbl>
              <c:idx val="25"/>
              <c:layout>
                <c:manualLayout>
                  <c:x val="-2.4476914366936782E-2"/>
                  <c:y val="-6.89763172573857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D4-428C-A3EA-0A6707737CE7}"/>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'LEM economic evaluation_v8 (2)'!$AK$2:$AK$27</c:f>
              <c:numCache>
                <c:formatCode>General</c:formatCode>
                <c:ptCount val="26"/>
                <c:pt idx="0">
                  <c:v>-700053</c:v>
                </c:pt>
                <c:pt idx="1">
                  <c:v>-686126.11423363525</c:v>
                </c:pt>
                <c:pt idx="2">
                  <c:v>-672671.77124539413</c:v>
                </c:pt>
                <c:pt idx="3">
                  <c:v>-659673.93753856362</c:v>
                </c:pt>
                <c:pt idx="4">
                  <c:v>-647117.12363705446</c:v>
                </c:pt>
                <c:pt idx="5">
                  <c:v>-634986.3656266426</c:v>
                </c:pt>
                <c:pt idx="6">
                  <c:v>-623267.20732252183</c:v>
                </c:pt>
                <c:pt idx="7">
                  <c:v>-611945.68304191506</c:v>
                </c:pt>
                <c:pt idx="8">
                  <c:v>-601008.30096121575</c:v>
                </c:pt>
                <c:pt idx="9">
                  <c:v>-590442.02703782578</c:v>
                </c:pt>
                <c:pt idx="10">
                  <c:v>-580234.26947752922</c:v>
                </c:pt>
                <c:pt idx="11">
                  <c:v>-570372.86372889206</c:v>
                </c:pt>
                <c:pt idx="12">
                  <c:v>-560846.05798680615</c:v>
                </c:pt>
                <c:pt idx="13">
                  <c:v>-551642.49918790138</c:v>
                </c:pt>
                <c:pt idx="14">
                  <c:v>-542751.21948113665</c:v>
                </c:pt>
                <c:pt idx="15">
                  <c:v>-534161.62315744779</c:v>
                </c:pt>
                <c:pt idx="16">
                  <c:v>-525863.47402287554</c:v>
                </c:pt>
                <c:pt idx="17">
                  <c:v>-517846.8832001267</c:v>
                </c:pt>
                <c:pt idx="18">
                  <c:v>-510102.29734403099</c:v>
                </c:pt>
                <c:pt idx="19">
                  <c:v>-502620.48725685087</c:v>
                </c:pt>
                <c:pt idx="20">
                  <c:v>-495392.5368898767</c:v>
                </c:pt>
                <c:pt idx="21">
                  <c:v>-488409.8327182004</c:v>
                </c:pt>
                <c:pt idx="22">
                  <c:v>-481664.05347600608</c:v>
                </c:pt>
                <c:pt idx="23">
                  <c:v>-475147.16024014447</c:v>
                </c:pt>
                <c:pt idx="24">
                  <c:v>-468851.38685017446</c:v>
                </c:pt>
                <c:pt idx="25">
                  <c:v>-462769.23065345507</c:v>
                </c:pt>
              </c:numCache>
            </c:numRef>
          </c:val>
          <c:extLst>
            <c:ext xmlns:c16="http://schemas.microsoft.com/office/drawing/2014/chart" uri="{C3380CC4-5D6E-409C-BE32-E72D297353CC}">
              <c16:uniqueId val="{00000002-3FD4-428C-A3EA-0A6707737CE7}"/>
            </c:ext>
          </c:extLst>
        </c:ser>
        <c:dLbls>
          <c:showLegendKey val="0"/>
          <c:showVal val="0"/>
          <c:showCatName val="0"/>
          <c:showSerName val="0"/>
          <c:showPercent val="0"/>
          <c:showBubbleSize val="0"/>
        </c:dLbls>
        <c:gapWidth val="219"/>
        <c:overlap val="-27"/>
        <c:axId val="369858927"/>
        <c:axId val="275633471"/>
      </c:barChart>
      <c:catAx>
        <c:axId val="369858927"/>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i="0" u="none" strike="noStrike" kern="1200" baseline="0">
                    <a:solidFill>
                      <a:sysClr val="windowText" lastClr="000000">
                        <a:lumMod val="65000"/>
                        <a:lumOff val="35000"/>
                      </a:sysClr>
                    </a:solidFill>
                  </a:rPr>
                  <a:t>Time (Years)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275633471"/>
        <c:crosses val="autoZero"/>
        <c:auto val="1"/>
        <c:lblAlgn val="ctr"/>
        <c:lblOffset val="100"/>
        <c:noMultiLvlLbl val="0"/>
      </c:catAx>
      <c:valAx>
        <c:axId val="27563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rPr>
                  <a:t>Profit (Euro)</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6985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Off val="35000"/>
                    <a:lumMod val="65000"/>
                  </a:sysClr>
                </a:solidFill>
              </a:rPr>
              <a:t>Running balance and payback period for consumers</a:t>
            </a:r>
            <a:endParaRPr lang="en-US" sz="1600" b="0" i="0" u="none" strike="noStrike" kern="1200" spc="0" baseline="0">
              <a:solidFill>
                <a:sysClr val="windowText" lastClr="000000">
                  <a:lumMod val="65000"/>
                  <a:lumOff val="35000"/>
                </a:sysClr>
              </a:solidFill>
            </a:endParaRPr>
          </a:p>
        </c:rich>
      </c:tx>
      <c:layout>
        <c:manualLayout>
          <c:xMode val="edge"/>
          <c:yMode val="edge"/>
          <c:x val="0.27289353828721769"/>
          <c:y val="1.529514511620195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dLbls>
            <c:dLbl>
              <c:idx val="0"/>
              <c:layout>
                <c:manualLayout>
                  <c:x val="3.0436089245323848E-3"/>
                  <c:y val="1.52951451162019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988-4485-93D4-30ADC43B3984}"/>
                </c:ext>
              </c:extLst>
            </c:dLbl>
            <c:dLbl>
              <c:idx val="25"/>
              <c:layout>
                <c:manualLayout>
                  <c:x val="-1.3696240160395794E-2"/>
                  <c:y val="7.647572558100965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988-4485-93D4-30ADC43B3984}"/>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'LEM economic evaluation_v8 (2)'!$AK$38:$AK$63</c:f>
              <c:numCache>
                <c:formatCode>General</c:formatCode>
                <c:ptCount val="26"/>
                <c:pt idx="0">
                  <c:v>-15950</c:v>
                </c:pt>
                <c:pt idx="1">
                  <c:v>-10619.224758011307</c:v>
                </c:pt>
                <c:pt idx="2">
                  <c:v>-5469.3240765424944</c:v>
                </c:pt>
                <c:pt idx="3">
                  <c:v>-494.16083572672323</c:v>
                </c:pt>
                <c:pt idx="4">
                  <c:v>4312.1938502640069</c:v>
                </c:pt>
                <c:pt idx="5">
                  <c:v>8955.4676986527884</c:v>
                </c:pt>
                <c:pt idx="6">
                  <c:v>13441.194083759765</c:v>
                </c:pt>
                <c:pt idx="7">
                  <c:v>17774.71863110628</c:v>
                </c:pt>
                <c:pt idx="8">
                  <c:v>21961.205587779397</c:v>
                </c:pt>
                <c:pt idx="9">
                  <c:v>26005.643976648335</c:v>
                </c:pt>
                <c:pt idx="10">
                  <c:v>29912.85354176677</c:v>
                </c:pt>
                <c:pt idx="11">
                  <c:v>33687.490492046127</c:v>
                </c:pt>
                <c:pt idx="12">
                  <c:v>37334.05305004456</c:v>
                </c:pt>
                <c:pt idx="13">
                  <c:v>40856.886812484139</c:v>
                </c:pt>
                <c:pt idx="14">
                  <c:v>44260.189928884298</c:v>
                </c:pt>
                <c:pt idx="15">
                  <c:v>47548.018104482944</c:v>
                </c:pt>
                <c:pt idx="16">
                  <c:v>50724.289433407183</c:v>
                </c:pt>
                <c:pt idx="17">
                  <c:v>53792.789067853315</c:v>
                </c:pt>
                <c:pt idx="18">
                  <c:v>56757.173728840389</c:v>
                </c:pt>
                <c:pt idx="19">
                  <c:v>59620.976063912727</c:v>
                </c:pt>
                <c:pt idx="20">
                  <c:v>62387.608856984494</c:v>
                </c:pt>
                <c:pt idx="21">
                  <c:v>65060.369095343172</c:v>
                </c:pt>
                <c:pt idx="22">
                  <c:v>67642.441898658581</c:v>
                </c:pt>
                <c:pt idx="23">
                  <c:v>70136.904314679588</c:v>
                </c:pt>
                <c:pt idx="24">
                  <c:v>72546.728986141927</c:v>
                </c:pt>
                <c:pt idx="25">
                  <c:v>74874.787693256803</c:v>
                </c:pt>
              </c:numCache>
            </c:numRef>
          </c:val>
          <c:extLst>
            <c:ext xmlns:c16="http://schemas.microsoft.com/office/drawing/2014/chart" uri="{C3380CC4-5D6E-409C-BE32-E72D297353CC}">
              <c16:uniqueId val="{00000002-5988-4485-93D4-30ADC43B3984}"/>
            </c:ext>
          </c:extLst>
        </c:ser>
        <c:dLbls>
          <c:showLegendKey val="0"/>
          <c:showVal val="0"/>
          <c:showCatName val="0"/>
          <c:showSerName val="0"/>
          <c:showPercent val="0"/>
          <c:showBubbleSize val="0"/>
        </c:dLbls>
        <c:gapWidth val="219"/>
        <c:overlap val="-27"/>
        <c:axId val="158101007"/>
        <c:axId val="165725311"/>
      </c:barChart>
      <c:catAx>
        <c:axId val="158101007"/>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rPr>
                  <a:t>Time (Years)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65725311"/>
        <c:crosses val="autoZero"/>
        <c:auto val="1"/>
        <c:lblAlgn val="ctr"/>
        <c:lblOffset val="100"/>
        <c:noMultiLvlLbl val="0"/>
      </c:catAx>
      <c:valAx>
        <c:axId val="16572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rPr>
                  <a:t>Profit (Euro)</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5810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Off val="35000"/>
                    <a:lumMod val="65000"/>
                  </a:sysClr>
                </a:solidFill>
              </a:rPr>
              <a:t>Running balance and payback period for prosumers with flexible net-metering, including subsidy</a:t>
            </a:r>
            <a:endParaRPr lang="en-US" sz="1400" b="1" i="0" u="none" strike="noStrike" kern="1200" spc="0" baseline="0">
              <a:solidFill>
                <a:sysClr val="windowText" lastClr="000000">
                  <a:lumMod val="65000"/>
                  <a:lumOff val="35000"/>
                </a:sysClr>
              </a:solidFill>
            </a:endParaRPr>
          </a:p>
        </c:rich>
      </c:tx>
      <c:layout>
        <c:manualLayout>
          <c:xMode val="edge"/>
          <c:yMode val="edge"/>
          <c:x val="0.16903366068948966"/>
          <c:y val="3.279831618093307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tx2">
                <a:lumMod val="40000"/>
                <a:lumOff val="6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73-4347-A9D1-E8894D7D6C05}"/>
                </c:ext>
              </c:extLst>
            </c:dLbl>
            <c:dLbl>
              <c:idx val="2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A73-4347-A9D1-E8894D7D6C05}"/>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'LEM economic evaluation_v7Gr '!$AL$2:$AL$27</c:f>
              <c:numCache>
                <c:formatCode>General</c:formatCode>
                <c:ptCount val="26"/>
                <c:pt idx="0">
                  <c:v>-243151.40000000002</c:v>
                </c:pt>
                <c:pt idx="1">
                  <c:v>-193904.60373126771</c:v>
                </c:pt>
                <c:pt idx="2">
                  <c:v>-146328.76379210595</c:v>
                </c:pt>
                <c:pt idx="3">
                  <c:v>-100367.18420903262</c:v>
                </c:pt>
                <c:pt idx="4">
                  <c:v>-55965.092717373671</c:v>
                </c:pt>
                <c:pt idx="5">
                  <c:v>-13069.575489333685</c:v>
                </c:pt>
                <c:pt idx="6">
                  <c:v>28370.485923240289</c:v>
                </c:pt>
                <c:pt idx="7">
                  <c:v>68404.475506546907</c:v>
                </c:pt>
                <c:pt idx="8">
                  <c:v>107080.10163556604</c:v>
                </c:pt>
                <c:pt idx="9">
                  <c:v>144443.45392797375</c:v>
                </c:pt>
                <c:pt idx="10">
                  <c:v>180539.05816898969</c:v>
                </c:pt>
                <c:pt idx="11">
                  <c:v>215409.92937261018</c:v>
                </c:pt>
                <c:pt idx="12">
                  <c:v>249097.62304246033</c:v>
                </c:pt>
                <c:pt idx="13">
                  <c:v>281642.2846933523</c:v>
                </c:pt>
                <c:pt idx="14">
                  <c:v>313082.69769256463</c:v>
                </c:pt>
                <c:pt idx="15">
                  <c:v>343456.3294778546</c:v>
                </c:pt>
                <c:pt idx="16">
                  <c:v>372799.37620728172</c:v>
                </c:pt>
                <c:pt idx="17">
                  <c:v>401146.80589405156</c:v>
                </c:pt>
                <c:pt idx="18">
                  <c:v>428532.40007778304</c:v>
                </c:pt>
                <c:pt idx="19">
                  <c:v>454988.79408185917</c:v>
                </c:pt>
                <c:pt idx="20">
                  <c:v>480547.51590483566</c:v>
                </c:pt>
                <c:pt idx="21">
                  <c:v>505239.02379225404</c:v>
                </c:pt>
                <c:pt idx="22">
                  <c:v>529092.74253363372</c:v>
                </c:pt>
                <c:pt idx="23">
                  <c:v>552137.09852789773</c:v>
                </c:pt>
                <c:pt idx="24">
                  <c:v>574399.55365901988</c:v>
                </c:pt>
                <c:pt idx="25">
                  <c:v>595906.63802226237</c:v>
                </c:pt>
              </c:numCache>
            </c:numRef>
          </c:val>
          <c:extLst>
            <c:ext xmlns:c16="http://schemas.microsoft.com/office/drawing/2014/chart" uri="{C3380CC4-5D6E-409C-BE32-E72D297353CC}">
              <c16:uniqueId val="{00000000-1A73-4347-A9D1-E8894D7D6C05}"/>
            </c:ext>
          </c:extLst>
        </c:ser>
        <c:dLbls>
          <c:showLegendKey val="0"/>
          <c:showVal val="0"/>
          <c:showCatName val="0"/>
          <c:showSerName val="0"/>
          <c:showPercent val="0"/>
          <c:showBubbleSize val="0"/>
        </c:dLbls>
        <c:gapWidth val="219"/>
        <c:overlap val="-27"/>
        <c:axId val="369858927"/>
        <c:axId val="275633471"/>
      </c:barChart>
      <c:catAx>
        <c:axId val="369858927"/>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i="0" u="none" strike="noStrike" kern="1200" baseline="0">
                    <a:solidFill>
                      <a:sysClr val="windowText" lastClr="000000">
                        <a:lumMod val="65000"/>
                        <a:lumOff val="35000"/>
                      </a:sysClr>
                    </a:solidFill>
                  </a:rPr>
                  <a:t>Time (Years)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275633471"/>
        <c:crosses val="autoZero"/>
        <c:auto val="1"/>
        <c:lblAlgn val="ctr"/>
        <c:lblOffset val="100"/>
        <c:noMultiLvlLbl val="0"/>
      </c:catAx>
      <c:valAx>
        <c:axId val="27563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rPr>
                  <a:t>Profit (Euro)</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6985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Off val="35000"/>
                    <a:lumMod val="65000"/>
                  </a:sysClr>
                </a:solidFill>
              </a:rPr>
              <a:t>Running balance and payback period for consumers</a:t>
            </a:r>
            <a:endParaRPr lang="en-US" sz="1600" b="0" i="0" u="none" strike="noStrike" kern="1200" spc="0" baseline="0">
              <a:solidFill>
                <a:sysClr val="windowText" lastClr="000000">
                  <a:lumMod val="65000"/>
                  <a:lumOff val="35000"/>
                </a:sysClr>
              </a:solidFill>
            </a:endParaRPr>
          </a:p>
        </c:rich>
      </c:tx>
      <c:layout>
        <c:manualLayout>
          <c:xMode val="edge"/>
          <c:yMode val="edge"/>
          <c:x val="0.27289353828721769"/>
          <c:y val="1.529514511620195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val>
            <c:numRef>
              <c:f>'LEM economic evaluation_v7Gr '!$AL$38:$AL$63</c:f>
              <c:numCache>
                <c:formatCode>General</c:formatCode>
                <c:ptCount val="26"/>
                <c:pt idx="0">
                  <c:v>-15950</c:v>
                </c:pt>
                <c:pt idx="1">
                  <c:v>-11423.886227144205</c:v>
                </c:pt>
                <c:pt idx="2">
                  <c:v>-7051.3446463928476</c:v>
                </c:pt>
                <c:pt idx="3">
                  <c:v>-2827.1645141872468</c:v>
                </c:pt>
                <c:pt idx="4">
                  <c:v>1253.6881111763164</c:v>
                </c:pt>
                <c:pt idx="5">
                  <c:v>5196.0763684785325</c:v>
                </c:pt>
                <c:pt idx="6">
                  <c:v>9004.6983889637086</c:v>
                </c:pt>
                <c:pt idx="7">
                  <c:v>12684.092895087466</c:v>
                </c:pt>
                <c:pt idx="8">
                  <c:v>16238.644609297504</c:v>
                </c:pt>
                <c:pt idx="9">
                  <c:v>19672.589479293063</c:v>
                </c:pt>
                <c:pt idx="10">
                  <c:v>22990.019725989998</c:v>
                </c:pt>
                <c:pt idx="11">
                  <c:v>26194.888720207113</c:v>
                </c:pt>
                <c:pt idx="12">
                  <c:v>29291.015693885289</c:v>
                </c:pt>
                <c:pt idx="13">
                  <c:v>32282.09029145374</c:v>
                </c:pt>
                <c:pt idx="14">
                  <c:v>35171.676966767278</c:v>
                </c:pt>
                <c:pt idx="15">
                  <c:v>37963.219230854345</c:v>
                </c:pt>
                <c:pt idx="16">
                  <c:v>40660.043755537889</c:v>
                </c:pt>
                <c:pt idx="17">
                  <c:v>43265.364337819352</c:v>
                </c:pt>
                <c:pt idx="18">
                  <c:v>45782.285729750081</c:v>
                </c:pt>
                <c:pt idx="19">
                  <c:v>48213.807338354221</c:v>
                </c:pt>
                <c:pt idx="20">
                  <c:v>50562.826800012321</c:v>
                </c:pt>
                <c:pt idx="21">
                  <c:v>52832.14343356515</c:v>
                </c:pt>
                <c:pt idx="22">
                  <c:v>55024.461576252856</c:v>
                </c:pt>
                <c:pt idx="23">
                  <c:v>57142.393806464825</c:v>
                </c:pt>
                <c:pt idx="24">
                  <c:v>59188.464057140853</c:v>
                </c:pt>
                <c:pt idx="25">
                  <c:v>61165.110623533808</c:v>
                </c:pt>
              </c:numCache>
            </c:numRef>
          </c:val>
          <c:extLst>
            <c:ext xmlns:c16="http://schemas.microsoft.com/office/drawing/2014/chart" uri="{C3380CC4-5D6E-409C-BE32-E72D297353CC}">
              <c16:uniqueId val="{00000000-8BF2-4A34-A539-4323B1B549DE}"/>
            </c:ext>
          </c:extLst>
        </c:ser>
        <c:dLbls>
          <c:showLegendKey val="0"/>
          <c:showVal val="0"/>
          <c:showCatName val="0"/>
          <c:showSerName val="0"/>
          <c:showPercent val="0"/>
          <c:showBubbleSize val="0"/>
        </c:dLbls>
        <c:gapWidth val="219"/>
        <c:overlap val="-27"/>
        <c:axId val="158101007"/>
        <c:axId val="165725311"/>
      </c:barChart>
      <c:catAx>
        <c:axId val="158101007"/>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rPr>
                  <a:t>Time (Years)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65725311"/>
        <c:crosses val="autoZero"/>
        <c:auto val="1"/>
        <c:lblAlgn val="ctr"/>
        <c:lblOffset val="100"/>
        <c:noMultiLvlLbl val="0"/>
      </c:catAx>
      <c:valAx>
        <c:axId val="16572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rPr>
                  <a:t>Profit (Euro)</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5810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Off val="35000"/>
                    <a:lumMod val="65000"/>
                  </a:sysClr>
                </a:solidFill>
              </a:rPr>
              <a:t>Running balance and payback period for prosumers with flexible net-metering</a:t>
            </a:r>
            <a:endParaRPr lang="en-US" sz="1600" b="1"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4">
                <a:lumMod val="60000"/>
                <a:lumOff val="4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A7-4194-A222-EDE1640E6760}"/>
                </c:ext>
              </c:extLst>
            </c:dLbl>
            <c:dLbl>
              <c:idx val="2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A7-4194-A222-EDE1640E6760}"/>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'LEM economic evaluation_v7'!$AK$2:$AK$27</c:f>
              <c:numCache>
                <c:formatCode>General</c:formatCode>
                <c:ptCount val="26"/>
                <c:pt idx="0">
                  <c:v>-567703</c:v>
                </c:pt>
                <c:pt idx="1">
                  <c:v>-518456.20373126771</c:v>
                </c:pt>
                <c:pt idx="2">
                  <c:v>-470880.36379210599</c:v>
                </c:pt>
                <c:pt idx="3">
                  <c:v>-424918.78420903266</c:v>
                </c:pt>
                <c:pt idx="4">
                  <c:v>-380516.69271737372</c:v>
                </c:pt>
                <c:pt idx="5">
                  <c:v>-337621.17548933375</c:v>
                </c:pt>
                <c:pt idx="6">
                  <c:v>-296181.11407675978</c:v>
                </c:pt>
                <c:pt idx="7">
                  <c:v>-256147.12449345316</c:v>
                </c:pt>
                <c:pt idx="8">
                  <c:v>-217471.49836443402</c:v>
                </c:pt>
                <c:pt idx="9">
                  <c:v>-180108.14607202628</c:v>
                </c:pt>
                <c:pt idx="10">
                  <c:v>-144012.54183101034</c:v>
                </c:pt>
                <c:pt idx="11">
                  <c:v>-109141.67062738985</c:v>
                </c:pt>
                <c:pt idx="12">
                  <c:v>-75453.976957539708</c:v>
                </c:pt>
                <c:pt idx="13">
                  <c:v>-42909.315306647724</c:v>
                </c:pt>
                <c:pt idx="14">
                  <c:v>-11468.902307435394</c:v>
                </c:pt>
                <c:pt idx="15">
                  <c:v>18904.729477854566</c:v>
                </c:pt>
                <c:pt idx="16">
                  <c:v>48247.776207281713</c:v>
                </c:pt>
                <c:pt idx="17">
                  <c:v>76595.205894051585</c:v>
                </c:pt>
                <c:pt idx="18">
                  <c:v>103980.80007778307</c:v>
                </c:pt>
                <c:pt idx="19">
                  <c:v>130437.19408185921</c:v>
                </c:pt>
                <c:pt idx="20">
                  <c:v>155995.91590483568</c:v>
                </c:pt>
                <c:pt idx="21">
                  <c:v>180687.42379225403</c:v>
                </c:pt>
                <c:pt idx="22">
                  <c:v>204541.14253363368</c:v>
                </c:pt>
                <c:pt idx="23">
                  <c:v>227585.49852789773</c:v>
                </c:pt>
                <c:pt idx="24">
                  <c:v>249847.95365901993</c:v>
                </c:pt>
                <c:pt idx="25">
                  <c:v>271355.03802226239</c:v>
                </c:pt>
              </c:numCache>
            </c:numRef>
          </c:val>
          <c:extLst>
            <c:ext xmlns:c16="http://schemas.microsoft.com/office/drawing/2014/chart" uri="{C3380CC4-5D6E-409C-BE32-E72D297353CC}">
              <c16:uniqueId val="{00000000-D5A7-4194-A222-EDE1640E6760}"/>
            </c:ext>
          </c:extLst>
        </c:ser>
        <c:dLbls>
          <c:showLegendKey val="0"/>
          <c:showVal val="0"/>
          <c:showCatName val="0"/>
          <c:showSerName val="0"/>
          <c:showPercent val="0"/>
          <c:showBubbleSize val="0"/>
        </c:dLbls>
        <c:gapWidth val="219"/>
        <c:overlap val="-27"/>
        <c:axId val="369858927"/>
        <c:axId val="275633471"/>
      </c:barChart>
      <c:catAx>
        <c:axId val="369858927"/>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Time</a:t>
                </a:r>
                <a:r>
                  <a:rPr lang="en-US" sz="1600" b="1" baseline="0"/>
                  <a:t> (Years)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275633471"/>
        <c:crosses val="autoZero"/>
        <c:auto val="1"/>
        <c:lblAlgn val="ctr"/>
        <c:lblOffset val="100"/>
        <c:noMultiLvlLbl val="0"/>
      </c:catAx>
      <c:valAx>
        <c:axId val="275633471"/>
        <c:scaling>
          <c:orientation val="minMax"/>
          <c:max val="300000"/>
          <c:min val="-6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Profit</a:t>
                </a:r>
                <a:r>
                  <a:rPr lang="en-US" sz="1600" b="1" baseline="0"/>
                  <a:t> (Euro)</a:t>
                </a:r>
                <a:endParaRPr lang="en-US" sz="1600" b="1"/>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6985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Off val="35000"/>
                    <a:lumMod val="65000"/>
                  </a:sysClr>
                </a:solidFill>
              </a:rPr>
              <a:t>Running balance and payback period for consumers</a:t>
            </a:r>
            <a:endParaRPr lang="en-US" sz="1600" b="1"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val>
            <c:numRef>
              <c:f>'LEM economic evaluation_v7'!$AK$38:$AK$63</c:f>
              <c:numCache>
                <c:formatCode>General</c:formatCode>
                <c:ptCount val="26"/>
                <c:pt idx="0">
                  <c:v>-15950</c:v>
                </c:pt>
                <c:pt idx="1">
                  <c:v>-11423.886227144205</c:v>
                </c:pt>
                <c:pt idx="2">
                  <c:v>-7051.3446463928476</c:v>
                </c:pt>
                <c:pt idx="3">
                  <c:v>-2827.1645141872468</c:v>
                </c:pt>
                <c:pt idx="4">
                  <c:v>1253.6881111763164</c:v>
                </c:pt>
                <c:pt idx="5">
                  <c:v>5196.0763684785325</c:v>
                </c:pt>
                <c:pt idx="6">
                  <c:v>9004.6983889637086</c:v>
                </c:pt>
                <c:pt idx="7">
                  <c:v>12684.092895087466</c:v>
                </c:pt>
                <c:pt idx="8">
                  <c:v>16238.644609297504</c:v>
                </c:pt>
                <c:pt idx="9">
                  <c:v>19672.589479293063</c:v>
                </c:pt>
                <c:pt idx="10">
                  <c:v>22990.019725989998</c:v>
                </c:pt>
                <c:pt idx="11">
                  <c:v>26194.888720207113</c:v>
                </c:pt>
                <c:pt idx="12">
                  <c:v>29291.015693885289</c:v>
                </c:pt>
                <c:pt idx="13">
                  <c:v>32282.09029145374</c:v>
                </c:pt>
                <c:pt idx="14">
                  <c:v>35171.676966767278</c:v>
                </c:pt>
                <c:pt idx="15">
                  <c:v>37963.219230854345</c:v>
                </c:pt>
                <c:pt idx="16">
                  <c:v>40660.043755537889</c:v>
                </c:pt>
                <c:pt idx="17">
                  <c:v>43265.364337819352</c:v>
                </c:pt>
                <c:pt idx="18">
                  <c:v>45782.285729750081</c:v>
                </c:pt>
                <c:pt idx="19">
                  <c:v>48213.807338354221</c:v>
                </c:pt>
                <c:pt idx="20">
                  <c:v>50562.826800012321</c:v>
                </c:pt>
                <c:pt idx="21">
                  <c:v>52832.14343356515</c:v>
                </c:pt>
                <c:pt idx="22">
                  <c:v>55024.461576252856</c:v>
                </c:pt>
                <c:pt idx="23">
                  <c:v>57142.393806464825</c:v>
                </c:pt>
                <c:pt idx="24">
                  <c:v>59188.464057140853</c:v>
                </c:pt>
                <c:pt idx="25">
                  <c:v>61165.110623533808</c:v>
                </c:pt>
              </c:numCache>
            </c:numRef>
          </c:val>
          <c:extLst>
            <c:ext xmlns:c16="http://schemas.microsoft.com/office/drawing/2014/chart" uri="{C3380CC4-5D6E-409C-BE32-E72D297353CC}">
              <c16:uniqueId val="{00000000-0358-4FC1-8534-63105EAE75D8}"/>
            </c:ext>
          </c:extLst>
        </c:ser>
        <c:dLbls>
          <c:showLegendKey val="0"/>
          <c:showVal val="0"/>
          <c:showCatName val="0"/>
          <c:showSerName val="0"/>
          <c:showPercent val="0"/>
          <c:showBubbleSize val="0"/>
        </c:dLbls>
        <c:gapWidth val="219"/>
        <c:overlap val="-27"/>
        <c:axId val="158101007"/>
        <c:axId val="165725311"/>
      </c:barChart>
      <c:catAx>
        <c:axId val="158101007"/>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u="none" strike="noStrike" kern="1200" baseline="0">
                    <a:solidFill>
                      <a:sysClr val="windowText" lastClr="000000">
                        <a:lumMod val="65000"/>
                        <a:lumOff val="35000"/>
                      </a:sysClr>
                    </a:solidFill>
                  </a:rPr>
                  <a:t>Time (Years)</a:t>
                </a:r>
                <a:endParaRPr lang="en-US" sz="1600"/>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65725311"/>
        <c:crosses val="autoZero"/>
        <c:auto val="1"/>
        <c:lblAlgn val="ctr"/>
        <c:lblOffset val="100"/>
        <c:noMultiLvlLbl val="0"/>
      </c:catAx>
      <c:valAx>
        <c:axId val="165725311"/>
        <c:scaling>
          <c:orientation val="minMax"/>
          <c:max val="70000"/>
          <c:min val="-2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u="none" strike="noStrike" kern="1200" baseline="0">
                    <a:solidFill>
                      <a:sysClr val="windowText" lastClr="000000">
                        <a:lumMod val="65000"/>
                        <a:lumOff val="35000"/>
                      </a:sysClr>
                    </a:solidFill>
                  </a:rPr>
                  <a:t>Profit (Euro)</a:t>
                </a:r>
                <a:endParaRPr lang="en-US" sz="1600"/>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58101007"/>
        <c:crosses val="autoZero"/>
        <c:crossBetween val="between"/>
        <c:maj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Off val="35000"/>
                    <a:lumMod val="65000"/>
                  </a:sysClr>
                </a:solidFill>
              </a:rPr>
              <a:t>Running balance and payback period for prosumers, including subsidy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5">
                <a:lumMod val="40000"/>
                <a:lumOff val="6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ADA-4964-A342-070EE9729597}"/>
                </c:ext>
              </c:extLst>
            </c:dLbl>
            <c:dLbl>
              <c:idx val="2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ADA-4964-A342-070EE9729597}"/>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'LEM economic evaluation_v8Gr'!$AL$2:$AL$27</c:f>
              <c:numCache>
                <c:formatCode>General</c:formatCode>
                <c:ptCount val="26"/>
                <c:pt idx="0">
                  <c:v>-243151.40000000002</c:v>
                </c:pt>
                <c:pt idx="1">
                  <c:v>-225549.10717012256</c:v>
                </c:pt>
                <c:pt idx="2">
                  <c:v>-208544.06461533988</c:v>
                </c:pt>
                <c:pt idx="3">
                  <c:v>-192116.00748183165</c:v>
                </c:pt>
                <c:pt idx="4">
                  <c:v>-176245.35850742453</c:v>
                </c:pt>
                <c:pt idx="5">
                  <c:v>-160913.20469143277</c:v>
                </c:pt>
                <c:pt idx="6">
                  <c:v>-146101.27475609668</c:v>
                </c:pt>
                <c:pt idx="7">
                  <c:v>-131791.91737276071</c:v>
                </c:pt>
                <c:pt idx="8">
                  <c:v>-117968.08012684235</c:v>
                </c:pt>
                <c:pt idx="9">
                  <c:v>-104613.28919652537</c:v>
                </c:pt>
                <c:pt idx="10">
                  <c:v>-91711.629720959943</c:v>
                </c:pt>
                <c:pt idx="11">
                  <c:v>-79247.726834574874</c:v>
                </c:pt>
                <c:pt idx="12">
                  <c:v>-67206.727344900326</c:v>
                </c:pt>
                <c:pt idx="13">
                  <c:v>-55574.282032066767</c:v>
                </c:pt>
                <c:pt idx="14">
                  <c:v>-44336.528548886374</c:v>
                </c:pt>
                <c:pt idx="15">
                  <c:v>-33480.074901139058</c:v>
                </c:pt>
                <c:pt idx="16">
                  <c:v>-22991.983488376565</c:v>
                </c:pt>
                <c:pt idx="17">
                  <c:v>-12859.755686226186</c:v>
                </c:pt>
                <c:pt idx="18">
                  <c:v>-3071.3169518207778</c:v>
                </c:pt>
                <c:pt idx="19">
                  <c:v>6384.9975653946276</c:v>
                </c:pt>
                <c:pt idx="20">
                  <c:v>15520.456924627228</c:v>
                </c:pt>
                <c:pt idx="21">
                  <c:v>24345.947823037608</c:v>
                </c:pt>
                <c:pt idx="22">
                  <c:v>32871.987569381279</c:v>
                </c:pt>
                <c:pt idx="23">
                  <c:v>41108.736617451279</c:v>
                </c:pt>
                <c:pt idx="24">
                  <c:v>49066.010674257828</c:v>
                </c:pt>
                <c:pt idx="25">
                  <c:v>56753.292397374425</c:v>
                </c:pt>
              </c:numCache>
            </c:numRef>
          </c:val>
          <c:extLst>
            <c:ext xmlns:c16="http://schemas.microsoft.com/office/drawing/2014/chart" uri="{C3380CC4-5D6E-409C-BE32-E72D297353CC}">
              <c16:uniqueId val="{00000000-DADA-4964-A342-070EE9729597}"/>
            </c:ext>
          </c:extLst>
        </c:ser>
        <c:dLbls>
          <c:showLegendKey val="0"/>
          <c:showVal val="0"/>
          <c:showCatName val="0"/>
          <c:showSerName val="0"/>
          <c:showPercent val="0"/>
          <c:showBubbleSize val="0"/>
        </c:dLbls>
        <c:gapWidth val="219"/>
        <c:overlap val="-27"/>
        <c:axId val="369858927"/>
        <c:axId val="275633471"/>
      </c:barChart>
      <c:catAx>
        <c:axId val="369858927"/>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i="0" u="none" strike="noStrike" kern="1200" baseline="0">
                    <a:solidFill>
                      <a:sysClr val="windowText" lastClr="000000">
                        <a:lumMod val="65000"/>
                        <a:lumOff val="35000"/>
                      </a:sysClr>
                    </a:solidFill>
                  </a:rPr>
                  <a:t>Time (Years)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275633471"/>
        <c:crosses val="autoZero"/>
        <c:auto val="1"/>
        <c:lblAlgn val="ctr"/>
        <c:lblOffset val="100"/>
        <c:noMultiLvlLbl val="0"/>
      </c:catAx>
      <c:valAx>
        <c:axId val="275633471"/>
        <c:scaling>
          <c:orientation val="minMax"/>
          <c:max val="75000"/>
          <c:min val="-25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rPr>
                  <a:t>Profit (Euro)</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69858927"/>
        <c:crosses val="autoZero"/>
        <c:crossBetween val="between"/>
        <c:majorUnit val="2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Off val="35000"/>
                    <a:lumMod val="65000"/>
                  </a:sysClr>
                </a:solidFill>
              </a:rPr>
              <a:t>Running balance and payback period for consumers</a:t>
            </a:r>
            <a:endParaRPr lang="en-US" sz="1600" b="0" i="0" u="none" strike="noStrike" kern="1200" spc="0" baseline="0">
              <a:solidFill>
                <a:sysClr val="windowText" lastClr="000000">
                  <a:lumMod val="65000"/>
                  <a:lumOff val="35000"/>
                </a:sysClr>
              </a:solidFill>
            </a:endParaRPr>
          </a:p>
        </c:rich>
      </c:tx>
      <c:layout>
        <c:manualLayout>
          <c:xMode val="edge"/>
          <c:yMode val="edge"/>
          <c:x val="0.27289353828721769"/>
          <c:y val="1.529514511620195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val>
            <c:numRef>
              <c:f>'LEM economic evaluation_v8Gr'!$AL$38:$AL$63</c:f>
              <c:numCache>
                <c:formatCode>General</c:formatCode>
                <c:ptCount val="26"/>
                <c:pt idx="0">
                  <c:v>-15950</c:v>
                </c:pt>
                <c:pt idx="1">
                  <c:v>-11423.886227144205</c:v>
                </c:pt>
                <c:pt idx="2">
                  <c:v>-7051.3446463928476</c:v>
                </c:pt>
                <c:pt idx="3">
                  <c:v>-2827.1645141872468</c:v>
                </c:pt>
                <c:pt idx="4">
                  <c:v>1253.6881111763164</c:v>
                </c:pt>
                <c:pt idx="5">
                  <c:v>5196.0763684785325</c:v>
                </c:pt>
                <c:pt idx="6">
                  <c:v>9004.6983889637086</c:v>
                </c:pt>
                <c:pt idx="7">
                  <c:v>12684.092895087466</c:v>
                </c:pt>
                <c:pt idx="8">
                  <c:v>16238.644609297504</c:v>
                </c:pt>
                <c:pt idx="9">
                  <c:v>19672.589479293063</c:v>
                </c:pt>
                <c:pt idx="10">
                  <c:v>22990.019725989998</c:v>
                </c:pt>
                <c:pt idx="11">
                  <c:v>26194.888720207113</c:v>
                </c:pt>
                <c:pt idx="12">
                  <c:v>29291.015693885289</c:v>
                </c:pt>
                <c:pt idx="13">
                  <c:v>32282.09029145374</c:v>
                </c:pt>
                <c:pt idx="14">
                  <c:v>35171.676966767278</c:v>
                </c:pt>
                <c:pt idx="15">
                  <c:v>37963.219230854345</c:v>
                </c:pt>
                <c:pt idx="16">
                  <c:v>40660.043755537889</c:v>
                </c:pt>
                <c:pt idx="17">
                  <c:v>43265.364337819352</c:v>
                </c:pt>
                <c:pt idx="18">
                  <c:v>45782.285729750081</c:v>
                </c:pt>
                <c:pt idx="19">
                  <c:v>48213.807338354221</c:v>
                </c:pt>
                <c:pt idx="20">
                  <c:v>50562.826800012321</c:v>
                </c:pt>
                <c:pt idx="21">
                  <c:v>52832.14343356515</c:v>
                </c:pt>
                <c:pt idx="22">
                  <c:v>55024.461576252856</c:v>
                </c:pt>
                <c:pt idx="23">
                  <c:v>57142.393806464825</c:v>
                </c:pt>
                <c:pt idx="24">
                  <c:v>59188.464057140853</c:v>
                </c:pt>
                <c:pt idx="25">
                  <c:v>61165.110623533808</c:v>
                </c:pt>
              </c:numCache>
            </c:numRef>
          </c:val>
          <c:extLst>
            <c:ext xmlns:c16="http://schemas.microsoft.com/office/drawing/2014/chart" uri="{C3380CC4-5D6E-409C-BE32-E72D297353CC}">
              <c16:uniqueId val="{00000000-3E63-4581-9E31-4F5F89C6723E}"/>
            </c:ext>
          </c:extLst>
        </c:ser>
        <c:dLbls>
          <c:showLegendKey val="0"/>
          <c:showVal val="0"/>
          <c:showCatName val="0"/>
          <c:showSerName val="0"/>
          <c:showPercent val="0"/>
          <c:showBubbleSize val="0"/>
        </c:dLbls>
        <c:gapWidth val="219"/>
        <c:overlap val="-27"/>
        <c:axId val="158101007"/>
        <c:axId val="165725311"/>
      </c:barChart>
      <c:catAx>
        <c:axId val="158101007"/>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rPr>
                  <a:t>Time (Years)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65725311"/>
        <c:crosses val="autoZero"/>
        <c:auto val="1"/>
        <c:lblAlgn val="ctr"/>
        <c:lblOffset val="100"/>
        <c:noMultiLvlLbl val="0"/>
      </c:catAx>
      <c:valAx>
        <c:axId val="16572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rPr>
                  <a:t>Profit (Euro)</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5810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Off val="35000"/>
                    <a:lumMod val="65000"/>
                  </a:sysClr>
                </a:solidFill>
              </a:rPr>
              <a:t>Running balance and payback period for prosumers</a:t>
            </a:r>
            <a:endParaRPr lang="en-US" sz="1400" b="1"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lumMod val="60000"/>
                <a:lumOff val="4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BB-443B-873C-00D70AE3DFC2}"/>
                </c:ext>
              </c:extLst>
            </c:dLbl>
            <c:dLbl>
              <c:idx val="2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5BB-443B-873C-00D70AE3DFC2}"/>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'LEM economic evaluation_v8'!$AK$2:$AK$27</c:f>
              <c:numCache>
                <c:formatCode>General</c:formatCode>
                <c:ptCount val="26"/>
                <c:pt idx="0">
                  <c:v>-567703</c:v>
                </c:pt>
                <c:pt idx="1">
                  <c:v>-550100.70717012254</c:v>
                </c:pt>
                <c:pt idx="2">
                  <c:v>-533095.66461533983</c:v>
                </c:pt>
                <c:pt idx="3">
                  <c:v>-516667.60748183157</c:v>
                </c:pt>
                <c:pt idx="4">
                  <c:v>-500796.95850742445</c:v>
                </c:pt>
                <c:pt idx="5">
                  <c:v>-485464.80469143268</c:v>
                </c:pt>
                <c:pt idx="6">
                  <c:v>-470652.87475609663</c:v>
                </c:pt>
                <c:pt idx="7">
                  <c:v>-456343.51737276063</c:v>
                </c:pt>
                <c:pt idx="8">
                  <c:v>-442519.68012684229</c:v>
                </c:pt>
                <c:pt idx="9">
                  <c:v>-429164.88919652533</c:v>
                </c:pt>
                <c:pt idx="10">
                  <c:v>-416263.22972095991</c:v>
                </c:pt>
                <c:pt idx="11">
                  <c:v>-403799.32683457487</c:v>
                </c:pt>
                <c:pt idx="12">
                  <c:v>-391758.32734490035</c:v>
                </c:pt>
                <c:pt idx="13">
                  <c:v>-380125.88203206682</c:v>
                </c:pt>
                <c:pt idx="14">
                  <c:v>-368888.12854888639</c:v>
                </c:pt>
                <c:pt idx="15">
                  <c:v>-358031.67490113905</c:v>
                </c:pt>
                <c:pt idx="16">
                  <c:v>-347543.58348837658</c:v>
                </c:pt>
                <c:pt idx="17">
                  <c:v>-337411.35568622622</c:v>
                </c:pt>
                <c:pt idx="18">
                  <c:v>-327622.91695182084</c:v>
                </c:pt>
                <c:pt idx="19">
                  <c:v>-318166.60243460542</c:v>
                </c:pt>
                <c:pt idx="20">
                  <c:v>-309031.14307537279</c:v>
                </c:pt>
                <c:pt idx="21">
                  <c:v>-300205.65217696241</c:v>
                </c:pt>
                <c:pt idx="22">
                  <c:v>-291679.61243061873</c:v>
                </c:pt>
                <c:pt idx="23">
                  <c:v>-283442.86338254873</c:v>
                </c:pt>
                <c:pt idx="24">
                  <c:v>-275485.58932574221</c:v>
                </c:pt>
                <c:pt idx="25">
                  <c:v>-267798.30760262563</c:v>
                </c:pt>
              </c:numCache>
            </c:numRef>
          </c:val>
          <c:extLst>
            <c:ext xmlns:c16="http://schemas.microsoft.com/office/drawing/2014/chart" uri="{C3380CC4-5D6E-409C-BE32-E72D297353CC}">
              <c16:uniqueId val="{00000000-D5BB-443B-873C-00D70AE3DFC2}"/>
            </c:ext>
          </c:extLst>
        </c:ser>
        <c:dLbls>
          <c:showLegendKey val="0"/>
          <c:showVal val="0"/>
          <c:showCatName val="0"/>
          <c:showSerName val="0"/>
          <c:showPercent val="0"/>
          <c:showBubbleSize val="0"/>
        </c:dLbls>
        <c:gapWidth val="219"/>
        <c:overlap val="-27"/>
        <c:axId val="369858927"/>
        <c:axId val="275633471"/>
      </c:barChart>
      <c:catAx>
        <c:axId val="369858927"/>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i="0" u="none" strike="noStrike" kern="1200" baseline="0">
                    <a:solidFill>
                      <a:sysClr val="windowText" lastClr="000000">
                        <a:lumMod val="65000"/>
                        <a:lumOff val="35000"/>
                      </a:sysClr>
                    </a:solidFill>
                  </a:rPr>
                  <a:t>Time (Years)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275633471"/>
        <c:crosses val="autoZero"/>
        <c:auto val="1"/>
        <c:lblAlgn val="ctr"/>
        <c:lblOffset val="100"/>
        <c:noMultiLvlLbl val="0"/>
      </c:catAx>
      <c:valAx>
        <c:axId val="27563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rPr>
                  <a:t>Profit (Euro)</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6985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Off val="35000"/>
                    <a:lumMod val="65000"/>
                  </a:sysClr>
                </a:solidFill>
              </a:rPr>
              <a:t>Running balance and payback period for EC's household members</a:t>
            </a:r>
            <a:endParaRPr lang="en-US" sz="1600" b="1" i="0" u="none" strike="noStrike" kern="1200" spc="0" baseline="0">
              <a:solidFill>
                <a:sysClr val="windowText" lastClr="000000">
                  <a:lumMod val="65000"/>
                  <a:lumOff val="35000"/>
                </a:sysClr>
              </a:solidFill>
            </a:endParaRPr>
          </a:p>
        </c:rich>
      </c:tx>
      <c:layout>
        <c:manualLayout>
          <c:xMode val="edge"/>
          <c:yMode val="edge"/>
          <c:x val="0.30902675148572428"/>
          <c:y val="2.8854824165915238E-2"/>
        </c:manualLayout>
      </c:layout>
      <c:overlay val="0"/>
      <c:spPr>
        <a:noFill/>
        <a:ln>
          <a:noFill/>
          <a:prstDash val="solid"/>
        </a:ln>
      </c:spPr>
    </c:title>
    <c:autoTitleDeleted val="0"/>
    <c:plotArea>
      <c:layout/>
      <c:barChart>
        <c:barDir val="col"/>
        <c:grouping val="clustered"/>
        <c:varyColors val="0"/>
        <c:ser>
          <c:idx val="0"/>
          <c:order val="0"/>
          <c:spPr>
            <a:solidFill>
              <a:schemeClr val="accent4">
                <a:lumMod val="60000"/>
                <a:lumOff val="40000"/>
              </a:schemeClr>
            </a:solidFill>
            <a:ln>
              <a:noFill/>
              <a:prstDash val="solid"/>
            </a:ln>
          </c:spPr>
          <c:invertIfNegative val="0"/>
          <c:dLbls>
            <c:dLbl>
              <c:idx val="0"/>
              <c:layout>
                <c:manualLayout>
                  <c:x val="2.5311232407458657E-2"/>
                  <c:y val="-1.44271280787826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DBF-4950-812A-82C12B930A44}"/>
                </c:ext>
              </c:extLst>
            </c:dLbl>
            <c:dLbl>
              <c:idx val="25"/>
              <c:layout>
                <c:manualLayout>
                  <c:x val="-6.1627348470334332E-2"/>
                  <c:y val="1.26239855725879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DBF-4950-812A-82C12B930A44}"/>
                </c:ext>
              </c:extLst>
            </c:dLbl>
            <c:spPr>
              <a:noFill/>
              <a:ln>
                <a:noFill/>
              </a:ln>
              <a:effectLst/>
            </c:spPr>
            <c:txPr>
              <a:bodyPr wrap="square" lIns="38100" tIns="19050" rIns="38100" bIns="19050" anchor="ctr">
                <a:spAutoFit/>
              </a:bodyPr>
              <a:lstStyle/>
              <a:p>
                <a:pPr>
                  <a:defRPr sz="1400" b="1"/>
                </a:pPr>
                <a:endParaRPr lang="en-US"/>
              </a:p>
            </c:txPr>
            <c:showLegendKey val="0"/>
            <c:showVal val="0"/>
            <c:showCatName val="0"/>
            <c:showSerName val="0"/>
            <c:showPercent val="0"/>
            <c:showBubbleSize val="0"/>
            <c:extLst>
              <c:ext xmlns:c15="http://schemas.microsoft.com/office/drawing/2012/chart" uri="{CE6537A1-D6FC-4f65-9D91-7224C49458BB}">
                <c15:showLeaderLines val="1"/>
              </c:ext>
            </c:extLst>
          </c:dLbls>
          <c:val>
            <c:numRef>
              <c:f>'EC economic evaluation'!$W$2:$W$27</c:f>
              <c:numCache>
                <c:formatCode>"$"#,##0.00_);[Red]\("$"#,##0.00\)</c:formatCode>
                <c:ptCount val="26"/>
                <c:pt idx="0" formatCode="General">
                  <c:v>-200800</c:v>
                </c:pt>
                <c:pt idx="1">
                  <c:v>-151250.85724205573</c:v>
                </c:pt>
                <c:pt idx="2">
                  <c:v>-103382.92950700119</c:v>
                </c:pt>
                <c:pt idx="3">
                  <c:v>-57139.172741279312</c:v>
                </c:pt>
                <c:pt idx="4">
                  <c:v>-12464.478410586649</c:v>
                </c:pt>
                <c:pt idx="5">
                  <c:v>30694.392172787506</c:v>
                </c:pt>
                <c:pt idx="6">
                  <c:v>72388.871294331795</c:v>
                </c:pt>
                <c:pt idx="7">
                  <c:v>112668.64612899994</c:v>
                </c:pt>
                <c:pt idx="8">
                  <c:v>151581.71795325523</c:v>
                </c:pt>
                <c:pt idx="9">
                  <c:v>189174.45934803531</c:v>
                </c:pt>
                <c:pt idx="10">
                  <c:v>225491.66946080589</c:v>
                </c:pt>
                <c:pt idx="11">
                  <c:v>260576.62739255879</c:v>
                </c:pt>
                <c:pt idx="12">
                  <c:v>294471.14377337572</c:v>
                </c:pt>
                <c:pt idx="13">
                  <c:v>327215.61058801977</c:v>
                </c:pt>
                <c:pt idx="14">
                  <c:v>358849.04931093223</c:v>
                </c:pt>
                <c:pt idx="15">
                  <c:v>389409.15740799659</c:v>
                </c:pt>
                <c:pt idx="16">
                  <c:v>418932.35326048575</c:v>
                </c:pt>
                <c:pt idx="17">
                  <c:v>447453.8195647283</c:v>
                </c:pt>
                <c:pt idx="18">
                  <c:v>475007.54525921337</c:v>
                </c:pt>
                <c:pt idx="19">
                  <c:v>501626.36602909758</c:v>
                </c:pt>
                <c:pt idx="20">
                  <c:v>527342.00343638437</c:v>
                </c:pt>
                <c:pt idx="21">
                  <c:v>552185.10272240604</c:v>
                </c:pt>
                <c:pt idx="22">
                  <c:v>576185.26932765788</c:v>
                </c:pt>
                <c:pt idx="23">
                  <c:v>599371.10417250532</c:v>
                </c:pt>
                <c:pt idx="24">
                  <c:v>621770.23774080758</c:v>
                </c:pt>
                <c:pt idx="25">
                  <c:v>643409.36300707504</c:v>
                </c:pt>
              </c:numCache>
            </c:numRef>
          </c:val>
          <c:extLst>
            <c:ext xmlns:c16="http://schemas.microsoft.com/office/drawing/2014/chart" uri="{C3380CC4-5D6E-409C-BE32-E72D297353CC}">
              <c16:uniqueId val="{00000000-5D2C-4622-BAA4-A2744344A8DB}"/>
            </c:ext>
          </c:extLst>
        </c:ser>
        <c:dLbls>
          <c:showLegendKey val="0"/>
          <c:showVal val="0"/>
          <c:showCatName val="0"/>
          <c:showSerName val="0"/>
          <c:showPercent val="0"/>
          <c:showBubbleSize val="0"/>
        </c:dLbls>
        <c:gapWidth val="219"/>
        <c:overlap val="-27"/>
        <c:axId val="2075729567"/>
        <c:axId val="2061716079"/>
      </c:barChart>
      <c:catAx>
        <c:axId val="2075729567"/>
        <c:scaling>
          <c:orientation val="minMax"/>
        </c:scaling>
        <c:delete val="0"/>
        <c:axPos val="b"/>
        <c:title>
          <c:tx>
            <c:rich>
              <a:bodyPr/>
              <a:lstStyle/>
              <a:p>
                <a:pPr>
                  <a:defRPr sz="1600"/>
                </a:pPr>
                <a:r>
                  <a:rPr lang="en-US" sz="1600" b="1" i="0" u="none" strike="noStrike" kern="1200" baseline="0">
                    <a:solidFill>
                      <a:sysClr val="windowText" lastClr="000000">
                        <a:lumMod val="65000"/>
                        <a:lumOff val="35000"/>
                      </a:sysClr>
                    </a:solidFill>
                  </a:rPr>
                  <a:t>Time (Years)</a:t>
                </a:r>
                <a:endParaRPr lang="en-US" sz="1600"/>
              </a:p>
            </c:rich>
          </c:tx>
          <c:overlay val="0"/>
        </c:title>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400" b="1" i="0" strike="noStrike" kern="1200" baseline="0">
                <a:solidFill>
                  <a:schemeClr val="tx1">
                    <a:lumMod val="65000"/>
                    <a:lumOff val="35000"/>
                  </a:schemeClr>
                </a:solidFill>
                <a:latin typeface="+mn-lt"/>
                <a:ea typeface="+mn-ea"/>
                <a:cs typeface="+mn-cs"/>
              </a:defRPr>
            </a:pPr>
            <a:endParaRPr lang="en-US"/>
          </a:p>
        </c:txPr>
        <c:crossAx val="2061716079"/>
        <c:crosses val="autoZero"/>
        <c:auto val="1"/>
        <c:lblAlgn val="ctr"/>
        <c:lblOffset val="100"/>
        <c:noMultiLvlLbl val="0"/>
      </c:catAx>
      <c:valAx>
        <c:axId val="2061716079"/>
        <c:scaling>
          <c:orientation val="minMax"/>
          <c:max val="680000"/>
          <c:min val="-220000"/>
        </c:scaling>
        <c:delete val="0"/>
        <c:axPos val="l"/>
        <c:majorGridlines>
          <c:spPr>
            <a:ln w="9525" cap="flat" cmpd="sng" algn="ctr">
              <a:solidFill>
                <a:schemeClr val="tx1">
                  <a:lumMod val="15000"/>
                  <a:lumOff val="85000"/>
                </a:schemeClr>
              </a:solidFill>
              <a:prstDash val="solid"/>
              <a:round/>
            </a:ln>
          </c:spPr>
        </c:majorGridlines>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solidFill>
                    <a:latin typeface="+mn-lt"/>
                    <a:ea typeface="+mn-ea"/>
                    <a:cs typeface="+mn-cs"/>
                  </a:defRPr>
                </a:pPr>
                <a:r>
                  <a:rPr lang="en-US" sz="1600" b="1" i="0" u="none" strike="noStrike" kern="1200" baseline="0">
                    <a:solidFill>
                      <a:sysClr val="windowText" lastClr="000000">
                        <a:lumMod val="65000"/>
                        <a:lumOff val="35000"/>
                      </a:sysClr>
                    </a:solidFill>
                  </a:rPr>
                  <a:t>Profit (Euro)</a:t>
                </a:r>
                <a:endParaRPr lang="en-US" sz="1600" b="1" i="0" u="none" strike="noStrike" kern="1200" baseline="0">
                  <a:solidFill>
                    <a:sysClr val="windowText" lastClr="000000"/>
                  </a:solidFill>
                </a:endParaRPr>
              </a:p>
            </c:rich>
          </c:tx>
          <c:overlay val="0"/>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1400" b="1" i="0" strike="noStrike" kern="1200" baseline="0">
                <a:solidFill>
                  <a:schemeClr val="tx1">
                    <a:lumMod val="65000"/>
                    <a:lumOff val="35000"/>
                  </a:schemeClr>
                </a:solidFill>
                <a:latin typeface="+mn-lt"/>
                <a:ea typeface="+mn-ea"/>
                <a:cs typeface="+mn-cs"/>
              </a:defRPr>
            </a:pPr>
            <a:endParaRPr lang="en-US"/>
          </a:p>
        </c:txPr>
        <c:crossAx val="2075729567"/>
        <c:crosses val="autoZero"/>
        <c:crossBetween val="between"/>
        <c:majorUnit val="90000"/>
      </c:valAx>
    </c:plotArea>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Off val="35000"/>
                    <a:lumMod val="65000"/>
                  </a:sysClr>
                </a:solidFill>
              </a:rPr>
              <a:t>Running balance and payback period for consumers</a:t>
            </a:r>
            <a:endParaRPr lang="en-US" sz="1600" b="0" i="0" u="none" strike="noStrike" kern="1200" spc="0" baseline="0">
              <a:solidFill>
                <a:sysClr val="windowText" lastClr="000000">
                  <a:lumMod val="65000"/>
                  <a:lumOff val="35000"/>
                </a:sysClr>
              </a:solidFill>
            </a:endParaRPr>
          </a:p>
        </c:rich>
      </c:tx>
      <c:layout>
        <c:manualLayout>
          <c:xMode val="edge"/>
          <c:yMode val="edge"/>
          <c:x val="0.27289353828721769"/>
          <c:y val="1.529514511620195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136-4D03-AF2F-63EAFCEDE2BD}"/>
                </c:ext>
              </c:extLst>
            </c:dLbl>
            <c:dLbl>
              <c:idx val="2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136-4D03-AF2F-63EAFCEDE2B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'LEM economic evaluation_v8'!$AK$38:$AK$63</c:f>
              <c:numCache>
                <c:formatCode>General</c:formatCode>
                <c:ptCount val="26"/>
                <c:pt idx="0">
                  <c:v>-15950</c:v>
                </c:pt>
                <c:pt idx="1">
                  <c:v>-11423.886227144205</c:v>
                </c:pt>
                <c:pt idx="2">
                  <c:v>-7051.3446463928476</c:v>
                </c:pt>
                <c:pt idx="3">
                  <c:v>-2827.1645141872468</c:v>
                </c:pt>
                <c:pt idx="4">
                  <c:v>1253.6881111763164</c:v>
                </c:pt>
                <c:pt idx="5">
                  <c:v>5196.0763684785325</c:v>
                </c:pt>
                <c:pt idx="6">
                  <c:v>9004.6983889637086</c:v>
                </c:pt>
                <c:pt idx="7">
                  <c:v>12684.092895087466</c:v>
                </c:pt>
                <c:pt idx="8">
                  <c:v>16238.644609297504</c:v>
                </c:pt>
                <c:pt idx="9">
                  <c:v>19672.589479293063</c:v>
                </c:pt>
                <c:pt idx="10">
                  <c:v>22990.019725989998</c:v>
                </c:pt>
                <c:pt idx="11">
                  <c:v>26194.888720207113</c:v>
                </c:pt>
                <c:pt idx="12">
                  <c:v>29291.015693885289</c:v>
                </c:pt>
                <c:pt idx="13">
                  <c:v>32282.09029145374</c:v>
                </c:pt>
                <c:pt idx="14">
                  <c:v>35171.676966767278</c:v>
                </c:pt>
                <c:pt idx="15">
                  <c:v>37963.219230854345</c:v>
                </c:pt>
                <c:pt idx="16">
                  <c:v>40660.043755537889</c:v>
                </c:pt>
                <c:pt idx="17">
                  <c:v>43265.364337819352</c:v>
                </c:pt>
                <c:pt idx="18">
                  <c:v>45782.285729750081</c:v>
                </c:pt>
                <c:pt idx="19">
                  <c:v>48213.807338354221</c:v>
                </c:pt>
                <c:pt idx="20">
                  <c:v>50562.826800012321</c:v>
                </c:pt>
                <c:pt idx="21">
                  <c:v>52832.14343356515</c:v>
                </c:pt>
                <c:pt idx="22">
                  <c:v>55024.461576252856</c:v>
                </c:pt>
                <c:pt idx="23">
                  <c:v>57142.393806464825</c:v>
                </c:pt>
                <c:pt idx="24">
                  <c:v>59188.464057140853</c:v>
                </c:pt>
                <c:pt idx="25">
                  <c:v>61165.110623533808</c:v>
                </c:pt>
              </c:numCache>
            </c:numRef>
          </c:val>
          <c:extLst>
            <c:ext xmlns:c16="http://schemas.microsoft.com/office/drawing/2014/chart" uri="{C3380CC4-5D6E-409C-BE32-E72D297353CC}">
              <c16:uniqueId val="{00000000-A136-4D03-AF2F-63EAFCEDE2BD}"/>
            </c:ext>
          </c:extLst>
        </c:ser>
        <c:dLbls>
          <c:showLegendKey val="0"/>
          <c:showVal val="0"/>
          <c:showCatName val="0"/>
          <c:showSerName val="0"/>
          <c:showPercent val="0"/>
          <c:showBubbleSize val="0"/>
        </c:dLbls>
        <c:gapWidth val="219"/>
        <c:overlap val="-27"/>
        <c:axId val="158101007"/>
        <c:axId val="165725311"/>
      </c:barChart>
      <c:catAx>
        <c:axId val="158101007"/>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rPr>
                  <a:t>Time (Years)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65725311"/>
        <c:crosses val="autoZero"/>
        <c:auto val="1"/>
        <c:lblAlgn val="ctr"/>
        <c:lblOffset val="100"/>
        <c:noMultiLvlLbl val="0"/>
      </c:catAx>
      <c:valAx>
        <c:axId val="16572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rPr>
                  <a:t>Profit (Euro)</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5810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Pros</a:t>
            </a:r>
            <a:r>
              <a:rPr lang="en-US" baseline="0"/>
              <a:t> - </a:t>
            </a:r>
            <a:r>
              <a:rPr lang="en-US"/>
              <a:t>Payback</a:t>
            </a:r>
            <a:r>
              <a:rPr lang="en-US" baseline="0"/>
              <a:t> - </a:t>
            </a:r>
            <a:r>
              <a:rPr lang="en-US" sz="1400" b="0" i="0" u="none" strike="noStrike" kern="1200" spc="0" baseline="0">
                <a:solidFill>
                  <a:sysClr val="windowText" lastClr="000000">
                    <a:lumOff val="35000"/>
                    <a:lumMod val="65000"/>
                  </a:sysClr>
                </a:solidFill>
              </a:rPr>
              <a:t>Running balance (with inflation)</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'LEM economic evaluation_v6'!$AJ$2:$AJ$27</c:f>
              <c:numCache>
                <c:formatCode>General</c:formatCode>
                <c:ptCount val="26"/>
                <c:pt idx="0">
                  <c:v>-537328</c:v>
                </c:pt>
                <c:pt idx="1">
                  <c:v>-498038.23109684256</c:v>
                </c:pt>
                <c:pt idx="2">
                  <c:v>-460081.57405090821</c:v>
                </c:pt>
                <c:pt idx="3">
                  <c:v>-423412.79603763518</c:v>
                </c:pt>
                <c:pt idx="4">
                  <c:v>-387988.19899370975</c:v>
                </c:pt>
                <c:pt idx="5">
                  <c:v>-353765.56754222664</c:v>
                </c:pt>
                <c:pt idx="6">
                  <c:v>-320704.11868476181</c:v>
                </c:pt>
                <c:pt idx="7">
                  <c:v>-288764.45320040605</c:v>
                </c:pt>
                <c:pt idx="8">
                  <c:v>-257908.50869384184</c:v>
                </c:pt>
                <c:pt idx="9">
                  <c:v>-228099.51423651073</c:v>
                </c:pt>
                <c:pt idx="10">
                  <c:v>-199301.94654681761</c:v>
                </c:pt>
                <c:pt idx="11">
                  <c:v>-171481.48765715177</c:v>
                </c:pt>
                <c:pt idx="12">
                  <c:v>-144604.98401727667</c:v>
                </c:pt>
                <c:pt idx="13">
                  <c:v>-118640.40698535211</c:v>
                </c:pt>
                <c:pt idx="14">
                  <c:v>-93556.814659506039</c:v>
                </c:pt>
                <c:pt idx="15">
                  <c:v>-69324.315004470947</c:v>
                </c:pt>
                <c:pt idx="16">
                  <c:v>-45914.030229342796</c:v>
                </c:pt>
                <c:pt idx="17">
                  <c:v>-23298.062374011646</c:v>
                </c:pt>
                <c:pt idx="18">
                  <c:v>-1449.4600632534675</c:v>
                </c:pt>
                <c:pt idx="19">
                  <c:v>19657.813611135916</c:v>
                </c:pt>
                <c:pt idx="20">
                  <c:v>40048.912118439512</c:v>
                </c:pt>
                <c:pt idx="21">
                  <c:v>59748.13546432658</c:v>
                </c:pt>
                <c:pt idx="22">
                  <c:v>78778.959149090253</c:v>
                </c:pt>
                <c:pt idx="23">
                  <c:v>97164.062143324714</c:v>
                </c:pt>
                <c:pt idx="24">
                  <c:v>114925.35391438063</c:v>
                </c:pt>
                <c:pt idx="25">
                  <c:v>132084.00053580597</c:v>
                </c:pt>
              </c:numCache>
            </c:numRef>
          </c:val>
          <c:extLst>
            <c:ext xmlns:c16="http://schemas.microsoft.com/office/drawing/2014/chart" uri="{C3380CC4-5D6E-409C-BE32-E72D297353CC}">
              <c16:uniqueId val="{00000000-EEC1-4BF8-9564-67F08BF78A6B}"/>
            </c:ext>
          </c:extLst>
        </c:ser>
        <c:dLbls>
          <c:showLegendKey val="0"/>
          <c:showVal val="0"/>
          <c:showCatName val="0"/>
          <c:showSerName val="0"/>
          <c:showPercent val="0"/>
          <c:showBubbleSize val="0"/>
        </c:dLbls>
        <c:gapWidth val="219"/>
        <c:overlap val="-27"/>
        <c:axId val="369858927"/>
        <c:axId val="275633471"/>
      </c:barChart>
      <c:catAx>
        <c:axId val="3698589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633471"/>
        <c:crosses val="autoZero"/>
        <c:auto val="1"/>
        <c:lblAlgn val="ctr"/>
        <c:lblOffset val="100"/>
        <c:noMultiLvlLbl val="0"/>
      </c:catAx>
      <c:valAx>
        <c:axId val="27563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85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Cons - Payback - </a:t>
            </a:r>
            <a:r>
              <a:rPr lang="en-US" sz="1400" b="0" i="0" u="none" strike="noStrike" kern="1200" spc="0" baseline="0">
                <a:solidFill>
                  <a:sysClr val="windowText" lastClr="000000">
                    <a:lumOff val="35000"/>
                    <a:lumMod val="65000"/>
                  </a:sysClr>
                </a:solidFill>
              </a:rPr>
              <a:t>Running balance (with inflation)</a:t>
            </a:r>
            <a:endParaRPr lang="en-US" sz="1400" b="0" i="0" u="none" strike="noStrike" kern="1200" spc="0" baseline="0">
              <a:solidFill>
                <a:sysClr val="windowText" lastClr="000000">
                  <a:lumMod val="65000"/>
                  <a:lumOff val="35000"/>
                </a:sys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val>
            <c:numRef>
              <c:f>'LEM economic evaluation_v6'!$AJ$31:$AJ$56</c:f>
              <c:numCache>
                <c:formatCode>General</c:formatCode>
                <c:ptCount val="26"/>
                <c:pt idx="0">
                  <c:v>-11000</c:v>
                </c:pt>
                <c:pt idx="1">
                  <c:v>-11000</c:v>
                </c:pt>
                <c:pt idx="2">
                  <c:v>26956.657045934349</c:v>
                </c:pt>
                <c:pt idx="3">
                  <c:v>26956.657045934349</c:v>
                </c:pt>
                <c:pt idx="4">
                  <c:v>62381.25408985978</c:v>
                </c:pt>
                <c:pt idx="5">
                  <c:v>96603.885541342868</c:v>
                </c:pt>
                <c:pt idx="6">
                  <c:v>129665.33439880768</c:v>
                </c:pt>
                <c:pt idx="7">
                  <c:v>161604.99988316343</c:v>
                </c:pt>
                <c:pt idx="8">
                  <c:v>192460.94438972764</c:v>
                </c:pt>
                <c:pt idx="9">
                  <c:v>222269.93884705874</c:v>
                </c:pt>
                <c:pt idx="10">
                  <c:v>251067.50653675187</c:v>
                </c:pt>
                <c:pt idx="11">
                  <c:v>278887.96542641771</c:v>
                </c:pt>
                <c:pt idx="12">
                  <c:v>305764.4690662928</c:v>
                </c:pt>
                <c:pt idx="13">
                  <c:v>331729.04609821737</c:v>
                </c:pt>
                <c:pt idx="14">
                  <c:v>356812.63842406345</c:v>
                </c:pt>
                <c:pt idx="15">
                  <c:v>381045.13807909854</c:v>
                </c:pt>
                <c:pt idx="16">
                  <c:v>404455.42285422666</c:v>
                </c:pt>
                <c:pt idx="17">
                  <c:v>427071.3907095578</c:v>
                </c:pt>
                <c:pt idx="18">
                  <c:v>448919.993020316</c:v>
                </c:pt>
                <c:pt idx="19">
                  <c:v>470027.26669470541</c:v>
                </c:pt>
                <c:pt idx="20">
                  <c:v>490418.36520200898</c:v>
                </c:pt>
                <c:pt idx="21">
                  <c:v>510117.58854789607</c:v>
                </c:pt>
                <c:pt idx="22">
                  <c:v>529148.41223265976</c:v>
                </c:pt>
                <c:pt idx="23">
                  <c:v>547533.51522689417</c:v>
                </c:pt>
                <c:pt idx="24">
                  <c:v>565294.80699795007</c:v>
                </c:pt>
                <c:pt idx="25">
                  <c:v>582453.45361937548</c:v>
                </c:pt>
              </c:numCache>
            </c:numRef>
          </c:val>
          <c:extLst>
            <c:ext xmlns:c16="http://schemas.microsoft.com/office/drawing/2014/chart" uri="{C3380CC4-5D6E-409C-BE32-E72D297353CC}">
              <c16:uniqueId val="{00000000-61E2-4744-AAF9-DBB459FCD849}"/>
            </c:ext>
          </c:extLst>
        </c:ser>
        <c:dLbls>
          <c:showLegendKey val="0"/>
          <c:showVal val="0"/>
          <c:showCatName val="0"/>
          <c:showSerName val="0"/>
          <c:showPercent val="0"/>
          <c:showBubbleSize val="0"/>
        </c:dLbls>
        <c:gapWidth val="219"/>
        <c:overlap val="-27"/>
        <c:axId val="158101007"/>
        <c:axId val="165725311"/>
      </c:barChart>
      <c:catAx>
        <c:axId val="1581010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25311"/>
        <c:crosses val="autoZero"/>
        <c:auto val="1"/>
        <c:lblAlgn val="ctr"/>
        <c:lblOffset val="100"/>
        <c:noMultiLvlLbl val="0"/>
      </c:catAx>
      <c:valAx>
        <c:axId val="16572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0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Pros</a:t>
            </a:r>
            <a:r>
              <a:rPr lang="en-US" baseline="0"/>
              <a:t> - </a:t>
            </a:r>
            <a:r>
              <a:rPr lang="en-US"/>
              <a:t>Payback</a:t>
            </a:r>
            <a:r>
              <a:rPr lang="en-US" baseline="0"/>
              <a:t> - </a:t>
            </a:r>
            <a:r>
              <a:rPr lang="en-US" sz="1400" b="0" i="0" u="none" strike="noStrike" kern="1200" spc="0" baseline="0">
                <a:solidFill>
                  <a:sysClr val="windowText" lastClr="000000">
                    <a:lumOff val="35000"/>
                    <a:lumMod val="65000"/>
                  </a:sysClr>
                </a:solidFill>
              </a:rPr>
              <a:t>Running balance (with inflation)</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'LEM economic evaluation_v5'!$AF$2:$AF$27</c:f>
              <c:numCache>
                <c:formatCode>General</c:formatCode>
                <c:ptCount val="26"/>
                <c:pt idx="0">
                  <c:v>-303212.80000000005</c:v>
                </c:pt>
                <c:pt idx="1">
                  <c:v>-277508.41225259192</c:v>
                </c:pt>
                <c:pt idx="2">
                  <c:v>-252676.18092262649</c:v>
                </c:pt>
                <c:pt idx="3">
                  <c:v>-228686.51352091625</c:v>
                </c:pt>
                <c:pt idx="4">
                  <c:v>-205510.82163896246</c:v>
                </c:pt>
                <c:pt idx="5">
                  <c:v>-183121.48688024178</c:v>
                </c:pt>
                <c:pt idx="6">
                  <c:v>-161491.82794745319</c:v>
                </c:pt>
                <c:pt idx="7">
                  <c:v>-140596.06884650284</c:v>
                </c:pt>
                <c:pt idx="8">
                  <c:v>-120409.30816933591</c:v>
                </c:pt>
                <c:pt idx="9">
                  <c:v>-100907.48941900971</c:v>
                </c:pt>
                <c:pt idx="10">
                  <c:v>-82067.37234164463</c:v>
                </c:pt>
                <c:pt idx="11">
                  <c:v>-63866.505231089293</c:v>
                </c:pt>
                <c:pt idx="12">
                  <c:v>-46283.198173295503</c:v>
                </c:pt>
                <c:pt idx="13">
                  <c:v>-29296.497198518275</c:v>
                </c:pt>
                <c:pt idx="14">
                  <c:v>-12886.159310538391</c:v>
                </c:pt>
                <c:pt idx="15">
                  <c:v>2967.3716368502828</c:v>
                </c:pt>
                <c:pt idx="16">
                  <c:v>18282.988244836513</c:v>
                </c:pt>
                <c:pt idx="17">
                  <c:v>33078.942083843009</c:v>
                </c:pt>
                <c:pt idx="18">
                  <c:v>47372.865443863418</c:v>
                </c:pt>
                <c:pt idx="19">
                  <c:v>61181.792346804912</c:v>
                </c:pt>
                <c:pt idx="20">
                  <c:v>74522.178845876566</c:v>
                </c:pt>
                <c:pt idx="21">
                  <c:v>87409.922636214411</c:v>
                </c:pt>
                <c:pt idx="22">
                  <c:v>99860.382000112877</c:v>
                </c:pt>
                <c:pt idx="23">
                  <c:v>111888.39410943986</c:v>
                </c:pt>
                <c:pt idx="24">
                  <c:v>123508.29270704606</c:v>
                </c:pt>
                <c:pt idx="25">
                  <c:v>134733.92518823961</c:v>
                </c:pt>
              </c:numCache>
            </c:numRef>
          </c:val>
          <c:extLst>
            <c:ext xmlns:c16="http://schemas.microsoft.com/office/drawing/2014/chart" uri="{C3380CC4-5D6E-409C-BE32-E72D297353CC}">
              <c16:uniqueId val="{00000000-5898-4B79-A363-92D0812C6372}"/>
            </c:ext>
          </c:extLst>
        </c:ser>
        <c:dLbls>
          <c:showLegendKey val="0"/>
          <c:showVal val="0"/>
          <c:showCatName val="0"/>
          <c:showSerName val="0"/>
          <c:showPercent val="0"/>
          <c:showBubbleSize val="0"/>
        </c:dLbls>
        <c:gapWidth val="219"/>
        <c:overlap val="-27"/>
        <c:axId val="369858927"/>
        <c:axId val="275633471"/>
      </c:barChart>
      <c:catAx>
        <c:axId val="3698589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633471"/>
        <c:crosses val="autoZero"/>
        <c:auto val="1"/>
        <c:lblAlgn val="ctr"/>
        <c:lblOffset val="100"/>
        <c:noMultiLvlLbl val="0"/>
      </c:catAx>
      <c:valAx>
        <c:axId val="27563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85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Cons - Payback - </a:t>
            </a:r>
            <a:r>
              <a:rPr lang="en-US" sz="1400" b="0" i="0" u="none" strike="noStrike" kern="1200" spc="0" baseline="0">
                <a:solidFill>
                  <a:sysClr val="windowText" lastClr="000000">
                    <a:lumOff val="35000"/>
                    <a:lumMod val="65000"/>
                  </a:sysClr>
                </a:solidFill>
              </a:rPr>
              <a:t>Running balance (with inflation)</a:t>
            </a:r>
            <a:endParaRPr lang="en-US" sz="1400" b="0" i="0" u="none" strike="noStrike" kern="1200" spc="0" baseline="0">
              <a:solidFill>
                <a:sysClr val="windowText" lastClr="000000">
                  <a:lumMod val="65000"/>
                  <a:lumOff val="35000"/>
                </a:sys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val>
            <c:numRef>
              <c:f>'LEM economic evaluation_v5'!$AF$31:$AF$56</c:f>
              <c:numCache>
                <c:formatCode>General</c:formatCode>
                <c:ptCount val="26"/>
                <c:pt idx="0">
                  <c:v>-11000</c:v>
                </c:pt>
                <c:pt idx="1">
                  <c:v>-6473.886227144204</c:v>
                </c:pt>
                <c:pt idx="2">
                  <c:v>18358.345102821222</c:v>
                </c:pt>
                <c:pt idx="3">
                  <c:v>22582.525235026824</c:v>
                </c:pt>
                <c:pt idx="4">
                  <c:v>45758.217116980632</c:v>
                </c:pt>
                <c:pt idx="5">
                  <c:v>68147.55187570132</c:v>
                </c:pt>
                <c:pt idx="6">
                  <c:v>89777.210808489923</c:v>
                </c:pt>
                <c:pt idx="7">
                  <c:v>110672.96990944027</c:v>
                </c:pt>
                <c:pt idx="8">
                  <c:v>130859.7305866072</c:v>
                </c:pt>
                <c:pt idx="9">
                  <c:v>150361.54933693339</c:v>
                </c:pt>
                <c:pt idx="10">
                  <c:v>169201.66641429847</c:v>
                </c:pt>
                <c:pt idx="11">
                  <c:v>187402.53352485382</c:v>
                </c:pt>
                <c:pt idx="12">
                  <c:v>204985.84058264762</c:v>
                </c:pt>
                <c:pt idx="13">
                  <c:v>221972.54155742485</c:v>
                </c:pt>
                <c:pt idx="14">
                  <c:v>238382.87944540475</c:v>
                </c:pt>
                <c:pt idx="15">
                  <c:v>254236.41039279342</c:v>
                </c:pt>
                <c:pt idx="16">
                  <c:v>269552.02700077964</c:v>
                </c:pt>
                <c:pt idx="17">
                  <c:v>284347.98083978612</c:v>
                </c:pt>
                <c:pt idx="18">
                  <c:v>298641.90419980651</c:v>
                </c:pt>
                <c:pt idx="19">
                  <c:v>312450.83110274799</c:v>
                </c:pt>
                <c:pt idx="20">
                  <c:v>325791.21760181966</c:v>
                </c:pt>
                <c:pt idx="21">
                  <c:v>338678.96139215748</c:v>
                </c:pt>
                <c:pt idx="22">
                  <c:v>351129.42075605597</c:v>
                </c:pt>
                <c:pt idx="23">
                  <c:v>363157.43286538299</c:v>
                </c:pt>
                <c:pt idx="24">
                  <c:v>374777.33146298915</c:v>
                </c:pt>
                <c:pt idx="25">
                  <c:v>386002.96394418267</c:v>
                </c:pt>
              </c:numCache>
            </c:numRef>
          </c:val>
          <c:extLst>
            <c:ext xmlns:c16="http://schemas.microsoft.com/office/drawing/2014/chart" uri="{C3380CC4-5D6E-409C-BE32-E72D297353CC}">
              <c16:uniqueId val="{00000000-0F4D-468B-B5C2-9AF9EE3EE039}"/>
            </c:ext>
          </c:extLst>
        </c:ser>
        <c:dLbls>
          <c:showLegendKey val="0"/>
          <c:showVal val="0"/>
          <c:showCatName val="0"/>
          <c:showSerName val="0"/>
          <c:showPercent val="0"/>
          <c:showBubbleSize val="0"/>
        </c:dLbls>
        <c:gapWidth val="219"/>
        <c:overlap val="-27"/>
        <c:axId val="158101007"/>
        <c:axId val="165725311"/>
      </c:barChart>
      <c:catAx>
        <c:axId val="1581010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25311"/>
        <c:crosses val="autoZero"/>
        <c:auto val="1"/>
        <c:lblAlgn val="ctr"/>
        <c:lblOffset val="100"/>
        <c:noMultiLvlLbl val="0"/>
      </c:catAx>
      <c:valAx>
        <c:axId val="16572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0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Pros</a:t>
            </a:r>
            <a:r>
              <a:rPr lang="en-US" baseline="0"/>
              <a:t> - </a:t>
            </a:r>
            <a:r>
              <a:rPr lang="en-US"/>
              <a:t>Payback</a:t>
            </a:r>
            <a:r>
              <a:rPr lang="en-US" baseline="0"/>
              <a:t> - </a:t>
            </a:r>
            <a:r>
              <a:rPr lang="en-US" sz="1400" b="0" i="0" u="none" strike="noStrike" kern="1200" spc="0" baseline="0">
                <a:solidFill>
                  <a:sysClr val="windowText" lastClr="000000">
                    <a:lumOff val="35000"/>
                    <a:lumMod val="65000"/>
                  </a:sysClr>
                </a:solidFill>
              </a:rPr>
              <a:t>Running balance (with inflation)</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'LEM economic evaluation_v4'!$AE$2:$AE$27</c:f>
              <c:numCache>
                <c:formatCode>General</c:formatCode>
                <c:ptCount val="26"/>
                <c:pt idx="0">
                  <c:v>-538600</c:v>
                </c:pt>
                <c:pt idx="1">
                  <c:v>-512895.61225259188</c:v>
                </c:pt>
                <c:pt idx="2">
                  <c:v>-488063.38092262647</c:v>
                </c:pt>
                <c:pt idx="3">
                  <c:v>-464073.71352091624</c:v>
                </c:pt>
                <c:pt idx="4">
                  <c:v>-440898.02163896244</c:v>
                </c:pt>
                <c:pt idx="5">
                  <c:v>-418508.68688024173</c:v>
                </c:pt>
                <c:pt idx="6">
                  <c:v>-396879.02794745314</c:v>
                </c:pt>
                <c:pt idx="7">
                  <c:v>-375983.26884650282</c:v>
                </c:pt>
                <c:pt idx="8">
                  <c:v>-355796.5081693359</c:v>
                </c:pt>
                <c:pt idx="9">
                  <c:v>-336294.68941900972</c:v>
                </c:pt>
                <c:pt idx="10">
                  <c:v>-317454.57234164467</c:v>
                </c:pt>
                <c:pt idx="11">
                  <c:v>-299253.70523108932</c:v>
                </c:pt>
                <c:pt idx="12">
                  <c:v>-281670.39817329554</c:v>
                </c:pt>
                <c:pt idx="13">
                  <c:v>-264683.69719851832</c:v>
                </c:pt>
                <c:pt idx="14">
                  <c:v>-248273.35931053845</c:v>
                </c:pt>
                <c:pt idx="15">
                  <c:v>-232419.82836314978</c:v>
                </c:pt>
                <c:pt idx="16">
                  <c:v>-217104.21175516356</c:v>
                </c:pt>
                <c:pt idx="17">
                  <c:v>-202308.25791615708</c:v>
                </c:pt>
                <c:pt idx="18">
                  <c:v>-188014.33455613666</c:v>
                </c:pt>
                <c:pt idx="19">
                  <c:v>-174205.40765319517</c:v>
                </c:pt>
                <c:pt idx="20">
                  <c:v>-160865.02115412353</c:v>
                </c:pt>
                <c:pt idx="21">
                  <c:v>-147977.27736378569</c:v>
                </c:pt>
                <c:pt idx="22">
                  <c:v>-135526.81799988722</c:v>
                </c:pt>
                <c:pt idx="23">
                  <c:v>-123498.80589056024</c:v>
                </c:pt>
                <c:pt idx="24">
                  <c:v>-111878.90729295404</c:v>
                </c:pt>
                <c:pt idx="25">
                  <c:v>-100653.27481176051</c:v>
                </c:pt>
              </c:numCache>
            </c:numRef>
          </c:val>
          <c:extLst>
            <c:ext xmlns:c16="http://schemas.microsoft.com/office/drawing/2014/chart" uri="{C3380CC4-5D6E-409C-BE32-E72D297353CC}">
              <c16:uniqueId val="{00000000-A6A3-4273-9958-1B2157116D14}"/>
            </c:ext>
          </c:extLst>
        </c:ser>
        <c:dLbls>
          <c:showLegendKey val="0"/>
          <c:showVal val="0"/>
          <c:showCatName val="0"/>
          <c:showSerName val="0"/>
          <c:showPercent val="0"/>
          <c:showBubbleSize val="0"/>
        </c:dLbls>
        <c:gapWidth val="219"/>
        <c:overlap val="-27"/>
        <c:axId val="369858927"/>
        <c:axId val="275633471"/>
      </c:barChart>
      <c:catAx>
        <c:axId val="3698589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633471"/>
        <c:crosses val="autoZero"/>
        <c:auto val="1"/>
        <c:lblAlgn val="ctr"/>
        <c:lblOffset val="100"/>
        <c:noMultiLvlLbl val="0"/>
      </c:catAx>
      <c:valAx>
        <c:axId val="27563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85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Cons - Payback - </a:t>
            </a:r>
            <a:r>
              <a:rPr lang="en-US" sz="1400" b="0" i="0" u="none" strike="noStrike" kern="1200" spc="0" baseline="0">
                <a:solidFill>
                  <a:sysClr val="windowText" lastClr="000000">
                    <a:lumOff val="35000"/>
                    <a:lumMod val="65000"/>
                  </a:sysClr>
                </a:solidFill>
              </a:rPr>
              <a:t>Running balance (with inflation)</a:t>
            </a:r>
            <a:endParaRPr lang="en-US" sz="1400" b="0" i="0" u="none" strike="noStrike" kern="1200" spc="0" baseline="0">
              <a:solidFill>
                <a:sysClr val="windowText" lastClr="000000">
                  <a:lumMod val="65000"/>
                  <a:lumOff val="35000"/>
                </a:sys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val>
            <c:numRef>
              <c:f>'LEM economic evaluation_v4'!$AE$31:$AE$56</c:f>
              <c:numCache>
                <c:formatCode>General</c:formatCode>
                <c:ptCount val="26"/>
                <c:pt idx="0">
                  <c:v>-11000</c:v>
                </c:pt>
                <c:pt idx="1">
                  <c:v>-6473.886227144204</c:v>
                </c:pt>
                <c:pt idx="2">
                  <c:v>18358.345102821222</c:v>
                </c:pt>
                <c:pt idx="3">
                  <c:v>22582.525235026824</c:v>
                </c:pt>
                <c:pt idx="4">
                  <c:v>45758.217116980632</c:v>
                </c:pt>
                <c:pt idx="5">
                  <c:v>68147.55187570132</c:v>
                </c:pt>
                <c:pt idx="6">
                  <c:v>89777.210808489923</c:v>
                </c:pt>
                <c:pt idx="7">
                  <c:v>110672.96990944027</c:v>
                </c:pt>
                <c:pt idx="8">
                  <c:v>130859.7305866072</c:v>
                </c:pt>
                <c:pt idx="9">
                  <c:v>150361.54933693339</c:v>
                </c:pt>
                <c:pt idx="10">
                  <c:v>169201.66641429847</c:v>
                </c:pt>
                <c:pt idx="11">
                  <c:v>187402.53352485382</c:v>
                </c:pt>
                <c:pt idx="12">
                  <c:v>204985.84058264762</c:v>
                </c:pt>
                <c:pt idx="13">
                  <c:v>221972.54155742485</c:v>
                </c:pt>
                <c:pt idx="14">
                  <c:v>238382.87944540475</c:v>
                </c:pt>
                <c:pt idx="15">
                  <c:v>254236.41039279342</c:v>
                </c:pt>
                <c:pt idx="16">
                  <c:v>269552.02700077964</c:v>
                </c:pt>
                <c:pt idx="17">
                  <c:v>284347.98083978612</c:v>
                </c:pt>
                <c:pt idx="18">
                  <c:v>298641.90419980651</c:v>
                </c:pt>
                <c:pt idx="19">
                  <c:v>312450.83110274799</c:v>
                </c:pt>
                <c:pt idx="20">
                  <c:v>325791.21760181966</c:v>
                </c:pt>
                <c:pt idx="21">
                  <c:v>338678.96139215748</c:v>
                </c:pt>
                <c:pt idx="22">
                  <c:v>351129.42075605597</c:v>
                </c:pt>
                <c:pt idx="23">
                  <c:v>363157.43286538299</c:v>
                </c:pt>
                <c:pt idx="24">
                  <c:v>374777.33146298915</c:v>
                </c:pt>
                <c:pt idx="25">
                  <c:v>386002.96394418267</c:v>
                </c:pt>
              </c:numCache>
            </c:numRef>
          </c:val>
          <c:extLst>
            <c:ext xmlns:c16="http://schemas.microsoft.com/office/drawing/2014/chart" uri="{C3380CC4-5D6E-409C-BE32-E72D297353CC}">
              <c16:uniqueId val="{00000000-ED83-430C-B5E7-2A465BE805D2}"/>
            </c:ext>
          </c:extLst>
        </c:ser>
        <c:dLbls>
          <c:showLegendKey val="0"/>
          <c:showVal val="0"/>
          <c:showCatName val="0"/>
          <c:showSerName val="0"/>
          <c:showPercent val="0"/>
          <c:showBubbleSize val="0"/>
        </c:dLbls>
        <c:gapWidth val="219"/>
        <c:overlap val="-27"/>
        <c:axId val="158101007"/>
        <c:axId val="165725311"/>
      </c:barChart>
      <c:catAx>
        <c:axId val="1581010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25311"/>
        <c:crosses val="autoZero"/>
        <c:auto val="1"/>
        <c:lblAlgn val="ctr"/>
        <c:lblOffset val="100"/>
        <c:noMultiLvlLbl val="0"/>
      </c:catAx>
      <c:valAx>
        <c:axId val="16572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0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Pros</a:t>
            </a:r>
            <a:r>
              <a:rPr lang="en-US" baseline="0"/>
              <a:t> - </a:t>
            </a:r>
            <a:r>
              <a:rPr lang="en-US"/>
              <a:t>Payback</a:t>
            </a:r>
            <a:r>
              <a:rPr lang="en-US" baseline="0"/>
              <a:t> - </a:t>
            </a:r>
            <a:r>
              <a:rPr lang="en-US" sz="1400" b="0" i="0" u="none" strike="noStrike" kern="1200" spc="0" baseline="0">
                <a:solidFill>
                  <a:sysClr val="windowText" lastClr="000000">
                    <a:lumOff val="35000"/>
                    <a:lumMod val="65000"/>
                  </a:sysClr>
                </a:solidFill>
              </a:rPr>
              <a:t>Running balance (with inflation)</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'LEM economic evaluation_v3'!$AE$2:$AE$27</c:f>
              <c:numCache>
                <c:formatCode>General</c:formatCode>
                <c:ptCount val="26"/>
                <c:pt idx="0">
                  <c:v>-558400</c:v>
                </c:pt>
                <c:pt idx="1">
                  <c:v>-532695.61225259188</c:v>
                </c:pt>
                <c:pt idx="2">
                  <c:v>-507863.38092262647</c:v>
                </c:pt>
                <c:pt idx="3">
                  <c:v>-483873.71352091624</c:v>
                </c:pt>
                <c:pt idx="4">
                  <c:v>-460698.02163896244</c:v>
                </c:pt>
                <c:pt idx="5">
                  <c:v>-438308.68688024173</c:v>
                </c:pt>
                <c:pt idx="6">
                  <c:v>-416679.02794745314</c:v>
                </c:pt>
                <c:pt idx="7">
                  <c:v>-395783.26884650282</c:v>
                </c:pt>
                <c:pt idx="8">
                  <c:v>-375596.5081693359</c:v>
                </c:pt>
                <c:pt idx="9">
                  <c:v>-356094.68941900972</c:v>
                </c:pt>
                <c:pt idx="10">
                  <c:v>-337254.57234164467</c:v>
                </c:pt>
                <c:pt idx="11">
                  <c:v>-319053.70523108932</c:v>
                </c:pt>
                <c:pt idx="12">
                  <c:v>-301470.39817329554</c:v>
                </c:pt>
                <c:pt idx="13">
                  <c:v>-284483.69719851832</c:v>
                </c:pt>
                <c:pt idx="14">
                  <c:v>-268073.35931053845</c:v>
                </c:pt>
                <c:pt idx="15">
                  <c:v>-252219.82836314978</c:v>
                </c:pt>
                <c:pt idx="16">
                  <c:v>-236904.21175516356</c:v>
                </c:pt>
                <c:pt idx="17">
                  <c:v>-222108.25791615708</c:v>
                </c:pt>
                <c:pt idx="18">
                  <c:v>-207814.33455613666</c:v>
                </c:pt>
                <c:pt idx="19">
                  <c:v>-194005.40765319517</c:v>
                </c:pt>
                <c:pt idx="20">
                  <c:v>-180665.02115412353</c:v>
                </c:pt>
                <c:pt idx="21">
                  <c:v>-167777.27736378569</c:v>
                </c:pt>
                <c:pt idx="22">
                  <c:v>-155326.81799988722</c:v>
                </c:pt>
                <c:pt idx="23">
                  <c:v>-143298.80589056024</c:v>
                </c:pt>
                <c:pt idx="24">
                  <c:v>-131678.90729295404</c:v>
                </c:pt>
                <c:pt idx="25">
                  <c:v>-120453.27481176051</c:v>
                </c:pt>
              </c:numCache>
            </c:numRef>
          </c:val>
          <c:extLst>
            <c:ext xmlns:c16="http://schemas.microsoft.com/office/drawing/2014/chart" uri="{C3380CC4-5D6E-409C-BE32-E72D297353CC}">
              <c16:uniqueId val="{00000000-C0FC-425E-AC86-B5CB6CF34FB1}"/>
            </c:ext>
          </c:extLst>
        </c:ser>
        <c:dLbls>
          <c:showLegendKey val="0"/>
          <c:showVal val="0"/>
          <c:showCatName val="0"/>
          <c:showSerName val="0"/>
          <c:showPercent val="0"/>
          <c:showBubbleSize val="0"/>
        </c:dLbls>
        <c:gapWidth val="219"/>
        <c:overlap val="-27"/>
        <c:axId val="369858927"/>
        <c:axId val="275633471"/>
      </c:barChart>
      <c:catAx>
        <c:axId val="3698589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633471"/>
        <c:crosses val="autoZero"/>
        <c:auto val="1"/>
        <c:lblAlgn val="ctr"/>
        <c:lblOffset val="100"/>
        <c:noMultiLvlLbl val="0"/>
      </c:catAx>
      <c:valAx>
        <c:axId val="27563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85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Cons - Payback - </a:t>
            </a:r>
            <a:r>
              <a:rPr lang="en-US" sz="1400" b="0" i="0" u="none" strike="noStrike" kern="1200" spc="0" baseline="0">
                <a:solidFill>
                  <a:sysClr val="windowText" lastClr="000000">
                    <a:lumOff val="35000"/>
                    <a:lumMod val="65000"/>
                  </a:sysClr>
                </a:solidFill>
              </a:rPr>
              <a:t>Running balance (with inflation)</a:t>
            </a:r>
            <a:endParaRPr lang="en-US" sz="1400" b="0" i="0" u="none" strike="noStrike" kern="1200" spc="0" baseline="0">
              <a:solidFill>
                <a:sysClr val="windowText" lastClr="000000">
                  <a:lumMod val="65000"/>
                  <a:lumOff val="35000"/>
                </a:sys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val>
            <c:numRef>
              <c:f>'LEM economic evaluation_v3'!$AE$31:$AE$56</c:f>
              <c:numCache>
                <c:formatCode>General</c:formatCode>
                <c:ptCount val="26"/>
                <c:pt idx="0">
                  <c:v>-11000</c:v>
                </c:pt>
                <c:pt idx="1">
                  <c:v>-6473.886227144204</c:v>
                </c:pt>
                <c:pt idx="2">
                  <c:v>18358.345102821222</c:v>
                </c:pt>
                <c:pt idx="3">
                  <c:v>22582.525235026824</c:v>
                </c:pt>
                <c:pt idx="4">
                  <c:v>45758.217116980632</c:v>
                </c:pt>
                <c:pt idx="5">
                  <c:v>68147.55187570132</c:v>
                </c:pt>
                <c:pt idx="6">
                  <c:v>89777.210808489923</c:v>
                </c:pt>
                <c:pt idx="7">
                  <c:v>110672.96990944027</c:v>
                </c:pt>
                <c:pt idx="8">
                  <c:v>130859.7305866072</c:v>
                </c:pt>
                <c:pt idx="9">
                  <c:v>150361.54933693339</c:v>
                </c:pt>
                <c:pt idx="10">
                  <c:v>169201.66641429847</c:v>
                </c:pt>
                <c:pt idx="11">
                  <c:v>187402.53352485382</c:v>
                </c:pt>
                <c:pt idx="12">
                  <c:v>204985.84058264762</c:v>
                </c:pt>
                <c:pt idx="13">
                  <c:v>221972.54155742485</c:v>
                </c:pt>
                <c:pt idx="14">
                  <c:v>238382.87944540475</c:v>
                </c:pt>
                <c:pt idx="15">
                  <c:v>254236.41039279342</c:v>
                </c:pt>
                <c:pt idx="16">
                  <c:v>269552.02700077964</c:v>
                </c:pt>
                <c:pt idx="17">
                  <c:v>284347.98083978612</c:v>
                </c:pt>
                <c:pt idx="18">
                  <c:v>298641.90419980651</c:v>
                </c:pt>
                <c:pt idx="19">
                  <c:v>312450.83110274799</c:v>
                </c:pt>
                <c:pt idx="20">
                  <c:v>325791.21760181966</c:v>
                </c:pt>
                <c:pt idx="21">
                  <c:v>338678.96139215748</c:v>
                </c:pt>
                <c:pt idx="22">
                  <c:v>351129.42075605597</c:v>
                </c:pt>
                <c:pt idx="23">
                  <c:v>363157.43286538299</c:v>
                </c:pt>
                <c:pt idx="24">
                  <c:v>374777.33146298915</c:v>
                </c:pt>
                <c:pt idx="25">
                  <c:v>386002.96394418267</c:v>
                </c:pt>
              </c:numCache>
            </c:numRef>
          </c:val>
          <c:extLst>
            <c:ext xmlns:c16="http://schemas.microsoft.com/office/drawing/2014/chart" uri="{C3380CC4-5D6E-409C-BE32-E72D297353CC}">
              <c16:uniqueId val="{00000000-F15C-48C1-8EB3-E07515BA4A03}"/>
            </c:ext>
          </c:extLst>
        </c:ser>
        <c:dLbls>
          <c:showLegendKey val="0"/>
          <c:showVal val="0"/>
          <c:showCatName val="0"/>
          <c:showSerName val="0"/>
          <c:showPercent val="0"/>
          <c:showBubbleSize val="0"/>
        </c:dLbls>
        <c:gapWidth val="219"/>
        <c:overlap val="-27"/>
        <c:axId val="158101007"/>
        <c:axId val="165725311"/>
      </c:barChart>
      <c:catAx>
        <c:axId val="1581010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25311"/>
        <c:crosses val="autoZero"/>
        <c:auto val="1"/>
        <c:lblAlgn val="ctr"/>
        <c:lblOffset val="100"/>
        <c:noMultiLvlLbl val="0"/>
      </c:catAx>
      <c:valAx>
        <c:axId val="16572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0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Prosumers'</a:t>
            </a:r>
            <a:r>
              <a:rPr lang="en-US" b="1" baseline="0"/>
              <a:t> related economic results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'Final - Indiv_agent_BARchart '!$A$32</c:f>
              <c:strCache>
                <c:ptCount val="1"/>
                <c:pt idx="0">
                  <c:v>Total income </c:v>
                </c:pt>
              </c:strCache>
            </c:strRef>
          </c:tx>
          <c:spPr>
            <a:solidFill>
              <a:schemeClr val="accent1"/>
            </a:solidFill>
            <a:ln>
              <a:noFill/>
            </a:ln>
            <a:effectLst/>
          </c:spPr>
          <c:invertIfNegative val="0"/>
          <c:cat>
            <c:strRef>
              <c:f>'Final - Indiv_agent_BARchart '!$B$31:$E$31</c:f>
              <c:strCache>
                <c:ptCount val="4"/>
                <c:pt idx="0">
                  <c:v>P1</c:v>
                </c:pt>
                <c:pt idx="1">
                  <c:v>P2</c:v>
                </c:pt>
                <c:pt idx="2">
                  <c:v>P3</c:v>
                </c:pt>
                <c:pt idx="3">
                  <c:v>P4</c:v>
                </c:pt>
              </c:strCache>
            </c:strRef>
          </c:cat>
          <c:val>
            <c:numRef>
              <c:f>'Final - Indiv_agent_BARchart '!$B$32:$E$32</c:f>
              <c:numCache>
                <c:formatCode>General</c:formatCode>
                <c:ptCount val="4"/>
                <c:pt idx="0">
                  <c:v>269.49299999999999</c:v>
                </c:pt>
                <c:pt idx="1">
                  <c:v>415.81700000000001</c:v>
                </c:pt>
                <c:pt idx="2">
                  <c:v>1113.77</c:v>
                </c:pt>
                <c:pt idx="3">
                  <c:v>522.29200000000003</c:v>
                </c:pt>
              </c:numCache>
            </c:numRef>
          </c:val>
          <c:extLst>
            <c:ext xmlns:c16="http://schemas.microsoft.com/office/drawing/2014/chart" uri="{C3380CC4-5D6E-409C-BE32-E72D297353CC}">
              <c16:uniqueId val="{00000000-FC75-402F-B687-D7C4F4BAD88A}"/>
            </c:ext>
          </c:extLst>
        </c:ser>
        <c:ser>
          <c:idx val="1"/>
          <c:order val="1"/>
          <c:tx>
            <c:strRef>
              <c:f>'Final - Indiv_agent_BARchart '!$A$33</c:f>
              <c:strCache>
                <c:ptCount val="1"/>
                <c:pt idx="0">
                  <c:v>Income from NESO </c:v>
                </c:pt>
              </c:strCache>
            </c:strRef>
          </c:tx>
          <c:spPr>
            <a:solidFill>
              <a:schemeClr val="accent2"/>
            </a:solidFill>
            <a:ln>
              <a:noFill/>
            </a:ln>
            <a:effectLst/>
          </c:spPr>
          <c:invertIfNegative val="0"/>
          <c:cat>
            <c:strRef>
              <c:f>'Final - Indiv_agent_BARchart '!$B$31:$E$31</c:f>
              <c:strCache>
                <c:ptCount val="4"/>
                <c:pt idx="0">
                  <c:v>P1</c:v>
                </c:pt>
                <c:pt idx="1">
                  <c:v>P2</c:v>
                </c:pt>
                <c:pt idx="2">
                  <c:v>P3</c:v>
                </c:pt>
                <c:pt idx="3">
                  <c:v>P4</c:v>
                </c:pt>
              </c:strCache>
            </c:strRef>
          </c:cat>
          <c:val>
            <c:numRef>
              <c:f>'Final - Indiv_agent_BARchart '!$B$33:$E$33</c:f>
              <c:numCache>
                <c:formatCode>General</c:formatCode>
                <c:ptCount val="4"/>
                <c:pt idx="0">
                  <c:v>162.18899999999999</c:v>
                </c:pt>
                <c:pt idx="1">
                  <c:v>281.83300000000003</c:v>
                </c:pt>
                <c:pt idx="2">
                  <c:v>507.726</c:v>
                </c:pt>
                <c:pt idx="3">
                  <c:v>268.47300000000001</c:v>
                </c:pt>
              </c:numCache>
            </c:numRef>
          </c:val>
          <c:extLst>
            <c:ext xmlns:c16="http://schemas.microsoft.com/office/drawing/2014/chart" uri="{C3380CC4-5D6E-409C-BE32-E72D297353CC}">
              <c16:uniqueId val="{00000001-FC75-402F-B687-D7C4F4BAD88A}"/>
            </c:ext>
          </c:extLst>
        </c:ser>
        <c:ser>
          <c:idx val="2"/>
          <c:order val="2"/>
          <c:tx>
            <c:strRef>
              <c:f>'Final - Indiv_agent_BARchart '!$A$34</c:f>
              <c:strCache>
                <c:ptCount val="1"/>
                <c:pt idx="0">
                  <c:v>Income from LEM </c:v>
                </c:pt>
              </c:strCache>
            </c:strRef>
          </c:tx>
          <c:spPr>
            <a:solidFill>
              <a:schemeClr val="accent3"/>
            </a:solidFill>
            <a:ln>
              <a:noFill/>
            </a:ln>
            <a:effectLst/>
          </c:spPr>
          <c:invertIfNegative val="0"/>
          <c:cat>
            <c:strRef>
              <c:f>'Final - Indiv_agent_BARchart '!$B$31:$E$31</c:f>
              <c:strCache>
                <c:ptCount val="4"/>
                <c:pt idx="0">
                  <c:v>P1</c:v>
                </c:pt>
                <c:pt idx="1">
                  <c:v>P2</c:v>
                </c:pt>
                <c:pt idx="2">
                  <c:v>P3</c:v>
                </c:pt>
                <c:pt idx="3">
                  <c:v>P4</c:v>
                </c:pt>
              </c:strCache>
            </c:strRef>
          </c:cat>
          <c:val>
            <c:numRef>
              <c:f>'Final - Indiv_agent_BARchart '!$B$34:$E$34</c:f>
              <c:numCache>
                <c:formatCode>General</c:formatCode>
                <c:ptCount val="4"/>
                <c:pt idx="0">
                  <c:v>107.304</c:v>
                </c:pt>
                <c:pt idx="1">
                  <c:v>133.98400000000001</c:v>
                </c:pt>
                <c:pt idx="2">
                  <c:v>606.04600000000005</c:v>
                </c:pt>
                <c:pt idx="3">
                  <c:v>253.81899999999999</c:v>
                </c:pt>
              </c:numCache>
            </c:numRef>
          </c:val>
          <c:extLst>
            <c:ext xmlns:c16="http://schemas.microsoft.com/office/drawing/2014/chart" uri="{C3380CC4-5D6E-409C-BE32-E72D297353CC}">
              <c16:uniqueId val="{00000002-FC75-402F-B687-D7C4F4BAD88A}"/>
            </c:ext>
          </c:extLst>
        </c:ser>
        <c:ser>
          <c:idx val="3"/>
          <c:order val="3"/>
          <c:tx>
            <c:strRef>
              <c:f>'Final - Indiv_agent_BARchart '!$A$35</c:f>
              <c:strCache>
                <c:ptCount val="1"/>
                <c:pt idx="0">
                  <c:v>Final profit </c:v>
                </c:pt>
              </c:strCache>
            </c:strRef>
          </c:tx>
          <c:spPr>
            <a:solidFill>
              <a:schemeClr val="accent4"/>
            </a:solidFill>
            <a:ln>
              <a:noFill/>
            </a:ln>
            <a:effectLst/>
          </c:spPr>
          <c:invertIfNegative val="0"/>
          <c:cat>
            <c:strRef>
              <c:f>'Final - Indiv_agent_BARchart '!$B$31:$E$31</c:f>
              <c:strCache>
                <c:ptCount val="4"/>
                <c:pt idx="0">
                  <c:v>P1</c:v>
                </c:pt>
                <c:pt idx="1">
                  <c:v>P2</c:v>
                </c:pt>
                <c:pt idx="2">
                  <c:v>P3</c:v>
                </c:pt>
                <c:pt idx="3">
                  <c:v>P4</c:v>
                </c:pt>
              </c:strCache>
            </c:strRef>
          </c:cat>
          <c:val>
            <c:numRef>
              <c:f>'Final - Indiv_agent_BARchart '!$B$35:$E$35</c:f>
              <c:numCache>
                <c:formatCode>General</c:formatCode>
                <c:ptCount val="4"/>
                <c:pt idx="0">
                  <c:v>242.89600000000002</c:v>
                </c:pt>
                <c:pt idx="1">
                  <c:v>271.02400000000006</c:v>
                </c:pt>
                <c:pt idx="2">
                  <c:v>448.50410000000011</c:v>
                </c:pt>
                <c:pt idx="3">
                  <c:v>367.07470000000001</c:v>
                </c:pt>
              </c:numCache>
            </c:numRef>
          </c:val>
          <c:extLst>
            <c:ext xmlns:c16="http://schemas.microsoft.com/office/drawing/2014/chart" uri="{C3380CC4-5D6E-409C-BE32-E72D297353CC}">
              <c16:uniqueId val="{00000003-FC75-402F-B687-D7C4F4BAD88A}"/>
            </c:ext>
          </c:extLst>
        </c:ser>
        <c:ser>
          <c:idx val="4"/>
          <c:order val="4"/>
          <c:tx>
            <c:strRef>
              <c:f>'Final - Indiv_agent_BARchart '!$A$36</c:f>
              <c:strCache>
                <c:ptCount val="1"/>
                <c:pt idx="0">
                  <c:v>Total pay </c:v>
                </c:pt>
              </c:strCache>
            </c:strRef>
          </c:tx>
          <c:spPr>
            <a:solidFill>
              <a:schemeClr val="accent6"/>
            </a:solidFill>
            <a:ln>
              <a:noFill/>
            </a:ln>
            <a:effectLst/>
          </c:spPr>
          <c:invertIfNegative val="0"/>
          <c:cat>
            <c:strRef>
              <c:f>'Final - Indiv_agent_BARchart '!$B$31:$E$31</c:f>
              <c:strCache>
                <c:ptCount val="4"/>
                <c:pt idx="0">
                  <c:v>P1</c:v>
                </c:pt>
                <c:pt idx="1">
                  <c:v>P2</c:v>
                </c:pt>
                <c:pt idx="2">
                  <c:v>P3</c:v>
                </c:pt>
                <c:pt idx="3">
                  <c:v>P4</c:v>
                </c:pt>
              </c:strCache>
            </c:strRef>
          </c:cat>
          <c:val>
            <c:numRef>
              <c:f>'Final - Indiv_agent_BARchart '!$B$36:$E$36</c:f>
              <c:numCache>
                <c:formatCode>General</c:formatCode>
                <c:ptCount val="4"/>
                <c:pt idx="0">
                  <c:v>112.43</c:v>
                </c:pt>
                <c:pt idx="1">
                  <c:v>496.70499999999998</c:v>
                </c:pt>
                <c:pt idx="2">
                  <c:v>1466.2658999999999</c:v>
                </c:pt>
                <c:pt idx="3">
                  <c:v>378.79830000000004</c:v>
                </c:pt>
              </c:numCache>
            </c:numRef>
          </c:val>
          <c:extLst>
            <c:ext xmlns:c16="http://schemas.microsoft.com/office/drawing/2014/chart" uri="{C3380CC4-5D6E-409C-BE32-E72D297353CC}">
              <c16:uniqueId val="{00000004-FC75-402F-B687-D7C4F4BAD88A}"/>
            </c:ext>
          </c:extLst>
        </c:ser>
        <c:dLbls>
          <c:showLegendKey val="0"/>
          <c:showVal val="0"/>
          <c:showCatName val="0"/>
          <c:showSerName val="0"/>
          <c:showPercent val="0"/>
          <c:showBubbleSize val="0"/>
        </c:dLbls>
        <c:gapWidth val="219"/>
        <c:overlap val="-27"/>
        <c:axId val="175570607"/>
        <c:axId val="98829679"/>
      </c:barChart>
      <c:catAx>
        <c:axId val="17557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98829679"/>
        <c:crosses val="autoZero"/>
        <c:auto val="1"/>
        <c:lblAlgn val="ctr"/>
        <c:lblOffset val="100"/>
        <c:noMultiLvlLbl val="0"/>
      </c:catAx>
      <c:valAx>
        <c:axId val="98829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Euro</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75570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Off val="35000"/>
                    <a:lumMod val="65000"/>
                  </a:sysClr>
                </a:solidFill>
              </a:rPr>
              <a:t>Running balance and payback period for prosumers</a:t>
            </a:r>
            <a:endParaRPr lang="en-US" sz="1400" b="1" i="0" u="none" strike="noStrike" kern="1200" spc="0" baseline="0">
              <a:solidFill>
                <a:sysClr val="windowText" lastClr="000000">
                  <a:lumMod val="65000"/>
                  <a:lumOff val="35000"/>
                </a:sysClr>
              </a:solidFill>
            </a:endParaRPr>
          </a:p>
        </c:rich>
      </c:tx>
      <c:layout>
        <c:manualLayout>
          <c:xMode val="edge"/>
          <c:yMode val="edge"/>
          <c:x val="0.26921318838803898"/>
          <c:y val="3.34512603385364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lumMod val="60000"/>
                <a:lumOff val="4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0E6-484A-9A53-A0B935F1593C}"/>
                </c:ext>
              </c:extLst>
            </c:dLbl>
            <c:dLbl>
              <c:idx val="2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0E6-484A-9A53-A0B935F1593C}"/>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'LEM economic evaluation_v8 (3)'!$AK$2:$AK$27</c:f>
              <c:numCache>
                <c:formatCode>General</c:formatCode>
                <c:ptCount val="26"/>
                <c:pt idx="0">
                  <c:v>-109929.99999999999</c:v>
                </c:pt>
                <c:pt idx="1">
                  <c:v>-96003.11423363525</c:v>
                </c:pt>
                <c:pt idx="2">
                  <c:v>-82548.771245394106</c:v>
                </c:pt>
                <c:pt idx="3">
                  <c:v>-69550.937538563594</c:v>
                </c:pt>
                <c:pt idx="4">
                  <c:v>-56994.123637054377</c:v>
                </c:pt>
                <c:pt idx="5">
                  <c:v>-44863.365626642553</c:v>
                </c:pt>
                <c:pt idx="6">
                  <c:v>-33144.207322521805</c:v>
                </c:pt>
                <c:pt idx="7">
                  <c:v>-21822.683041915046</c:v>
                </c:pt>
                <c:pt idx="8">
                  <c:v>-10885.300961215777</c:v>
                </c:pt>
                <c:pt idx="9">
                  <c:v>-319.02703782581193</c:v>
                </c:pt>
                <c:pt idx="10">
                  <c:v>9888.7305224708052</c:v>
                </c:pt>
                <c:pt idx="11">
                  <c:v>19750.136271107975</c:v>
                </c:pt>
                <c:pt idx="12">
                  <c:v>29276.942013193831</c:v>
                </c:pt>
                <c:pt idx="13">
                  <c:v>38480.500812098646</c:v>
                </c:pt>
                <c:pt idx="14">
                  <c:v>47371.780518863423</c:v>
                </c:pt>
                <c:pt idx="15">
                  <c:v>55961.376842552301</c:v>
                </c:pt>
                <c:pt idx="16">
                  <c:v>64259.525977124496</c:v>
                </c:pt>
                <c:pt idx="17">
                  <c:v>72276.116799873314</c:v>
                </c:pt>
                <c:pt idx="18">
                  <c:v>80020.702655969013</c:v>
                </c:pt>
                <c:pt idx="19">
                  <c:v>87502.512743149127</c:v>
                </c:pt>
                <c:pt idx="20">
                  <c:v>94730.46311012331</c:v>
                </c:pt>
                <c:pt idx="21">
                  <c:v>101713.1672817996</c:v>
                </c:pt>
                <c:pt idx="22">
                  <c:v>108458.94652399395</c:v>
                </c:pt>
                <c:pt idx="23">
                  <c:v>114975.83975985559</c:v>
                </c:pt>
                <c:pt idx="24">
                  <c:v>121271.6131498256</c:v>
                </c:pt>
                <c:pt idx="25">
                  <c:v>127353.76934654498</c:v>
                </c:pt>
              </c:numCache>
            </c:numRef>
          </c:val>
          <c:extLst>
            <c:ext xmlns:c16="http://schemas.microsoft.com/office/drawing/2014/chart" uri="{C3380CC4-5D6E-409C-BE32-E72D297353CC}">
              <c16:uniqueId val="{00000002-50E6-484A-9A53-A0B935F1593C}"/>
            </c:ext>
          </c:extLst>
        </c:ser>
        <c:dLbls>
          <c:showLegendKey val="0"/>
          <c:showVal val="0"/>
          <c:showCatName val="0"/>
          <c:showSerName val="0"/>
          <c:showPercent val="0"/>
          <c:showBubbleSize val="0"/>
        </c:dLbls>
        <c:gapWidth val="219"/>
        <c:overlap val="-27"/>
        <c:axId val="369858927"/>
        <c:axId val="275633471"/>
      </c:barChart>
      <c:catAx>
        <c:axId val="369858927"/>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i="0" u="none" strike="noStrike" kern="1200" baseline="0">
                    <a:solidFill>
                      <a:sysClr val="windowText" lastClr="000000">
                        <a:lumMod val="65000"/>
                        <a:lumOff val="35000"/>
                      </a:sysClr>
                    </a:solidFill>
                  </a:rPr>
                  <a:t>Time (Years)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275633471"/>
        <c:crosses val="autoZero"/>
        <c:auto val="1"/>
        <c:lblAlgn val="ctr"/>
        <c:lblOffset val="100"/>
        <c:noMultiLvlLbl val="0"/>
      </c:catAx>
      <c:valAx>
        <c:axId val="275633471"/>
        <c:scaling>
          <c:orientation val="minMax"/>
          <c:max val="130000"/>
          <c:min val="-11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rPr>
                  <a:t>Profit (Euro)</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69858927"/>
        <c:crosses val="autoZero"/>
        <c:crossBetween val="between"/>
        <c:majorUnit val="4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Prosumers' related electricity results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'Final - Indiv_agent_BARchart '!$A$39</c:f>
              <c:strCache>
                <c:ptCount val="1"/>
                <c:pt idx="0">
                  <c:v>Total generation </c:v>
                </c:pt>
              </c:strCache>
            </c:strRef>
          </c:tx>
          <c:spPr>
            <a:solidFill>
              <a:schemeClr val="accent1"/>
            </a:solidFill>
            <a:ln>
              <a:noFill/>
            </a:ln>
            <a:effectLst/>
          </c:spPr>
          <c:invertIfNegative val="0"/>
          <c:cat>
            <c:strRef>
              <c:f>'Final - Indiv_agent_BARchart '!$B$38:$E$38</c:f>
              <c:strCache>
                <c:ptCount val="4"/>
                <c:pt idx="0">
                  <c:v>P1</c:v>
                </c:pt>
                <c:pt idx="1">
                  <c:v>P2</c:v>
                </c:pt>
                <c:pt idx="2">
                  <c:v>P3</c:v>
                </c:pt>
                <c:pt idx="3">
                  <c:v>P4</c:v>
                </c:pt>
              </c:strCache>
            </c:strRef>
          </c:cat>
          <c:val>
            <c:numRef>
              <c:f>'Final - Indiv_agent_BARchart '!$B$39:$E$39</c:f>
              <c:numCache>
                <c:formatCode>General</c:formatCode>
                <c:ptCount val="4"/>
                <c:pt idx="0">
                  <c:v>3553.3</c:v>
                </c:pt>
                <c:pt idx="1">
                  <c:v>6995.57</c:v>
                </c:pt>
                <c:pt idx="2">
                  <c:v>17326.099999999999</c:v>
                </c:pt>
                <c:pt idx="3">
                  <c:v>6989.42</c:v>
                </c:pt>
              </c:numCache>
            </c:numRef>
          </c:val>
          <c:extLst>
            <c:ext xmlns:c16="http://schemas.microsoft.com/office/drawing/2014/chart" uri="{C3380CC4-5D6E-409C-BE32-E72D297353CC}">
              <c16:uniqueId val="{00000000-666B-4CB0-A7F6-B3F6EE1517B4}"/>
            </c:ext>
          </c:extLst>
        </c:ser>
        <c:ser>
          <c:idx val="1"/>
          <c:order val="1"/>
          <c:tx>
            <c:strRef>
              <c:f>'Final - Indiv_agent_BARchart '!$A$40</c:f>
              <c:strCache>
                <c:ptCount val="1"/>
                <c:pt idx="0">
                  <c:v>Initial demand</c:v>
                </c:pt>
              </c:strCache>
            </c:strRef>
          </c:tx>
          <c:spPr>
            <a:solidFill>
              <a:schemeClr val="accent2"/>
            </a:solidFill>
            <a:ln>
              <a:noFill/>
            </a:ln>
            <a:effectLst/>
          </c:spPr>
          <c:invertIfNegative val="0"/>
          <c:cat>
            <c:strRef>
              <c:f>'Final - Indiv_agent_BARchart '!$B$38:$E$38</c:f>
              <c:strCache>
                <c:ptCount val="4"/>
                <c:pt idx="0">
                  <c:v>P1</c:v>
                </c:pt>
                <c:pt idx="1">
                  <c:v>P2</c:v>
                </c:pt>
                <c:pt idx="2">
                  <c:v>P3</c:v>
                </c:pt>
                <c:pt idx="3">
                  <c:v>P4</c:v>
                </c:pt>
              </c:strCache>
            </c:strRef>
          </c:cat>
          <c:val>
            <c:numRef>
              <c:f>'Final - Indiv_agent_BARchart '!$B$40:$E$40</c:f>
              <c:numCache>
                <c:formatCode>General</c:formatCode>
                <c:ptCount val="4"/>
                <c:pt idx="0">
                  <c:v>1279.2</c:v>
                </c:pt>
                <c:pt idx="1">
                  <c:v>5476.9</c:v>
                </c:pt>
                <c:pt idx="2">
                  <c:v>14627.5</c:v>
                </c:pt>
                <c:pt idx="3">
                  <c:v>3886.32</c:v>
                </c:pt>
              </c:numCache>
            </c:numRef>
          </c:val>
          <c:extLst>
            <c:ext xmlns:c16="http://schemas.microsoft.com/office/drawing/2014/chart" uri="{C3380CC4-5D6E-409C-BE32-E72D297353CC}">
              <c16:uniqueId val="{00000001-666B-4CB0-A7F6-B3F6EE1517B4}"/>
            </c:ext>
          </c:extLst>
        </c:ser>
        <c:ser>
          <c:idx val="2"/>
          <c:order val="2"/>
          <c:tx>
            <c:strRef>
              <c:f>'Final - Indiv_agent_BARchart '!$A$41</c:f>
              <c:strCache>
                <c:ptCount val="1"/>
                <c:pt idx="0">
                  <c:v>Self consumption </c:v>
                </c:pt>
              </c:strCache>
            </c:strRef>
          </c:tx>
          <c:spPr>
            <a:solidFill>
              <a:schemeClr val="accent3"/>
            </a:solidFill>
            <a:ln>
              <a:noFill/>
            </a:ln>
            <a:effectLst/>
          </c:spPr>
          <c:invertIfNegative val="0"/>
          <c:cat>
            <c:strRef>
              <c:f>'Final - Indiv_agent_BARchart '!$B$38:$E$38</c:f>
              <c:strCache>
                <c:ptCount val="4"/>
                <c:pt idx="0">
                  <c:v>P1</c:v>
                </c:pt>
                <c:pt idx="1">
                  <c:v>P2</c:v>
                </c:pt>
                <c:pt idx="2">
                  <c:v>P3</c:v>
                </c:pt>
                <c:pt idx="3">
                  <c:v>P4</c:v>
                </c:pt>
              </c:strCache>
            </c:strRef>
          </c:cat>
          <c:val>
            <c:numRef>
              <c:f>'Final - Indiv_agent_BARchart '!$B$41:$E$41</c:f>
              <c:numCache>
                <c:formatCode>General</c:formatCode>
                <c:ptCount val="4"/>
                <c:pt idx="0">
                  <c:v>553.76199999999994</c:v>
                </c:pt>
                <c:pt idx="1">
                  <c:v>2270.4</c:v>
                </c:pt>
                <c:pt idx="2">
                  <c:v>5167.72</c:v>
                </c:pt>
                <c:pt idx="3">
                  <c:v>1442.46</c:v>
                </c:pt>
              </c:numCache>
            </c:numRef>
          </c:val>
          <c:extLst>
            <c:ext xmlns:c16="http://schemas.microsoft.com/office/drawing/2014/chart" uri="{C3380CC4-5D6E-409C-BE32-E72D297353CC}">
              <c16:uniqueId val="{00000002-666B-4CB0-A7F6-B3F6EE1517B4}"/>
            </c:ext>
          </c:extLst>
        </c:ser>
        <c:ser>
          <c:idx val="3"/>
          <c:order val="3"/>
          <c:tx>
            <c:strRef>
              <c:f>'Final - Indiv_agent_BARchart '!$A$42</c:f>
              <c:strCache>
                <c:ptCount val="1"/>
                <c:pt idx="0">
                  <c:v>Final demand for LEM</c:v>
                </c:pt>
              </c:strCache>
            </c:strRef>
          </c:tx>
          <c:spPr>
            <a:solidFill>
              <a:schemeClr val="accent4"/>
            </a:solidFill>
            <a:ln>
              <a:noFill/>
            </a:ln>
            <a:effectLst/>
          </c:spPr>
          <c:invertIfNegative val="0"/>
          <c:cat>
            <c:strRef>
              <c:f>'Final - Indiv_agent_BARchart '!$B$38:$E$38</c:f>
              <c:strCache>
                <c:ptCount val="4"/>
                <c:pt idx="0">
                  <c:v>P1</c:v>
                </c:pt>
                <c:pt idx="1">
                  <c:v>P2</c:v>
                </c:pt>
                <c:pt idx="2">
                  <c:v>P3</c:v>
                </c:pt>
                <c:pt idx="3">
                  <c:v>P4</c:v>
                </c:pt>
              </c:strCache>
            </c:strRef>
          </c:cat>
          <c:val>
            <c:numRef>
              <c:f>'Final - Indiv_agent_BARchart '!$B$42:$E$42</c:f>
              <c:numCache>
                <c:formatCode>General</c:formatCode>
                <c:ptCount val="4"/>
                <c:pt idx="0">
                  <c:v>725.43899999999996</c:v>
                </c:pt>
                <c:pt idx="1">
                  <c:v>3206.5</c:v>
                </c:pt>
                <c:pt idx="2">
                  <c:v>9459.7799999999988</c:v>
                </c:pt>
                <c:pt idx="3">
                  <c:v>2443.86</c:v>
                </c:pt>
              </c:numCache>
            </c:numRef>
          </c:val>
          <c:extLst>
            <c:ext xmlns:c16="http://schemas.microsoft.com/office/drawing/2014/chart" uri="{C3380CC4-5D6E-409C-BE32-E72D297353CC}">
              <c16:uniqueId val="{00000003-666B-4CB0-A7F6-B3F6EE1517B4}"/>
            </c:ext>
          </c:extLst>
        </c:ser>
        <c:ser>
          <c:idx val="4"/>
          <c:order val="4"/>
          <c:tx>
            <c:strRef>
              <c:f>'Final - Indiv_agent_BARchart '!$A$43</c:f>
              <c:strCache>
                <c:ptCount val="1"/>
                <c:pt idx="0">
                  <c:v>Sold in LEM </c:v>
                </c:pt>
              </c:strCache>
            </c:strRef>
          </c:tx>
          <c:spPr>
            <a:solidFill>
              <a:srgbClr val="7030A0"/>
            </a:solidFill>
            <a:ln>
              <a:noFill/>
            </a:ln>
            <a:effectLst/>
          </c:spPr>
          <c:invertIfNegative val="0"/>
          <c:cat>
            <c:strRef>
              <c:f>'Final - Indiv_agent_BARchart '!$B$38:$E$38</c:f>
              <c:strCache>
                <c:ptCount val="4"/>
                <c:pt idx="0">
                  <c:v>P1</c:v>
                </c:pt>
                <c:pt idx="1">
                  <c:v>P2</c:v>
                </c:pt>
                <c:pt idx="2">
                  <c:v>P3</c:v>
                </c:pt>
                <c:pt idx="3">
                  <c:v>P4</c:v>
                </c:pt>
              </c:strCache>
            </c:strRef>
          </c:cat>
          <c:val>
            <c:numRef>
              <c:f>'Final - Indiv_agent_BARchart '!$B$43:$E$43</c:f>
              <c:numCache>
                <c:formatCode>General</c:formatCode>
                <c:ptCount val="4"/>
                <c:pt idx="0">
                  <c:v>1135.29</c:v>
                </c:pt>
                <c:pt idx="1">
                  <c:v>1485.71</c:v>
                </c:pt>
                <c:pt idx="2">
                  <c:v>6319.47</c:v>
                </c:pt>
                <c:pt idx="3">
                  <c:v>2567.4899999999998</c:v>
                </c:pt>
              </c:numCache>
            </c:numRef>
          </c:val>
          <c:extLst>
            <c:ext xmlns:c16="http://schemas.microsoft.com/office/drawing/2014/chart" uri="{C3380CC4-5D6E-409C-BE32-E72D297353CC}">
              <c16:uniqueId val="{00000004-666B-4CB0-A7F6-B3F6EE1517B4}"/>
            </c:ext>
          </c:extLst>
        </c:ser>
        <c:ser>
          <c:idx val="5"/>
          <c:order val="5"/>
          <c:tx>
            <c:strRef>
              <c:f>'Final - Indiv_agent_BARchart '!$A$44</c:f>
              <c:strCache>
                <c:ptCount val="1"/>
                <c:pt idx="0">
                  <c:v>Sold to NESO </c:v>
                </c:pt>
              </c:strCache>
            </c:strRef>
          </c:tx>
          <c:spPr>
            <a:solidFill>
              <a:schemeClr val="accent6"/>
            </a:solidFill>
            <a:ln>
              <a:noFill/>
            </a:ln>
            <a:effectLst/>
          </c:spPr>
          <c:invertIfNegative val="0"/>
          <c:cat>
            <c:strRef>
              <c:f>'Final - Indiv_agent_BARchart '!$B$38:$E$38</c:f>
              <c:strCache>
                <c:ptCount val="4"/>
                <c:pt idx="0">
                  <c:v>P1</c:v>
                </c:pt>
                <c:pt idx="1">
                  <c:v>P2</c:v>
                </c:pt>
                <c:pt idx="2">
                  <c:v>P3</c:v>
                </c:pt>
                <c:pt idx="3">
                  <c:v>P4</c:v>
                </c:pt>
              </c:strCache>
            </c:strRef>
          </c:cat>
          <c:val>
            <c:numRef>
              <c:f>'Final - Indiv_agent_BARchart '!$B$44:$E$44</c:f>
              <c:numCache>
                <c:formatCode>General</c:formatCode>
                <c:ptCount val="4"/>
                <c:pt idx="0">
                  <c:v>1864.24</c:v>
                </c:pt>
                <c:pt idx="1">
                  <c:v>3239.46</c:v>
                </c:pt>
                <c:pt idx="2">
                  <c:v>5835.93</c:v>
                </c:pt>
                <c:pt idx="3">
                  <c:v>3085.9</c:v>
                </c:pt>
              </c:numCache>
            </c:numRef>
          </c:val>
          <c:extLst>
            <c:ext xmlns:c16="http://schemas.microsoft.com/office/drawing/2014/chart" uri="{C3380CC4-5D6E-409C-BE32-E72D297353CC}">
              <c16:uniqueId val="{00000005-666B-4CB0-A7F6-B3F6EE1517B4}"/>
            </c:ext>
          </c:extLst>
        </c:ser>
        <c:dLbls>
          <c:showLegendKey val="0"/>
          <c:showVal val="0"/>
          <c:showCatName val="0"/>
          <c:showSerName val="0"/>
          <c:showPercent val="0"/>
          <c:showBubbleSize val="0"/>
        </c:dLbls>
        <c:gapWidth val="219"/>
        <c:overlap val="-27"/>
        <c:axId val="180657423"/>
        <c:axId val="98831119"/>
      </c:barChart>
      <c:catAx>
        <c:axId val="18065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98831119"/>
        <c:crosses val="autoZero"/>
        <c:auto val="1"/>
        <c:lblAlgn val="ctr"/>
        <c:lblOffset val="100"/>
        <c:noMultiLvlLbl val="0"/>
      </c:catAx>
      <c:valAx>
        <c:axId val="98831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kWh</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80657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Consumers' related economic results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'Final - Indiv_agent_BARchart '!$G$32</c:f>
              <c:strCache>
                <c:ptCount val="1"/>
                <c:pt idx="0">
                  <c:v>Total pay</c:v>
                </c:pt>
              </c:strCache>
            </c:strRef>
          </c:tx>
          <c:spPr>
            <a:solidFill>
              <a:schemeClr val="accent1"/>
            </a:solidFill>
            <a:ln>
              <a:noFill/>
            </a:ln>
            <a:effectLst/>
          </c:spPr>
          <c:invertIfNegative val="0"/>
          <c:cat>
            <c:strRef>
              <c:f>'Final - Indiv_agent_BARchart '!$H$31:$K$31</c:f>
              <c:strCache>
                <c:ptCount val="4"/>
                <c:pt idx="0">
                  <c:v>C1</c:v>
                </c:pt>
                <c:pt idx="1">
                  <c:v>C2</c:v>
                </c:pt>
                <c:pt idx="2">
                  <c:v>C3</c:v>
                </c:pt>
                <c:pt idx="3">
                  <c:v>C4</c:v>
                </c:pt>
              </c:strCache>
            </c:strRef>
          </c:cat>
          <c:val>
            <c:numRef>
              <c:f>'Final - Indiv_agent_BARchart '!$H$32:$K$32</c:f>
              <c:numCache>
                <c:formatCode>General</c:formatCode>
                <c:ptCount val="4"/>
                <c:pt idx="0">
                  <c:v>383.90899999999999</c:v>
                </c:pt>
                <c:pt idx="1">
                  <c:v>1974.09</c:v>
                </c:pt>
                <c:pt idx="2">
                  <c:v>236.989</c:v>
                </c:pt>
                <c:pt idx="3">
                  <c:v>968.29100000000005</c:v>
                </c:pt>
              </c:numCache>
            </c:numRef>
          </c:val>
          <c:extLst>
            <c:ext xmlns:c16="http://schemas.microsoft.com/office/drawing/2014/chart" uri="{C3380CC4-5D6E-409C-BE32-E72D297353CC}">
              <c16:uniqueId val="{00000000-3BCA-4BBC-999C-D0391262C7E4}"/>
            </c:ext>
          </c:extLst>
        </c:ser>
        <c:ser>
          <c:idx val="1"/>
          <c:order val="1"/>
          <c:tx>
            <c:strRef>
              <c:f>'Final - Indiv_agent_BARchart '!$G$33</c:f>
              <c:strCache>
                <c:ptCount val="1"/>
                <c:pt idx="0">
                  <c:v>Pay NESO and/or BESS</c:v>
                </c:pt>
              </c:strCache>
            </c:strRef>
          </c:tx>
          <c:spPr>
            <a:solidFill>
              <a:schemeClr val="accent2"/>
            </a:solidFill>
            <a:ln>
              <a:noFill/>
            </a:ln>
            <a:effectLst/>
          </c:spPr>
          <c:invertIfNegative val="0"/>
          <c:cat>
            <c:strRef>
              <c:f>'Final - Indiv_agent_BARchart '!$H$31:$K$31</c:f>
              <c:strCache>
                <c:ptCount val="4"/>
                <c:pt idx="0">
                  <c:v>C1</c:v>
                </c:pt>
                <c:pt idx="1">
                  <c:v>C2</c:v>
                </c:pt>
                <c:pt idx="2">
                  <c:v>C3</c:v>
                </c:pt>
                <c:pt idx="3">
                  <c:v>C4</c:v>
                </c:pt>
              </c:strCache>
            </c:strRef>
          </c:cat>
          <c:val>
            <c:numRef>
              <c:f>'Final - Indiv_agent_BARchart '!$H$33:$K$33</c:f>
              <c:numCache>
                <c:formatCode>General</c:formatCode>
                <c:ptCount val="4"/>
                <c:pt idx="0">
                  <c:v>295.60700000000003</c:v>
                </c:pt>
                <c:pt idx="1">
                  <c:v>1597.85</c:v>
                </c:pt>
                <c:pt idx="2">
                  <c:v>191.821</c:v>
                </c:pt>
                <c:pt idx="3">
                  <c:v>793.43899999999996</c:v>
                </c:pt>
              </c:numCache>
            </c:numRef>
          </c:val>
          <c:extLst>
            <c:ext xmlns:c16="http://schemas.microsoft.com/office/drawing/2014/chart" uri="{C3380CC4-5D6E-409C-BE32-E72D297353CC}">
              <c16:uniqueId val="{00000001-3BCA-4BBC-999C-D0391262C7E4}"/>
            </c:ext>
          </c:extLst>
        </c:ser>
        <c:ser>
          <c:idx val="2"/>
          <c:order val="2"/>
          <c:tx>
            <c:strRef>
              <c:f>'Final - Indiv_agent_BARchart '!$G$34</c:f>
              <c:strCache>
                <c:ptCount val="1"/>
                <c:pt idx="0">
                  <c:v>Pay LEM for PV</c:v>
                </c:pt>
              </c:strCache>
            </c:strRef>
          </c:tx>
          <c:spPr>
            <a:solidFill>
              <a:schemeClr val="accent3"/>
            </a:solidFill>
            <a:ln>
              <a:noFill/>
            </a:ln>
            <a:effectLst/>
          </c:spPr>
          <c:invertIfNegative val="0"/>
          <c:cat>
            <c:strRef>
              <c:f>'Final - Indiv_agent_BARchart '!$H$31:$K$31</c:f>
              <c:strCache>
                <c:ptCount val="4"/>
                <c:pt idx="0">
                  <c:v>C1</c:v>
                </c:pt>
                <c:pt idx="1">
                  <c:v>C2</c:v>
                </c:pt>
                <c:pt idx="2">
                  <c:v>C3</c:v>
                </c:pt>
                <c:pt idx="3">
                  <c:v>C4</c:v>
                </c:pt>
              </c:strCache>
            </c:strRef>
          </c:cat>
          <c:val>
            <c:numRef>
              <c:f>'Final - Indiv_agent_BARchart '!$H$34:$K$34</c:f>
              <c:numCache>
                <c:formatCode>General</c:formatCode>
                <c:ptCount val="4"/>
                <c:pt idx="0">
                  <c:v>88.301699999999997</c:v>
                </c:pt>
                <c:pt idx="1">
                  <c:v>376.24200000000002</c:v>
                </c:pt>
                <c:pt idx="2">
                  <c:v>45.167700000000004</c:v>
                </c:pt>
                <c:pt idx="3">
                  <c:v>174.852</c:v>
                </c:pt>
              </c:numCache>
            </c:numRef>
          </c:val>
          <c:extLst>
            <c:ext xmlns:c16="http://schemas.microsoft.com/office/drawing/2014/chart" uri="{C3380CC4-5D6E-409C-BE32-E72D297353CC}">
              <c16:uniqueId val="{00000002-3BCA-4BBC-999C-D0391262C7E4}"/>
            </c:ext>
          </c:extLst>
        </c:ser>
        <c:ser>
          <c:idx val="3"/>
          <c:order val="3"/>
          <c:tx>
            <c:strRef>
              <c:f>'Final - Indiv_agent_BARchart '!$G$35</c:f>
              <c:strCache>
                <c:ptCount val="1"/>
                <c:pt idx="0">
                  <c:v>If buy only from NESO</c:v>
                </c:pt>
              </c:strCache>
            </c:strRef>
          </c:tx>
          <c:spPr>
            <a:solidFill>
              <a:schemeClr val="accent4"/>
            </a:solidFill>
            <a:ln>
              <a:noFill/>
            </a:ln>
            <a:effectLst/>
          </c:spPr>
          <c:invertIfNegative val="0"/>
          <c:cat>
            <c:strRef>
              <c:f>'Final - Indiv_agent_BARchart '!$H$31:$K$31</c:f>
              <c:strCache>
                <c:ptCount val="4"/>
                <c:pt idx="0">
                  <c:v>C1</c:v>
                </c:pt>
                <c:pt idx="1">
                  <c:v>C2</c:v>
                </c:pt>
                <c:pt idx="2">
                  <c:v>C3</c:v>
                </c:pt>
                <c:pt idx="3">
                  <c:v>C4</c:v>
                </c:pt>
              </c:strCache>
            </c:strRef>
          </c:cat>
          <c:val>
            <c:numRef>
              <c:f>'Final - Indiv_agent_BARchart '!$H$35:$K$35</c:f>
              <c:numCache>
                <c:formatCode>General</c:formatCode>
                <c:ptCount val="4"/>
                <c:pt idx="0">
                  <c:v>443.73500000000001</c:v>
                </c:pt>
                <c:pt idx="1">
                  <c:v>2224.3000000000002</c:v>
                </c:pt>
                <c:pt idx="2">
                  <c:v>267.02600000000001</c:v>
                </c:pt>
                <c:pt idx="3">
                  <c:v>1083.24</c:v>
                </c:pt>
              </c:numCache>
            </c:numRef>
          </c:val>
          <c:extLst>
            <c:ext xmlns:c16="http://schemas.microsoft.com/office/drawing/2014/chart" uri="{C3380CC4-5D6E-409C-BE32-E72D297353CC}">
              <c16:uniqueId val="{00000003-3BCA-4BBC-999C-D0391262C7E4}"/>
            </c:ext>
          </c:extLst>
        </c:ser>
        <c:ser>
          <c:idx val="4"/>
          <c:order val="4"/>
          <c:tx>
            <c:strRef>
              <c:f>'Final - Indiv_agent_BARchart '!$G$36</c:f>
              <c:strCache>
                <c:ptCount val="1"/>
                <c:pt idx="0">
                  <c:v>Profit</c:v>
                </c:pt>
              </c:strCache>
            </c:strRef>
          </c:tx>
          <c:spPr>
            <a:solidFill>
              <a:schemeClr val="accent6"/>
            </a:solidFill>
            <a:ln>
              <a:noFill/>
            </a:ln>
            <a:effectLst/>
          </c:spPr>
          <c:invertIfNegative val="0"/>
          <c:cat>
            <c:strRef>
              <c:f>'Final - Indiv_agent_BARchart '!$H$31:$K$31</c:f>
              <c:strCache>
                <c:ptCount val="4"/>
                <c:pt idx="0">
                  <c:v>C1</c:v>
                </c:pt>
                <c:pt idx="1">
                  <c:v>C2</c:v>
                </c:pt>
                <c:pt idx="2">
                  <c:v>C3</c:v>
                </c:pt>
                <c:pt idx="3">
                  <c:v>C4</c:v>
                </c:pt>
              </c:strCache>
            </c:strRef>
          </c:cat>
          <c:val>
            <c:numRef>
              <c:f>'Final - Indiv_agent_BARchart '!$H$36:$K$36</c:f>
              <c:numCache>
                <c:formatCode>General</c:formatCode>
                <c:ptCount val="4"/>
                <c:pt idx="0">
                  <c:v>59.825899999999997</c:v>
                </c:pt>
                <c:pt idx="1">
                  <c:v>250.209</c:v>
                </c:pt>
                <c:pt idx="2">
                  <c:v>30.037500000000001</c:v>
                </c:pt>
                <c:pt idx="3">
                  <c:v>114.952</c:v>
                </c:pt>
              </c:numCache>
            </c:numRef>
          </c:val>
          <c:extLst>
            <c:ext xmlns:c16="http://schemas.microsoft.com/office/drawing/2014/chart" uri="{C3380CC4-5D6E-409C-BE32-E72D297353CC}">
              <c16:uniqueId val="{00000004-3BCA-4BBC-999C-D0391262C7E4}"/>
            </c:ext>
          </c:extLst>
        </c:ser>
        <c:dLbls>
          <c:showLegendKey val="0"/>
          <c:showVal val="0"/>
          <c:showCatName val="0"/>
          <c:showSerName val="0"/>
          <c:showPercent val="0"/>
          <c:showBubbleSize val="0"/>
        </c:dLbls>
        <c:gapWidth val="219"/>
        <c:overlap val="-27"/>
        <c:axId val="200574047"/>
        <c:axId val="846697519"/>
      </c:barChart>
      <c:catAx>
        <c:axId val="20057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46697519"/>
        <c:crosses val="autoZero"/>
        <c:auto val="1"/>
        <c:lblAlgn val="ctr"/>
        <c:lblOffset val="100"/>
        <c:noMultiLvlLbl val="0"/>
      </c:catAx>
      <c:valAx>
        <c:axId val="846697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Euro</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00574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Consumers' related electricity results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'Final - Indiv_agent_BARchart '!$G$39</c:f>
              <c:strCache>
                <c:ptCount val="1"/>
                <c:pt idx="0">
                  <c:v>Total demand</c:v>
                </c:pt>
              </c:strCache>
            </c:strRef>
          </c:tx>
          <c:spPr>
            <a:solidFill>
              <a:schemeClr val="accent1"/>
            </a:solidFill>
            <a:ln>
              <a:noFill/>
            </a:ln>
            <a:effectLst/>
          </c:spPr>
          <c:invertIfNegative val="0"/>
          <c:cat>
            <c:strRef>
              <c:f>'Final - Indiv_agent_BARchart '!$H$38:$K$38</c:f>
              <c:strCache>
                <c:ptCount val="4"/>
                <c:pt idx="0">
                  <c:v>C1</c:v>
                </c:pt>
                <c:pt idx="1">
                  <c:v>C2</c:v>
                </c:pt>
                <c:pt idx="2">
                  <c:v>C3</c:v>
                </c:pt>
                <c:pt idx="3">
                  <c:v>C4</c:v>
                </c:pt>
              </c:strCache>
            </c:strRef>
          </c:cat>
          <c:val>
            <c:numRef>
              <c:f>'Final - Indiv_agent_BARchart '!$H$39:$K$39</c:f>
              <c:numCache>
                <c:formatCode>General</c:formatCode>
                <c:ptCount val="4"/>
                <c:pt idx="0">
                  <c:v>2862.8</c:v>
                </c:pt>
                <c:pt idx="1">
                  <c:v>14350.3</c:v>
                </c:pt>
                <c:pt idx="2">
                  <c:v>1722.75</c:v>
                </c:pt>
                <c:pt idx="3">
                  <c:v>6988.66</c:v>
                </c:pt>
              </c:numCache>
            </c:numRef>
          </c:val>
          <c:extLst>
            <c:ext xmlns:c16="http://schemas.microsoft.com/office/drawing/2014/chart" uri="{C3380CC4-5D6E-409C-BE32-E72D297353CC}">
              <c16:uniqueId val="{00000000-3D2F-44CD-B294-A35F27C71518}"/>
            </c:ext>
          </c:extLst>
        </c:ser>
        <c:ser>
          <c:idx val="1"/>
          <c:order val="1"/>
          <c:tx>
            <c:strRef>
              <c:f>'Final - Indiv_agent_BARchart '!$G$40</c:f>
              <c:strCache>
                <c:ptCount val="1"/>
                <c:pt idx="0">
                  <c:v>Covered by NESO and/or BESS </c:v>
                </c:pt>
              </c:strCache>
            </c:strRef>
          </c:tx>
          <c:spPr>
            <a:solidFill>
              <a:schemeClr val="accent4"/>
            </a:solidFill>
            <a:ln>
              <a:noFill/>
            </a:ln>
            <a:effectLst/>
          </c:spPr>
          <c:invertIfNegative val="0"/>
          <c:cat>
            <c:strRef>
              <c:f>'Final - Indiv_agent_BARchart '!$H$38:$K$38</c:f>
              <c:strCache>
                <c:ptCount val="4"/>
                <c:pt idx="0">
                  <c:v>C1</c:v>
                </c:pt>
                <c:pt idx="1">
                  <c:v>C2</c:v>
                </c:pt>
                <c:pt idx="2">
                  <c:v>C3</c:v>
                </c:pt>
                <c:pt idx="3">
                  <c:v>C4</c:v>
                </c:pt>
              </c:strCache>
            </c:strRef>
          </c:cat>
          <c:val>
            <c:numRef>
              <c:f>'Final - Indiv_agent_BARchart '!$H$40:$K$40</c:f>
              <c:numCache>
                <c:formatCode>General</c:formatCode>
                <c:ptCount val="4"/>
                <c:pt idx="0">
                  <c:v>1907.14</c:v>
                </c:pt>
                <c:pt idx="1">
                  <c:v>10308.700000000001</c:v>
                </c:pt>
                <c:pt idx="2">
                  <c:v>1237.56</c:v>
                </c:pt>
                <c:pt idx="3">
                  <c:v>5118.96</c:v>
                </c:pt>
              </c:numCache>
            </c:numRef>
          </c:val>
          <c:extLst>
            <c:ext xmlns:c16="http://schemas.microsoft.com/office/drawing/2014/chart" uri="{C3380CC4-5D6E-409C-BE32-E72D297353CC}">
              <c16:uniqueId val="{00000001-3D2F-44CD-B294-A35F27C71518}"/>
            </c:ext>
          </c:extLst>
        </c:ser>
        <c:ser>
          <c:idx val="2"/>
          <c:order val="2"/>
          <c:tx>
            <c:strRef>
              <c:f>'Final - Indiv_agent_BARchart '!$G$41</c:f>
              <c:strCache>
                <c:ptCount val="1"/>
                <c:pt idx="0">
                  <c:v>Covered by LEM </c:v>
                </c:pt>
              </c:strCache>
            </c:strRef>
          </c:tx>
          <c:spPr>
            <a:solidFill>
              <a:srgbClr val="7030A0"/>
            </a:solidFill>
            <a:ln>
              <a:noFill/>
            </a:ln>
            <a:effectLst/>
          </c:spPr>
          <c:invertIfNegative val="0"/>
          <c:cat>
            <c:strRef>
              <c:f>'Final - Indiv_agent_BARchart '!$H$38:$K$38</c:f>
              <c:strCache>
                <c:ptCount val="4"/>
                <c:pt idx="0">
                  <c:v>C1</c:v>
                </c:pt>
                <c:pt idx="1">
                  <c:v>C2</c:v>
                </c:pt>
                <c:pt idx="2">
                  <c:v>C3</c:v>
                </c:pt>
                <c:pt idx="3">
                  <c:v>C4</c:v>
                </c:pt>
              </c:strCache>
            </c:strRef>
          </c:cat>
          <c:val>
            <c:numRef>
              <c:f>'Final - Indiv_agent_BARchart '!$H$41:$K$41</c:f>
              <c:numCache>
                <c:formatCode>General</c:formatCode>
                <c:ptCount val="4"/>
                <c:pt idx="0">
                  <c:v>955.66200000000003</c:v>
                </c:pt>
                <c:pt idx="1">
                  <c:v>4041.62</c:v>
                </c:pt>
                <c:pt idx="2">
                  <c:v>485.19499999999999</c:v>
                </c:pt>
                <c:pt idx="3">
                  <c:v>1869.7</c:v>
                </c:pt>
              </c:numCache>
            </c:numRef>
          </c:val>
          <c:extLst>
            <c:ext xmlns:c16="http://schemas.microsoft.com/office/drawing/2014/chart" uri="{C3380CC4-5D6E-409C-BE32-E72D297353CC}">
              <c16:uniqueId val="{00000002-3D2F-44CD-B294-A35F27C71518}"/>
            </c:ext>
          </c:extLst>
        </c:ser>
        <c:dLbls>
          <c:showLegendKey val="0"/>
          <c:showVal val="0"/>
          <c:showCatName val="0"/>
          <c:showSerName val="0"/>
          <c:showPercent val="0"/>
          <c:showBubbleSize val="0"/>
        </c:dLbls>
        <c:gapWidth val="219"/>
        <c:overlap val="-27"/>
        <c:axId val="169332031"/>
        <c:axId val="868635231"/>
      </c:barChart>
      <c:catAx>
        <c:axId val="16933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68635231"/>
        <c:crosses val="autoZero"/>
        <c:auto val="1"/>
        <c:lblAlgn val="ctr"/>
        <c:lblOffset val="100"/>
        <c:noMultiLvlLbl val="0"/>
      </c:catAx>
      <c:valAx>
        <c:axId val="868635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kWh</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6933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Pros</a:t>
            </a:r>
            <a:r>
              <a:rPr lang="en-US" baseline="0"/>
              <a:t> - </a:t>
            </a:r>
            <a:r>
              <a:rPr lang="en-US"/>
              <a:t>Payback</a:t>
            </a:r>
            <a:r>
              <a:rPr lang="en-US" baseline="0"/>
              <a:t> - </a:t>
            </a:r>
            <a:r>
              <a:rPr lang="en-US" sz="1400" b="0" i="0" u="none" strike="noStrike" kern="1200" spc="0" baseline="0">
                <a:solidFill>
                  <a:sysClr val="windowText" lastClr="000000">
                    <a:lumOff val="35000"/>
                    <a:lumMod val="65000"/>
                  </a:sysClr>
                </a:solidFill>
              </a:rPr>
              <a:t>Running balance (with inflation)</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'LEM economic evaluation_v2'!$AE$2:$AE$27</c:f>
              <c:numCache>
                <c:formatCode>General</c:formatCode>
                <c:ptCount val="26"/>
                <c:pt idx="0">
                  <c:v>-149440</c:v>
                </c:pt>
                <c:pt idx="1">
                  <c:v>-131837.70717012254</c:v>
                </c:pt>
                <c:pt idx="2">
                  <c:v>-114832.66461533986</c:v>
                </c:pt>
                <c:pt idx="3">
                  <c:v>-98404.607481831627</c:v>
                </c:pt>
                <c:pt idx="4">
                  <c:v>-82533.958507424526</c:v>
                </c:pt>
                <c:pt idx="5">
                  <c:v>-67201.804691432742</c:v>
                </c:pt>
                <c:pt idx="6">
                  <c:v>-52389.874756096673</c:v>
                </c:pt>
                <c:pt idx="7">
                  <c:v>-38080.517372760689</c:v>
                </c:pt>
                <c:pt idx="8">
                  <c:v>-24256.680126842326</c:v>
                </c:pt>
                <c:pt idx="9">
                  <c:v>-10901.889196525342</c:v>
                </c:pt>
                <c:pt idx="10">
                  <c:v>1999.7702790400745</c:v>
                </c:pt>
                <c:pt idx="11">
                  <c:v>14463.67316542514</c:v>
                </c:pt>
                <c:pt idx="12">
                  <c:v>26504.672655099683</c:v>
                </c:pt>
                <c:pt idx="13">
                  <c:v>38137.117967933242</c:v>
                </c:pt>
                <c:pt idx="14">
                  <c:v>49374.871451113635</c:v>
                </c:pt>
                <c:pt idx="15">
                  <c:v>60231.325098860951</c:v>
                </c:pt>
                <c:pt idx="16">
                  <c:v>70719.416511623436</c:v>
                </c:pt>
                <c:pt idx="17">
                  <c:v>80851.64431377381</c:v>
                </c:pt>
                <c:pt idx="18">
                  <c:v>90640.083048179222</c:v>
                </c:pt>
                <c:pt idx="19">
                  <c:v>100096.39756539463</c:v>
                </c:pt>
                <c:pt idx="20">
                  <c:v>109231.85692462722</c:v>
                </c:pt>
                <c:pt idx="21">
                  <c:v>118057.34782303761</c:v>
                </c:pt>
                <c:pt idx="22">
                  <c:v>126583.38756938127</c:v>
                </c:pt>
                <c:pt idx="23">
                  <c:v>134820.13661745127</c:v>
                </c:pt>
                <c:pt idx="24">
                  <c:v>142777.41067425782</c:v>
                </c:pt>
                <c:pt idx="25">
                  <c:v>150464.69239737443</c:v>
                </c:pt>
              </c:numCache>
            </c:numRef>
          </c:val>
          <c:extLst>
            <c:ext xmlns:c16="http://schemas.microsoft.com/office/drawing/2014/chart" uri="{C3380CC4-5D6E-409C-BE32-E72D297353CC}">
              <c16:uniqueId val="{00000000-64BF-4AF6-B295-33C0C5248188}"/>
            </c:ext>
          </c:extLst>
        </c:ser>
        <c:dLbls>
          <c:showLegendKey val="0"/>
          <c:showVal val="0"/>
          <c:showCatName val="0"/>
          <c:showSerName val="0"/>
          <c:showPercent val="0"/>
          <c:showBubbleSize val="0"/>
        </c:dLbls>
        <c:gapWidth val="219"/>
        <c:overlap val="-27"/>
        <c:axId val="369858927"/>
        <c:axId val="275633471"/>
      </c:barChart>
      <c:catAx>
        <c:axId val="3698589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633471"/>
        <c:crosses val="autoZero"/>
        <c:auto val="1"/>
        <c:lblAlgn val="ctr"/>
        <c:lblOffset val="100"/>
        <c:noMultiLvlLbl val="0"/>
      </c:catAx>
      <c:valAx>
        <c:axId val="27563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85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Cons - Payback - </a:t>
            </a:r>
            <a:r>
              <a:rPr lang="en-US" sz="1400" b="0" i="0" u="none" strike="noStrike" kern="1200" spc="0" baseline="0">
                <a:solidFill>
                  <a:sysClr val="windowText" lastClr="000000">
                    <a:lumOff val="35000"/>
                    <a:lumMod val="65000"/>
                  </a:sysClr>
                </a:solidFill>
              </a:rPr>
              <a:t>Running balance (with inflation)</a:t>
            </a:r>
            <a:endParaRPr lang="en-US" sz="1400" b="0" i="0" u="none" strike="noStrike" kern="1200" spc="0" baseline="0">
              <a:solidFill>
                <a:sysClr val="windowText" lastClr="000000">
                  <a:lumMod val="65000"/>
                  <a:lumOff val="35000"/>
                </a:sys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val>
            <c:numRef>
              <c:f>'LEM economic evaluation_v2'!$AE$31:$AE$56</c:f>
              <c:numCache>
                <c:formatCode>General</c:formatCode>
                <c:ptCount val="26"/>
                <c:pt idx="0">
                  <c:v>-11000</c:v>
                </c:pt>
                <c:pt idx="1">
                  <c:v>-6473.886227144204</c:v>
                </c:pt>
                <c:pt idx="2">
                  <c:v>10531.156327638462</c:v>
                </c:pt>
                <c:pt idx="3">
                  <c:v>14755.336459844064</c:v>
                </c:pt>
                <c:pt idx="4">
                  <c:v>30625.985434251168</c:v>
                </c:pt>
                <c:pt idx="5">
                  <c:v>45958.139250242952</c:v>
                </c:pt>
                <c:pt idx="6">
                  <c:v>60770.069185579021</c:v>
                </c:pt>
                <c:pt idx="7">
                  <c:v>75079.426568915005</c:v>
                </c:pt>
                <c:pt idx="8">
                  <c:v>88903.263814833364</c:v>
                </c:pt>
                <c:pt idx="9">
                  <c:v>102258.05474515035</c:v>
                </c:pt>
                <c:pt idx="10">
                  <c:v>115159.71422071577</c:v>
                </c:pt>
                <c:pt idx="11">
                  <c:v>127623.61710710084</c:v>
                </c:pt>
                <c:pt idx="12">
                  <c:v>139664.61659677539</c:v>
                </c:pt>
                <c:pt idx="13">
                  <c:v>151297.06190960895</c:v>
                </c:pt>
                <c:pt idx="14">
                  <c:v>162534.81539278934</c:v>
                </c:pt>
                <c:pt idx="15">
                  <c:v>173391.26904053666</c:v>
                </c:pt>
                <c:pt idx="16">
                  <c:v>183879.36045329916</c:v>
                </c:pt>
                <c:pt idx="17">
                  <c:v>194011.58825544955</c:v>
                </c:pt>
                <c:pt idx="18">
                  <c:v>203800.02698985496</c:v>
                </c:pt>
                <c:pt idx="19">
                  <c:v>213256.34150707038</c:v>
                </c:pt>
                <c:pt idx="20">
                  <c:v>222391.80086630298</c:v>
                </c:pt>
                <c:pt idx="21">
                  <c:v>231217.29176471336</c:v>
                </c:pt>
                <c:pt idx="22">
                  <c:v>239743.33151105704</c:v>
                </c:pt>
                <c:pt idx="23">
                  <c:v>247980.08055912703</c:v>
                </c:pt>
                <c:pt idx="24">
                  <c:v>255937.35461593358</c:v>
                </c:pt>
                <c:pt idx="25">
                  <c:v>263624.63633905019</c:v>
                </c:pt>
              </c:numCache>
            </c:numRef>
          </c:val>
          <c:extLst>
            <c:ext xmlns:c16="http://schemas.microsoft.com/office/drawing/2014/chart" uri="{C3380CC4-5D6E-409C-BE32-E72D297353CC}">
              <c16:uniqueId val="{00000000-2775-425B-8731-C77CD0231009}"/>
            </c:ext>
          </c:extLst>
        </c:ser>
        <c:dLbls>
          <c:showLegendKey val="0"/>
          <c:showVal val="0"/>
          <c:showCatName val="0"/>
          <c:showSerName val="0"/>
          <c:showPercent val="0"/>
          <c:showBubbleSize val="0"/>
        </c:dLbls>
        <c:gapWidth val="219"/>
        <c:overlap val="-27"/>
        <c:axId val="158101007"/>
        <c:axId val="165725311"/>
      </c:barChart>
      <c:catAx>
        <c:axId val="1581010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25311"/>
        <c:crosses val="autoZero"/>
        <c:auto val="1"/>
        <c:lblAlgn val="ctr"/>
        <c:lblOffset val="100"/>
        <c:noMultiLvlLbl val="0"/>
      </c:catAx>
      <c:valAx>
        <c:axId val="16572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0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Pros</a:t>
            </a:r>
            <a:r>
              <a:rPr lang="en-US" baseline="0"/>
              <a:t> - </a:t>
            </a:r>
            <a:r>
              <a:rPr lang="en-US"/>
              <a:t>Payback</a:t>
            </a:r>
            <a:r>
              <a:rPr lang="en-US" baseline="0"/>
              <a:t> - </a:t>
            </a:r>
            <a:r>
              <a:rPr lang="en-US" sz="1400" b="0" i="0" u="none" strike="noStrike" kern="1200" spc="0" baseline="0">
                <a:solidFill>
                  <a:sysClr val="windowText" lastClr="000000">
                    <a:lumOff val="35000"/>
                    <a:lumMod val="65000"/>
                  </a:sysClr>
                </a:solidFill>
              </a:rPr>
              <a:t>Running balance (with inflation)</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'LEM economic evaluation'!$AE$2:$AE$27</c:f>
              <c:numCache>
                <c:formatCode>General</c:formatCode>
                <c:ptCount val="26"/>
                <c:pt idx="0">
                  <c:v>-584400</c:v>
                </c:pt>
                <c:pt idx="1">
                  <c:v>-566797.70717012254</c:v>
                </c:pt>
                <c:pt idx="2">
                  <c:v>-549792.66461533983</c:v>
                </c:pt>
                <c:pt idx="3">
                  <c:v>-533364.60748183157</c:v>
                </c:pt>
                <c:pt idx="4">
                  <c:v>-517493.95850742445</c:v>
                </c:pt>
                <c:pt idx="5">
                  <c:v>-502161.80469143268</c:v>
                </c:pt>
                <c:pt idx="6">
                  <c:v>-487349.87475609663</c:v>
                </c:pt>
                <c:pt idx="7">
                  <c:v>-473040.51737276063</c:v>
                </c:pt>
                <c:pt idx="8">
                  <c:v>-459216.68012684229</c:v>
                </c:pt>
                <c:pt idx="9">
                  <c:v>-445861.88919652533</c:v>
                </c:pt>
                <c:pt idx="10">
                  <c:v>-432960.22972095991</c:v>
                </c:pt>
                <c:pt idx="11">
                  <c:v>-420496.32683457487</c:v>
                </c:pt>
                <c:pt idx="12">
                  <c:v>-408455.32734490035</c:v>
                </c:pt>
                <c:pt idx="13">
                  <c:v>-396822.88203206682</c:v>
                </c:pt>
                <c:pt idx="14">
                  <c:v>-385585.12854888639</c:v>
                </c:pt>
                <c:pt idx="15">
                  <c:v>-374728.67490113905</c:v>
                </c:pt>
                <c:pt idx="16">
                  <c:v>-364240.58348837658</c:v>
                </c:pt>
                <c:pt idx="17">
                  <c:v>-354108.35568622622</c:v>
                </c:pt>
                <c:pt idx="18">
                  <c:v>-344319.91695182084</c:v>
                </c:pt>
                <c:pt idx="19">
                  <c:v>-334863.60243460542</c:v>
                </c:pt>
                <c:pt idx="20">
                  <c:v>-325728.14307537279</c:v>
                </c:pt>
                <c:pt idx="21">
                  <c:v>-316902.65217696241</c:v>
                </c:pt>
                <c:pt idx="22">
                  <c:v>-308376.61243061873</c:v>
                </c:pt>
                <c:pt idx="23">
                  <c:v>-300139.86338254873</c:v>
                </c:pt>
                <c:pt idx="24">
                  <c:v>-292182.58932574221</c:v>
                </c:pt>
                <c:pt idx="25">
                  <c:v>-284495.30760262563</c:v>
                </c:pt>
              </c:numCache>
            </c:numRef>
          </c:val>
          <c:extLst>
            <c:ext xmlns:c16="http://schemas.microsoft.com/office/drawing/2014/chart" uri="{C3380CC4-5D6E-409C-BE32-E72D297353CC}">
              <c16:uniqueId val="{00000000-8EA8-48B7-AB2E-8612FEF609B7}"/>
            </c:ext>
          </c:extLst>
        </c:ser>
        <c:dLbls>
          <c:showLegendKey val="0"/>
          <c:showVal val="0"/>
          <c:showCatName val="0"/>
          <c:showSerName val="0"/>
          <c:showPercent val="0"/>
          <c:showBubbleSize val="0"/>
        </c:dLbls>
        <c:gapWidth val="219"/>
        <c:overlap val="-27"/>
        <c:axId val="369858927"/>
        <c:axId val="275633471"/>
      </c:barChart>
      <c:catAx>
        <c:axId val="3698589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633471"/>
        <c:crosses val="autoZero"/>
        <c:auto val="1"/>
        <c:lblAlgn val="ctr"/>
        <c:lblOffset val="100"/>
        <c:noMultiLvlLbl val="0"/>
      </c:catAx>
      <c:valAx>
        <c:axId val="27563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85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Cons - Payback - </a:t>
            </a:r>
            <a:r>
              <a:rPr lang="en-US" sz="1400" b="0" i="0" u="none" strike="noStrike" kern="1200" spc="0" baseline="0">
                <a:solidFill>
                  <a:sysClr val="windowText" lastClr="000000">
                    <a:lumOff val="35000"/>
                    <a:lumMod val="65000"/>
                  </a:sysClr>
                </a:solidFill>
              </a:rPr>
              <a:t>Running balance (with inflation)</a:t>
            </a:r>
            <a:endParaRPr lang="en-US" sz="1400" b="0" i="0" u="none" strike="noStrike" kern="1200" spc="0" baseline="0">
              <a:solidFill>
                <a:sysClr val="windowText" lastClr="000000">
                  <a:lumMod val="65000"/>
                  <a:lumOff val="35000"/>
                </a:sysClr>
              </a:solidFill>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val>
            <c:numRef>
              <c:f>'LEM economic evaluation'!$AE$31:$AE$56</c:f>
              <c:numCache>
                <c:formatCode>General</c:formatCode>
                <c:ptCount val="26"/>
                <c:pt idx="0">
                  <c:v>-11000</c:v>
                </c:pt>
                <c:pt idx="1">
                  <c:v>-6473.886227144204</c:v>
                </c:pt>
                <c:pt idx="2">
                  <c:v>10531.156327638462</c:v>
                </c:pt>
                <c:pt idx="3">
                  <c:v>14755.336459844064</c:v>
                </c:pt>
                <c:pt idx="4">
                  <c:v>30625.985434251168</c:v>
                </c:pt>
                <c:pt idx="5">
                  <c:v>45958.139250242952</c:v>
                </c:pt>
                <c:pt idx="6">
                  <c:v>60770.069185579021</c:v>
                </c:pt>
                <c:pt idx="7">
                  <c:v>75079.426568915005</c:v>
                </c:pt>
                <c:pt idx="8">
                  <c:v>88903.263814833364</c:v>
                </c:pt>
                <c:pt idx="9">
                  <c:v>102258.05474515035</c:v>
                </c:pt>
                <c:pt idx="10">
                  <c:v>115159.71422071577</c:v>
                </c:pt>
                <c:pt idx="11">
                  <c:v>127623.61710710084</c:v>
                </c:pt>
                <c:pt idx="12">
                  <c:v>139664.61659677539</c:v>
                </c:pt>
                <c:pt idx="13">
                  <c:v>151297.06190960895</c:v>
                </c:pt>
                <c:pt idx="14">
                  <c:v>162534.81539278934</c:v>
                </c:pt>
                <c:pt idx="15">
                  <c:v>173391.26904053666</c:v>
                </c:pt>
                <c:pt idx="16">
                  <c:v>183879.36045329916</c:v>
                </c:pt>
                <c:pt idx="17">
                  <c:v>194011.58825544955</c:v>
                </c:pt>
                <c:pt idx="18">
                  <c:v>203800.02698985496</c:v>
                </c:pt>
                <c:pt idx="19">
                  <c:v>213256.34150707038</c:v>
                </c:pt>
                <c:pt idx="20">
                  <c:v>222391.80086630298</c:v>
                </c:pt>
                <c:pt idx="21">
                  <c:v>231217.29176471336</c:v>
                </c:pt>
                <c:pt idx="22">
                  <c:v>239743.33151105704</c:v>
                </c:pt>
                <c:pt idx="23">
                  <c:v>247980.08055912703</c:v>
                </c:pt>
                <c:pt idx="24">
                  <c:v>255937.35461593358</c:v>
                </c:pt>
                <c:pt idx="25">
                  <c:v>263624.63633905019</c:v>
                </c:pt>
              </c:numCache>
            </c:numRef>
          </c:val>
          <c:extLst>
            <c:ext xmlns:c16="http://schemas.microsoft.com/office/drawing/2014/chart" uri="{C3380CC4-5D6E-409C-BE32-E72D297353CC}">
              <c16:uniqueId val="{00000000-2C68-414F-9C1D-66E795AFAFBC}"/>
            </c:ext>
          </c:extLst>
        </c:ser>
        <c:dLbls>
          <c:showLegendKey val="0"/>
          <c:showVal val="0"/>
          <c:showCatName val="0"/>
          <c:showSerName val="0"/>
          <c:showPercent val="0"/>
          <c:showBubbleSize val="0"/>
        </c:dLbls>
        <c:gapWidth val="219"/>
        <c:overlap val="-27"/>
        <c:axId val="158101007"/>
        <c:axId val="165725311"/>
      </c:barChart>
      <c:catAx>
        <c:axId val="1581010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25311"/>
        <c:crosses val="autoZero"/>
        <c:auto val="1"/>
        <c:lblAlgn val="ctr"/>
        <c:lblOffset val="100"/>
        <c:noMultiLvlLbl val="0"/>
      </c:catAx>
      <c:valAx>
        <c:axId val="16572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0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Prosumer</a:t>
            </a:r>
            <a:r>
              <a:rPr lang="en-US" baseline="0"/>
              <a:t> kWh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Indiv_agent_BARchart!$A$16</c:f>
              <c:strCache>
                <c:ptCount val="1"/>
                <c:pt idx="0">
                  <c:v>Total generation (kWh)</c:v>
                </c:pt>
              </c:strCache>
            </c:strRef>
          </c:tx>
          <c:spPr>
            <a:solidFill>
              <a:schemeClr val="accent1"/>
            </a:solidFill>
            <a:ln>
              <a:noFill/>
            </a:ln>
            <a:effectLst/>
          </c:spPr>
          <c:invertIfNegative val="0"/>
          <c:cat>
            <c:strRef>
              <c:f>Indiv_agent_BARchart!$B$15:$E$15</c:f>
              <c:strCache>
                <c:ptCount val="4"/>
                <c:pt idx="0">
                  <c:v>P1 (44)</c:v>
                </c:pt>
                <c:pt idx="1">
                  <c:v>P2 (16)</c:v>
                </c:pt>
                <c:pt idx="2">
                  <c:v>P3 (32)</c:v>
                </c:pt>
                <c:pt idx="3">
                  <c:v>P4 (2)</c:v>
                </c:pt>
              </c:strCache>
            </c:strRef>
          </c:cat>
          <c:val>
            <c:numRef>
              <c:f>Indiv_agent_BARchart!$B$16:$E$16</c:f>
              <c:numCache>
                <c:formatCode>General</c:formatCode>
                <c:ptCount val="4"/>
                <c:pt idx="0">
                  <c:v>3553.3</c:v>
                </c:pt>
                <c:pt idx="1">
                  <c:v>6995.57</c:v>
                </c:pt>
                <c:pt idx="2">
                  <c:v>17326.099999999999</c:v>
                </c:pt>
                <c:pt idx="3">
                  <c:v>6989.42</c:v>
                </c:pt>
              </c:numCache>
            </c:numRef>
          </c:val>
          <c:extLst>
            <c:ext xmlns:c16="http://schemas.microsoft.com/office/drawing/2014/chart" uri="{C3380CC4-5D6E-409C-BE32-E72D297353CC}">
              <c16:uniqueId val="{00000000-AA09-4F88-A541-A18AA758E71F}"/>
            </c:ext>
          </c:extLst>
        </c:ser>
        <c:ser>
          <c:idx val="1"/>
          <c:order val="1"/>
          <c:tx>
            <c:strRef>
              <c:f>Indiv_agent_BARchart!$A$17</c:f>
              <c:strCache>
                <c:ptCount val="1"/>
                <c:pt idx="0">
                  <c:v>Total demand (kWh)</c:v>
                </c:pt>
              </c:strCache>
            </c:strRef>
          </c:tx>
          <c:spPr>
            <a:solidFill>
              <a:schemeClr val="accent2"/>
            </a:solidFill>
            <a:ln>
              <a:noFill/>
            </a:ln>
            <a:effectLst/>
          </c:spPr>
          <c:invertIfNegative val="0"/>
          <c:cat>
            <c:strRef>
              <c:f>Indiv_agent_BARchart!$B$15:$E$15</c:f>
              <c:strCache>
                <c:ptCount val="4"/>
                <c:pt idx="0">
                  <c:v>P1 (44)</c:v>
                </c:pt>
                <c:pt idx="1">
                  <c:v>P2 (16)</c:v>
                </c:pt>
                <c:pt idx="2">
                  <c:v>P3 (32)</c:v>
                </c:pt>
                <c:pt idx="3">
                  <c:v>P4 (2)</c:v>
                </c:pt>
              </c:strCache>
            </c:strRef>
          </c:cat>
          <c:val>
            <c:numRef>
              <c:f>Indiv_agent_BARchart!$B$17:$E$17</c:f>
              <c:numCache>
                <c:formatCode>General</c:formatCode>
                <c:ptCount val="4"/>
                <c:pt idx="0">
                  <c:v>1279.2</c:v>
                </c:pt>
                <c:pt idx="1">
                  <c:v>5476.9</c:v>
                </c:pt>
                <c:pt idx="2">
                  <c:v>14627.5</c:v>
                </c:pt>
                <c:pt idx="3">
                  <c:v>3886.32</c:v>
                </c:pt>
              </c:numCache>
            </c:numRef>
          </c:val>
          <c:extLst>
            <c:ext xmlns:c16="http://schemas.microsoft.com/office/drawing/2014/chart" uri="{C3380CC4-5D6E-409C-BE32-E72D297353CC}">
              <c16:uniqueId val="{00000001-AA09-4F88-A541-A18AA758E71F}"/>
            </c:ext>
          </c:extLst>
        </c:ser>
        <c:ser>
          <c:idx val="2"/>
          <c:order val="2"/>
          <c:tx>
            <c:strRef>
              <c:f>Indiv_agent_BARchart!$A$18</c:f>
              <c:strCache>
                <c:ptCount val="1"/>
                <c:pt idx="0">
                  <c:v>Self consumption (kWh)</c:v>
                </c:pt>
              </c:strCache>
            </c:strRef>
          </c:tx>
          <c:spPr>
            <a:solidFill>
              <a:schemeClr val="accent3"/>
            </a:solidFill>
            <a:ln>
              <a:noFill/>
            </a:ln>
            <a:effectLst/>
          </c:spPr>
          <c:invertIfNegative val="0"/>
          <c:cat>
            <c:strRef>
              <c:f>Indiv_agent_BARchart!$B$15:$E$15</c:f>
              <c:strCache>
                <c:ptCount val="4"/>
                <c:pt idx="0">
                  <c:v>P1 (44)</c:v>
                </c:pt>
                <c:pt idx="1">
                  <c:v>P2 (16)</c:v>
                </c:pt>
                <c:pt idx="2">
                  <c:v>P3 (32)</c:v>
                </c:pt>
                <c:pt idx="3">
                  <c:v>P4 (2)</c:v>
                </c:pt>
              </c:strCache>
            </c:strRef>
          </c:cat>
          <c:val>
            <c:numRef>
              <c:f>Indiv_agent_BARchart!$B$18:$E$18</c:f>
              <c:numCache>
                <c:formatCode>General</c:formatCode>
                <c:ptCount val="4"/>
                <c:pt idx="0">
                  <c:v>553.76199999999994</c:v>
                </c:pt>
                <c:pt idx="1">
                  <c:v>2270.4</c:v>
                </c:pt>
                <c:pt idx="2">
                  <c:v>5167.72</c:v>
                </c:pt>
                <c:pt idx="3">
                  <c:v>1442.46</c:v>
                </c:pt>
              </c:numCache>
            </c:numRef>
          </c:val>
          <c:extLst>
            <c:ext xmlns:c16="http://schemas.microsoft.com/office/drawing/2014/chart" uri="{C3380CC4-5D6E-409C-BE32-E72D297353CC}">
              <c16:uniqueId val="{00000002-AA09-4F88-A541-A18AA758E71F}"/>
            </c:ext>
          </c:extLst>
        </c:ser>
        <c:ser>
          <c:idx val="3"/>
          <c:order val="3"/>
          <c:tx>
            <c:strRef>
              <c:f>Indiv_agent_BARchart!$A$19</c:f>
              <c:strCache>
                <c:ptCount val="1"/>
                <c:pt idx="0">
                  <c:v>Sold in LEM (kWh)</c:v>
                </c:pt>
              </c:strCache>
            </c:strRef>
          </c:tx>
          <c:spPr>
            <a:solidFill>
              <a:schemeClr val="accent4"/>
            </a:solidFill>
            <a:ln>
              <a:noFill/>
            </a:ln>
            <a:effectLst/>
          </c:spPr>
          <c:invertIfNegative val="0"/>
          <c:cat>
            <c:strRef>
              <c:f>Indiv_agent_BARchart!$B$15:$E$15</c:f>
              <c:strCache>
                <c:ptCount val="4"/>
                <c:pt idx="0">
                  <c:v>P1 (44)</c:v>
                </c:pt>
                <c:pt idx="1">
                  <c:v>P2 (16)</c:v>
                </c:pt>
                <c:pt idx="2">
                  <c:v>P3 (32)</c:v>
                </c:pt>
                <c:pt idx="3">
                  <c:v>P4 (2)</c:v>
                </c:pt>
              </c:strCache>
            </c:strRef>
          </c:cat>
          <c:val>
            <c:numRef>
              <c:f>Indiv_agent_BARchart!$B$19:$E$19</c:f>
              <c:numCache>
                <c:formatCode>General</c:formatCode>
                <c:ptCount val="4"/>
                <c:pt idx="0">
                  <c:v>1135.29</c:v>
                </c:pt>
                <c:pt idx="1">
                  <c:v>1485.71</c:v>
                </c:pt>
                <c:pt idx="2">
                  <c:v>6319.47</c:v>
                </c:pt>
                <c:pt idx="3">
                  <c:v>2567.4899999999998</c:v>
                </c:pt>
              </c:numCache>
            </c:numRef>
          </c:val>
          <c:extLst>
            <c:ext xmlns:c16="http://schemas.microsoft.com/office/drawing/2014/chart" uri="{C3380CC4-5D6E-409C-BE32-E72D297353CC}">
              <c16:uniqueId val="{00000003-AA09-4F88-A541-A18AA758E71F}"/>
            </c:ext>
          </c:extLst>
        </c:ser>
        <c:ser>
          <c:idx val="4"/>
          <c:order val="4"/>
          <c:tx>
            <c:strRef>
              <c:f>Indiv_agent_BARchart!$A$20</c:f>
              <c:strCache>
                <c:ptCount val="1"/>
                <c:pt idx="0">
                  <c:v>Sold to NESO (kWh)</c:v>
                </c:pt>
              </c:strCache>
            </c:strRef>
          </c:tx>
          <c:spPr>
            <a:solidFill>
              <a:schemeClr val="accent5"/>
            </a:solidFill>
            <a:ln>
              <a:noFill/>
            </a:ln>
            <a:effectLst/>
          </c:spPr>
          <c:invertIfNegative val="0"/>
          <c:cat>
            <c:strRef>
              <c:f>Indiv_agent_BARchart!$B$15:$E$15</c:f>
              <c:strCache>
                <c:ptCount val="4"/>
                <c:pt idx="0">
                  <c:v>P1 (44)</c:v>
                </c:pt>
                <c:pt idx="1">
                  <c:v>P2 (16)</c:v>
                </c:pt>
                <c:pt idx="2">
                  <c:v>P3 (32)</c:v>
                </c:pt>
                <c:pt idx="3">
                  <c:v>P4 (2)</c:v>
                </c:pt>
              </c:strCache>
            </c:strRef>
          </c:cat>
          <c:val>
            <c:numRef>
              <c:f>Indiv_agent_BARchart!$B$20:$E$20</c:f>
              <c:numCache>
                <c:formatCode>General</c:formatCode>
                <c:ptCount val="4"/>
                <c:pt idx="0">
                  <c:v>1864.24</c:v>
                </c:pt>
                <c:pt idx="1">
                  <c:v>3239.46</c:v>
                </c:pt>
                <c:pt idx="2">
                  <c:v>5835.93</c:v>
                </c:pt>
                <c:pt idx="3">
                  <c:v>3085.9</c:v>
                </c:pt>
              </c:numCache>
            </c:numRef>
          </c:val>
          <c:extLst>
            <c:ext xmlns:c16="http://schemas.microsoft.com/office/drawing/2014/chart" uri="{C3380CC4-5D6E-409C-BE32-E72D297353CC}">
              <c16:uniqueId val="{00000004-AA09-4F88-A541-A18AA758E71F}"/>
            </c:ext>
          </c:extLst>
        </c:ser>
        <c:dLbls>
          <c:showLegendKey val="0"/>
          <c:showVal val="0"/>
          <c:showCatName val="0"/>
          <c:showSerName val="0"/>
          <c:showPercent val="0"/>
          <c:showBubbleSize val="0"/>
        </c:dLbls>
        <c:gapWidth val="219"/>
        <c:overlap val="-27"/>
        <c:axId val="134625647"/>
        <c:axId val="179415183"/>
      </c:barChart>
      <c:catAx>
        <c:axId val="13462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15183"/>
        <c:crosses val="autoZero"/>
        <c:auto val="1"/>
        <c:lblAlgn val="ctr"/>
        <c:lblOffset val="100"/>
        <c:noMultiLvlLbl val="0"/>
      </c:catAx>
      <c:valAx>
        <c:axId val="17941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25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Prosumer</a:t>
            </a:r>
            <a:r>
              <a:rPr lang="en-US" baseline="0"/>
              <a:t> Euro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Indiv_agent_BARchart!$A$23</c:f>
              <c:strCache>
                <c:ptCount val="1"/>
                <c:pt idx="0">
                  <c:v>Total income (Euro)</c:v>
                </c:pt>
              </c:strCache>
            </c:strRef>
          </c:tx>
          <c:spPr>
            <a:solidFill>
              <a:schemeClr val="accent1"/>
            </a:solidFill>
            <a:ln>
              <a:noFill/>
            </a:ln>
            <a:effectLst/>
          </c:spPr>
          <c:invertIfNegative val="0"/>
          <c:cat>
            <c:strRef>
              <c:f>Indiv_agent_BARchart!$B$22:$E$22</c:f>
              <c:strCache>
                <c:ptCount val="4"/>
                <c:pt idx="0">
                  <c:v>P1 (44)</c:v>
                </c:pt>
                <c:pt idx="1">
                  <c:v>P2 (16)</c:v>
                </c:pt>
                <c:pt idx="2">
                  <c:v>P3 (32)</c:v>
                </c:pt>
                <c:pt idx="3">
                  <c:v>P4 (2)</c:v>
                </c:pt>
              </c:strCache>
            </c:strRef>
          </c:cat>
          <c:val>
            <c:numRef>
              <c:f>Indiv_agent_BARchart!$B$23:$E$23</c:f>
              <c:numCache>
                <c:formatCode>General</c:formatCode>
                <c:ptCount val="4"/>
                <c:pt idx="0">
                  <c:v>269.49299999999999</c:v>
                </c:pt>
                <c:pt idx="1">
                  <c:v>415.81700000000001</c:v>
                </c:pt>
                <c:pt idx="2">
                  <c:v>1113.77</c:v>
                </c:pt>
                <c:pt idx="3">
                  <c:v>522.29200000000003</c:v>
                </c:pt>
              </c:numCache>
            </c:numRef>
          </c:val>
          <c:extLst>
            <c:ext xmlns:c16="http://schemas.microsoft.com/office/drawing/2014/chart" uri="{C3380CC4-5D6E-409C-BE32-E72D297353CC}">
              <c16:uniqueId val="{00000000-3E92-417B-B2DF-AD5A7D2326C4}"/>
            </c:ext>
          </c:extLst>
        </c:ser>
        <c:ser>
          <c:idx val="1"/>
          <c:order val="1"/>
          <c:tx>
            <c:strRef>
              <c:f>Indiv_agent_BARchart!$A$24</c:f>
              <c:strCache>
                <c:ptCount val="1"/>
                <c:pt idx="0">
                  <c:v>Income from NESO (Euro)</c:v>
                </c:pt>
              </c:strCache>
            </c:strRef>
          </c:tx>
          <c:spPr>
            <a:solidFill>
              <a:schemeClr val="accent2"/>
            </a:solidFill>
            <a:ln>
              <a:noFill/>
            </a:ln>
            <a:effectLst/>
          </c:spPr>
          <c:invertIfNegative val="0"/>
          <c:cat>
            <c:strRef>
              <c:f>Indiv_agent_BARchart!$B$22:$E$22</c:f>
              <c:strCache>
                <c:ptCount val="4"/>
                <c:pt idx="0">
                  <c:v>P1 (44)</c:v>
                </c:pt>
                <c:pt idx="1">
                  <c:v>P2 (16)</c:v>
                </c:pt>
                <c:pt idx="2">
                  <c:v>P3 (32)</c:v>
                </c:pt>
                <c:pt idx="3">
                  <c:v>P4 (2)</c:v>
                </c:pt>
              </c:strCache>
            </c:strRef>
          </c:cat>
          <c:val>
            <c:numRef>
              <c:f>Indiv_agent_BARchart!$B$24:$E$24</c:f>
              <c:numCache>
                <c:formatCode>General</c:formatCode>
                <c:ptCount val="4"/>
                <c:pt idx="0">
                  <c:v>162.18899999999999</c:v>
                </c:pt>
                <c:pt idx="1">
                  <c:v>281.83300000000003</c:v>
                </c:pt>
                <c:pt idx="2">
                  <c:v>507.726</c:v>
                </c:pt>
                <c:pt idx="3">
                  <c:v>268.47300000000001</c:v>
                </c:pt>
              </c:numCache>
            </c:numRef>
          </c:val>
          <c:extLst>
            <c:ext xmlns:c16="http://schemas.microsoft.com/office/drawing/2014/chart" uri="{C3380CC4-5D6E-409C-BE32-E72D297353CC}">
              <c16:uniqueId val="{00000001-3E92-417B-B2DF-AD5A7D2326C4}"/>
            </c:ext>
          </c:extLst>
        </c:ser>
        <c:ser>
          <c:idx val="2"/>
          <c:order val="2"/>
          <c:tx>
            <c:strRef>
              <c:f>Indiv_agent_BARchart!$A$25</c:f>
              <c:strCache>
                <c:ptCount val="1"/>
                <c:pt idx="0">
                  <c:v>Income from LEM (Euro)</c:v>
                </c:pt>
              </c:strCache>
            </c:strRef>
          </c:tx>
          <c:spPr>
            <a:solidFill>
              <a:schemeClr val="accent3"/>
            </a:solidFill>
            <a:ln>
              <a:noFill/>
            </a:ln>
            <a:effectLst/>
          </c:spPr>
          <c:invertIfNegative val="0"/>
          <c:cat>
            <c:strRef>
              <c:f>Indiv_agent_BARchart!$B$22:$E$22</c:f>
              <c:strCache>
                <c:ptCount val="4"/>
                <c:pt idx="0">
                  <c:v>P1 (44)</c:v>
                </c:pt>
                <c:pt idx="1">
                  <c:v>P2 (16)</c:v>
                </c:pt>
                <c:pt idx="2">
                  <c:v>P3 (32)</c:v>
                </c:pt>
                <c:pt idx="3">
                  <c:v>P4 (2)</c:v>
                </c:pt>
              </c:strCache>
            </c:strRef>
          </c:cat>
          <c:val>
            <c:numRef>
              <c:f>Indiv_agent_BARchart!$B$25:$E$25</c:f>
              <c:numCache>
                <c:formatCode>General</c:formatCode>
                <c:ptCount val="4"/>
                <c:pt idx="0">
                  <c:v>107.304</c:v>
                </c:pt>
                <c:pt idx="1">
                  <c:v>133.98400000000001</c:v>
                </c:pt>
                <c:pt idx="2">
                  <c:v>606.04600000000005</c:v>
                </c:pt>
                <c:pt idx="3">
                  <c:v>253.81899999999999</c:v>
                </c:pt>
              </c:numCache>
            </c:numRef>
          </c:val>
          <c:extLst>
            <c:ext xmlns:c16="http://schemas.microsoft.com/office/drawing/2014/chart" uri="{C3380CC4-5D6E-409C-BE32-E72D297353CC}">
              <c16:uniqueId val="{00000002-3E92-417B-B2DF-AD5A7D2326C4}"/>
            </c:ext>
          </c:extLst>
        </c:ser>
        <c:ser>
          <c:idx val="3"/>
          <c:order val="3"/>
          <c:tx>
            <c:strRef>
              <c:f>Indiv_agent_BARchart!$A$26</c:f>
              <c:strCache>
                <c:ptCount val="1"/>
                <c:pt idx="0">
                  <c:v>Would pay only NESO (Euro)</c:v>
                </c:pt>
              </c:strCache>
            </c:strRef>
          </c:tx>
          <c:spPr>
            <a:solidFill>
              <a:schemeClr val="accent4"/>
            </a:solidFill>
            <a:ln>
              <a:noFill/>
            </a:ln>
            <a:effectLst/>
          </c:spPr>
          <c:invertIfNegative val="0"/>
          <c:cat>
            <c:strRef>
              <c:f>Indiv_agent_BARchart!$B$22:$E$22</c:f>
              <c:strCache>
                <c:ptCount val="4"/>
                <c:pt idx="0">
                  <c:v>P1 (44)</c:v>
                </c:pt>
                <c:pt idx="1">
                  <c:v>P2 (16)</c:v>
                </c:pt>
                <c:pt idx="2">
                  <c:v>P3 (32)</c:v>
                </c:pt>
                <c:pt idx="3">
                  <c:v>P4 (2)</c:v>
                </c:pt>
              </c:strCache>
            </c:strRef>
          </c:cat>
          <c:val>
            <c:numRef>
              <c:f>Indiv_agent_BARchart!$B$26:$E$26</c:f>
              <c:numCache>
                <c:formatCode>General</c:formatCode>
                <c:ptCount val="4"/>
                <c:pt idx="0">
                  <c:v>83.832999999999998</c:v>
                </c:pt>
                <c:pt idx="1">
                  <c:v>351.91300000000001</c:v>
                </c:pt>
                <c:pt idx="2">
                  <c:v>800.99</c:v>
                </c:pt>
                <c:pt idx="3">
                  <c:v>223.58</c:v>
                </c:pt>
              </c:numCache>
            </c:numRef>
          </c:val>
          <c:extLst>
            <c:ext xmlns:c16="http://schemas.microsoft.com/office/drawing/2014/chart" uri="{C3380CC4-5D6E-409C-BE32-E72D297353CC}">
              <c16:uniqueId val="{00000003-3E92-417B-B2DF-AD5A7D2326C4}"/>
            </c:ext>
          </c:extLst>
        </c:ser>
        <c:ser>
          <c:idx val="4"/>
          <c:order val="4"/>
          <c:tx>
            <c:strRef>
              <c:f>Indiv_agent_BARchart!$A$27</c:f>
              <c:strCache>
                <c:ptCount val="1"/>
                <c:pt idx="0">
                  <c:v>Profit (Euro)</c:v>
                </c:pt>
              </c:strCache>
            </c:strRef>
          </c:tx>
          <c:spPr>
            <a:solidFill>
              <a:schemeClr val="accent5"/>
            </a:solidFill>
            <a:ln>
              <a:noFill/>
            </a:ln>
            <a:effectLst/>
          </c:spPr>
          <c:invertIfNegative val="0"/>
          <c:cat>
            <c:strRef>
              <c:f>Indiv_agent_BARchart!$B$22:$E$22</c:f>
              <c:strCache>
                <c:ptCount val="4"/>
                <c:pt idx="0">
                  <c:v>P1 (44)</c:v>
                </c:pt>
                <c:pt idx="1">
                  <c:v>P2 (16)</c:v>
                </c:pt>
                <c:pt idx="2">
                  <c:v>P3 (32)</c:v>
                </c:pt>
                <c:pt idx="3">
                  <c:v>P4 (2)</c:v>
                </c:pt>
              </c:strCache>
            </c:strRef>
          </c:cat>
          <c:val>
            <c:numRef>
              <c:f>Indiv_agent_BARchart!$B$27:$E$27</c:f>
              <c:numCache>
                <c:formatCode>General</c:formatCode>
                <c:ptCount val="4"/>
                <c:pt idx="0">
                  <c:v>355.32600000000002</c:v>
                </c:pt>
                <c:pt idx="1">
                  <c:v>767.72900000000004</c:v>
                </c:pt>
                <c:pt idx="2">
                  <c:v>1914.77</c:v>
                </c:pt>
                <c:pt idx="3">
                  <c:v>745.87300000000005</c:v>
                </c:pt>
              </c:numCache>
            </c:numRef>
          </c:val>
          <c:extLst>
            <c:ext xmlns:c16="http://schemas.microsoft.com/office/drawing/2014/chart" uri="{C3380CC4-5D6E-409C-BE32-E72D297353CC}">
              <c16:uniqueId val="{00000004-3E92-417B-B2DF-AD5A7D2326C4}"/>
            </c:ext>
          </c:extLst>
        </c:ser>
        <c:dLbls>
          <c:showLegendKey val="0"/>
          <c:showVal val="0"/>
          <c:showCatName val="0"/>
          <c:showSerName val="0"/>
          <c:showPercent val="0"/>
          <c:showBubbleSize val="0"/>
        </c:dLbls>
        <c:gapWidth val="219"/>
        <c:overlap val="-27"/>
        <c:axId val="160296751"/>
        <c:axId val="131995407"/>
      </c:barChart>
      <c:catAx>
        <c:axId val="16029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95407"/>
        <c:crosses val="autoZero"/>
        <c:auto val="1"/>
        <c:lblAlgn val="ctr"/>
        <c:lblOffset val="100"/>
        <c:noMultiLvlLbl val="0"/>
      </c:catAx>
      <c:valAx>
        <c:axId val="13199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96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Consumer</a:t>
            </a:r>
            <a:r>
              <a:rPr lang="en-US" baseline="0"/>
              <a:t> kWh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Indiv_agent_BARchart!$G$16</c:f>
              <c:strCache>
                <c:ptCount val="1"/>
                <c:pt idx="0">
                  <c:v>Total demand (kWh)</c:v>
                </c:pt>
              </c:strCache>
            </c:strRef>
          </c:tx>
          <c:spPr>
            <a:solidFill>
              <a:schemeClr val="accent1"/>
            </a:solidFill>
            <a:ln>
              <a:noFill/>
            </a:ln>
            <a:effectLst/>
          </c:spPr>
          <c:invertIfNegative val="0"/>
          <c:cat>
            <c:strRef>
              <c:f>Indiv_agent_BARchart!$H$15:$K$15</c:f>
              <c:strCache>
                <c:ptCount val="4"/>
                <c:pt idx="0">
                  <c:v>C1 (60)</c:v>
                </c:pt>
                <c:pt idx="1">
                  <c:v>C2 (75)</c:v>
                </c:pt>
                <c:pt idx="2">
                  <c:v>C3 (81)</c:v>
                </c:pt>
                <c:pt idx="3">
                  <c:v>C4 (95)</c:v>
                </c:pt>
              </c:strCache>
            </c:strRef>
          </c:cat>
          <c:val>
            <c:numRef>
              <c:f>Indiv_agent_BARchart!$H$16:$K$16</c:f>
              <c:numCache>
                <c:formatCode>General</c:formatCode>
                <c:ptCount val="4"/>
                <c:pt idx="0">
                  <c:v>2862.8</c:v>
                </c:pt>
                <c:pt idx="1">
                  <c:v>14350.3</c:v>
                </c:pt>
                <c:pt idx="2">
                  <c:v>1722.75</c:v>
                </c:pt>
                <c:pt idx="3">
                  <c:v>6988.66</c:v>
                </c:pt>
              </c:numCache>
            </c:numRef>
          </c:val>
          <c:extLst>
            <c:ext xmlns:c16="http://schemas.microsoft.com/office/drawing/2014/chart" uri="{C3380CC4-5D6E-409C-BE32-E72D297353CC}">
              <c16:uniqueId val="{00000000-7088-499C-A230-7A095BF85B20}"/>
            </c:ext>
          </c:extLst>
        </c:ser>
        <c:ser>
          <c:idx val="1"/>
          <c:order val="1"/>
          <c:tx>
            <c:strRef>
              <c:f>Indiv_agent_BARchart!$G$17</c:f>
              <c:strCache>
                <c:ptCount val="1"/>
                <c:pt idx="0">
                  <c:v>Covered by NESO + BESS (kWh)</c:v>
                </c:pt>
              </c:strCache>
            </c:strRef>
          </c:tx>
          <c:spPr>
            <a:solidFill>
              <a:schemeClr val="accent2"/>
            </a:solidFill>
            <a:ln>
              <a:noFill/>
            </a:ln>
            <a:effectLst/>
          </c:spPr>
          <c:invertIfNegative val="0"/>
          <c:cat>
            <c:strRef>
              <c:f>Indiv_agent_BARchart!$H$15:$K$15</c:f>
              <c:strCache>
                <c:ptCount val="4"/>
                <c:pt idx="0">
                  <c:v>C1 (60)</c:v>
                </c:pt>
                <c:pt idx="1">
                  <c:v>C2 (75)</c:v>
                </c:pt>
                <c:pt idx="2">
                  <c:v>C3 (81)</c:v>
                </c:pt>
                <c:pt idx="3">
                  <c:v>C4 (95)</c:v>
                </c:pt>
              </c:strCache>
            </c:strRef>
          </c:cat>
          <c:val>
            <c:numRef>
              <c:f>Indiv_agent_BARchart!$H$17:$K$17</c:f>
              <c:numCache>
                <c:formatCode>General</c:formatCode>
                <c:ptCount val="4"/>
                <c:pt idx="0">
                  <c:v>1907.14</c:v>
                </c:pt>
                <c:pt idx="1">
                  <c:v>10308.700000000001</c:v>
                </c:pt>
                <c:pt idx="2">
                  <c:v>1237.56</c:v>
                </c:pt>
                <c:pt idx="3">
                  <c:v>5118.96</c:v>
                </c:pt>
              </c:numCache>
            </c:numRef>
          </c:val>
          <c:extLst>
            <c:ext xmlns:c16="http://schemas.microsoft.com/office/drawing/2014/chart" uri="{C3380CC4-5D6E-409C-BE32-E72D297353CC}">
              <c16:uniqueId val="{00000001-7088-499C-A230-7A095BF85B20}"/>
            </c:ext>
          </c:extLst>
        </c:ser>
        <c:ser>
          <c:idx val="2"/>
          <c:order val="2"/>
          <c:tx>
            <c:strRef>
              <c:f>Indiv_agent_BARchart!$G$18</c:f>
              <c:strCache>
                <c:ptCount val="1"/>
                <c:pt idx="0">
                  <c:v>Covered by LEM (kWh)</c:v>
                </c:pt>
              </c:strCache>
            </c:strRef>
          </c:tx>
          <c:spPr>
            <a:solidFill>
              <a:schemeClr val="accent3"/>
            </a:solidFill>
            <a:ln>
              <a:noFill/>
            </a:ln>
            <a:effectLst/>
          </c:spPr>
          <c:invertIfNegative val="0"/>
          <c:cat>
            <c:strRef>
              <c:f>Indiv_agent_BARchart!$H$15:$K$15</c:f>
              <c:strCache>
                <c:ptCount val="4"/>
                <c:pt idx="0">
                  <c:v>C1 (60)</c:v>
                </c:pt>
                <c:pt idx="1">
                  <c:v>C2 (75)</c:v>
                </c:pt>
                <c:pt idx="2">
                  <c:v>C3 (81)</c:v>
                </c:pt>
                <c:pt idx="3">
                  <c:v>C4 (95)</c:v>
                </c:pt>
              </c:strCache>
            </c:strRef>
          </c:cat>
          <c:val>
            <c:numRef>
              <c:f>Indiv_agent_BARchart!$H$18:$K$18</c:f>
              <c:numCache>
                <c:formatCode>General</c:formatCode>
                <c:ptCount val="4"/>
                <c:pt idx="0">
                  <c:v>955.66200000000003</c:v>
                </c:pt>
                <c:pt idx="1">
                  <c:v>4041.62</c:v>
                </c:pt>
                <c:pt idx="2">
                  <c:v>485.19499999999999</c:v>
                </c:pt>
                <c:pt idx="3">
                  <c:v>1869.7</c:v>
                </c:pt>
              </c:numCache>
            </c:numRef>
          </c:val>
          <c:extLst>
            <c:ext xmlns:c16="http://schemas.microsoft.com/office/drawing/2014/chart" uri="{C3380CC4-5D6E-409C-BE32-E72D297353CC}">
              <c16:uniqueId val="{00000002-7088-499C-A230-7A095BF85B20}"/>
            </c:ext>
          </c:extLst>
        </c:ser>
        <c:dLbls>
          <c:showLegendKey val="0"/>
          <c:showVal val="0"/>
          <c:showCatName val="0"/>
          <c:showSerName val="0"/>
          <c:showPercent val="0"/>
          <c:showBubbleSize val="0"/>
        </c:dLbls>
        <c:gapWidth val="219"/>
        <c:overlap val="-27"/>
        <c:axId val="158107039"/>
        <c:axId val="1468912271"/>
      </c:barChart>
      <c:catAx>
        <c:axId val="15810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912271"/>
        <c:crosses val="autoZero"/>
        <c:auto val="1"/>
        <c:lblAlgn val="ctr"/>
        <c:lblOffset val="100"/>
        <c:noMultiLvlLbl val="0"/>
      </c:catAx>
      <c:valAx>
        <c:axId val="146891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07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Off val="35000"/>
                    <a:lumMod val="65000"/>
                  </a:sysClr>
                </a:solidFill>
              </a:rPr>
              <a:t>Running balance and payback period for consumers</a:t>
            </a:r>
            <a:endParaRPr lang="en-US" sz="1600" b="0" i="0" u="none" strike="noStrike" kern="1200" spc="0" baseline="0">
              <a:solidFill>
                <a:sysClr val="windowText" lastClr="000000">
                  <a:lumMod val="65000"/>
                  <a:lumOff val="35000"/>
                </a:sysClr>
              </a:solidFill>
            </a:endParaRPr>
          </a:p>
        </c:rich>
      </c:tx>
      <c:layout>
        <c:manualLayout>
          <c:xMode val="edge"/>
          <c:yMode val="edge"/>
          <c:x val="0.27289349381067296"/>
          <c:y val="3.840360029962062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dLbls>
            <c:dLbl>
              <c:idx val="0"/>
              <c:layout>
                <c:manualLayout>
                  <c:x val="1.5310269236509423E-2"/>
                  <c:y val="0.125812559198828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A56-4C5C-B05B-64F1AC30AB6E}"/>
                </c:ext>
              </c:extLst>
            </c:dLbl>
            <c:dLbl>
              <c:idx val="25"/>
              <c:layout>
                <c:manualLayout>
                  <c:x val="-3.3682592320320844E-2"/>
                  <c:y val="-1.5405594737837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56-4C5C-B05B-64F1AC30AB6E}"/>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'LEM economic evaluation_v8 (3)'!$AK$38:$AK$63</c:f>
              <c:numCache>
                <c:formatCode>General</c:formatCode>
                <c:ptCount val="26"/>
                <c:pt idx="0">
                  <c:v>-4950</c:v>
                </c:pt>
                <c:pt idx="1">
                  <c:v>380.77524198869287</c:v>
                </c:pt>
                <c:pt idx="2">
                  <c:v>5530.6759234575056</c:v>
                </c:pt>
                <c:pt idx="3">
                  <c:v>10505.839164273277</c:v>
                </c:pt>
                <c:pt idx="4">
                  <c:v>15312.193850264008</c:v>
                </c:pt>
                <c:pt idx="5">
                  <c:v>19955.467698652792</c:v>
                </c:pt>
                <c:pt idx="6">
                  <c:v>24441.194083759769</c:v>
                </c:pt>
                <c:pt idx="7">
                  <c:v>28774.718631106283</c:v>
                </c:pt>
                <c:pt idx="8">
                  <c:v>32961.205587779397</c:v>
                </c:pt>
                <c:pt idx="9">
                  <c:v>37005.643976648338</c:v>
                </c:pt>
                <c:pt idx="10">
                  <c:v>40912.853541766774</c:v>
                </c:pt>
                <c:pt idx="11">
                  <c:v>44687.490492046134</c:v>
                </c:pt>
                <c:pt idx="12">
                  <c:v>48334.053050044567</c:v>
                </c:pt>
                <c:pt idx="13">
                  <c:v>51856.886812484147</c:v>
                </c:pt>
                <c:pt idx="14">
                  <c:v>55260.189928884305</c:v>
                </c:pt>
                <c:pt idx="15">
                  <c:v>58548.018104482951</c:v>
                </c:pt>
                <c:pt idx="16">
                  <c:v>61724.28943340719</c:v>
                </c:pt>
                <c:pt idx="17">
                  <c:v>64792.789067853322</c:v>
                </c:pt>
                <c:pt idx="18">
                  <c:v>67757.173728840397</c:v>
                </c:pt>
                <c:pt idx="19">
                  <c:v>70620.976063912734</c:v>
                </c:pt>
                <c:pt idx="20">
                  <c:v>73387.608856984501</c:v>
                </c:pt>
                <c:pt idx="21">
                  <c:v>76060.36909534318</c:v>
                </c:pt>
                <c:pt idx="22">
                  <c:v>78642.441898658581</c:v>
                </c:pt>
                <c:pt idx="23">
                  <c:v>81136.904314679588</c:v>
                </c:pt>
                <c:pt idx="24">
                  <c:v>83546.728986141927</c:v>
                </c:pt>
                <c:pt idx="25">
                  <c:v>85874.787693256803</c:v>
                </c:pt>
              </c:numCache>
            </c:numRef>
          </c:val>
          <c:extLst>
            <c:ext xmlns:c16="http://schemas.microsoft.com/office/drawing/2014/chart" uri="{C3380CC4-5D6E-409C-BE32-E72D297353CC}">
              <c16:uniqueId val="{00000002-CA56-4C5C-B05B-64F1AC30AB6E}"/>
            </c:ext>
          </c:extLst>
        </c:ser>
        <c:dLbls>
          <c:showLegendKey val="0"/>
          <c:showVal val="0"/>
          <c:showCatName val="0"/>
          <c:showSerName val="0"/>
          <c:showPercent val="0"/>
          <c:showBubbleSize val="0"/>
        </c:dLbls>
        <c:gapWidth val="219"/>
        <c:overlap val="-27"/>
        <c:axId val="158101007"/>
        <c:axId val="165725311"/>
      </c:barChart>
      <c:catAx>
        <c:axId val="158101007"/>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rPr>
                  <a:t>Time (Years)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65725311"/>
        <c:crosses val="autoZero"/>
        <c:auto val="1"/>
        <c:lblAlgn val="ctr"/>
        <c:lblOffset val="100"/>
        <c:noMultiLvlLbl val="0"/>
      </c:catAx>
      <c:valAx>
        <c:axId val="165725311"/>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rPr>
                  <a:t>Profit (Euro)</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5810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Consumer</a:t>
            </a:r>
            <a:r>
              <a:rPr lang="en-US" baseline="0"/>
              <a:t> Euro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Indiv_agent_BARchart!$G$22</c:f>
              <c:strCache>
                <c:ptCount val="1"/>
                <c:pt idx="0">
                  <c:v>Total pay (Euro)</c:v>
                </c:pt>
              </c:strCache>
            </c:strRef>
          </c:tx>
          <c:spPr>
            <a:solidFill>
              <a:schemeClr val="accent1"/>
            </a:solidFill>
            <a:ln>
              <a:noFill/>
            </a:ln>
            <a:effectLst/>
          </c:spPr>
          <c:invertIfNegative val="0"/>
          <c:cat>
            <c:strRef>
              <c:f>Indiv_agent_BARchart!$H$21:$K$21</c:f>
              <c:strCache>
                <c:ptCount val="4"/>
                <c:pt idx="0">
                  <c:v>C1 (60)</c:v>
                </c:pt>
                <c:pt idx="1">
                  <c:v>C2 (75)</c:v>
                </c:pt>
                <c:pt idx="2">
                  <c:v>C3 (81)</c:v>
                </c:pt>
                <c:pt idx="3">
                  <c:v>C4 (95)</c:v>
                </c:pt>
              </c:strCache>
            </c:strRef>
          </c:cat>
          <c:val>
            <c:numRef>
              <c:f>Indiv_agent_BARchart!$H$22:$K$22</c:f>
              <c:numCache>
                <c:formatCode>General</c:formatCode>
                <c:ptCount val="4"/>
                <c:pt idx="0">
                  <c:v>383.90899999999999</c:v>
                </c:pt>
                <c:pt idx="1">
                  <c:v>1974.09</c:v>
                </c:pt>
                <c:pt idx="2">
                  <c:v>236.989</c:v>
                </c:pt>
                <c:pt idx="3">
                  <c:v>968.29100000000005</c:v>
                </c:pt>
              </c:numCache>
            </c:numRef>
          </c:val>
          <c:extLst>
            <c:ext xmlns:c16="http://schemas.microsoft.com/office/drawing/2014/chart" uri="{C3380CC4-5D6E-409C-BE32-E72D297353CC}">
              <c16:uniqueId val="{00000000-4631-4124-BE3F-F55823C8C8B7}"/>
            </c:ext>
          </c:extLst>
        </c:ser>
        <c:ser>
          <c:idx val="1"/>
          <c:order val="1"/>
          <c:tx>
            <c:strRef>
              <c:f>Indiv_agent_BARchart!$G$23</c:f>
              <c:strCache>
                <c:ptCount val="1"/>
                <c:pt idx="0">
                  <c:v>Pay NESO + BESS (Euro)</c:v>
                </c:pt>
              </c:strCache>
            </c:strRef>
          </c:tx>
          <c:spPr>
            <a:solidFill>
              <a:schemeClr val="accent2"/>
            </a:solidFill>
            <a:ln>
              <a:noFill/>
            </a:ln>
            <a:effectLst/>
          </c:spPr>
          <c:invertIfNegative val="0"/>
          <c:cat>
            <c:strRef>
              <c:f>Indiv_agent_BARchart!$H$21:$K$21</c:f>
              <c:strCache>
                <c:ptCount val="4"/>
                <c:pt idx="0">
                  <c:v>C1 (60)</c:v>
                </c:pt>
                <c:pt idx="1">
                  <c:v>C2 (75)</c:v>
                </c:pt>
                <c:pt idx="2">
                  <c:v>C3 (81)</c:v>
                </c:pt>
                <c:pt idx="3">
                  <c:v>C4 (95)</c:v>
                </c:pt>
              </c:strCache>
            </c:strRef>
          </c:cat>
          <c:val>
            <c:numRef>
              <c:f>Indiv_agent_BARchart!$H$23:$K$23</c:f>
              <c:numCache>
                <c:formatCode>General</c:formatCode>
                <c:ptCount val="4"/>
                <c:pt idx="0">
                  <c:v>295.60700000000003</c:v>
                </c:pt>
                <c:pt idx="1">
                  <c:v>1597.85</c:v>
                </c:pt>
                <c:pt idx="2">
                  <c:v>191.821</c:v>
                </c:pt>
                <c:pt idx="3">
                  <c:v>793.43899999999996</c:v>
                </c:pt>
              </c:numCache>
            </c:numRef>
          </c:val>
          <c:extLst>
            <c:ext xmlns:c16="http://schemas.microsoft.com/office/drawing/2014/chart" uri="{C3380CC4-5D6E-409C-BE32-E72D297353CC}">
              <c16:uniqueId val="{00000001-4631-4124-BE3F-F55823C8C8B7}"/>
            </c:ext>
          </c:extLst>
        </c:ser>
        <c:ser>
          <c:idx val="2"/>
          <c:order val="2"/>
          <c:tx>
            <c:strRef>
              <c:f>Indiv_agent_BARchart!$G$24</c:f>
              <c:strCache>
                <c:ptCount val="1"/>
                <c:pt idx="0">
                  <c:v>Pay LEM for PV (Euro)</c:v>
                </c:pt>
              </c:strCache>
            </c:strRef>
          </c:tx>
          <c:spPr>
            <a:solidFill>
              <a:schemeClr val="accent3"/>
            </a:solidFill>
            <a:ln>
              <a:noFill/>
            </a:ln>
            <a:effectLst/>
          </c:spPr>
          <c:invertIfNegative val="0"/>
          <c:cat>
            <c:strRef>
              <c:f>Indiv_agent_BARchart!$H$21:$K$21</c:f>
              <c:strCache>
                <c:ptCount val="4"/>
                <c:pt idx="0">
                  <c:v>C1 (60)</c:v>
                </c:pt>
                <c:pt idx="1">
                  <c:v>C2 (75)</c:v>
                </c:pt>
                <c:pt idx="2">
                  <c:v>C3 (81)</c:v>
                </c:pt>
                <c:pt idx="3">
                  <c:v>C4 (95)</c:v>
                </c:pt>
              </c:strCache>
            </c:strRef>
          </c:cat>
          <c:val>
            <c:numRef>
              <c:f>Indiv_agent_BARchart!$H$24:$K$24</c:f>
              <c:numCache>
                <c:formatCode>General</c:formatCode>
                <c:ptCount val="4"/>
                <c:pt idx="0">
                  <c:v>88.301699999999997</c:v>
                </c:pt>
                <c:pt idx="1">
                  <c:v>376.24200000000002</c:v>
                </c:pt>
                <c:pt idx="2">
                  <c:v>45.167700000000004</c:v>
                </c:pt>
                <c:pt idx="3">
                  <c:v>174.852</c:v>
                </c:pt>
              </c:numCache>
            </c:numRef>
          </c:val>
          <c:extLst>
            <c:ext xmlns:c16="http://schemas.microsoft.com/office/drawing/2014/chart" uri="{C3380CC4-5D6E-409C-BE32-E72D297353CC}">
              <c16:uniqueId val="{00000002-4631-4124-BE3F-F55823C8C8B7}"/>
            </c:ext>
          </c:extLst>
        </c:ser>
        <c:ser>
          <c:idx val="3"/>
          <c:order val="3"/>
          <c:tx>
            <c:strRef>
              <c:f>Indiv_agent_BARchart!$G$25</c:f>
              <c:strCache>
                <c:ptCount val="1"/>
                <c:pt idx="0">
                  <c:v>Would pay only NESO (Euro)</c:v>
                </c:pt>
              </c:strCache>
            </c:strRef>
          </c:tx>
          <c:spPr>
            <a:solidFill>
              <a:schemeClr val="accent4"/>
            </a:solidFill>
            <a:ln>
              <a:noFill/>
            </a:ln>
            <a:effectLst/>
          </c:spPr>
          <c:invertIfNegative val="0"/>
          <c:cat>
            <c:strRef>
              <c:f>Indiv_agent_BARchart!$H$21:$K$21</c:f>
              <c:strCache>
                <c:ptCount val="4"/>
                <c:pt idx="0">
                  <c:v>C1 (60)</c:v>
                </c:pt>
                <c:pt idx="1">
                  <c:v>C2 (75)</c:v>
                </c:pt>
                <c:pt idx="2">
                  <c:v>C3 (81)</c:v>
                </c:pt>
                <c:pt idx="3">
                  <c:v>C4 (95)</c:v>
                </c:pt>
              </c:strCache>
            </c:strRef>
          </c:cat>
          <c:val>
            <c:numRef>
              <c:f>Indiv_agent_BARchart!$H$25:$K$25</c:f>
              <c:numCache>
                <c:formatCode>General</c:formatCode>
                <c:ptCount val="4"/>
                <c:pt idx="0">
                  <c:v>443.73500000000001</c:v>
                </c:pt>
                <c:pt idx="1">
                  <c:v>2224.3000000000002</c:v>
                </c:pt>
                <c:pt idx="2">
                  <c:v>267.02600000000001</c:v>
                </c:pt>
                <c:pt idx="3">
                  <c:v>1083.24</c:v>
                </c:pt>
              </c:numCache>
            </c:numRef>
          </c:val>
          <c:extLst>
            <c:ext xmlns:c16="http://schemas.microsoft.com/office/drawing/2014/chart" uri="{C3380CC4-5D6E-409C-BE32-E72D297353CC}">
              <c16:uniqueId val="{00000003-4631-4124-BE3F-F55823C8C8B7}"/>
            </c:ext>
          </c:extLst>
        </c:ser>
        <c:ser>
          <c:idx val="4"/>
          <c:order val="4"/>
          <c:tx>
            <c:strRef>
              <c:f>Indiv_agent_BARchart!$G$26</c:f>
              <c:strCache>
                <c:ptCount val="1"/>
                <c:pt idx="0">
                  <c:v>Profit (Euro)</c:v>
                </c:pt>
              </c:strCache>
            </c:strRef>
          </c:tx>
          <c:spPr>
            <a:solidFill>
              <a:schemeClr val="accent5"/>
            </a:solidFill>
            <a:ln>
              <a:noFill/>
            </a:ln>
            <a:effectLst/>
          </c:spPr>
          <c:invertIfNegative val="0"/>
          <c:cat>
            <c:strRef>
              <c:f>Indiv_agent_BARchart!$H$21:$K$21</c:f>
              <c:strCache>
                <c:ptCount val="4"/>
                <c:pt idx="0">
                  <c:v>C1 (60)</c:v>
                </c:pt>
                <c:pt idx="1">
                  <c:v>C2 (75)</c:v>
                </c:pt>
                <c:pt idx="2">
                  <c:v>C3 (81)</c:v>
                </c:pt>
                <c:pt idx="3">
                  <c:v>C4 (95)</c:v>
                </c:pt>
              </c:strCache>
            </c:strRef>
          </c:cat>
          <c:val>
            <c:numRef>
              <c:f>Indiv_agent_BARchart!$H$26:$K$26</c:f>
              <c:numCache>
                <c:formatCode>General</c:formatCode>
                <c:ptCount val="4"/>
                <c:pt idx="0">
                  <c:v>59.825899999999997</c:v>
                </c:pt>
                <c:pt idx="1">
                  <c:v>250.209</c:v>
                </c:pt>
                <c:pt idx="2">
                  <c:v>30.037500000000001</c:v>
                </c:pt>
                <c:pt idx="3">
                  <c:v>114.952</c:v>
                </c:pt>
              </c:numCache>
            </c:numRef>
          </c:val>
          <c:extLst>
            <c:ext xmlns:c16="http://schemas.microsoft.com/office/drawing/2014/chart" uri="{C3380CC4-5D6E-409C-BE32-E72D297353CC}">
              <c16:uniqueId val="{00000004-4631-4124-BE3F-F55823C8C8B7}"/>
            </c:ext>
          </c:extLst>
        </c:ser>
        <c:dLbls>
          <c:showLegendKey val="0"/>
          <c:showVal val="0"/>
          <c:showCatName val="0"/>
          <c:showSerName val="0"/>
          <c:showPercent val="0"/>
          <c:showBubbleSize val="0"/>
        </c:dLbls>
        <c:gapWidth val="219"/>
        <c:overlap val="-27"/>
        <c:axId val="134694927"/>
        <c:axId val="107420767"/>
      </c:barChart>
      <c:catAx>
        <c:axId val="13469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20767"/>
        <c:crosses val="autoZero"/>
        <c:auto val="1"/>
        <c:lblAlgn val="ctr"/>
        <c:lblOffset val="100"/>
        <c:noMultiLvlLbl val="0"/>
      </c:catAx>
      <c:valAx>
        <c:axId val="10742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94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'Compare based on maxPrice'!$A$2:$A$41</c:f>
              <c:numCache>
                <c:formatCode>General</c:formatCode>
                <c:ptCount val="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numCache>
            </c:numRef>
          </c:xVal>
          <c:yVal>
            <c:numRef>
              <c:f>'Compare based on maxPrice'!$C$2:$C$41</c:f>
              <c:numCache>
                <c:formatCode>General</c:formatCode>
                <c:ptCount val="40"/>
                <c:pt idx="0">
                  <c:v>0.39425256613112558</c:v>
                </c:pt>
                <c:pt idx="1">
                  <c:v>0.3942525306956341</c:v>
                </c:pt>
                <c:pt idx="2">
                  <c:v>0.3942524849773491</c:v>
                </c:pt>
                <c:pt idx="3">
                  <c:v>0.39425236006150077</c:v>
                </c:pt>
                <c:pt idx="4">
                  <c:v>0.3721590193006733</c:v>
                </c:pt>
                <c:pt idx="5">
                  <c:v>0.37215843199067572</c:v>
                </c:pt>
                <c:pt idx="6">
                  <c:v>0.37215736272933841</c:v>
                </c:pt>
                <c:pt idx="7">
                  <c:v>0.37215432481162258</c:v>
                </c:pt>
                <c:pt idx="8">
                  <c:v>0.36488542902286381</c:v>
                </c:pt>
                <c:pt idx="9">
                  <c:v>0.36488348458908998</c:v>
                </c:pt>
                <c:pt idx="10">
                  <c:v>0.3648806798296978</c:v>
                </c:pt>
                <c:pt idx="11">
                  <c:v>0.36487555426564378</c:v>
                </c:pt>
                <c:pt idx="12">
                  <c:v>0.35756952344491721</c:v>
                </c:pt>
                <c:pt idx="13">
                  <c:v>0.35755699800898599</c:v>
                </c:pt>
                <c:pt idx="14">
                  <c:v>0.35754528665835322</c:v>
                </c:pt>
                <c:pt idx="15">
                  <c:v>0.35753214012223961</c:v>
                </c:pt>
                <c:pt idx="16">
                  <c:v>0.35076679172009623</c:v>
                </c:pt>
                <c:pt idx="17">
                  <c:v>0.35074538040684522</c:v>
                </c:pt>
                <c:pt idx="18">
                  <c:v>0.35070754713923241</c:v>
                </c:pt>
                <c:pt idx="19">
                  <c:v>0.35068296800191873</c:v>
                </c:pt>
                <c:pt idx="20">
                  <c:v>0.34703527884405899</c:v>
                </c:pt>
                <c:pt idx="21">
                  <c:v>0.34698591321324301</c:v>
                </c:pt>
                <c:pt idx="22">
                  <c:v>0.34692198387171702</c:v>
                </c:pt>
                <c:pt idx="23">
                  <c:v>0.34687229169618528</c:v>
                </c:pt>
                <c:pt idx="24">
                  <c:v>0.34268842821725448</c:v>
                </c:pt>
                <c:pt idx="25">
                  <c:v>0.34259262963452691</c:v>
                </c:pt>
                <c:pt idx="26">
                  <c:v>0.34246173912149053</c:v>
                </c:pt>
                <c:pt idx="27">
                  <c:v>0.34238472434809641</c:v>
                </c:pt>
                <c:pt idx="28">
                  <c:v>0.3411591002895471</c:v>
                </c:pt>
                <c:pt idx="29">
                  <c:v>0.34104799905578692</c:v>
                </c:pt>
                <c:pt idx="30">
                  <c:v>0.34089056837270448</c:v>
                </c:pt>
                <c:pt idx="31">
                  <c:v>0.34079733231892789</c:v>
                </c:pt>
                <c:pt idx="32">
                  <c:v>0.33779098287005749</c:v>
                </c:pt>
                <c:pt idx="33">
                  <c:v>0.33758306450440101</c:v>
                </c:pt>
                <c:pt idx="34">
                  <c:v>0.33735308053529539</c:v>
                </c:pt>
                <c:pt idx="35">
                  <c:v>0.33717358558928961</c:v>
                </c:pt>
                <c:pt idx="36">
                  <c:v>0.33297473391336158</c:v>
                </c:pt>
                <c:pt idx="37">
                  <c:v>0.3324929860862601</c:v>
                </c:pt>
                <c:pt idx="38">
                  <c:v>0.33209187910192361</c:v>
                </c:pt>
                <c:pt idx="39">
                  <c:v>0.33172108705514919</c:v>
                </c:pt>
              </c:numCache>
            </c:numRef>
          </c:yVal>
          <c:smooth val="0"/>
          <c:extLst>
            <c:ext xmlns:c16="http://schemas.microsoft.com/office/drawing/2014/chart" uri="{C3380CC4-5D6E-409C-BE32-E72D297353CC}">
              <c16:uniqueId val="{00000000-77D3-4138-9D75-323DD93138DA}"/>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numRef>
              <c:f>'Compare based on maxPrice'!$A$2:$A$41</c:f>
              <c:numCache>
                <c:formatCode>General</c:formatCode>
                <c:ptCount val="4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numCache>
            </c:numRef>
          </c:xVal>
          <c:yVal>
            <c:numRef>
              <c:f>'Compare based on maxPrice'!$D$2:$D$41</c:f>
              <c:numCache>
                <c:formatCode>General</c:formatCode>
                <c:ptCount val="40"/>
                <c:pt idx="0">
                  <c:v>0.13909681322019149</c:v>
                </c:pt>
                <c:pt idx="1">
                  <c:v>0.13909681322019149</c:v>
                </c:pt>
                <c:pt idx="2">
                  <c:v>0.13909681322019149</c:v>
                </c:pt>
                <c:pt idx="3">
                  <c:v>0.13909681322019149</c:v>
                </c:pt>
                <c:pt idx="4">
                  <c:v>0.13545294261574559</c:v>
                </c:pt>
                <c:pt idx="5">
                  <c:v>0.1354529360724312</c:v>
                </c:pt>
                <c:pt idx="6">
                  <c:v>0.13545290628161349</c:v>
                </c:pt>
                <c:pt idx="7">
                  <c:v>0.13545280638019319</c:v>
                </c:pt>
                <c:pt idx="8">
                  <c:v>0.1341569356159763</c:v>
                </c:pt>
                <c:pt idx="9">
                  <c:v>0.13415688728197719</c:v>
                </c:pt>
                <c:pt idx="10">
                  <c:v>0.13415681806947849</c:v>
                </c:pt>
                <c:pt idx="11">
                  <c:v>0.13415661704547041</c:v>
                </c:pt>
                <c:pt idx="12">
                  <c:v>0.1327786776220268</c:v>
                </c:pt>
                <c:pt idx="13">
                  <c:v>0.1327781100413655</c:v>
                </c:pt>
                <c:pt idx="14">
                  <c:v>0.132777569148225</c:v>
                </c:pt>
                <c:pt idx="15">
                  <c:v>0.13277698895248821</c:v>
                </c:pt>
                <c:pt idx="16">
                  <c:v>0.1314710368951435</c:v>
                </c:pt>
                <c:pt idx="17">
                  <c:v>0.13146957989715879</c:v>
                </c:pt>
                <c:pt idx="18">
                  <c:v>0.13146716323753921</c:v>
                </c:pt>
                <c:pt idx="19">
                  <c:v>0.1314655058398122</c:v>
                </c:pt>
                <c:pt idx="20">
                  <c:v>0.13074254963600479</c:v>
                </c:pt>
                <c:pt idx="21">
                  <c:v>0.13073874432056939</c:v>
                </c:pt>
                <c:pt idx="22">
                  <c:v>0.1307333992723701</c:v>
                </c:pt>
                <c:pt idx="23">
                  <c:v>0.13072990038694191</c:v>
                </c:pt>
                <c:pt idx="24">
                  <c:v>0.12993010840679961</c:v>
                </c:pt>
                <c:pt idx="25">
                  <c:v>0.12992173542965149</c:v>
                </c:pt>
                <c:pt idx="26">
                  <c:v>0.12990980359833171</c:v>
                </c:pt>
                <c:pt idx="27">
                  <c:v>0.12990310355608739</c:v>
                </c:pt>
                <c:pt idx="28">
                  <c:v>0.12960634607001931</c:v>
                </c:pt>
                <c:pt idx="29">
                  <c:v>0.1295957588848167</c:v>
                </c:pt>
                <c:pt idx="30">
                  <c:v>0.12957998639122001</c:v>
                </c:pt>
                <c:pt idx="31">
                  <c:v>0.1295710965852816</c:v>
                </c:pt>
                <c:pt idx="32">
                  <c:v>0.12889070142435069</c:v>
                </c:pt>
                <c:pt idx="33">
                  <c:v>0.12886660145467649</c:v>
                </c:pt>
                <c:pt idx="34">
                  <c:v>0.12883963127559231</c:v>
                </c:pt>
                <c:pt idx="35">
                  <c:v>0.1288196406482629</c:v>
                </c:pt>
                <c:pt idx="36">
                  <c:v>0.12790596528840839</c:v>
                </c:pt>
                <c:pt idx="37">
                  <c:v>0.12784358626401421</c:v>
                </c:pt>
                <c:pt idx="38">
                  <c:v>0.1277899190961112</c:v>
                </c:pt>
                <c:pt idx="39">
                  <c:v>0.12774421107114789</c:v>
                </c:pt>
              </c:numCache>
            </c:numRef>
          </c:yVal>
          <c:smooth val="0"/>
          <c:extLst>
            <c:ext xmlns:c16="http://schemas.microsoft.com/office/drawing/2014/chart" uri="{C3380CC4-5D6E-409C-BE32-E72D297353CC}">
              <c16:uniqueId val="{00000001-77D3-4138-9D75-323DD93138DA}"/>
            </c:ext>
          </c:extLst>
        </c:ser>
        <c:dLbls>
          <c:showLegendKey val="0"/>
          <c:showVal val="0"/>
          <c:showCatName val="0"/>
          <c:showSerName val="0"/>
          <c:showPercent val="0"/>
          <c:showBubbleSize val="0"/>
        </c:dLbls>
        <c:axId val="48392816"/>
        <c:axId val="1040099344"/>
      </c:scatterChart>
      <c:valAx>
        <c:axId val="48392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099344"/>
        <c:crosses val="autoZero"/>
        <c:crossBetween val="midCat"/>
      </c:valAx>
      <c:valAx>
        <c:axId val="104009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928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Off val="35000"/>
                    <a:lumMod val="65000"/>
                  </a:sysClr>
                </a:solidFill>
              </a:rPr>
              <a:t>Running balance and payback period for prosumers with flexible net-metering, including subsidy</a:t>
            </a:r>
            <a:endParaRPr lang="en-US" sz="1400" b="1" i="0" u="none" strike="noStrike" kern="1200" spc="0" baseline="0">
              <a:solidFill>
                <a:sysClr val="windowText" lastClr="000000">
                  <a:lumMod val="65000"/>
                  <a:lumOff val="35000"/>
                </a:sysClr>
              </a:solidFill>
            </a:endParaRPr>
          </a:p>
        </c:rich>
      </c:tx>
      <c:layout>
        <c:manualLayout>
          <c:xMode val="edge"/>
          <c:yMode val="edge"/>
          <c:x val="0.16903366068948966"/>
          <c:y val="3.279831618093307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tx2">
                <a:lumMod val="40000"/>
                <a:lumOff val="60000"/>
              </a:schemeClr>
            </a:solidFill>
            <a:ln>
              <a:noFill/>
            </a:ln>
            <a:effectLst/>
          </c:spPr>
          <c:invertIfNegative val="0"/>
          <c:dLbls>
            <c:dLbl>
              <c:idx val="0"/>
              <c:layout>
                <c:manualLayout>
                  <c:x val="0.10609562145898133"/>
                  <c:y val="3.12068246428106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6B7-4F15-9EEC-65B3F69BF061}"/>
                </c:ext>
              </c:extLst>
            </c:dLbl>
            <c:dLbl>
              <c:idx val="25"/>
              <c:layout>
                <c:manualLayout>
                  <c:x val="-0.13503079094779452"/>
                  <c:y val="3.95284370492029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B7-4F15-9EEC-65B3F69BF061}"/>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'LEM economic evaluation_v7G (2)'!$AL$2:$AL$27</c:f>
              <c:numCache>
                <c:formatCode>General</c:formatCode>
                <c:ptCount val="26"/>
                <c:pt idx="0">
                  <c:v>-375501.4</c:v>
                </c:pt>
                <c:pt idx="1">
                  <c:v>-339467.73717006645</c:v>
                </c:pt>
                <c:pt idx="2">
                  <c:v>-304656.70568968769</c:v>
                </c:pt>
                <c:pt idx="3">
                  <c:v>-271026.82136604184</c:v>
                </c:pt>
                <c:pt idx="4">
                  <c:v>-238538.00757552631</c:v>
                </c:pt>
                <c:pt idx="5">
                  <c:v>-207151.54750457586</c:v>
                </c:pt>
                <c:pt idx="6">
                  <c:v>-176830.0380109621</c:v>
                </c:pt>
                <c:pt idx="7">
                  <c:v>-147537.34505059064</c:v>
                </c:pt>
                <c:pt idx="8">
                  <c:v>-119238.56061667853</c:v>
                </c:pt>
                <c:pt idx="9">
                  <c:v>-91899.961139996245</c:v>
                </c:pt>
                <c:pt idx="10">
                  <c:v>-65488.967300600074</c:v>
                </c:pt>
                <c:pt idx="11">
                  <c:v>-39974.105203162675</c:v>
                </c:pt>
                <c:pt idx="12">
                  <c:v>-15324.968869634555</c:v>
                </c:pt>
                <c:pt idx="13">
                  <c:v>8487.81599546094</c:v>
                </c:pt>
                <c:pt idx="14">
                  <c:v>31492.627010279863</c:v>
                </c:pt>
                <c:pt idx="15">
                  <c:v>53716.878933172797</c:v>
                </c:pt>
                <c:pt idx="16">
                  <c:v>75187.056332763052</c:v>
                </c:pt>
                <c:pt idx="17">
                  <c:v>95928.745149520837</c:v>
                </c:pt>
                <c:pt idx="18">
                  <c:v>115966.66318644518</c:v>
                </c:pt>
                <c:pt idx="19">
                  <c:v>135324.68956518924</c:v>
                </c:pt>
                <c:pt idx="20">
                  <c:v>154025.89318273182</c:v>
                </c:pt>
                <c:pt idx="21">
                  <c:v>172092.56020250669</c:v>
                </c:pt>
                <c:pt idx="22">
                  <c:v>189546.22061275103</c:v>
                </c:pt>
                <c:pt idx="23">
                  <c:v>206407.67388372222</c:v>
                </c:pt>
                <c:pt idx="24">
                  <c:v>222697.01375435886</c:v>
                </c:pt>
                <c:pt idx="25">
                  <c:v>238433.65217792394</c:v>
                </c:pt>
              </c:numCache>
            </c:numRef>
          </c:val>
          <c:extLst>
            <c:ext xmlns:c16="http://schemas.microsoft.com/office/drawing/2014/chart" uri="{C3380CC4-5D6E-409C-BE32-E72D297353CC}">
              <c16:uniqueId val="{00000002-06B7-4F15-9EEC-65B3F69BF061}"/>
            </c:ext>
          </c:extLst>
        </c:ser>
        <c:dLbls>
          <c:showLegendKey val="0"/>
          <c:showVal val="0"/>
          <c:showCatName val="0"/>
          <c:showSerName val="0"/>
          <c:showPercent val="0"/>
          <c:showBubbleSize val="0"/>
        </c:dLbls>
        <c:gapWidth val="219"/>
        <c:overlap val="-27"/>
        <c:axId val="369858927"/>
        <c:axId val="275633471"/>
      </c:barChart>
      <c:catAx>
        <c:axId val="369858927"/>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i="0" u="none" strike="noStrike" kern="1200" baseline="0">
                    <a:solidFill>
                      <a:sysClr val="windowText" lastClr="000000">
                        <a:lumMod val="65000"/>
                        <a:lumOff val="35000"/>
                      </a:sysClr>
                    </a:solidFill>
                  </a:rPr>
                  <a:t>Time (Years)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275633471"/>
        <c:crosses val="autoZero"/>
        <c:auto val="1"/>
        <c:lblAlgn val="ctr"/>
        <c:lblOffset val="100"/>
        <c:noMultiLvlLbl val="0"/>
      </c:catAx>
      <c:valAx>
        <c:axId val="275633471"/>
        <c:scaling>
          <c:orientation val="minMax"/>
          <c:max val="250000"/>
          <c:min val="-4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rPr>
                  <a:t>Profit (Euro)</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69858927"/>
        <c:crosses val="autoZero"/>
        <c:crossBetween val="between"/>
        <c:majorUnit val="5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Off val="35000"/>
                    <a:lumMod val="65000"/>
                  </a:sysClr>
                </a:solidFill>
              </a:rPr>
              <a:t>Running balance and payback period for consumers</a:t>
            </a:r>
            <a:endParaRPr lang="en-US" sz="1600" b="0" i="0" u="none" strike="noStrike" kern="1200" spc="0" baseline="0">
              <a:solidFill>
                <a:sysClr val="windowText" lastClr="000000">
                  <a:lumMod val="65000"/>
                  <a:lumOff val="35000"/>
                </a:sysClr>
              </a:solidFill>
            </a:endParaRPr>
          </a:p>
        </c:rich>
      </c:tx>
      <c:layout>
        <c:manualLayout>
          <c:xMode val="edge"/>
          <c:yMode val="edge"/>
          <c:x val="0.27289353828721769"/>
          <c:y val="1.529514511620195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1F0-4666-B34A-3F9DFE1FAA1D}"/>
                </c:ext>
              </c:extLst>
            </c:dLbl>
            <c:dLbl>
              <c:idx val="2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1F0-4666-B34A-3F9DFE1FAA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'LEM economic evaluation_v7G (2)'!$AL$38:$AL$63</c:f>
              <c:numCache>
                <c:formatCode>General</c:formatCode>
                <c:ptCount val="26"/>
                <c:pt idx="0">
                  <c:v>-15950</c:v>
                </c:pt>
                <c:pt idx="1">
                  <c:v>-9503.418257596124</c:v>
                </c:pt>
                <c:pt idx="2">
                  <c:v>-3275.5706742182047</c:v>
                </c:pt>
                <c:pt idx="3">
                  <c:v>2740.9644558123018</c:v>
                </c:pt>
                <c:pt idx="4">
                  <c:v>8553.3570178116133</c:v>
                </c:pt>
                <c:pt idx="5">
                  <c:v>14168.533621062597</c:v>
                </c:pt>
                <c:pt idx="6">
                  <c:v>19593.185853232491</c:v>
                </c:pt>
                <c:pt idx="7">
                  <c:v>24833.778254716133</c:v>
                </c:pt>
                <c:pt idx="8">
                  <c:v>29896.55602240768</c:v>
                </c:pt>
                <c:pt idx="9">
                  <c:v>34787.552452081414</c:v>
                </c:pt>
                <c:pt idx="10">
                  <c:v>39512.596128250669</c:v>
                </c:pt>
                <c:pt idx="11">
                  <c:v>44077.317870072991</c:v>
                </c:pt>
                <c:pt idx="12">
                  <c:v>48487.157441579009</c:v>
                </c:pt>
                <c:pt idx="13">
                  <c:v>52747.370034221487</c:v>
                </c:pt>
                <c:pt idx="14">
                  <c:v>56863.03252946987</c:v>
                </c:pt>
                <c:pt idx="15">
                  <c:v>60839.049548913412</c:v>
                </c:pt>
                <c:pt idx="16">
                  <c:v>64680.159299082712</c:v>
                </c:pt>
                <c:pt idx="17">
                  <c:v>68390.939217955034</c:v>
                </c:pt>
                <c:pt idx="18">
                  <c:v>71975.811429872221</c:v>
                </c:pt>
                <c:pt idx="19">
                  <c:v>75439.048015371853</c:v>
                </c:pt>
                <c:pt idx="20">
                  <c:v>78784.776102211748</c:v>
                </c:pt>
                <c:pt idx="21">
                  <c:v>82016.982783654617</c:v>
                </c:pt>
                <c:pt idx="22">
                  <c:v>85139.519869874173</c:v>
                </c:pt>
                <c:pt idx="23">
                  <c:v>88156.108478144713</c:v>
                </c:pt>
                <c:pt idx="24">
                  <c:v>91070.343467284489</c:v>
                </c:pt>
                <c:pt idx="25">
                  <c:v>93885.697721637232</c:v>
                </c:pt>
              </c:numCache>
            </c:numRef>
          </c:val>
          <c:extLst>
            <c:ext xmlns:c16="http://schemas.microsoft.com/office/drawing/2014/chart" uri="{C3380CC4-5D6E-409C-BE32-E72D297353CC}">
              <c16:uniqueId val="{00000000-41F0-4666-B34A-3F9DFE1FAA1D}"/>
            </c:ext>
          </c:extLst>
        </c:ser>
        <c:dLbls>
          <c:showLegendKey val="0"/>
          <c:showVal val="0"/>
          <c:showCatName val="0"/>
          <c:showSerName val="0"/>
          <c:showPercent val="0"/>
          <c:showBubbleSize val="0"/>
        </c:dLbls>
        <c:gapWidth val="219"/>
        <c:overlap val="-27"/>
        <c:axId val="158101007"/>
        <c:axId val="165725311"/>
      </c:barChart>
      <c:catAx>
        <c:axId val="158101007"/>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rPr>
                  <a:t>Time (Years)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65725311"/>
        <c:crosses val="autoZero"/>
        <c:auto val="1"/>
        <c:lblAlgn val="ctr"/>
        <c:lblOffset val="100"/>
        <c:noMultiLvlLbl val="0"/>
      </c:catAx>
      <c:valAx>
        <c:axId val="16572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rPr>
                  <a:t>Profit (Euro)</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5810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Off val="35000"/>
                    <a:lumMod val="65000"/>
                  </a:sysClr>
                </a:solidFill>
              </a:rPr>
              <a:t>Running balance and payback period for prosumers with flexible net-metering</a:t>
            </a:r>
            <a:endParaRPr lang="en-US" sz="1600" b="1" i="0" u="none" strike="noStrike" kern="1200" spc="0" baseline="0">
              <a:solidFill>
                <a:sysClr val="windowText" lastClr="000000">
                  <a:lumMod val="65000"/>
                  <a:lumOff val="35000"/>
                </a:sysClr>
              </a:solidFill>
            </a:endParaRPr>
          </a:p>
        </c:rich>
      </c:tx>
      <c:layout>
        <c:manualLayout>
          <c:xMode val="edge"/>
          <c:yMode val="edge"/>
          <c:x val="0.19179595125802745"/>
          <c:y val="5.553452314899919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4">
                <a:lumMod val="60000"/>
                <a:lumOff val="40000"/>
              </a:schemeClr>
            </a:solidFill>
            <a:ln>
              <a:noFill/>
            </a:ln>
            <a:effectLst/>
          </c:spPr>
          <c:invertIfNegative val="0"/>
          <c:dLbls>
            <c:dLbl>
              <c:idx val="0"/>
              <c:layout>
                <c:manualLayout>
                  <c:x val="7.0569851032580566E-2"/>
                  <c:y val="1.06797159901923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140-4100-8DCF-E9100911B84C}"/>
                </c:ext>
              </c:extLst>
            </c:dLbl>
            <c:dLbl>
              <c:idx val="25"/>
              <c:layout>
                <c:manualLayout>
                  <c:x val="-1.1761641838763428E-2"/>
                  <c:y val="-6.62142391391913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140-4100-8DCF-E9100911B84C}"/>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'LEM economic evaluation_v7 (2)'!$AK$2:$AK$27</c:f>
              <c:numCache>
                <c:formatCode>General</c:formatCode>
                <c:ptCount val="26"/>
                <c:pt idx="0">
                  <c:v>-700053</c:v>
                </c:pt>
                <c:pt idx="1">
                  <c:v>-664019.33717006643</c:v>
                </c:pt>
                <c:pt idx="2">
                  <c:v>-629208.30568968761</c:v>
                </c:pt>
                <c:pt idx="3">
                  <c:v>-595578.42136604176</c:v>
                </c:pt>
                <c:pt idx="4">
                  <c:v>-563089.60757552623</c:v>
                </c:pt>
                <c:pt idx="5">
                  <c:v>-531703.14750457578</c:v>
                </c:pt>
                <c:pt idx="6">
                  <c:v>-501381.63801096199</c:v>
                </c:pt>
                <c:pt idx="7">
                  <c:v>-472088.94505059056</c:v>
                </c:pt>
                <c:pt idx="8">
                  <c:v>-443790.16061667842</c:v>
                </c:pt>
                <c:pt idx="9">
                  <c:v>-416451.56113999616</c:v>
                </c:pt>
                <c:pt idx="10">
                  <c:v>-390040.5673006</c:v>
                </c:pt>
                <c:pt idx="11">
                  <c:v>-364525.70520316262</c:v>
                </c:pt>
                <c:pt idx="12">
                  <c:v>-339876.56886963453</c:v>
                </c:pt>
                <c:pt idx="13">
                  <c:v>-316063.78400453902</c:v>
                </c:pt>
                <c:pt idx="14">
                  <c:v>-293058.97298972012</c:v>
                </c:pt>
                <c:pt idx="15">
                  <c:v>-270834.72106682719</c:v>
                </c:pt>
                <c:pt idx="16">
                  <c:v>-249364.54366723693</c:v>
                </c:pt>
                <c:pt idx="17">
                  <c:v>-228622.85485047914</c:v>
                </c:pt>
                <c:pt idx="18">
                  <c:v>-208584.93681355478</c:v>
                </c:pt>
                <c:pt idx="19">
                  <c:v>-189226.91043481071</c:v>
                </c:pt>
                <c:pt idx="20">
                  <c:v>-170525.70681726813</c:v>
                </c:pt>
                <c:pt idx="21">
                  <c:v>-152459.03979749326</c:v>
                </c:pt>
                <c:pt idx="22">
                  <c:v>-135005.37938724892</c:v>
                </c:pt>
                <c:pt idx="23">
                  <c:v>-118143.92611627773</c:v>
                </c:pt>
                <c:pt idx="24">
                  <c:v>-101854.58624564108</c:v>
                </c:pt>
                <c:pt idx="25">
                  <c:v>-86117.947822076007</c:v>
                </c:pt>
              </c:numCache>
            </c:numRef>
          </c:val>
          <c:extLst>
            <c:ext xmlns:c16="http://schemas.microsoft.com/office/drawing/2014/chart" uri="{C3380CC4-5D6E-409C-BE32-E72D297353CC}">
              <c16:uniqueId val="{00000002-4140-4100-8DCF-E9100911B84C}"/>
            </c:ext>
          </c:extLst>
        </c:ser>
        <c:dLbls>
          <c:showLegendKey val="0"/>
          <c:showVal val="0"/>
          <c:showCatName val="0"/>
          <c:showSerName val="0"/>
          <c:showPercent val="0"/>
          <c:showBubbleSize val="0"/>
        </c:dLbls>
        <c:gapWidth val="219"/>
        <c:overlap val="-27"/>
        <c:axId val="369858927"/>
        <c:axId val="275633471"/>
      </c:barChart>
      <c:catAx>
        <c:axId val="369858927"/>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Time</a:t>
                </a:r>
                <a:r>
                  <a:rPr lang="en-US" sz="1600" b="1" baseline="0"/>
                  <a:t> (Years)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275633471"/>
        <c:crosses val="autoZero"/>
        <c:auto val="1"/>
        <c:lblAlgn val="ctr"/>
        <c:lblOffset val="100"/>
        <c:noMultiLvlLbl val="0"/>
      </c:catAx>
      <c:valAx>
        <c:axId val="275633471"/>
        <c:scaling>
          <c:orientation val="minMax"/>
          <c:max val="30000"/>
          <c:min val="-75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Profit</a:t>
                </a:r>
                <a:r>
                  <a:rPr lang="en-US" sz="1600" b="1" baseline="0"/>
                  <a:t> (Euro)</a:t>
                </a:r>
                <a:endParaRPr lang="en-US" sz="1600" b="1"/>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69858927"/>
        <c:crosses val="autoZero"/>
        <c:crossBetween val="between"/>
        <c:majorUnit val="15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Off val="35000"/>
                    <a:lumMod val="65000"/>
                  </a:sysClr>
                </a:solidFill>
              </a:rPr>
              <a:t>Running balance and payback period for consumers</a:t>
            </a:r>
            <a:endParaRPr lang="en-US" sz="1600" b="1" i="0" u="none" strike="noStrike" kern="1200" spc="0" baseline="0">
              <a:solidFill>
                <a:sysClr val="windowText" lastClr="000000">
                  <a:lumMod val="65000"/>
                  <a:lumOff val="35000"/>
                </a:sysClr>
              </a:solidFill>
            </a:endParaRPr>
          </a:p>
        </c:rich>
      </c:tx>
      <c:layout>
        <c:manualLayout>
          <c:xMode val="edge"/>
          <c:yMode val="edge"/>
          <c:x val="0.27341831641593306"/>
          <c:y val="3.422461045925654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solidFill>
            <a:ln>
              <a:noFill/>
            </a:ln>
            <a:effectLst/>
          </c:spPr>
          <c:invertIfNegative val="0"/>
          <c:dLbls>
            <c:dLbl>
              <c:idx val="0"/>
              <c:layout>
                <c:manualLayout>
                  <c:x val="4.7888656987124738E-2"/>
                  <c:y val="2.87585934224795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6C5-4BF8-8DF8-33428619ED48}"/>
                </c:ext>
              </c:extLst>
            </c:dLbl>
            <c:dLbl>
              <c:idx val="25"/>
              <c:layout>
                <c:manualLayout>
                  <c:x val="-4.070535843905620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6C5-4BF8-8DF8-33428619ED48}"/>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'LEM economic evaluation_v7 (2)'!$AK$38:$AK$63</c:f>
              <c:numCache>
                <c:formatCode>General</c:formatCode>
                <c:ptCount val="26"/>
                <c:pt idx="0">
                  <c:v>-15950</c:v>
                </c:pt>
                <c:pt idx="1">
                  <c:v>-9503.418257596124</c:v>
                </c:pt>
                <c:pt idx="2">
                  <c:v>-3275.5706742182047</c:v>
                </c:pt>
                <c:pt idx="3">
                  <c:v>2740.9644558123018</c:v>
                </c:pt>
                <c:pt idx="4">
                  <c:v>8553.3570178116133</c:v>
                </c:pt>
                <c:pt idx="5">
                  <c:v>14168.533621062597</c:v>
                </c:pt>
                <c:pt idx="6">
                  <c:v>19593.185853232491</c:v>
                </c:pt>
                <c:pt idx="7">
                  <c:v>24833.778254716133</c:v>
                </c:pt>
                <c:pt idx="8">
                  <c:v>29896.55602240768</c:v>
                </c:pt>
                <c:pt idx="9">
                  <c:v>34787.552452081414</c:v>
                </c:pt>
                <c:pt idx="10">
                  <c:v>39512.596128250669</c:v>
                </c:pt>
                <c:pt idx="11">
                  <c:v>44077.317870072991</c:v>
                </c:pt>
                <c:pt idx="12">
                  <c:v>48487.157441579009</c:v>
                </c:pt>
                <c:pt idx="13">
                  <c:v>52747.370034221487</c:v>
                </c:pt>
                <c:pt idx="14">
                  <c:v>56863.03252946987</c:v>
                </c:pt>
                <c:pt idx="15">
                  <c:v>60839.049548913412</c:v>
                </c:pt>
                <c:pt idx="16">
                  <c:v>64680.159299082712</c:v>
                </c:pt>
                <c:pt idx="17">
                  <c:v>68390.939217955034</c:v>
                </c:pt>
                <c:pt idx="18">
                  <c:v>71975.811429872221</c:v>
                </c:pt>
                <c:pt idx="19">
                  <c:v>75439.048015371853</c:v>
                </c:pt>
                <c:pt idx="20">
                  <c:v>78784.776102211748</c:v>
                </c:pt>
                <c:pt idx="21">
                  <c:v>82016.982783654617</c:v>
                </c:pt>
                <c:pt idx="22">
                  <c:v>85139.519869874173</c:v>
                </c:pt>
                <c:pt idx="23">
                  <c:v>88156.108478144713</c:v>
                </c:pt>
                <c:pt idx="24">
                  <c:v>91070.343467284489</c:v>
                </c:pt>
                <c:pt idx="25">
                  <c:v>93885.697721637232</c:v>
                </c:pt>
              </c:numCache>
            </c:numRef>
          </c:val>
          <c:extLst>
            <c:ext xmlns:c16="http://schemas.microsoft.com/office/drawing/2014/chart" uri="{C3380CC4-5D6E-409C-BE32-E72D297353CC}">
              <c16:uniqueId val="{00000000-56C5-4BF8-8DF8-33428619ED48}"/>
            </c:ext>
          </c:extLst>
        </c:ser>
        <c:dLbls>
          <c:showLegendKey val="0"/>
          <c:showVal val="0"/>
          <c:showCatName val="0"/>
          <c:showSerName val="0"/>
          <c:showPercent val="0"/>
          <c:showBubbleSize val="0"/>
        </c:dLbls>
        <c:gapWidth val="219"/>
        <c:overlap val="-27"/>
        <c:axId val="158101007"/>
        <c:axId val="165725311"/>
      </c:barChart>
      <c:catAx>
        <c:axId val="158101007"/>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u="none" strike="noStrike" kern="1200" baseline="0">
                    <a:solidFill>
                      <a:sysClr val="windowText" lastClr="000000">
                        <a:lumMod val="65000"/>
                        <a:lumOff val="35000"/>
                      </a:sysClr>
                    </a:solidFill>
                  </a:rPr>
                  <a:t>Time (Years)</a:t>
                </a:r>
                <a:endParaRPr lang="en-US" sz="1600"/>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65725311"/>
        <c:crosses val="autoZero"/>
        <c:auto val="1"/>
        <c:lblAlgn val="ctr"/>
        <c:lblOffset val="100"/>
        <c:noMultiLvlLbl val="0"/>
      </c:catAx>
      <c:valAx>
        <c:axId val="165725311"/>
        <c:scaling>
          <c:orientation val="minMax"/>
          <c:max val="100000"/>
          <c:min val="-2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u="none" strike="noStrike" kern="1200" baseline="0">
                    <a:solidFill>
                      <a:sysClr val="windowText" lastClr="000000">
                        <a:lumMod val="65000"/>
                        <a:lumOff val="35000"/>
                      </a:sysClr>
                    </a:solidFill>
                  </a:rPr>
                  <a:t>Profit (Euro)</a:t>
                </a:r>
                <a:endParaRPr lang="en-US" sz="1600"/>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58101007"/>
        <c:crosses val="autoZero"/>
        <c:crossBetween val="between"/>
        <c:majorUnit val="1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Off val="35000"/>
                    <a:lumMod val="65000"/>
                  </a:sysClr>
                </a:solidFill>
              </a:rPr>
              <a:t>Running balance and payback period for prosumers, including subsidy</a:t>
            </a:r>
          </a:p>
        </c:rich>
      </c:tx>
      <c:layout>
        <c:manualLayout>
          <c:xMode val="edge"/>
          <c:yMode val="edge"/>
          <c:x val="0.2073554096178645"/>
          <c:y val="3.337076005897993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5">
                <a:lumMod val="40000"/>
                <a:lumOff val="60000"/>
              </a:schemeClr>
            </a:solidFill>
            <a:ln>
              <a:noFill/>
            </a:ln>
            <a:effectLst/>
          </c:spPr>
          <c:invertIfNegative val="0"/>
          <c:dLbls>
            <c:dLbl>
              <c:idx val="0"/>
              <c:layout>
                <c:manualLayout>
                  <c:x val="0.14593634707715447"/>
                  <c:y val="4.87726493169708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BDD-43CB-831D-0BEAC8ED5357}"/>
                </c:ext>
              </c:extLst>
            </c:dLbl>
            <c:dLbl>
              <c:idx val="25"/>
              <c:layout>
                <c:manualLayout>
                  <c:x val="-2.3042581117445435E-2"/>
                  <c:y val="-7.70094462899537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DD-43CB-831D-0BEAC8ED5357}"/>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'LEM economic evaluation_v8G (2)'!$AL$2:$AL$27</c:f>
              <c:numCache>
                <c:formatCode>General</c:formatCode>
                <c:ptCount val="26"/>
                <c:pt idx="0">
                  <c:v>-375501.4</c:v>
                </c:pt>
                <c:pt idx="1">
                  <c:v>-361574.51423363527</c:v>
                </c:pt>
                <c:pt idx="2">
                  <c:v>-348120.1712453941</c:v>
                </c:pt>
                <c:pt idx="3">
                  <c:v>-335122.33753856359</c:v>
                </c:pt>
                <c:pt idx="4">
                  <c:v>-322565.52363705437</c:v>
                </c:pt>
                <c:pt idx="5">
                  <c:v>-310434.76562664256</c:v>
                </c:pt>
                <c:pt idx="6">
                  <c:v>-298715.6073225218</c:v>
                </c:pt>
                <c:pt idx="7">
                  <c:v>-287394.08304191503</c:v>
                </c:pt>
                <c:pt idx="8">
                  <c:v>-276456.70096121577</c:v>
                </c:pt>
                <c:pt idx="9">
                  <c:v>-265890.42703782581</c:v>
                </c:pt>
                <c:pt idx="10">
                  <c:v>-255682.66947752918</c:v>
                </c:pt>
                <c:pt idx="11">
                  <c:v>-245821.26372889202</c:v>
                </c:pt>
                <c:pt idx="12">
                  <c:v>-236294.45798680617</c:v>
                </c:pt>
                <c:pt idx="13">
                  <c:v>-227090.89918790135</c:v>
                </c:pt>
                <c:pt idx="14">
                  <c:v>-218199.61948113656</c:v>
                </c:pt>
                <c:pt idx="15">
                  <c:v>-209610.02315744769</c:v>
                </c:pt>
                <c:pt idx="16">
                  <c:v>-201311.87402287551</c:v>
                </c:pt>
                <c:pt idx="17">
                  <c:v>-193295.28320012669</c:v>
                </c:pt>
                <c:pt idx="18">
                  <c:v>-185550.69734403098</c:v>
                </c:pt>
                <c:pt idx="19">
                  <c:v>-178068.88725685087</c:v>
                </c:pt>
                <c:pt idx="20">
                  <c:v>-170840.93688987667</c:v>
                </c:pt>
                <c:pt idx="21">
                  <c:v>-163858.23271820039</c:v>
                </c:pt>
                <c:pt idx="22">
                  <c:v>-157112.45347600605</c:v>
                </c:pt>
                <c:pt idx="23">
                  <c:v>-150595.5602401444</c:v>
                </c:pt>
                <c:pt idx="24">
                  <c:v>-144299.78685017439</c:v>
                </c:pt>
                <c:pt idx="25">
                  <c:v>-138217.63065345501</c:v>
                </c:pt>
              </c:numCache>
            </c:numRef>
          </c:val>
          <c:extLst>
            <c:ext xmlns:c16="http://schemas.microsoft.com/office/drawing/2014/chart" uri="{C3380CC4-5D6E-409C-BE32-E72D297353CC}">
              <c16:uniqueId val="{00000002-6BDD-43CB-831D-0BEAC8ED5357}"/>
            </c:ext>
          </c:extLst>
        </c:ser>
        <c:dLbls>
          <c:showLegendKey val="0"/>
          <c:showVal val="0"/>
          <c:showCatName val="0"/>
          <c:showSerName val="0"/>
          <c:showPercent val="0"/>
          <c:showBubbleSize val="0"/>
        </c:dLbls>
        <c:gapWidth val="219"/>
        <c:overlap val="-27"/>
        <c:axId val="369858927"/>
        <c:axId val="275633471"/>
      </c:barChart>
      <c:catAx>
        <c:axId val="369858927"/>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i="0" u="none" strike="noStrike" kern="1200" baseline="0">
                    <a:solidFill>
                      <a:sysClr val="windowText" lastClr="000000">
                        <a:lumMod val="65000"/>
                        <a:lumOff val="35000"/>
                      </a:sysClr>
                    </a:solidFill>
                  </a:rPr>
                  <a:t>Time (Years)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275633471"/>
        <c:crosses val="autoZero"/>
        <c:auto val="1"/>
        <c:lblAlgn val="ctr"/>
        <c:lblOffset val="100"/>
        <c:noMultiLvlLbl val="0"/>
      </c:catAx>
      <c:valAx>
        <c:axId val="275633471"/>
        <c:scaling>
          <c:orientation val="minMax"/>
          <c:max val="20000"/>
          <c:min val="-38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rPr>
                  <a:t>Profit (Euro)</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369858927"/>
        <c:crosses val="autoZero"/>
        <c:crossBetween val="between"/>
        <c:majorUnit val="4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 Id="rId4" Type="http://schemas.openxmlformats.org/officeDocument/2006/relationships/chart" Target="../charts/chart32.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36.xml"/><Relationship Id="rId1" Type="http://schemas.openxmlformats.org/officeDocument/2006/relationships/chart" Target="../charts/chart35.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4" Type="http://schemas.openxmlformats.org/officeDocument/2006/relationships/chart" Target="../charts/chart40.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23</xdr:col>
      <xdr:colOff>260927</xdr:colOff>
      <xdr:row>0</xdr:row>
      <xdr:rowOff>244475</xdr:rowOff>
    </xdr:from>
    <xdr:to>
      <xdr:col>30</xdr:col>
      <xdr:colOff>593147</xdr:colOff>
      <xdr:row>13</xdr:row>
      <xdr:rowOff>41275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547687</xdr:colOff>
      <xdr:row>42</xdr:row>
      <xdr:rowOff>83343</xdr:rowOff>
    </xdr:from>
    <xdr:to>
      <xdr:col>25</xdr:col>
      <xdr:colOff>562768</xdr:colOff>
      <xdr:row>81</xdr:row>
      <xdr:rowOff>166687</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27</xdr:col>
      <xdr:colOff>478234</xdr:colOff>
      <xdr:row>68</xdr:row>
      <xdr:rowOff>11907</xdr:rowOff>
    </xdr:from>
    <xdr:to>
      <xdr:col>34</xdr:col>
      <xdr:colOff>860425</xdr:colOff>
      <xdr:row>95</xdr:row>
      <xdr:rowOff>125414</xdr:rowOff>
    </xdr:to>
    <xdr:graphicFrame macro="">
      <xdr:nvGraphicFramePr>
        <xdr:cNvPr id="2" name="Chart 1">
          <a:extLst>
            <a:ext uri="{FF2B5EF4-FFF2-40B4-BE49-F238E27FC236}">
              <a16:creationId xmlns:a16="http://schemas.microsoft.com/office/drawing/2014/main" id="{61AAB064-BC82-4650-ACF6-D23E8C670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976708</xdr:colOff>
      <xdr:row>68</xdr:row>
      <xdr:rowOff>1189</xdr:rowOff>
    </xdr:from>
    <xdr:to>
      <xdr:col>46</xdr:col>
      <xdr:colOff>580231</xdr:colOff>
      <xdr:row>95</xdr:row>
      <xdr:rowOff>122237</xdr:rowOff>
    </xdr:to>
    <xdr:graphicFrame macro="">
      <xdr:nvGraphicFramePr>
        <xdr:cNvPr id="3" name="Chart 2">
          <a:extLst>
            <a:ext uri="{FF2B5EF4-FFF2-40B4-BE49-F238E27FC236}">
              <a16:creationId xmlns:a16="http://schemas.microsoft.com/office/drawing/2014/main" id="{BF4C3D7E-0D96-40BD-A9B4-007659496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36</xdr:col>
      <xdr:colOff>267889</xdr:colOff>
      <xdr:row>2</xdr:row>
      <xdr:rowOff>3570</xdr:rowOff>
    </xdr:from>
    <xdr:to>
      <xdr:col>43</xdr:col>
      <xdr:colOff>589358</xdr:colOff>
      <xdr:row>15</xdr:row>
      <xdr:rowOff>35320</xdr:rowOff>
    </xdr:to>
    <xdr:graphicFrame macro="">
      <xdr:nvGraphicFramePr>
        <xdr:cNvPr id="2" name="Chart 1">
          <a:extLst>
            <a:ext uri="{FF2B5EF4-FFF2-40B4-BE49-F238E27FC236}">
              <a16:creationId xmlns:a16="http://schemas.microsoft.com/office/drawing/2014/main" id="{035B0656-52DF-4806-AC96-2DF15FF84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473472</xdr:colOff>
      <xdr:row>30</xdr:row>
      <xdr:rowOff>59927</xdr:rowOff>
    </xdr:from>
    <xdr:to>
      <xdr:col>44</xdr:col>
      <xdr:colOff>181372</xdr:colOff>
      <xdr:row>43</xdr:row>
      <xdr:rowOff>94852</xdr:rowOff>
    </xdr:to>
    <xdr:graphicFrame macro="">
      <xdr:nvGraphicFramePr>
        <xdr:cNvPr id="3" name="Chart 2">
          <a:extLst>
            <a:ext uri="{FF2B5EF4-FFF2-40B4-BE49-F238E27FC236}">
              <a16:creationId xmlns:a16="http://schemas.microsoft.com/office/drawing/2014/main" id="{0347EC20-A231-4397-8EA1-92135F19F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32</xdr:col>
      <xdr:colOff>267889</xdr:colOff>
      <xdr:row>2</xdr:row>
      <xdr:rowOff>3570</xdr:rowOff>
    </xdr:from>
    <xdr:to>
      <xdr:col>39</xdr:col>
      <xdr:colOff>589358</xdr:colOff>
      <xdr:row>15</xdr:row>
      <xdr:rowOff>35320</xdr:rowOff>
    </xdr:to>
    <xdr:graphicFrame macro="">
      <xdr:nvGraphicFramePr>
        <xdr:cNvPr id="2" name="Chart 1">
          <a:extLst>
            <a:ext uri="{FF2B5EF4-FFF2-40B4-BE49-F238E27FC236}">
              <a16:creationId xmlns:a16="http://schemas.microsoft.com/office/drawing/2014/main" id="{2C25489F-0528-417B-A1D0-2F140D00D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473472</xdr:colOff>
      <xdr:row>30</xdr:row>
      <xdr:rowOff>59927</xdr:rowOff>
    </xdr:from>
    <xdr:to>
      <xdr:col>40</xdr:col>
      <xdr:colOff>181372</xdr:colOff>
      <xdr:row>43</xdr:row>
      <xdr:rowOff>94852</xdr:rowOff>
    </xdr:to>
    <xdr:graphicFrame macro="">
      <xdr:nvGraphicFramePr>
        <xdr:cNvPr id="3" name="Chart 2">
          <a:extLst>
            <a:ext uri="{FF2B5EF4-FFF2-40B4-BE49-F238E27FC236}">
              <a16:creationId xmlns:a16="http://schemas.microsoft.com/office/drawing/2014/main" id="{14057AC9-D1C2-49D5-B6D0-BF0BAEB391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31</xdr:col>
      <xdr:colOff>267889</xdr:colOff>
      <xdr:row>2</xdr:row>
      <xdr:rowOff>3570</xdr:rowOff>
    </xdr:from>
    <xdr:to>
      <xdr:col>38</xdr:col>
      <xdr:colOff>589358</xdr:colOff>
      <xdr:row>15</xdr:row>
      <xdr:rowOff>35320</xdr:rowOff>
    </xdr:to>
    <xdr:graphicFrame macro="">
      <xdr:nvGraphicFramePr>
        <xdr:cNvPr id="2" name="Chart 1">
          <a:extLst>
            <a:ext uri="{FF2B5EF4-FFF2-40B4-BE49-F238E27FC236}">
              <a16:creationId xmlns:a16="http://schemas.microsoft.com/office/drawing/2014/main" id="{49C9AEE0-F587-4DF9-A72B-FC1A6E05D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473472</xdr:colOff>
      <xdr:row>30</xdr:row>
      <xdr:rowOff>59927</xdr:rowOff>
    </xdr:from>
    <xdr:to>
      <xdr:col>39</xdr:col>
      <xdr:colOff>181372</xdr:colOff>
      <xdr:row>43</xdr:row>
      <xdr:rowOff>94852</xdr:rowOff>
    </xdr:to>
    <xdr:graphicFrame macro="">
      <xdr:nvGraphicFramePr>
        <xdr:cNvPr id="3" name="Chart 2">
          <a:extLst>
            <a:ext uri="{FF2B5EF4-FFF2-40B4-BE49-F238E27FC236}">
              <a16:creationId xmlns:a16="http://schemas.microsoft.com/office/drawing/2014/main" id="{9B33BDC5-19BB-4CCB-8A07-CAC9B00BF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31</xdr:col>
      <xdr:colOff>267889</xdr:colOff>
      <xdr:row>2</xdr:row>
      <xdr:rowOff>3570</xdr:rowOff>
    </xdr:from>
    <xdr:to>
      <xdr:col>38</xdr:col>
      <xdr:colOff>589358</xdr:colOff>
      <xdr:row>15</xdr:row>
      <xdr:rowOff>35320</xdr:rowOff>
    </xdr:to>
    <xdr:graphicFrame macro="">
      <xdr:nvGraphicFramePr>
        <xdr:cNvPr id="2" name="Chart 1">
          <a:extLst>
            <a:ext uri="{FF2B5EF4-FFF2-40B4-BE49-F238E27FC236}">
              <a16:creationId xmlns:a16="http://schemas.microsoft.com/office/drawing/2014/main" id="{9B2BACF5-6E7A-4607-9323-96AD5ED3C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473472</xdr:colOff>
      <xdr:row>30</xdr:row>
      <xdr:rowOff>59927</xdr:rowOff>
    </xdr:from>
    <xdr:to>
      <xdr:col>39</xdr:col>
      <xdr:colOff>181372</xdr:colOff>
      <xdr:row>43</xdr:row>
      <xdr:rowOff>94852</xdr:rowOff>
    </xdr:to>
    <xdr:graphicFrame macro="">
      <xdr:nvGraphicFramePr>
        <xdr:cNvPr id="3" name="Chart 2">
          <a:extLst>
            <a:ext uri="{FF2B5EF4-FFF2-40B4-BE49-F238E27FC236}">
              <a16:creationId xmlns:a16="http://schemas.microsoft.com/office/drawing/2014/main" id="{064B78EB-8DA2-441D-9BDC-7BE69E221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1368425</xdr:colOff>
      <xdr:row>49</xdr:row>
      <xdr:rowOff>101600</xdr:rowOff>
    </xdr:from>
    <xdr:to>
      <xdr:col>9</xdr:col>
      <xdr:colOff>304800</xdr:colOff>
      <xdr:row>70</xdr:row>
      <xdr:rowOff>171450</xdr:rowOff>
    </xdr:to>
    <xdr:graphicFrame macro="">
      <xdr:nvGraphicFramePr>
        <xdr:cNvPr id="6" name="Chart 5">
          <a:extLst>
            <a:ext uri="{FF2B5EF4-FFF2-40B4-BE49-F238E27FC236}">
              <a16:creationId xmlns:a16="http://schemas.microsoft.com/office/drawing/2014/main" id="{25066328-0E72-3343-B128-03A8125E2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333375</xdr:colOff>
      <xdr:row>49</xdr:row>
      <xdr:rowOff>106363</xdr:rowOff>
    </xdr:from>
    <xdr:to>
      <xdr:col>19</xdr:col>
      <xdr:colOff>276226</xdr:colOff>
      <xdr:row>71</xdr:row>
      <xdr:rowOff>0</xdr:rowOff>
    </xdr:to>
    <xdr:graphicFrame macro="">
      <xdr:nvGraphicFramePr>
        <xdr:cNvPr id="7" name="Chart 6">
          <a:extLst>
            <a:ext uri="{FF2B5EF4-FFF2-40B4-BE49-F238E27FC236}">
              <a16:creationId xmlns:a16="http://schemas.microsoft.com/office/drawing/2014/main" id="{B9D1EEE1-4889-36EE-463D-C84F64BAA7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1362074</xdr:colOff>
      <xdr:row>71</xdr:row>
      <xdr:rowOff>76200</xdr:rowOff>
    </xdr:from>
    <xdr:to>
      <xdr:col>9</xdr:col>
      <xdr:colOff>307974</xdr:colOff>
      <xdr:row>92</xdr:row>
      <xdr:rowOff>82550</xdr:rowOff>
    </xdr:to>
    <xdr:graphicFrame macro="">
      <xdr:nvGraphicFramePr>
        <xdr:cNvPr id="8" name="Chart 7">
          <a:extLst>
            <a:ext uri="{FF2B5EF4-FFF2-40B4-BE49-F238E27FC236}">
              <a16:creationId xmlns:a16="http://schemas.microsoft.com/office/drawing/2014/main" id="{DBBD0C2E-1272-51ED-398F-A0AC83F78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349251</xdr:colOff>
      <xdr:row>71</xdr:row>
      <xdr:rowOff>77786</xdr:rowOff>
    </xdr:from>
    <xdr:to>
      <xdr:col>19</xdr:col>
      <xdr:colOff>333376</xdr:colOff>
      <xdr:row>92</xdr:row>
      <xdr:rowOff>95250</xdr:rowOff>
    </xdr:to>
    <xdr:graphicFrame macro="">
      <xdr:nvGraphicFramePr>
        <xdr:cNvPr id="9" name="Chart 8">
          <a:extLst>
            <a:ext uri="{FF2B5EF4-FFF2-40B4-BE49-F238E27FC236}">
              <a16:creationId xmlns:a16="http://schemas.microsoft.com/office/drawing/2014/main" id="{BFB62749-AE92-8F4B-25BA-1DD561468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31</xdr:col>
      <xdr:colOff>267889</xdr:colOff>
      <xdr:row>2</xdr:row>
      <xdr:rowOff>3570</xdr:rowOff>
    </xdr:from>
    <xdr:to>
      <xdr:col>38</xdr:col>
      <xdr:colOff>589358</xdr:colOff>
      <xdr:row>15</xdr:row>
      <xdr:rowOff>35320</xdr:rowOff>
    </xdr:to>
    <xdr:graphicFrame macro="">
      <xdr:nvGraphicFramePr>
        <xdr:cNvPr id="2" name="Chart 1">
          <a:extLst>
            <a:ext uri="{FF2B5EF4-FFF2-40B4-BE49-F238E27FC236}">
              <a16:creationId xmlns:a16="http://schemas.microsoft.com/office/drawing/2014/main" id="{136304B7-F780-461A-ACE9-2B45F8C56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473472</xdr:colOff>
      <xdr:row>30</xdr:row>
      <xdr:rowOff>59927</xdr:rowOff>
    </xdr:from>
    <xdr:to>
      <xdr:col>39</xdr:col>
      <xdr:colOff>181372</xdr:colOff>
      <xdr:row>43</xdr:row>
      <xdr:rowOff>94852</xdr:rowOff>
    </xdr:to>
    <xdr:graphicFrame macro="">
      <xdr:nvGraphicFramePr>
        <xdr:cNvPr id="3" name="Chart 2">
          <a:extLst>
            <a:ext uri="{FF2B5EF4-FFF2-40B4-BE49-F238E27FC236}">
              <a16:creationId xmlns:a16="http://schemas.microsoft.com/office/drawing/2014/main" id="{4C53BDAE-5FC9-4A90-9B59-5C9A6E2D1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31</xdr:col>
      <xdr:colOff>267889</xdr:colOff>
      <xdr:row>2</xdr:row>
      <xdr:rowOff>3570</xdr:rowOff>
    </xdr:from>
    <xdr:to>
      <xdr:col>38</xdr:col>
      <xdr:colOff>589358</xdr:colOff>
      <xdr:row>15</xdr:row>
      <xdr:rowOff>35320</xdr:rowOff>
    </xdr:to>
    <xdr:graphicFrame macro="">
      <xdr:nvGraphicFramePr>
        <xdr:cNvPr id="2" name="Chart 1">
          <a:extLst>
            <a:ext uri="{FF2B5EF4-FFF2-40B4-BE49-F238E27FC236}">
              <a16:creationId xmlns:a16="http://schemas.microsoft.com/office/drawing/2014/main" id="{842CF4AC-772C-21CC-5E54-B03CFF001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473472</xdr:colOff>
      <xdr:row>30</xdr:row>
      <xdr:rowOff>59927</xdr:rowOff>
    </xdr:from>
    <xdr:to>
      <xdr:col>39</xdr:col>
      <xdr:colOff>181372</xdr:colOff>
      <xdr:row>43</xdr:row>
      <xdr:rowOff>94852</xdr:rowOff>
    </xdr:to>
    <xdr:graphicFrame macro="">
      <xdr:nvGraphicFramePr>
        <xdr:cNvPr id="3" name="Chart 2">
          <a:extLst>
            <a:ext uri="{FF2B5EF4-FFF2-40B4-BE49-F238E27FC236}">
              <a16:creationId xmlns:a16="http://schemas.microsoft.com/office/drawing/2014/main" id="{93F656F2-960D-1B13-8345-DEE16B9E93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106186</xdr:colOff>
      <xdr:row>33</xdr:row>
      <xdr:rowOff>145697</xdr:rowOff>
    </xdr:from>
    <xdr:to>
      <xdr:col>6</xdr:col>
      <xdr:colOff>119591</xdr:colOff>
      <xdr:row>48</xdr:row>
      <xdr:rowOff>143580</xdr:rowOff>
    </xdr:to>
    <xdr:graphicFrame macro="">
      <xdr:nvGraphicFramePr>
        <xdr:cNvPr id="3" name="Chart 2">
          <a:extLst>
            <a:ext uri="{FF2B5EF4-FFF2-40B4-BE49-F238E27FC236}">
              <a16:creationId xmlns:a16="http://schemas.microsoft.com/office/drawing/2014/main" id="{63305D48-3C63-3AB7-93FC-AED3DC79E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433917</xdr:colOff>
      <xdr:row>33</xdr:row>
      <xdr:rowOff>134407</xdr:rowOff>
    </xdr:from>
    <xdr:to>
      <xdr:col>10</xdr:col>
      <xdr:colOff>448734</xdr:colOff>
      <xdr:row>49</xdr:row>
      <xdr:rowOff>2115</xdr:rowOff>
    </xdr:to>
    <xdr:graphicFrame macro="">
      <xdr:nvGraphicFramePr>
        <xdr:cNvPr id="4" name="Chart 3">
          <a:extLst>
            <a:ext uri="{FF2B5EF4-FFF2-40B4-BE49-F238E27FC236}">
              <a16:creationId xmlns:a16="http://schemas.microsoft.com/office/drawing/2014/main" id="{B7DD8B02-E1EA-CB31-C516-338954D70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949326</xdr:colOff>
      <xdr:row>33</xdr:row>
      <xdr:rowOff>120650</xdr:rowOff>
    </xdr:from>
    <xdr:to>
      <xdr:col>18</xdr:col>
      <xdr:colOff>123826</xdr:colOff>
      <xdr:row>48</xdr:row>
      <xdr:rowOff>168275</xdr:rowOff>
    </xdr:to>
    <xdr:graphicFrame macro="">
      <xdr:nvGraphicFramePr>
        <xdr:cNvPr id="5" name="Chart 4">
          <a:extLst>
            <a:ext uri="{FF2B5EF4-FFF2-40B4-BE49-F238E27FC236}">
              <a16:creationId xmlns:a16="http://schemas.microsoft.com/office/drawing/2014/main" id="{B078EDFD-13DC-C74C-8E0C-7C27693A7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250824</xdr:colOff>
      <xdr:row>50</xdr:row>
      <xdr:rowOff>49742</xdr:rowOff>
    </xdr:from>
    <xdr:to>
      <xdr:col>14</xdr:col>
      <xdr:colOff>264582</xdr:colOff>
      <xdr:row>65</xdr:row>
      <xdr:rowOff>94192</xdr:rowOff>
    </xdr:to>
    <xdr:graphicFrame macro="">
      <xdr:nvGraphicFramePr>
        <xdr:cNvPr id="6" name="Chart 5">
          <a:extLst>
            <a:ext uri="{FF2B5EF4-FFF2-40B4-BE49-F238E27FC236}">
              <a16:creationId xmlns:a16="http://schemas.microsoft.com/office/drawing/2014/main" id="{B7D887E6-841B-A554-871E-983C6E8199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285822</xdr:colOff>
      <xdr:row>2</xdr:row>
      <xdr:rowOff>177150</xdr:rowOff>
    </xdr:from>
    <xdr:to>
      <xdr:col>16</xdr:col>
      <xdr:colOff>48780</xdr:colOff>
      <xdr:row>27</xdr:row>
      <xdr:rowOff>34635</xdr:rowOff>
    </xdr:to>
    <xdr:graphicFrame macro="">
      <xdr:nvGraphicFramePr>
        <xdr:cNvPr id="3" name="Chart 2">
          <a:extLst>
            <a:ext uri="{FF2B5EF4-FFF2-40B4-BE49-F238E27FC236}">
              <a16:creationId xmlns:a16="http://schemas.microsoft.com/office/drawing/2014/main" id="{495331B3-390D-224D-BBC7-4E554635B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27</xdr:col>
      <xdr:colOff>202406</xdr:colOff>
      <xdr:row>68</xdr:row>
      <xdr:rowOff>8732</xdr:rowOff>
    </xdr:from>
    <xdr:to>
      <xdr:col>34</xdr:col>
      <xdr:colOff>863600</xdr:colOff>
      <xdr:row>96</xdr:row>
      <xdr:rowOff>119063</xdr:rowOff>
    </xdr:to>
    <xdr:graphicFrame macro="">
      <xdr:nvGraphicFramePr>
        <xdr:cNvPr id="2" name="Chart 1">
          <a:extLst>
            <a:ext uri="{FF2B5EF4-FFF2-40B4-BE49-F238E27FC236}">
              <a16:creationId xmlns:a16="http://schemas.microsoft.com/office/drawing/2014/main" id="{6110988E-6692-4FDB-994B-AD52B7DF5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863995</xdr:colOff>
      <xdr:row>68</xdr:row>
      <xdr:rowOff>9919</xdr:rowOff>
    </xdr:from>
    <xdr:to>
      <xdr:col>47</xdr:col>
      <xdr:colOff>110331</xdr:colOff>
      <xdr:row>96</xdr:row>
      <xdr:rowOff>134143</xdr:rowOff>
    </xdr:to>
    <xdr:graphicFrame macro="">
      <xdr:nvGraphicFramePr>
        <xdr:cNvPr id="3" name="Chart 2">
          <a:extLst>
            <a:ext uri="{FF2B5EF4-FFF2-40B4-BE49-F238E27FC236}">
              <a16:creationId xmlns:a16="http://schemas.microsoft.com/office/drawing/2014/main" id="{CEF6F3B0-E0D4-4546-A782-BDF246437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28</xdr:col>
      <xdr:colOff>210212</xdr:colOff>
      <xdr:row>67</xdr:row>
      <xdr:rowOff>2646</xdr:rowOff>
    </xdr:from>
    <xdr:to>
      <xdr:col>36</xdr:col>
      <xdr:colOff>416719</xdr:colOff>
      <xdr:row>100</xdr:row>
      <xdr:rowOff>122237</xdr:rowOff>
    </xdr:to>
    <xdr:graphicFrame macro="">
      <xdr:nvGraphicFramePr>
        <xdr:cNvPr id="2" name="Chart 1">
          <a:extLst>
            <a:ext uri="{FF2B5EF4-FFF2-40B4-BE49-F238E27FC236}">
              <a16:creationId xmlns:a16="http://schemas.microsoft.com/office/drawing/2014/main" id="{2E476EAF-9CF3-440B-B6A6-96B75711A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66277</xdr:colOff>
      <xdr:row>67</xdr:row>
      <xdr:rowOff>111521</xdr:rowOff>
    </xdr:from>
    <xdr:to>
      <xdr:col>48</xdr:col>
      <xdr:colOff>1785937</xdr:colOff>
      <xdr:row>101</xdr:row>
      <xdr:rowOff>32544</xdr:rowOff>
    </xdr:to>
    <xdr:graphicFrame macro="">
      <xdr:nvGraphicFramePr>
        <xdr:cNvPr id="3" name="Chart 2">
          <a:extLst>
            <a:ext uri="{FF2B5EF4-FFF2-40B4-BE49-F238E27FC236}">
              <a16:creationId xmlns:a16="http://schemas.microsoft.com/office/drawing/2014/main" id="{219E239C-8E2C-4EFE-B3B0-E2EB4E532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23</xdr:col>
      <xdr:colOff>906047</xdr:colOff>
      <xdr:row>105</xdr:row>
      <xdr:rowOff>69301</xdr:rowOff>
    </xdr:from>
    <xdr:to>
      <xdr:col>34</xdr:col>
      <xdr:colOff>63500</xdr:colOff>
      <xdr:row>144</xdr:row>
      <xdr:rowOff>38101</xdr:rowOff>
    </xdr:to>
    <xdr:graphicFrame macro="">
      <xdr:nvGraphicFramePr>
        <xdr:cNvPr id="2" name="Chart 1">
          <a:extLst>
            <a:ext uri="{FF2B5EF4-FFF2-40B4-BE49-F238E27FC236}">
              <a16:creationId xmlns:a16="http://schemas.microsoft.com/office/drawing/2014/main" id="{E4B8A3CD-6EB3-4289-BC43-FABA0B658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50422</xdr:colOff>
      <xdr:row>105</xdr:row>
      <xdr:rowOff>57793</xdr:rowOff>
    </xdr:from>
    <xdr:to>
      <xdr:col>46</xdr:col>
      <xdr:colOff>3176</xdr:colOff>
      <xdr:row>144</xdr:row>
      <xdr:rowOff>44450</xdr:rowOff>
    </xdr:to>
    <xdr:graphicFrame macro="">
      <xdr:nvGraphicFramePr>
        <xdr:cNvPr id="3" name="Chart 2">
          <a:extLst>
            <a:ext uri="{FF2B5EF4-FFF2-40B4-BE49-F238E27FC236}">
              <a16:creationId xmlns:a16="http://schemas.microsoft.com/office/drawing/2014/main" id="{97D24BAC-7119-4D69-A1F6-257D60A13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28</xdr:col>
      <xdr:colOff>343429</xdr:colOff>
      <xdr:row>66</xdr:row>
      <xdr:rowOff>141551</xdr:rowOff>
    </xdr:from>
    <xdr:to>
      <xdr:col>36</xdr:col>
      <xdr:colOff>141022</xdr:colOff>
      <xdr:row>96</xdr:row>
      <xdr:rowOff>114564</xdr:rowOff>
    </xdr:to>
    <xdr:graphicFrame macro="">
      <xdr:nvGraphicFramePr>
        <xdr:cNvPr id="2" name="Chart 1">
          <a:extLst>
            <a:ext uri="{FF2B5EF4-FFF2-40B4-BE49-F238E27FC236}">
              <a16:creationId xmlns:a16="http://schemas.microsoft.com/office/drawing/2014/main" id="{4E251A10-2679-4438-959F-143983BDBA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555491</xdr:colOff>
      <xdr:row>66</xdr:row>
      <xdr:rowOff>134143</xdr:rowOff>
    </xdr:from>
    <xdr:to>
      <xdr:col>49</xdr:col>
      <xdr:colOff>19313</xdr:colOff>
      <xdr:row>96</xdr:row>
      <xdr:rowOff>103982</xdr:rowOff>
    </xdr:to>
    <xdr:graphicFrame macro="">
      <xdr:nvGraphicFramePr>
        <xdr:cNvPr id="3" name="Chart 2">
          <a:extLst>
            <a:ext uri="{FF2B5EF4-FFF2-40B4-BE49-F238E27FC236}">
              <a16:creationId xmlns:a16="http://schemas.microsoft.com/office/drawing/2014/main" id="{3E4E4E34-3AAB-49DD-A242-163B5C338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27</xdr:col>
      <xdr:colOff>478234</xdr:colOff>
      <xdr:row>68</xdr:row>
      <xdr:rowOff>11907</xdr:rowOff>
    </xdr:from>
    <xdr:to>
      <xdr:col>34</xdr:col>
      <xdr:colOff>860425</xdr:colOff>
      <xdr:row>95</xdr:row>
      <xdr:rowOff>125414</xdr:rowOff>
    </xdr:to>
    <xdr:graphicFrame macro="">
      <xdr:nvGraphicFramePr>
        <xdr:cNvPr id="2" name="Chart 1">
          <a:extLst>
            <a:ext uri="{FF2B5EF4-FFF2-40B4-BE49-F238E27FC236}">
              <a16:creationId xmlns:a16="http://schemas.microsoft.com/office/drawing/2014/main" id="{56C0FE86-6F12-4325-A919-0E376879E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877225</xdr:colOff>
      <xdr:row>68</xdr:row>
      <xdr:rowOff>11773</xdr:rowOff>
    </xdr:from>
    <xdr:to>
      <xdr:col>46</xdr:col>
      <xdr:colOff>474398</xdr:colOff>
      <xdr:row>95</xdr:row>
      <xdr:rowOff>135996</xdr:rowOff>
    </xdr:to>
    <xdr:graphicFrame macro="">
      <xdr:nvGraphicFramePr>
        <xdr:cNvPr id="3" name="Chart 2">
          <a:extLst>
            <a:ext uri="{FF2B5EF4-FFF2-40B4-BE49-F238E27FC236}">
              <a16:creationId xmlns:a16="http://schemas.microsoft.com/office/drawing/2014/main" id="{E49BFF67-651B-480F-AD26-5557F4DE6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28</xdr:col>
      <xdr:colOff>460243</xdr:colOff>
      <xdr:row>67</xdr:row>
      <xdr:rowOff>174890</xdr:rowOff>
    </xdr:from>
    <xdr:to>
      <xdr:col>35</xdr:col>
      <xdr:colOff>839259</xdr:colOff>
      <xdr:row>95</xdr:row>
      <xdr:rowOff>111656</xdr:rowOff>
    </xdr:to>
    <xdr:graphicFrame macro="">
      <xdr:nvGraphicFramePr>
        <xdr:cNvPr id="2" name="Chart 1">
          <a:extLst>
            <a:ext uri="{FF2B5EF4-FFF2-40B4-BE49-F238E27FC236}">
              <a16:creationId xmlns:a16="http://schemas.microsoft.com/office/drawing/2014/main" id="{B10F59FD-DBBB-4A50-839A-3E59FCDE0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976708</xdr:colOff>
      <xdr:row>68</xdr:row>
      <xdr:rowOff>1189</xdr:rowOff>
    </xdr:from>
    <xdr:to>
      <xdr:col>47</xdr:col>
      <xdr:colOff>580231</xdr:colOff>
      <xdr:row>95</xdr:row>
      <xdr:rowOff>122237</xdr:rowOff>
    </xdr:to>
    <xdr:graphicFrame macro="">
      <xdr:nvGraphicFramePr>
        <xdr:cNvPr id="3" name="Chart 2">
          <a:extLst>
            <a:ext uri="{FF2B5EF4-FFF2-40B4-BE49-F238E27FC236}">
              <a16:creationId xmlns:a16="http://schemas.microsoft.com/office/drawing/2014/main" id="{0E888D57-8E0F-4DE8-B816-250D06C6E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27</xdr:col>
      <xdr:colOff>393285</xdr:colOff>
      <xdr:row>74</xdr:row>
      <xdr:rowOff>48549</xdr:rowOff>
    </xdr:from>
    <xdr:to>
      <xdr:col>35</xdr:col>
      <xdr:colOff>583406</xdr:colOff>
      <xdr:row>102</xdr:row>
      <xdr:rowOff>35718</xdr:rowOff>
    </xdr:to>
    <xdr:graphicFrame macro="">
      <xdr:nvGraphicFramePr>
        <xdr:cNvPr id="2" name="Chart 1">
          <a:extLst>
            <a:ext uri="{FF2B5EF4-FFF2-40B4-BE49-F238E27FC236}">
              <a16:creationId xmlns:a16="http://schemas.microsoft.com/office/drawing/2014/main" id="{97102FC5-5529-4249-9B16-F0E116A90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686602</xdr:colOff>
      <xdr:row>74</xdr:row>
      <xdr:rowOff>49705</xdr:rowOff>
    </xdr:from>
    <xdr:to>
      <xdr:col>48</xdr:col>
      <xdr:colOff>29368</xdr:colOff>
      <xdr:row>102</xdr:row>
      <xdr:rowOff>50799</xdr:rowOff>
    </xdr:to>
    <xdr:graphicFrame macro="">
      <xdr:nvGraphicFramePr>
        <xdr:cNvPr id="3" name="Chart 2">
          <a:extLst>
            <a:ext uri="{FF2B5EF4-FFF2-40B4-BE49-F238E27FC236}">
              <a16:creationId xmlns:a16="http://schemas.microsoft.com/office/drawing/2014/main" id="{A8A0F49B-A822-40B6-B8C5-A23E8163C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28</xdr:col>
      <xdr:colOff>478234</xdr:colOff>
      <xdr:row>68</xdr:row>
      <xdr:rowOff>11907</xdr:rowOff>
    </xdr:from>
    <xdr:to>
      <xdr:col>35</xdr:col>
      <xdr:colOff>860425</xdr:colOff>
      <xdr:row>95</xdr:row>
      <xdr:rowOff>125414</xdr:rowOff>
    </xdr:to>
    <xdr:graphicFrame macro="">
      <xdr:nvGraphicFramePr>
        <xdr:cNvPr id="2" name="Chart 1">
          <a:extLst>
            <a:ext uri="{FF2B5EF4-FFF2-40B4-BE49-F238E27FC236}">
              <a16:creationId xmlns:a16="http://schemas.microsoft.com/office/drawing/2014/main" id="{271F05B4-49A3-4D8C-950E-7D6161612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976708</xdr:colOff>
      <xdr:row>68</xdr:row>
      <xdr:rowOff>1189</xdr:rowOff>
    </xdr:from>
    <xdr:to>
      <xdr:col>47</xdr:col>
      <xdr:colOff>580231</xdr:colOff>
      <xdr:row>95</xdr:row>
      <xdr:rowOff>122237</xdr:rowOff>
    </xdr:to>
    <xdr:graphicFrame macro="">
      <xdr:nvGraphicFramePr>
        <xdr:cNvPr id="3" name="Chart 2">
          <a:extLst>
            <a:ext uri="{FF2B5EF4-FFF2-40B4-BE49-F238E27FC236}">
              <a16:creationId xmlns:a16="http://schemas.microsoft.com/office/drawing/2014/main" id="{602E18D1-49D4-4F1C-B455-2C76605BD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eorgios Krassakopoulos" id="{3AAD0E9C-B1B3-4EDE-B897-08F9C4B4CB5B}" userId="S::s2453034@ed.ac.uk::69cce247-27fc-45b1-a9fa-020b05e20cf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3-08-04T07:12:43.66" personId="{3AAD0E9C-B1B3-4EDE-B897-08F9C4B4CB5B}" id="{0C7B6644-0DDE-464E-8BE6-F15AB6D393D9}">
    <text>Based on NREL 2020 report (pg 45 etc) making dollars to euro and to article by Οικονομικός Ταχυδρόμος</text>
  </threadedComment>
</ThreadedComments>
</file>

<file path=xl/threadedComments/threadedComment10.xml><?xml version="1.0" encoding="utf-8"?>
<ThreadedComments xmlns="http://schemas.microsoft.com/office/spreadsheetml/2018/threadedcomments" xmlns:x="http://schemas.openxmlformats.org/spreadsheetml/2006/main">
  <threadedComment ref="A1" dT="2023-08-04T22:33:19.97" personId="{3AAD0E9C-B1B3-4EDE-B897-08F9C4B4CB5B}" id="{F034AA7D-AED6-44CA-AE7A-4E1C350C6FC2}">
    <text>My initial LEM, pros sell to dso with 0.087</text>
  </threadedComment>
  <threadedComment ref="W1" dT="2023-08-04T22:54:20.73" personId="{3AAD0E9C-B1B3-4EDE-B897-08F9C4B4CB5B}" id="{50674387-F1AE-405E-9B4B-40AD3D2CA62C}">
    <text>Prosumers sell to NESO with 0.087</text>
  </threadedComment>
  <threadedComment ref="AY1" dT="2023-08-05T03:14:16.94" personId="{3AAD0E9C-B1B3-4EDE-B897-08F9C4B4CB5B}" id="{F792319B-7531-4A8E-AB27-63DF18F59809}">
    <text>All agents are treated equal</text>
  </threadedComment>
  <threadedComment ref="AZ1" dT="2023-08-05T03:14:49.88" personId="{3AAD0E9C-B1B3-4EDE-B897-08F9C4B4CB5B}" id="{94E4721F-C80F-4A8D-876E-405DA62C37B6}">
    <text xml:space="preserve">Giving advantage to prosumers who took the risk of investment </text>
  </threadedComment>
  <threadedComment ref="BA2" dT="2023-08-05T03:23:06.50" personId="{3AAD0E9C-B1B3-4EDE-B897-08F9C4B4CB5B}" id="{A4202539-256A-4844-9CB1-D2711A20B131}">
    <text>What prosumers received more under this scheme</text>
  </threadedComment>
  <threadedComment ref="AW5" dT="2023-08-05T03:20:38.73" personId="{3AAD0E9C-B1B3-4EDE-B897-08F9C4B4CB5B}" id="{AC709D7D-7337-4A32-980A-55D0F6A99C93}">
    <text>Income of prosumers under the scheme giving them advantage</text>
  </threadedComment>
  <threadedComment ref="U10" dT="2023-08-05T01:27:14.91" personId="{3AAD0E9C-B1B3-4EDE-B897-08F9C4B4CB5B}" id="{C4E56381-5863-4AA6-994B-C1508817D309}">
    <text>Say that they will not pay as the cost of smart meters will be covered by the standard cost in the energy bills which will happen with every household in Greece and Europe</text>
  </threadedComment>
  <threadedComment ref="U11" dT="2023-08-05T01:19:33.15" personId="{3AAD0E9C-B1B3-4EDE-B897-08F9C4B4CB5B}" id="{6E0F8CE1-FA58-4E40-8E46-6BD293917DFB}">
    <text>For 3 people personel and 1700 euro gross salary per month
As if having personnel it will not be economically feasible say that for the monitoring it will be people from the community who could earn a discount on their expanses in the LEM and if they do extra works by offering service to the grid, they would be paid from there</text>
  </threadedComment>
  <threadedComment ref="U12" dT="2023-08-05T01:24:04.13" personId="{3AAD0E9C-B1B3-4EDE-B897-08F9C4B4CB5B}" id="{E750C0BB-B593-4938-96EE-E0ECF646C01D}">
    <text>Say that the building will be offered by a community member or the local authorities to support the scheme</text>
  </threadedComment>
  <threadedComment ref="U13" dT="2023-08-05T01:54:33.67" personId="{3AAD0E9C-B1B3-4EDE-B897-08F9C4B4CB5B}" id="{F2F35A27-B154-4E0A-A0EA-291A373926F8}">
    <text>It would be built by us, or there would be an annual fee to the whole LEM for using it by the provider company. This annual fee would be seperated over the bills of all the members of LEM</text>
  </threadedComment>
  <threadedComment ref="S16" dT="2023-08-04T07:33:54.10" personId="{3AAD0E9C-B1B3-4EDE-B897-08F9C4B4CB5B}" id="{7541E819-3A8F-481B-ABCB-283128C11BA0}">
    <text>Pg 45 NREL</text>
  </threadedComment>
  <threadedComment ref="S18" dT="2023-08-04T07:12:43.66" personId="{3AAD0E9C-B1B3-4EDE-B897-08F9C4B4CB5B}" id="{E56D3389-0509-4F25-BAD7-6262EA89FAB6}">
    <text>Based on NREL 2020 report (pg 45 etc) making dollars to euro and to article by Οικονομικός Ταχυδρόμος</text>
  </threadedComment>
  <threadedComment ref="S27" dT="2023-08-04T07:34:16.84" personId="{3AAD0E9C-B1B3-4EDE-B897-08F9C4B4CB5B}" id="{2F48A4E8-9B12-4A93-86F0-0268215C20A6}">
    <text>pg 76 NREL</text>
  </threadedComment>
  <threadedComment ref="U29" dT="2023-08-04T23:28:34.00" personId="{3AAD0E9C-B1B3-4EDE-B897-08F9C4B4CB5B}" id="{0C624DC4-7A65-4AB8-B044-EAF66A27BCC0}">
    <text>1700 euro/kWh I consider</text>
  </threadedComment>
  <threadedComment ref="U30" dT="2023-08-04T23:28:39.04" personId="{3AAD0E9C-B1B3-4EDE-B897-08F9C4B4CB5B}" id="{4571F168-310F-4586-86CE-D7DFDD124531}">
    <text>1700 euro/kWh I consider</text>
  </threadedComment>
  <threadedComment ref="U31" dT="2023-08-04T23:27:16.83" personId="{3AAD0E9C-B1B3-4EDE-B897-08F9C4B4CB5B}" id="{047C1ED4-77B8-435F-8E00-820713CF00E9}">
    <text>1120 euro/kWh I consider</text>
  </threadedComment>
  <threadedComment ref="U32" dT="2023-08-04T23:27:27.63" personId="{3AAD0E9C-B1B3-4EDE-B897-08F9C4B4CB5B}" id="{086A0B7C-3ED3-4B28-A5AA-840704B51E14}">
    <text>1120 euro/kWh I consider</text>
  </threadedComment>
  <threadedComment ref="U33" dT="2023-08-04T23:29:32.87" personId="{3AAD0E9C-B1B3-4EDE-B897-08F9C4B4CB5B}" id="{4469DF68-B7BA-4E90-8FE6-98495A24AD9E}">
    <text>700 euro/kWh I consider</text>
  </threadedComment>
  <threadedComment ref="U34" dT="2023-08-04T23:29:36.79" personId="{3AAD0E9C-B1B3-4EDE-B897-08F9C4B4CB5B}" id="{5D0D6313-0C42-451B-B4A6-8CAFB1BD47BA}">
    <text>700 euro/kWh I consider</text>
  </threadedComment>
  <threadedComment ref="U35" dT="2023-08-04T23:22:19.56" personId="{3AAD0E9C-B1B3-4EDE-B897-08F9C4B4CB5B}" id="{30A42B90-5F49-4AAD-96A3-6BE3D6DFBEFB}">
    <text>825 euro / kWh is the cost</text>
  </threadedComment>
  <threadedComment ref="A46" dT="2023-08-04T07:21:04.92" personId="{3AAD0E9C-B1B3-4EDE-B897-08F9C4B4CB5B}" id="{F8FC4F20-DED4-4253-A607-DE1D52285B0B}">
    <text>Last Prosumer</text>
  </threadedComment>
  <threadedComment ref="AX46" dT="2023-08-05T03:18:11.75" personId="{3AAD0E9C-B1B3-4EDE-B897-08F9C4B4CB5B}" id="{FF66A750-70C0-4C3E-8ED5-15E7851680BA}">
    <text>Last prosumer</text>
  </threadedComment>
  <threadedComment ref="A47" dT="2023-08-04T08:41:55.67" personId="{3AAD0E9C-B1B3-4EDE-B897-08F9C4B4CB5B}" id="{6A39F124-D56C-45F9-B2B9-E070D5F5B528}">
    <text>First Consumer</text>
  </threadedComment>
  <threadedComment ref="BA47" dT="2023-08-05T03:22:52.69" personId="{3AAD0E9C-B1B3-4EDE-B897-08F9C4B4CB5B}" id="{348EFE0F-2B8F-46D7-8B2D-419C1B54C15E}">
    <text>What consumers received less under this scheme</text>
  </threadedComment>
  <threadedComment ref="S50" dT="2023-08-04T09:06:07.52" personId="{3AAD0E9C-B1B3-4EDE-B897-08F9C4B4CB5B}" id="{6BA60C13-2EEE-41BB-8E44-652A6EAD6A44}">
    <text>Keep the same for both?</text>
  </threadedComment>
  <threadedComment ref="S67" dT="2023-08-04T07:12:43.66" personId="{3AAD0E9C-B1B3-4EDE-B897-08F9C4B4CB5B}" id="{D654B9F2-55DE-4987-AA9F-E012E9E9C950}">
    <text>Based on NREL 2020 report (pg 45 etc) making dollars to euro and to article by Οικονομικός Ταχυδρόμος</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3-08-04T22:33:19.97" personId="{3AAD0E9C-B1B3-4EDE-B897-08F9C4B4CB5B}" id="{B292914A-FBD4-4E8D-AB54-8C250087EB9A}">
    <text>My initial LEM, pros sell to dso with 0.087</text>
  </threadedComment>
  <threadedComment ref="V1" dT="2023-08-04T22:54:20.73" personId="{3AAD0E9C-B1B3-4EDE-B897-08F9C4B4CB5B}" id="{35B5EB26-B5B1-4586-BF4D-68103D9842EC}">
    <text>Prosumers sell to NESO with 0.087</text>
  </threadedComment>
  <threadedComment ref="AX1" dT="2023-08-05T03:14:16.94" personId="{3AAD0E9C-B1B3-4EDE-B897-08F9C4B4CB5B}" id="{029FB911-EBE5-4FD0-A1D1-0C997D464DE4}">
    <text>All agents are treated equal</text>
  </threadedComment>
  <threadedComment ref="AY1" dT="2023-08-05T03:14:49.88" personId="{3AAD0E9C-B1B3-4EDE-B897-08F9C4B4CB5B}" id="{ADEDE235-240D-4310-8141-21FE6084DAE9}">
    <text xml:space="preserve">Giving advantage to prosumers who took the risk of investment </text>
  </threadedComment>
  <threadedComment ref="AZ2" dT="2023-08-05T03:23:06.50" personId="{3AAD0E9C-B1B3-4EDE-B897-08F9C4B4CB5B}" id="{30AB1C72-437F-456F-825E-1D0ED49ED852}">
    <text>What prosumers received more under this scheme</text>
  </threadedComment>
  <threadedComment ref="AV5" dT="2023-08-05T03:20:38.73" personId="{3AAD0E9C-B1B3-4EDE-B897-08F9C4B4CB5B}" id="{8BBE42F6-30CB-4CEE-B7A2-EEB763065FCD}">
    <text>Income of prosumers under the scheme giving them advantage</text>
  </threadedComment>
  <threadedComment ref="T10" dT="2023-08-05T01:27:14.91" personId="{3AAD0E9C-B1B3-4EDE-B897-08F9C4B4CB5B}" id="{988755AC-8E32-47DB-B023-A6AEC7C750B9}">
    <text>Say that they will not pay as the cost of smart meters will be covered by the standard cost in the energy bills which will happen with every household in Greece and Europe</text>
  </threadedComment>
  <threadedComment ref="T11" dT="2023-08-05T01:19:33.15" personId="{3AAD0E9C-B1B3-4EDE-B897-08F9C4B4CB5B}" id="{F8F26AD3-196D-4E17-8924-3E32F8166075}">
    <text>For 3 people personel and 1700 euro gross salary per month
As if having personnel it will not be economically feasible say that for the monitoring it will be people from the community who could earn a discount on their expanses in the LEM and if they do extra works by offering service to the grid, they would be paid from there</text>
  </threadedComment>
  <threadedComment ref="T12" dT="2023-08-05T01:24:04.13" personId="{3AAD0E9C-B1B3-4EDE-B897-08F9C4B4CB5B}" id="{859CD949-6698-4542-A0F7-E1EDD257038D}">
    <text>Say that the building will be offered by a community member or the local authorities to support the scheme</text>
  </threadedComment>
  <threadedComment ref="T13" dT="2023-08-05T01:54:33.67" personId="{3AAD0E9C-B1B3-4EDE-B897-08F9C4B4CB5B}" id="{E697CDAC-A1B7-473D-92E4-DE7189922076}">
    <text>It would be built by us, or there would be an annual fee to the whole LEM for using it by the provider company. This annual fee would be seperated over the bills of all the members of LEM</text>
  </threadedComment>
  <threadedComment ref="R16" dT="2023-08-04T07:33:54.10" personId="{3AAD0E9C-B1B3-4EDE-B897-08F9C4B4CB5B}" id="{15F891DB-EF9D-4962-9178-D89E5479DAE3}">
    <text>Pg 45 NREL</text>
  </threadedComment>
  <threadedComment ref="R18" dT="2023-08-04T07:12:43.66" personId="{3AAD0E9C-B1B3-4EDE-B897-08F9C4B4CB5B}" id="{0729E9CE-2489-4DFC-88BB-235A450091F8}">
    <text>Based on NREL 2020 report (pg 45 etc) making dollars to euro and to article by Οικονομικός Ταχυδρόμος</text>
  </threadedComment>
  <threadedComment ref="R27" dT="2023-08-04T07:34:16.84" personId="{3AAD0E9C-B1B3-4EDE-B897-08F9C4B4CB5B}" id="{20AB5D21-2579-4CD3-B269-498E51896521}">
    <text>pg 76 NREL</text>
  </threadedComment>
  <threadedComment ref="T29" dT="2023-08-04T23:28:34.00" personId="{3AAD0E9C-B1B3-4EDE-B897-08F9C4B4CB5B}" id="{7F16305D-D5C3-4A98-BC1E-149E49BA9557}">
    <text>1700 euro/kWh I consider</text>
  </threadedComment>
  <threadedComment ref="T30" dT="2023-08-04T23:28:39.04" personId="{3AAD0E9C-B1B3-4EDE-B897-08F9C4B4CB5B}" id="{4483B267-F0E5-4678-87CB-4C70EC878518}">
    <text>1700 euro/kWh I consider</text>
  </threadedComment>
  <threadedComment ref="T31" dT="2023-08-04T23:27:16.83" personId="{3AAD0E9C-B1B3-4EDE-B897-08F9C4B4CB5B}" id="{95F933AB-BD2C-4B7D-9AAE-257615717441}">
    <text>1120 euro/kWh I consider</text>
  </threadedComment>
  <threadedComment ref="T32" dT="2023-08-04T23:27:27.63" personId="{3AAD0E9C-B1B3-4EDE-B897-08F9C4B4CB5B}" id="{D88B16D0-4D30-40D9-9344-04208CFDBF1A}">
    <text>1120 euro/kWh I consider</text>
  </threadedComment>
  <threadedComment ref="T33" dT="2023-08-04T23:29:32.87" personId="{3AAD0E9C-B1B3-4EDE-B897-08F9C4B4CB5B}" id="{89F7331E-3D1B-4FE7-90DC-193E3DA44A4B}">
    <text>700 euro/kWh I consider</text>
  </threadedComment>
  <threadedComment ref="T34" dT="2023-08-04T23:29:36.79" personId="{3AAD0E9C-B1B3-4EDE-B897-08F9C4B4CB5B}" id="{697F224A-40A5-4252-83F3-6E1BE4CAFCD5}">
    <text>700 euro/kWh I consider</text>
  </threadedComment>
  <threadedComment ref="T35" dT="2023-08-04T23:22:19.56" personId="{3AAD0E9C-B1B3-4EDE-B897-08F9C4B4CB5B}" id="{1FACCAD6-DE2D-49C2-AE92-78AEFD3127AB}">
    <text>825 euro / kWh is the cost</text>
  </threadedComment>
  <threadedComment ref="A46" dT="2023-08-04T07:21:04.92" personId="{3AAD0E9C-B1B3-4EDE-B897-08F9C4B4CB5B}" id="{09F7A429-7908-48AE-AE0E-D0DB1640A0ED}">
    <text>Last Prosumer</text>
  </threadedComment>
  <threadedComment ref="AW46" dT="2023-08-05T03:18:11.75" personId="{3AAD0E9C-B1B3-4EDE-B897-08F9C4B4CB5B}" id="{ED5DA2C6-2A40-4F47-AFBA-CEDBA2A8F375}">
    <text>Last prosumer</text>
  </threadedComment>
  <threadedComment ref="A47" dT="2023-08-04T08:41:55.67" personId="{3AAD0E9C-B1B3-4EDE-B897-08F9C4B4CB5B}" id="{DD7AD9BB-22B5-497F-BF33-A3B79F8524AA}">
    <text>First Consumer</text>
  </threadedComment>
  <threadedComment ref="AZ47" dT="2023-08-05T03:22:52.69" personId="{3AAD0E9C-B1B3-4EDE-B897-08F9C4B4CB5B}" id="{83E891E1-86FF-4511-9797-9DE3482DDB04}">
    <text>What consumers received less under this scheme</text>
  </threadedComment>
  <threadedComment ref="R50" dT="2023-08-04T09:06:07.52" personId="{3AAD0E9C-B1B3-4EDE-B897-08F9C4B4CB5B}" id="{06BE2FB2-84A6-4D10-B327-87FE3D25C003}">
    <text>Keep the same for both?</text>
  </threadedComment>
  <threadedComment ref="R67" dT="2023-08-04T07:12:43.66" personId="{3AAD0E9C-B1B3-4EDE-B897-08F9C4B4CB5B}" id="{957C7615-F785-4022-8339-9D1BD38BB6C7}">
    <text>Based on NREL 2020 report (pg 45 etc) making dollars to euro and to article by Οικονομικός Ταχυδρόμος</text>
  </threadedComment>
</ThreadedComments>
</file>

<file path=xl/threadedComments/threadedComment12.xml><?xml version="1.0" encoding="utf-8"?>
<ThreadedComments xmlns="http://schemas.microsoft.com/office/spreadsheetml/2018/threadedcomments" xmlns:x="http://schemas.openxmlformats.org/spreadsheetml/2006/main">
  <threadedComment ref="A1" dT="2023-08-04T22:33:19.97" personId="{3AAD0E9C-B1B3-4EDE-B897-08F9C4B4CB5B}" id="{830D854A-7DB3-4498-86D0-A5DE0D8C0F79}">
    <text>If agents not in LEM</text>
  </threadedComment>
  <threadedComment ref="A1" dT="2023-08-04T23:13:51.72" personId="{3AAD0E9C-B1B3-4EDE-B897-08F9C4B4CB5B}" id="{01564BC3-F1D6-417F-A081-D5E356B6EC45}" parentId="{830D854A-7DB3-4498-86D0-A5DE0D8C0F79}">
    <text>I made 2.5 into 2.6 to include an extra installation cost because of the batts</text>
  </threadedComment>
  <threadedComment ref="U1" dT="2023-08-04T22:54:20.73" personId="{3AAD0E9C-B1B3-4EDE-B897-08F9C4B4CB5B}" id="{411DD8F9-52C4-4B87-BD55-7E0372C4D7BB}">
    <text>Prosumers sell to NESO with 0.155</text>
  </threadedComment>
  <threadedComment ref="Q9" dT="2023-08-04T07:33:54.10" personId="{3AAD0E9C-B1B3-4EDE-B897-08F9C4B4CB5B}" id="{26DF7B50-2307-4BFC-A4A9-BD6366F49716}">
    <text>Pg 45 NREL</text>
  </threadedComment>
  <threadedComment ref="Q11" dT="2023-08-04T07:12:43.66" personId="{3AAD0E9C-B1B3-4EDE-B897-08F9C4B4CB5B}" id="{38EF1BC6-FA9E-444E-AD12-5864A81CAD3E}">
    <text>Based on NREL 2020 report (pg 45 etc) making dollars to euro and to article by Οικονομικός Ταχυδρόμος</text>
  </threadedComment>
  <threadedComment ref="Q20" dT="2023-08-04T07:34:16.84" personId="{3AAD0E9C-B1B3-4EDE-B897-08F9C4B4CB5B}" id="{C397760A-1D75-4BF6-A383-CF1AD48217F0}">
    <text>pg 76 NREL</text>
  </threadedComment>
  <threadedComment ref="S22" dT="2023-08-04T23:28:34.00" personId="{3AAD0E9C-B1B3-4EDE-B897-08F9C4B4CB5B}" id="{48C66A87-76C9-4A9E-8EC6-6265BFAA0748}">
    <text>1700 euro/kWh I consider</text>
  </threadedComment>
  <threadedComment ref="S23" dT="2023-08-04T23:28:39.04" personId="{3AAD0E9C-B1B3-4EDE-B897-08F9C4B4CB5B}" id="{16904B91-4F17-44F3-8FD4-819651EE76BB}">
    <text>1700 euro/kWh I consider</text>
  </threadedComment>
  <threadedComment ref="S24" dT="2023-08-04T23:27:16.83" personId="{3AAD0E9C-B1B3-4EDE-B897-08F9C4B4CB5B}" id="{614A01E5-FD38-49AC-836C-0D4ADD131EA5}">
    <text>1120 euro/kWh I consider</text>
  </threadedComment>
  <threadedComment ref="S25" dT="2023-08-04T23:27:27.63" personId="{3AAD0E9C-B1B3-4EDE-B897-08F9C4B4CB5B}" id="{98AB1EDB-8D07-4E7C-8CBD-DD78FB131CCD}">
    <text>1120 euro/kWh I consider</text>
  </threadedComment>
  <threadedComment ref="S26" dT="2023-08-04T23:29:32.87" personId="{3AAD0E9C-B1B3-4EDE-B897-08F9C4B4CB5B}" id="{CDF59DBE-7EDE-43F0-9DE2-79FB3B0E5F9B}">
    <text>700 euro/kWh I consider</text>
  </threadedComment>
  <threadedComment ref="S27" dT="2023-08-04T23:29:36.79" personId="{3AAD0E9C-B1B3-4EDE-B897-08F9C4B4CB5B}" id="{B44332FC-83A9-4105-8FB5-DE0814120CB6}">
    <text>700 euro/kWh I consider</text>
  </threadedComment>
  <threadedComment ref="S28" dT="2023-08-04T23:22:19.56" personId="{3AAD0E9C-B1B3-4EDE-B897-08F9C4B4CB5B}" id="{3F821FB6-8DA0-47D2-B44A-B13402D2FE8F}">
    <text>825 euro / kWh is the cost</text>
  </threadedComment>
  <threadedComment ref="Q43" dT="2023-08-04T09:06:07.52" personId="{3AAD0E9C-B1B3-4EDE-B897-08F9C4B4CB5B}" id="{0BEF03A2-0050-46BC-8A6D-4E46AEAC1F76}">
    <text>Keep the same for both?</text>
  </threadedComment>
  <threadedComment ref="A46" dT="2023-08-04T07:21:04.92" personId="{3AAD0E9C-B1B3-4EDE-B897-08F9C4B4CB5B}" id="{8E513E9D-7841-4277-9B9B-28EEF879D195}">
    <text>Last Prosumer</text>
  </threadedComment>
  <threadedComment ref="A47" dT="2023-08-04T08:41:55.67" personId="{3AAD0E9C-B1B3-4EDE-B897-08F9C4B4CB5B}" id="{1A73F206-965E-4193-88FE-6FC4BADCC28C}">
    <text>First Consumer</text>
  </threadedComment>
  <threadedComment ref="Q67" dT="2023-08-04T07:12:43.66" personId="{3AAD0E9C-B1B3-4EDE-B897-08F9C4B4CB5B}" id="{DB87D610-C4A1-461F-95EB-1FBC4725829B}">
    <text>Based on NREL 2020 report (pg 45 etc) making dollars to euro and to article by Οικονομικός Ταχυδρόμος</text>
  </threadedComment>
</ThreadedComments>
</file>

<file path=xl/threadedComments/threadedComment13.xml><?xml version="1.0" encoding="utf-8"?>
<ThreadedComments xmlns="http://schemas.microsoft.com/office/spreadsheetml/2018/threadedcomments" xmlns:x="http://schemas.openxmlformats.org/spreadsheetml/2006/main">
  <threadedComment ref="A1" dT="2023-08-04T22:33:19.97" personId="{3AAD0E9C-B1B3-4EDE-B897-08F9C4B4CB5B}" id="{D893FEB2-D1F1-44E7-93A4-7D9179FE40E8}">
    <text>In this one I could add the cost reduction to batts as currently from Greek state - and I do have separate batts price for each agent</text>
  </threadedComment>
  <threadedComment ref="A1" dT="2023-08-04T23:13:51.72" personId="{3AAD0E9C-B1B3-4EDE-B897-08F9C4B4CB5B}" id="{BA23BC2A-7266-441F-9BB2-AF08478A9F70}" parentId="{D893FEB2-D1F1-44E7-93A4-7D9179FE40E8}">
    <text>I made 2.5 into 2.6 to include an extra installation cost because of the batts</text>
  </threadedComment>
  <threadedComment ref="Q1" dT="2023-08-04T22:54:20.73" personId="{3AAD0E9C-B1B3-4EDE-B897-08F9C4B4CB5B}" id="{2AB68765-E109-4C58-A21D-B29E77CE2650}">
    <text>Prosumers sell to NESO with 0.155</text>
  </threadedComment>
  <threadedComment ref="M9" dT="2023-08-04T07:33:54.10" personId="{3AAD0E9C-B1B3-4EDE-B897-08F9C4B4CB5B}" id="{A8D22EC3-405A-42E4-A721-815417B19FE5}">
    <text>Pg 45 NREL</text>
  </threadedComment>
  <threadedComment ref="M11" dT="2023-08-04T07:12:43.66" personId="{3AAD0E9C-B1B3-4EDE-B897-08F9C4B4CB5B}" id="{F423BF0C-126B-4AEF-AE01-A17F3ADDA244}">
    <text>Based on NREL 2020 report (pg 45 etc) making dollars to euro and to article by Οικονομικός Ταχυδρόμος</text>
  </threadedComment>
  <threadedComment ref="M20" dT="2023-08-04T07:34:16.84" personId="{3AAD0E9C-B1B3-4EDE-B897-08F9C4B4CB5B}" id="{9C2984CC-7696-46EB-AFB6-1639E14C033E}">
    <text>pg 76 NREL</text>
  </threadedComment>
  <threadedComment ref="O22" dT="2023-08-04T23:28:34.00" personId="{3AAD0E9C-B1B3-4EDE-B897-08F9C4B4CB5B}" id="{4FA7A86C-F1DA-41C7-AE3A-1ADF65869ACB}">
    <text>1700 euro/kWh I consider</text>
  </threadedComment>
  <threadedComment ref="O23" dT="2023-08-04T23:28:39.04" personId="{3AAD0E9C-B1B3-4EDE-B897-08F9C4B4CB5B}" id="{8891C0D2-E844-43B2-8121-6D5ED51DFCA4}">
    <text>1700 euro/kWh I consider</text>
  </threadedComment>
  <threadedComment ref="O24" dT="2023-08-04T23:27:16.83" personId="{3AAD0E9C-B1B3-4EDE-B897-08F9C4B4CB5B}" id="{CFB15CEA-2EFC-494D-BA3B-84AD0315A778}">
    <text>1120 euro/kWh I consider</text>
  </threadedComment>
  <threadedComment ref="O25" dT="2023-08-04T23:27:27.63" personId="{3AAD0E9C-B1B3-4EDE-B897-08F9C4B4CB5B}" id="{AF175EE3-A7E4-46D9-AFE6-4DCC519BC59E}">
    <text>1120 euro/kWh I consider</text>
  </threadedComment>
  <threadedComment ref="O26" dT="2023-08-04T23:29:32.87" personId="{3AAD0E9C-B1B3-4EDE-B897-08F9C4B4CB5B}" id="{0EB8D1B1-69C4-4293-9AAF-5D0BA883D17C}">
    <text>700 euro/kWh I consider</text>
  </threadedComment>
  <threadedComment ref="O27" dT="2023-08-04T23:29:36.79" personId="{3AAD0E9C-B1B3-4EDE-B897-08F9C4B4CB5B}" id="{BB547E57-E073-45C3-A95D-B947C3C7C742}">
    <text>700 euro/kWh I consider</text>
  </threadedComment>
  <threadedComment ref="O28" dT="2023-08-04T23:22:19.56" personId="{3AAD0E9C-B1B3-4EDE-B897-08F9C4B4CB5B}" id="{CA9370EE-BEAD-431A-A028-522E0166552A}">
    <text>825 euro / kWh is the cost</text>
  </threadedComment>
  <threadedComment ref="M43" dT="2023-08-04T09:06:07.52" personId="{3AAD0E9C-B1B3-4EDE-B897-08F9C4B4CB5B}" id="{3E822ECA-D881-455C-ABD0-BC2D6F146D24}">
    <text>Keep the same for both?</text>
  </threadedComment>
  <threadedComment ref="A46" dT="2023-08-04T07:21:04.92" personId="{3AAD0E9C-B1B3-4EDE-B897-08F9C4B4CB5B}" id="{4D470238-4769-4419-87E3-236EFA234663}">
    <text>Last Prosumer</text>
  </threadedComment>
  <threadedComment ref="A47" dT="2023-08-04T08:41:55.67" personId="{3AAD0E9C-B1B3-4EDE-B897-08F9C4B4CB5B}" id="{C19B9B01-AC05-406B-B06A-5197F81D50F6}">
    <text>First Consumer</text>
  </threadedComment>
  <threadedComment ref="M67" dT="2023-08-04T07:12:43.66" personId="{3AAD0E9C-B1B3-4EDE-B897-08F9C4B4CB5B}" id="{AE955A74-85E8-4AC3-BF6D-282C0DA59BB4}">
    <text>Based on NREL 2020 report (pg 45 etc) making dollars to euro and to article by Οικονομικός Ταχυδρόμος</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3-08-04T22:33:19.97" personId="{3AAD0E9C-B1B3-4EDE-B897-08F9C4B4CB5B}" id="{9C57653E-9A0F-4594-BD1F-C563AC6B8051}">
    <text>In this one I could add the cost reduction to batts as currently from Greek state - and I do have separate batts price for each agent</text>
  </threadedComment>
  <threadedComment ref="A1" dT="2023-08-04T23:13:51.72" personId="{3AAD0E9C-B1B3-4EDE-B897-08F9C4B4CB5B}" id="{13A4C081-7E83-4DF3-81AB-91EFC8F9263F}" parentId="{9C57653E-9A0F-4594-BD1F-C563AC6B8051}">
    <text>I made 2.5 into 2.6 to include an extra installation cost because of the batts</text>
  </threadedComment>
  <threadedComment ref="P1" dT="2023-08-04T22:54:20.73" personId="{3AAD0E9C-B1B3-4EDE-B897-08F9C4B4CB5B}" id="{6313803B-0174-4A56-B33C-284AC86B0839}">
    <text>Prosumers sell to NESO with 0.155</text>
  </threadedComment>
  <threadedComment ref="L9" dT="2023-08-04T07:33:54.10" personId="{3AAD0E9C-B1B3-4EDE-B897-08F9C4B4CB5B}" id="{769348AA-BA19-4EAE-8113-0CE77A5A7255}">
    <text>Pg 45 NREL</text>
  </threadedComment>
  <threadedComment ref="L11" dT="2023-08-04T07:12:43.66" personId="{3AAD0E9C-B1B3-4EDE-B897-08F9C4B4CB5B}" id="{477B094E-B01D-4F45-AE2E-3A05E3F0B8F4}">
    <text>Based on NREL 2020 report (pg 45 etc) making dollars to euro and to article by Οικονομικός Ταχυδρόμος</text>
  </threadedComment>
  <threadedComment ref="L20" dT="2023-08-04T07:34:16.84" personId="{3AAD0E9C-B1B3-4EDE-B897-08F9C4B4CB5B}" id="{4924C2D5-77DF-4EBE-9519-DDFF2D971F16}">
    <text>pg 76 NREL</text>
  </threadedComment>
  <threadedComment ref="M22" dT="2023-08-04T23:23:24.08" personId="{3AAD0E9C-B1B3-4EDE-B897-08F9C4B4CB5B}" id="{50D17609-C232-419C-AA7C-55809C6FB439}">
    <text>1670 euro / kWh is the cost</text>
  </threadedComment>
  <threadedComment ref="M23" dT="2023-08-04T23:23:02.82" personId="{3AAD0E9C-B1B3-4EDE-B897-08F9C4B4CB5B}" id="{C76BB9B9-264E-4DA3-91E1-4938012F2D05}">
    <text>1750 euro / kWh is the cost</text>
  </threadedComment>
  <threadedComment ref="N24" dT="2023-08-04T23:27:16.83" personId="{3AAD0E9C-B1B3-4EDE-B897-08F9C4B4CB5B}" id="{446C032F-2AF1-435F-AD8A-C188B10CA678}">
    <text>1180 euro/kWh</text>
  </threadedComment>
  <threadedComment ref="N25" dT="2023-08-04T23:27:27.63" personId="{3AAD0E9C-B1B3-4EDE-B897-08F9C4B4CB5B}" id="{0B25B1CC-70BA-4C10-BEA4-C28A976DFAB7}">
    <text>1095 euro/kWh</text>
  </threadedComment>
  <threadedComment ref="M26" dT="2023-08-04T23:24:41.44" personId="{3AAD0E9C-B1B3-4EDE-B897-08F9C4B4CB5B}" id="{99CE10B1-8DE0-4C78-844D-ADC1321AB54F}">
    <text>680 euro / kWh is the cost</text>
  </threadedComment>
  <threadedComment ref="M27" dT="2023-08-04T23:24:18.89" personId="{3AAD0E9C-B1B3-4EDE-B897-08F9C4B4CB5B}" id="{BE3B750C-2597-4F4B-AD1F-7461FF2A0500}">
    <text>733 euro / kWh is the cost</text>
  </threadedComment>
  <threadedComment ref="N28" dT="2023-08-04T23:22:19.56" personId="{3AAD0E9C-B1B3-4EDE-B897-08F9C4B4CB5B}" id="{1688110E-7DB8-476F-AC44-6CCD58414B48}">
    <text>825 euro / kWh is the cost</text>
  </threadedComment>
  <threadedComment ref="L43" dT="2023-08-04T09:06:07.52" personId="{3AAD0E9C-B1B3-4EDE-B897-08F9C4B4CB5B}" id="{1A9A753B-A449-4195-85F5-740BB5B084FC}">
    <text>Keep the same for both?</text>
  </threadedComment>
  <threadedComment ref="A46" dT="2023-08-04T07:21:04.92" personId="{3AAD0E9C-B1B3-4EDE-B897-08F9C4B4CB5B}" id="{E9543D92-2610-4B1B-9F70-1E70D4E7A8E9}">
    <text>Last Prosumer</text>
  </threadedComment>
  <threadedComment ref="A47" dT="2023-08-04T08:41:55.67" personId="{3AAD0E9C-B1B3-4EDE-B897-08F9C4B4CB5B}" id="{A1211E02-1EC3-481C-97D1-CC6DD4EA9509}">
    <text>First Consumer</text>
  </threadedComment>
  <threadedComment ref="L67" dT="2023-08-04T07:12:43.66" personId="{3AAD0E9C-B1B3-4EDE-B897-08F9C4B4CB5B}" id="{DFD4CC35-E26A-4F5C-A58C-92299AE87253}">
    <text>Based on NREL 2020 report (pg 45 etc) making dollars to euro and to article by Οικονομικός Ταχυδρόμος</text>
  </threadedComment>
</ThreadedComments>
</file>

<file path=xl/threadedComments/threadedComment15.xml><?xml version="1.0" encoding="utf-8"?>
<ThreadedComments xmlns="http://schemas.microsoft.com/office/spreadsheetml/2018/threadedcomments" xmlns:x="http://schemas.openxmlformats.org/spreadsheetml/2006/main">
  <threadedComment ref="A1" dT="2023-08-04T22:33:19.97" personId="{3AAD0E9C-B1B3-4EDE-B897-08F9C4B4CB5B}" id="{0DCFB093-3393-4A93-9EFF-CCC945E1086F}">
    <text>In this one I could add the cost reduction to batts as currently from Greek state - and I have the prosumers sell to NESO with 0.155</text>
  </threadedComment>
  <threadedComment ref="P1" dT="2023-08-04T22:54:20.73" personId="{3AAD0E9C-B1B3-4EDE-B897-08F9C4B4CB5B}" id="{13B2AA9D-04C3-4A6B-8CAC-04BE570D108D}">
    <text>Prosumers sell to NESO with 0.155</text>
  </threadedComment>
  <threadedComment ref="L9" dT="2023-08-04T07:33:54.10" personId="{3AAD0E9C-B1B3-4EDE-B897-08F9C4B4CB5B}" id="{386C479D-7626-42C2-8B13-917A7947DF50}">
    <text>Pg 45 NREL</text>
  </threadedComment>
  <threadedComment ref="L11" dT="2023-08-04T07:12:43.66" personId="{3AAD0E9C-B1B3-4EDE-B897-08F9C4B4CB5B}" id="{A92A4547-BA4F-4307-B6FE-35BF9B1D38A2}">
    <text>Based on NREL 2020 report (pg 45 etc) making dollars to euro and to article by Οικονομικός Ταχυδρόμος</text>
  </threadedComment>
  <threadedComment ref="L20" dT="2023-08-04T07:34:16.84" personId="{3AAD0E9C-B1B3-4EDE-B897-08F9C4B4CB5B}" id="{3C7947AD-A7C0-4358-A8DF-52A456DC99AA}">
    <text>pg 76 NREL</text>
  </threadedComment>
  <threadedComment ref="L40" dT="2023-08-04T09:06:07.52" personId="{3AAD0E9C-B1B3-4EDE-B897-08F9C4B4CB5B}" id="{3A75CF65-14B0-4554-B7A5-891B56340E5A}">
    <text>Keep the same for both?</text>
  </threadedComment>
  <threadedComment ref="L45" dT="2023-08-04T07:12:43.66" personId="{3AAD0E9C-B1B3-4EDE-B897-08F9C4B4CB5B}" id="{9577222D-B759-4805-BA98-9C959A7DA0A8}">
    <text>Based on NREL 2020 report (pg 45 etc) making dollars to euro and to article by Οικονομικός Ταχυδρόμος</text>
  </threadedComment>
  <threadedComment ref="A46" dT="2023-08-04T07:21:04.92" personId="{3AAD0E9C-B1B3-4EDE-B897-08F9C4B4CB5B}" id="{89455C68-7223-40C1-A4AD-774232964545}">
    <text>Last Prosumer</text>
  </threadedComment>
  <threadedComment ref="A47" dT="2023-08-04T08:41:55.67" personId="{3AAD0E9C-B1B3-4EDE-B897-08F9C4B4CB5B}" id="{D68FADA4-0688-4BC3-8BDF-46E700FF2F9B}">
    <text>First Consumer</text>
  </threadedComment>
</ThreadedComments>
</file>

<file path=xl/threadedComments/threadedComment16.xml><?xml version="1.0" encoding="utf-8"?>
<ThreadedComments xmlns="http://schemas.microsoft.com/office/spreadsheetml/2018/threadedcomments" xmlns:x="http://schemas.openxmlformats.org/spreadsheetml/2006/main">
  <threadedComment ref="A29" dT="2023-08-01T22:14:00.29" personId="{3AAD0E9C-B1B3-4EDE-B897-08F9C4B4CB5B}" id="{09707F5C-B6D8-4725-9EA0-8C68B60FD8CE}">
    <text>Seems to be the best case</text>
  </threadedComment>
</ThreadedComments>
</file>

<file path=xl/threadedComments/threadedComment17.xml><?xml version="1.0" encoding="utf-8"?>
<ThreadedComments xmlns="http://schemas.microsoft.com/office/spreadsheetml/2018/threadedcomments" xmlns:x="http://schemas.openxmlformats.org/spreadsheetml/2006/main">
  <threadedComment ref="A1" dT="2023-08-04T22:33:19.97" personId="{3AAD0E9C-B1B3-4EDE-B897-08F9C4B4CB5B}" id="{EDC57C77-7E60-4F81-B64D-977277A5C05B}">
    <text>In this one I could add the cost reduction to batts as currently from Greek state - but I do not have separate batts price for each agent</text>
  </threadedComment>
  <threadedComment ref="P1" dT="2023-08-04T22:54:01.96" personId="{3AAD0E9C-B1B3-4EDE-B897-08F9C4B4CB5B}" id="{03C09990-B917-48BD-9005-AC7C2968D918}">
    <text>Prosumers sell to NESO with 0.087</text>
  </threadedComment>
  <threadedComment ref="L9" dT="2023-08-04T07:33:54.10" personId="{3AAD0E9C-B1B3-4EDE-B897-08F9C4B4CB5B}" id="{2E6D298F-BABC-4DB2-8F7D-781CFDB518A5}">
    <text>Pg 45 NREL</text>
  </threadedComment>
  <threadedComment ref="L11" dT="2023-08-04T07:12:43.66" personId="{3AAD0E9C-B1B3-4EDE-B897-08F9C4B4CB5B}" id="{0C74D6F0-ECE1-4806-A30D-21B0E4D58E4B}">
    <text>Based on NREL 2020 report (pg 45 etc) making dollars to euro and to article by Οικονομικός Ταχυδρόμος</text>
  </threadedComment>
  <threadedComment ref="L20" dT="2023-08-04T07:34:16.84" personId="{3AAD0E9C-B1B3-4EDE-B897-08F9C4B4CB5B}" id="{111117E1-6D82-403A-8B95-2DBBABE14556}">
    <text>pg 76 NREL</text>
  </threadedComment>
  <threadedComment ref="L40" dT="2023-08-04T09:06:07.52" personId="{3AAD0E9C-B1B3-4EDE-B897-08F9C4B4CB5B}" id="{E533EF17-69B8-495A-916F-73040BD0ACED}">
    <text>Keep the same for both?</text>
  </threadedComment>
  <threadedComment ref="L45" dT="2023-08-04T07:12:43.66" personId="{3AAD0E9C-B1B3-4EDE-B897-08F9C4B4CB5B}" id="{038AA409-FBBE-4517-B69E-2EFF2F86B4CC}">
    <text>Based on NREL 2020 report (pg 45 etc) making dollars to euro and to article by Οικονομικός Ταχυδρόμος</text>
  </threadedComment>
  <threadedComment ref="A46" dT="2023-08-04T07:21:04.92" personId="{3AAD0E9C-B1B3-4EDE-B897-08F9C4B4CB5B}" id="{2F9D89AE-C31E-4095-86F9-E2375580505F}">
    <text>Last Prosumer</text>
  </threadedComment>
  <threadedComment ref="A47" dT="2023-08-04T08:41:55.67" personId="{3AAD0E9C-B1B3-4EDE-B897-08F9C4B4CB5B}" id="{883CDBDD-D13D-41E6-9CDD-35EB885D2DBA}">
    <text>First Consumer</text>
  </threadedComment>
</ThreadedComments>
</file>

<file path=xl/threadedComments/threadedComment18.xml><?xml version="1.0" encoding="utf-8"?>
<ThreadedComments xmlns="http://schemas.microsoft.com/office/spreadsheetml/2018/threadedcomments" xmlns:x="http://schemas.openxmlformats.org/spreadsheetml/2006/main">
  <threadedComment ref="L9" dT="2023-08-04T07:33:54.10" personId="{3AAD0E9C-B1B3-4EDE-B897-08F9C4B4CB5B}" id="{4A8A65D0-41A6-462A-8A95-9099557A75E5}">
    <text>Pg 45 NREL</text>
  </threadedComment>
  <threadedComment ref="L11" dT="2023-08-04T07:12:43.66" personId="{3AAD0E9C-B1B3-4EDE-B897-08F9C4B4CB5B}" id="{445F603F-4729-44BC-B53B-4A5DE9F8E8DF}">
    <text>Based on NREL 2020 report (pg 45 etc) making dollars to euro and to article by Οικονομικός Ταχυδρόμος</text>
  </threadedComment>
  <threadedComment ref="L20" dT="2023-08-04T07:34:16.84" personId="{3AAD0E9C-B1B3-4EDE-B897-08F9C4B4CB5B}" id="{03849517-D2B0-47E1-98B1-8E1EFD526AA6}">
    <text>pg 76 NREL</text>
  </threadedComment>
  <threadedComment ref="L40" dT="2023-08-04T09:06:07.52" personId="{3AAD0E9C-B1B3-4EDE-B897-08F9C4B4CB5B}" id="{F0457ADC-7784-4AB9-8E35-370A8ED7D1E1}">
    <text>Keep the same for both?</text>
  </threadedComment>
  <threadedComment ref="L45" dT="2023-08-04T07:12:43.66" personId="{3AAD0E9C-B1B3-4EDE-B897-08F9C4B4CB5B}" id="{9B59EAC2-9D8B-428F-AAF1-C631C4465C7C}">
    <text>Based on NREL 2020 report (pg 45 etc) making dollars to euro and to article by Οικονομικός Ταχυδρόμος</text>
  </threadedComment>
  <threadedComment ref="A46" dT="2023-08-04T07:21:04.92" personId="{3AAD0E9C-B1B3-4EDE-B897-08F9C4B4CB5B}" id="{02BB228A-0989-4672-9870-02D0C8780D67}">
    <text>Last Prosumer</text>
  </threadedComment>
  <threadedComment ref="A47" dT="2023-08-04T08:41:55.67" personId="{3AAD0E9C-B1B3-4EDE-B897-08F9C4B4CB5B}" id="{12E78773-0D18-4F9B-BD1A-BB64CA6EA227}">
    <text>First Consumer</text>
  </threadedComment>
</ThreadedComments>
</file>

<file path=xl/threadedComments/threadedComment2.xml><?xml version="1.0" encoding="utf-8"?>
<ThreadedComments xmlns="http://schemas.microsoft.com/office/spreadsheetml/2018/threadedcomments" xmlns:x="http://schemas.openxmlformats.org/spreadsheetml/2006/main">
  <threadedComment ref="G10" dT="2023-08-04T06:09:26.10" personId="{3AAD0E9C-B1B3-4EDE-B897-08F9C4B4CB5B}" id="{41CD502E-FFCE-430B-8E07-36E6F294CB1D}">
    <text>Includes O&amp;M costs</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3-08-04T22:33:19.97" personId="{3AAD0E9C-B1B3-4EDE-B897-08F9C4B4CB5B}" id="{F1320AF8-0F39-4A3B-A26E-95E527870B2E}">
    <text>My initial LEM, pros sell to dso with 0.087</text>
  </threadedComment>
  <threadedComment ref="V1" dT="2023-08-04T22:54:20.73" personId="{3AAD0E9C-B1B3-4EDE-B897-08F9C4B4CB5B}" id="{4D0B9070-7069-4A20-9D70-E8DB3776F2F3}">
    <text>Prosumers sell to NESO with 0.087</text>
  </threadedComment>
  <threadedComment ref="AX1" dT="2023-08-05T03:14:16.94" personId="{3AAD0E9C-B1B3-4EDE-B897-08F9C4B4CB5B}" id="{062D443E-AA29-4D48-B9E0-E9932F87C0DB}">
    <text>All agents are treated equal</text>
  </threadedComment>
  <threadedComment ref="AY1" dT="2023-08-05T03:14:49.88" personId="{3AAD0E9C-B1B3-4EDE-B897-08F9C4B4CB5B}" id="{6603EC94-7C13-4729-8DC8-2EB224514C03}">
    <text xml:space="preserve">Giving advantage to prosumers who took the risk of investment </text>
  </threadedComment>
  <threadedComment ref="AZ2" dT="2023-08-05T03:23:06.50" personId="{3AAD0E9C-B1B3-4EDE-B897-08F9C4B4CB5B}" id="{391B6FAB-A24A-4792-8DD8-3E4A12B4A620}">
    <text>What prosumers received more under this scheme</text>
  </threadedComment>
  <threadedComment ref="AC4" dT="2023-08-06T05:43:30.54" personId="{3AAD0E9C-B1B3-4EDE-B897-08F9C4B4CB5B}" id="{2DF7AA92-19AE-46BF-A28A-843727C78174}">
    <text>No initial costs for installation of equipment</text>
  </threadedComment>
  <threadedComment ref="AV5" dT="2023-08-05T03:20:38.73" personId="{3AAD0E9C-B1B3-4EDE-B897-08F9C4B4CB5B}" id="{BA256A7E-A9C3-4A47-AEC8-82B94A7C514F}">
    <text>Income of prosumers under the scheme giving them advantage</text>
  </threadedComment>
  <threadedComment ref="T10" dT="2023-08-05T01:27:14.91" personId="{3AAD0E9C-B1B3-4EDE-B897-08F9C4B4CB5B}" id="{E3F5BD72-D26D-438A-A156-54E42EE17CF0}">
    <text>Say that they will not pay as the cost of smart meters will be covered by the standard cost in the energy bills which will happen with every household in Greece and Europe</text>
  </threadedComment>
  <threadedComment ref="T11" dT="2023-08-05T01:19:33.15" personId="{3AAD0E9C-B1B3-4EDE-B897-08F9C4B4CB5B}" id="{EBEA8837-DEA0-431A-965E-066ACC1C2150}">
    <text>For 3 people personel and 1700 euro gross salary per month
As if having personnel it will not be economically feasible say that for the monitoring it will be people from the community who could earn a discount on their expanses in the LEM and if they do extra works by offering service to the grid, they would be paid from there</text>
  </threadedComment>
  <threadedComment ref="T12" dT="2023-08-05T01:24:04.13" personId="{3AAD0E9C-B1B3-4EDE-B897-08F9C4B4CB5B}" id="{26ADDA16-1B21-4100-8AD8-A05AF166FD93}">
    <text>Say that the building will be offered by a community member or the local authorities to support the scheme</text>
  </threadedComment>
  <threadedComment ref="T13" dT="2023-08-05T01:54:33.67" personId="{3AAD0E9C-B1B3-4EDE-B897-08F9C4B4CB5B}" id="{743D042C-7B5E-4E73-B3E5-0BBBBDA97C25}">
    <text>It would be built by us, or there would be an annual fee to the whole LEM for using it by the provider company. This annual fee would be seperated over the bills of all the members of LEM</text>
  </threadedComment>
  <threadedComment ref="R16" dT="2023-08-04T07:33:54.10" personId="{3AAD0E9C-B1B3-4EDE-B897-08F9C4B4CB5B}" id="{8E407A42-ECEC-4E0D-93F8-28B485966C01}">
    <text>Pg 45 NREL</text>
  </threadedComment>
  <threadedComment ref="R18" dT="2023-08-04T07:12:43.66" personId="{3AAD0E9C-B1B3-4EDE-B897-08F9C4B4CB5B}" id="{7FDCE187-E0E7-4853-A87D-5FFF731EA5F9}">
    <text>Based on NREL 2020 report (pg 45 etc) making dollars to euro and to article by Οικονομικός Ταχυδρόμος</text>
  </threadedComment>
  <threadedComment ref="R27" dT="2023-08-04T07:34:16.84" personId="{3AAD0E9C-B1B3-4EDE-B897-08F9C4B4CB5B}" id="{D7B6411B-7B04-4678-8225-70BE51D4DB82}">
    <text>pg 76 NREL</text>
  </threadedComment>
  <threadedComment ref="T29" dT="2023-08-04T23:28:34.00" personId="{3AAD0E9C-B1B3-4EDE-B897-08F9C4B4CB5B}" id="{3ACB2DCC-3D62-4F5F-B4EB-BA9BDCA583C6}">
    <text>1700 euro/kWh I consider</text>
  </threadedComment>
  <threadedComment ref="T30" dT="2023-08-04T23:28:39.04" personId="{3AAD0E9C-B1B3-4EDE-B897-08F9C4B4CB5B}" id="{721C35F2-FCFF-46C3-ABAD-963D1D52EF79}">
    <text>1700 euro/kWh I consider</text>
  </threadedComment>
  <threadedComment ref="T31" dT="2023-08-04T23:27:16.83" personId="{3AAD0E9C-B1B3-4EDE-B897-08F9C4B4CB5B}" id="{E2F0C697-B57E-4B6C-8DB8-87EAFC4906BE}">
    <text>1120 euro/kWh I consider</text>
  </threadedComment>
  <threadedComment ref="T32" dT="2023-08-04T23:27:27.63" personId="{3AAD0E9C-B1B3-4EDE-B897-08F9C4B4CB5B}" id="{8AD9384C-932B-4B71-AC6F-FC5ED385350F}">
    <text>1120 euro/kWh I consider</text>
  </threadedComment>
  <threadedComment ref="T33" dT="2023-08-04T23:29:32.87" personId="{3AAD0E9C-B1B3-4EDE-B897-08F9C4B4CB5B}" id="{F76D6F41-2F46-49DF-B542-B80E5C8AB622}">
    <text>700 euro/kWh I consider</text>
  </threadedComment>
  <threadedComment ref="T34" dT="2023-08-04T23:29:36.79" personId="{3AAD0E9C-B1B3-4EDE-B897-08F9C4B4CB5B}" id="{2FA537C4-F8D9-4BA4-88BF-AB7FF254101D}">
    <text>700 euro/kWh I consider</text>
  </threadedComment>
  <threadedComment ref="T35" dT="2023-08-04T23:22:19.56" personId="{3AAD0E9C-B1B3-4EDE-B897-08F9C4B4CB5B}" id="{A440A223-4372-4745-9D51-1CA0DF76C222}">
    <text>825 euro / kWh is the cost</text>
  </threadedComment>
  <threadedComment ref="A46" dT="2023-08-04T07:21:04.92" personId="{3AAD0E9C-B1B3-4EDE-B897-08F9C4B4CB5B}" id="{BAA34289-E356-4DCB-8C53-A112D3193FF6}">
    <text>Last Prosumer</text>
  </threadedComment>
  <threadedComment ref="AW46" dT="2023-08-05T03:18:11.75" personId="{3AAD0E9C-B1B3-4EDE-B897-08F9C4B4CB5B}" id="{F07CBCA4-6F38-47FE-BE71-8ECE3EE6F50F}">
    <text>Last prosumer</text>
  </threadedComment>
  <threadedComment ref="A47" dT="2023-08-04T08:41:55.67" personId="{3AAD0E9C-B1B3-4EDE-B897-08F9C4B4CB5B}" id="{695C78EF-80BC-4C12-8FC1-7F6AA5319889}">
    <text>First Consumer</text>
  </threadedComment>
  <threadedComment ref="AZ47" dT="2023-08-05T03:22:52.69" personId="{3AAD0E9C-B1B3-4EDE-B897-08F9C4B4CB5B}" id="{315D8384-DEC2-4C19-BA7B-A6E391DA1115}">
    <text>What consumers received less under this scheme</text>
  </threadedComment>
  <threadedComment ref="R50" dT="2023-08-04T09:06:07.52" personId="{3AAD0E9C-B1B3-4EDE-B897-08F9C4B4CB5B}" id="{EDA673C0-57DF-4F26-96C0-B8609320730E}">
    <text>Keep the same for both?</text>
  </threadedComment>
  <threadedComment ref="R67" dT="2023-08-04T07:12:43.66" personId="{3AAD0E9C-B1B3-4EDE-B897-08F9C4B4CB5B}" id="{3BF173BC-8AF1-4CC3-BDDA-F29613156A78}">
    <text>Based on NREL 2020 report (pg 45 etc) making dollars to euro and to article by Οικονομικός Ταχυδρόμος</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3-08-04T22:33:19.97" personId="{3AAD0E9C-B1B3-4EDE-B897-08F9C4B4CB5B}" id="{22BD0EF9-835B-42FA-9131-FD4B8A4847CF}">
    <text>My initial LEM, pros sell to dso with 0.087</text>
  </threadedComment>
  <threadedComment ref="W1" dT="2023-08-04T22:54:20.73" personId="{3AAD0E9C-B1B3-4EDE-B897-08F9C4B4CB5B}" id="{B68126F0-9E00-4004-9635-A00AD659C6B0}">
    <text>Prosumers sell to NESO with 0.087</text>
  </threadedComment>
  <threadedComment ref="AQ1" dT="2023-08-05T10:56:50.40" personId="{3AAD0E9C-B1B3-4EDE-B897-08F9C4B4CB5B}" id="{8F911108-F16B-4FE8-9B46-15475DD2CFBB}">
    <text>Over the 25 years</text>
  </threadedComment>
  <threadedComment ref="AY1" dT="2023-08-05T03:14:16.94" personId="{3AAD0E9C-B1B3-4EDE-B897-08F9C4B4CB5B}" id="{DE9168D5-38D4-4364-8062-28825792AF63}">
    <text>All agents are treated equal</text>
  </threadedComment>
  <threadedComment ref="AZ1" dT="2023-08-05T03:14:49.88" personId="{3AAD0E9C-B1B3-4EDE-B897-08F9C4B4CB5B}" id="{968B68B2-9191-4832-A691-6A395071274E}">
    <text xml:space="preserve">Giving advantage to prosumers who took the risk of investment </text>
  </threadedComment>
  <threadedComment ref="BA2" dT="2023-08-05T03:23:06.50" personId="{3AAD0E9C-B1B3-4EDE-B897-08F9C4B4CB5B}" id="{7DA02641-D94B-4806-BF31-6C6C9C6FCEC7}">
    <text>What prosumers received more under this scheme</text>
  </threadedComment>
  <threadedComment ref="AQ3" dT="2023-08-05T11:00:05.30" personId="{3AAD0E9C-B1B3-4EDE-B897-08F9C4B4CB5B}" id="{7ADE5DAB-EC91-48DE-A740-D584072BD23A}">
    <text>To increase social welfare we can say that over the lifetime of the project 20% of these funds will go for O&amp;M of LEM if needed or if LEM has funding then will be invested in projects that … inside the munic of the community.</text>
  </threadedComment>
  <threadedComment ref="AW5" dT="2023-08-05T03:20:38.73" personId="{3AAD0E9C-B1B3-4EDE-B897-08F9C4B4CB5B}" id="{D6E9C286-AAC0-413F-9889-5D37C71415CB}">
    <text>Income of prosumers under the scheme giving them advantage</text>
  </threadedComment>
  <threadedComment ref="U10" dT="2023-08-05T01:27:14.91" personId="{3AAD0E9C-B1B3-4EDE-B897-08F9C4B4CB5B}" id="{714F1D8A-F930-4A81-BF1F-D0F983D21084}">
    <text>Say that they will not pay as the cost of smart meters will be covered by the standard cost in the energy bills which will happen with every household in Greece and Europe</text>
  </threadedComment>
  <threadedComment ref="U11" dT="2023-08-05T01:19:33.15" personId="{3AAD0E9C-B1B3-4EDE-B897-08F9C4B4CB5B}" id="{B79C81E3-73BA-484D-9F10-9C87A0A7B101}">
    <text>For 3 people personel and 1700 euro gross salary per month
As if having personnel it will not be economically feasible say that for the monitoring it will be people from the community who could earn a discount on their expanses in the LEM and if they do extra works by offering service to the grid, they would be paid from there</text>
  </threadedComment>
  <threadedComment ref="U12" dT="2023-08-05T01:24:04.13" personId="{3AAD0E9C-B1B3-4EDE-B897-08F9C4B4CB5B}" id="{75E79309-370F-4FDD-B8E4-AE373D2C3BE7}">
    <text>Say that the building will be offered by a community member or the local authorities to support the scheme</text>
  </threadedComment>
  <threadedComment ref="U13" dT="2023-08-05T01:54:33.67" personId="{3AAD0E9C-B1B3-4EDE-B897-08F9C4B4CB5B}" id="{6FF802ED-B70C-46AE-B74C-9E126B3FDC09}">
    <text>It would be built by us, or there would be an annual fee to the whole LEM for using it by the provider company. This annual fee would be seperated over the bills of all the members of LEM</text>
  </threadedComment>
  <threadedComment ref="S16" dT="2023-08-04T07:33:54.10" personId="{3AAD0E9C-B1B3-4EDE-B897-08F9C4B4CB5B}" id="{475B7C8A-4EC1-4AB7-A3F7-210F4BCCC1A0}">
    <text>Pg 45 NREL</text>
  </threadedComment>
  <threadedComment ref="S18" dT="2023-08-04T07:12:43.66" personId="{3AAD0E9C-B1B3-4EDE-B897-08F9C4B4CB5B}" id="{FAA11EEB-37C5-4BC4-9547-EBAC8569F918}">
    <text>Based on NREL 2020 report (pg 45 etc) making dollars to euro and to article by Οικονομικός Ταχυδρόμος</text>
  </threadedComment>
  <threadedComment ref="S27" dT="2023-08-04T07:34:16.84" personId="{3AAD0E9C-B1B3-4EDE-B897-08F9C4B4CB5B}" id="{F0BD69BA-A3CF-4763-8EBB-AA3530816D0A}">
    <text>pg 76 NREL</text>
  </threadedComment>
  <threadedComment ref="U29" dT="2023-08-04T23:28:34.00" personId="{3AAD0E9C-B1B3-4EDE-B897-08F9C4B4CB5B}" id="{2BC69D52-C710-4631-9BE6-038D477974C9}">
    <text>1700 euro/kWh I consider</text>
  </threadedComment>
  <threadedComment ref="U30" dT="2023-08-04T23:28:39.04" personId="{3AAD0E9C-B1B3-4EDE-B897-08F9C4B4CB5B}" id="{36E99283-35A6-4437-A8E0-504A2DF2724C}">
    <text>1700 euro/kWh I consider</text>
  </threadedComment>
  <threadedComment ref="U31" dT="2023-08-04T23:27:16.83" personId="{3AAD0E9C-B1B3-4EDE-B897-08F9C4B4CB5B}" id="{A763D275-B90D-406D-88DB-61D683538AC9}">
    <text>1120 euro/kWh I consider</text>
  </threadedComment>
  <threadedComment ref="U32" dT="2023-08-04T23:27:27.63" personId="{3AAD0E9C-B1B3-4EDE-B897-08F9C4B4CB5B}" id="{28E2536F-2A19-4748-A98E-228B9322E39C}">
    <text>1120 euro/kWh I consider</text>
  </threadedComment>
  <threadedComment ref="U33" dT="2023-08-04T23:29:32.87" personId="{3AAD0E9C-B1B3-4EDE-B897-08F9C4B4CB5B}" id="{8EDB8DFA-39FF-47BF-B4C5-D5E8BAA03932}">
    <text>700 euro/kWh I consider</text>
  </threadedComment>
  <threadedComment ref="U34" dT="2023-08-04T23:29:36.79" personId="{3AAD0E9C-B1B3-4EDE-B897-08F9C4B4CB5B}" id="{DC449C48-ECE9-4D64-93A2-529AA29692C5}">
    <text>700 euro/kWh I consider</text>
  </threadedComment>
  <threadedComment ref="U35" dT="2023-08-04T23:22:19.56" personId="{3AAD0E9C-B1B3-4EDE-B897-08F9C4B4CB5B}" id="{BFBA9ECE-A55F-4C1C-82DB-6574111959F6}">
    <text>825 euro / kWh is the cost</text>
  </threadedComment>
  <threadedComment ref="A46" dT="2023-08-04T07:21:04.92" personId="{3AAD0E9C-B1B3-4EDE-B897-08F9C4B4CB5B}" id="{8DC34451-DC13-44B0-A306-698D8E5123F9}">
    <text>Last Prosumer</text>
  </threadedComment>
  <threadedComment ref="AX46" dT="2023-08-05T03:18:11.75" personId="{3AAD0E9C-B1B3-4EDE-B897-08F9C4B4CB5B}" id="{DA49C2E2-630F-443B-8D25-A53AF08414CE}">
    <text>Last prosumer</text>
  </threadedComment>
  <threadedComment ref="A47" dT="2023-08-04T08:41:55.67" personId="{3AAD0E9C-B1B3-4EDE-B897-08F9C4B4CB5B}" id="{AC5526A4-8B20-4275-8922-70EAA495B646}">
    <text>First Consumer</text>
  </threadedComment>
  <threadedComment ref="BA47" dT="2023-08-05T03:22:52.69" personId="{3AAD0E9C-B1B3-4EDE-B897-08F9C4B4CB5B}" id="{00BD0DF2-A077-4FAB-A7B6-2D18E98248AF}">
    <text>What consumers received less under this scheme</text>
  </threadedComment>
  <threadedComment ref="S50" dT="2023-08-04T09:06:07.52" personId="{3AAD0E9C-B1B3-4EDE-B897-08F9C4B4CB5B}" id="{F5E00E96-9993-45A1-8905-1EC8441D0440}">
    <text>Keep the same for both?</text>
  </threadedComment>
  <threadedComment ref="S67" dT="2023-08-04T07:12:43.66" personId="{3AAD0E9C-B1B3-4EDE-B897-08F9C4B4CB5B}" id="{9979DF46-E3D1-4107-85DF-AED4BAF01EF8}">
    <text>Based on NREL 2020 report (pg 45 etc) making dollars to euro and to article by Οικονομικός Ταχυδρόμος</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3-08-04T22:33:19.97" personId="{3AAD0E9C-B1B3-4EDE-B897-08F9C4B4CB5B}" id="{29D01F37-93E5-4E74-855A-B5D5EB4E50BE}">
    <text>Similar to v6 but agents in LEM and buy from NESO for 0 and sell to neso for 0.155</text>
  </threadedComment>
  <threadedComment ref="A1" dT="2023-08-04T23:13:51.72" personId="{3AAD0E9C-B1B3-4EDE-B897-08F9C4B4CB5B}" id="{E0A52866-B8DF-4014-BEA9-A2B46AA36AAB}" parentId="{29D01F37-93E5-4E74-855A-B5D5EB4E50BE}">
    <text>I made 2.5 into 2.6 to include an extra installation cost because of the batts</text>
  </threadedComment>
  <threadedComment ref="J1" dT="2023-08-06T02:16:49.98" personId="{3AAD0E9C-B1B3-4EDE-B897-08F9C4B4CB5B}" id="{694E501C-A39F-4214-83E1-1F834501BDBE}">
    <text>This is now net-metered</text>
  </threadedComment>
  <threadedComment ref="V1" dT="2023-08-04T22:54:20.73" personId="{3AAD0E9C-B1B3-4EDE-B897-08F9C4B4CB5B}" id="{94459458-5C0C-43AF-B84C-260ECC45ED0B}">
    <text>Prosumers sell to NESO with 0.155</text>
  </threadedComment>
  <threadedComment ref="AX1" dT="2023-08-05T03:14:16.94" personId="{3AAD0E9C-B1B3-4EDE-B897-08F9C4B4CB5B}" id="{CEA12A8E-D5F2-4B49-BDD9-78A4697F7A1E}">
    <text>All agents are treated equal</text>
  </threadedComment>
  <threadedComment ref="AY1" dT="2023-08-05T03:14:49.88" personId="{3AAD0E9C-B1B3-4EDE-B897-08F9C4B4CB5B}" id="{C59F2871-A57A-4750-ABAA-0AD687276572}">
    <text>Giving advantage to prosumers who took the risk of investment 
The extra funds could be transferred to the accounts of the prosumers either straight for this reason by consumers or from the beginning by adding an extra charge at the billing of consumers</text>
  </threadedComment>
  <threadedComment ref="AZ2" dT="2023-08-05T03:23:06.50" personId="{3AAD0E9C-B1B3-4EDE-B897-08F9C4B4CB5B}" id="{04789A6F-EC03-4F9D-84FA-E4C3ACF5559E}">
    <text>What prosumers received more under this scheme</text>
  </threadedComment>
  <threadedComment ref="AV5" dT="2023-08-05T03:20:38.73" personId="{3AAD0E9C-B1B3-4EDE-B897-08F9C4B4CB5B}" id="{E59ADC19-12E0-4DC6-8B9C-746DF4FFBBF9}">
    <text>Income of prosumers under the scheme giving them advantage</text>
  </threadedComment>
  <threadedComment ref="T10" dT="2023-08-05T01:27:14.91" personId="{3AAD0E9C-B1B3-4EDE-B897-08F9C4B4CB5B}" id="{24592BF0-6887-4C62-9872-73EA7969B522}">
    <text>Say that they will not pay as the cost of smart meters will be covered by the standard cost in the energy bills which will happen with every household in Greece and Europe</text>
  </threadedComment>
  <threadedComment ref="T11" dT="2023-08-05T01:19:33.15" personId="{3AAD0E9C-B1B3-4EDE-B897-08F9C4B4CB5B}" id="{84CC32D3-C56F-4620-BCF9-5F6AB19A3BA2}">
    <text>For 3 people personel and 1700 euro gross salary per month
As if having personnel it will not be economically feasible say that for the monitoring it will be people from the community who could earn a discount on their expanses in the LEM and if they do extra works by offering service to the grid, they would be paid from there</text>
  </threadedComment>
  <threadedComment ref="T12" dT="2023-08-05T01:24:04.13" personId="{3AAD0E9C-B1B3-4EDE-B897-08F9C4B4CB5B}" id="{644D7E77-8935-4E24-87AB-29AFC633BF41}">
    <text>Say that the building will be offered by a community member or the local authorities to support the scheme</text>
  </threadedComment>
  <threadedComment ref="T13" dT="2023-08-05T01:54:33.67" personId="{3AAD0E9C-B1B3-4EDE-B897-08F9C4B4CB5B}" id="{D34535C5-E52B-42DA-A814-B5AD3E3629ED}">
    <text>It would be built by us, or there would be an annual fee to the whole LEM for using it by the provider company. This annual fee would be seperated over the bills of all the members of LEM</text>
  </threadedComment>
  <threadedComment ref="AV13" dT="2023-08-05T03:48:27.08" personId="{3AAD0E9C-B1B3-4EDE-B897-08F9C4B4CB5B}" id="{C14B32A7-F147-4C11-870C-6F95C0E7C520}">
    <text>We see that the average profit for 1 pros and cons are close, over the 25 year period, which means that we achieve good social welfare</text>
  </threadedComment>
  <threadedComment ref="R16" dT="2023-08-04T07:33:54.10" personId="{3AAD0E9C-B1B3-4EDE-B897-08F9C4B4CB5B}" id="{ADD425F6-7A60-4C4D-9D5E-902881F645E2}">
    <text>Pg 45 NREL</text>
  </threadedComment>
  <threadedComment ref="R18" dT="2023-08-04T07:12:43.66" personId="{3AAD0E9C-B1B3-4EDE-B897-08F9C4B4CB5B}" id="{9178CEBF-0275-4AFA-9EFF-8103FC3BC3E2}">
    <text>Based on NREL 2020 report (pg 45 etc) making dollars to euro and to article by Οικονομικός Ταχυδρόμος</text>
  </threadedComment>
  <threadedComment ref="R27" dT="2023-08-04T07:34:16.84" personId="{3AAD0E9C-B1B3-4EDE-B897-08F9C4B4CB5B}" id="{EB3EEBCC-4C66-4FA7-9133-B072890A8BF7}">
    <text>pg 76 NREL</text>
  </threadedComment>
  <threadedComment ref="T29" dT="2023-08-04T23:28:34.00" personId="{3AAD0E9C-B1B3-4EDE-B897-08F9C4B4CB5B}" id="{E5022BB7-7477-4A46-8E9C-DEE1AD4C6D96}">
    <text>1700 euro/kWh I consider</text>
  </threadedComment>
  <threadedComment ref="T30" dT="2023-08-04T23:28:39.04" personId="{3AAD0E9C-B1B3-4EDE-B897-08F9C4B4CB5B}" id="{485EC6E4-24EF-47FC-B9C1-35800E07995F}">
    <text>1700 euro/kWh I consider</text>
  </threadedComment>
  <threadedComment ref="T31" dT="2023-08-04T23:27:16.83" personId="{3AAD0E9C-B1B3-4EDE-B897-08F9C4B4CB5B}" id="{E14A163D-C560-46C6-B767-7EFA1DAFD34B}">
    <text>1120 euro/kWh I consider</text>
  </threadedComment>
  <threadedComment ref="T32" dT="2023-08-04T23:27:27.63" personId="{3AAD0E9C-B1B3-4EDE-B897-08F9C4B4CB5B}" id="{41ABE0BA-E48C-4BB7-9712-84E5978F0534}">
    <text>1120 euro/kWh I consider</text>
  </threadedComment>
  <threadedComment ref="T33" dT="2023-08-04T23:29:32.87" personId="{3AAD0E9C-B1B3-4EDE-B897-08F9C4B4CB5B}" id="{8800C209-E3DA-413F-B572-C5800A3A5940}">
    <text>700 euro/kWh I consider</text>
  </threadedComment>
  <threadedComment ref="T34" dT="2023-08-04T23:29:36.79" personId="{3AAD0E9C-B1B3-4EDE-B897-08F9C4B4CB5B}" id="{489792DD-C34B-42C1-BB3A-ED023FCEBF10}">
    <text>700 euro/kWh I consider</text>
  </threadedComment>
  <threadedComment ref="T35" dT="2023-08-04T23:22:19.56" personId="{3AAD0E9C-B1B3-4EDE-B897-08F9C4B4CB5B}" id="{6818E91E-F12E-4773-AB37-F0380304B605}">
    <text>825 euro / kWh is the cost</text>
  </threadedComment>
  <threadedComment ref="A46" dT="2023-08-04T07:21:04.92" personId="{3AAD0E9C-B1B3-4EDE-B897-08F9C4B4CB5B}" id="{0700FD33-5624-407F-8C11-933644F53D91}">
    <text>Last Prosumer</text>
  </threadedComment>
  <threadedComment ref="AW46" dT="2023-08-05T03:18:11.75" personId="{3AAD0E9C-B1B3-4EDE-B897-08F9C4B4CB5B}" id="{36EA7325-7838-4D81-8E0C-E55EC7EE0714}">
    <text>Last prosumer</text>
  </threadedComment>
  <threadedComment ref="A47" dT="2023-08-04T08:41:55.67" personId="{3AAD0E9C-B1B3-4EDE-B897-08F9C4B4CB5B}" id="{896A542D-B708-400C-8898-BA1A176880B3}">
    <text>First Consumer</text>
  </threadedComment>
  <threadedComment ref="AZ47" dT="2023-08-05T03:22:52.69" personId="{3AAD0E9C-B1B3-4EDE-B897-08F9C4B4CB5B}" id="{4DF79804-A782-4FD7-9DA6-96C32C2F97CE}">
    <text>What consumers received less under this scheme</text>
  </threadedComment>
  <threadedComment ref="R50" dT="2023-08-04T09:06:07.52" personId="{3AAD0E9C-B1B3-4EDE-B897-08F9C4B4CB5B}" id="{0883EFB9-255F-4BE1-A715-B287A8A24415}">
    <text>Keep the same for both?</text>
  </threadedComment>
  <threadedComment ref="R67" dT="2023-08-04T07:12:43.66" personId="{3AAD0E9C-B1B3-4EDE-B897-08F9C4B4CB5B}" id="{50911B54-EA5E-4EF5-B2D5-67D98FC2A5E2}">
    <text>Based on NREL 2020 report (pg 45 etc) making dollars to euro and to article by Οικονομικός Ταχυδρόμος</text>
  </threadedComment>
  <threadedComment ref="G105" dT="2023-08-06T00:01:21.31" personId="{3AAD0E9C-B1B3-4EDE-B897-08F9C4B4CB5B}" id="{441BFF8E-2C47-476A-B126-74FC40A738C1}">
    <text>Not in net meter</text>
  </threadedComment>
  <threadedComment ref="D111" dT="2023-08-06T00:02:36.62" personId="{3AAD0E9C-B1B3-4EDE-B897-08F9C4B4CB5B}" id="{9DCC17B2-3911-4A24-BBED-3A97B099376A}">
    <text>With flexible net meter</tex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3-08-04T22:33:19.97" personId="{3AAD0E9C-B1B3-4EDE-B897-08F9C4B4CB5B}" id="{57330509-3D5B-4664-BB66-3BCEE89EF1A3}">
    <text>My initial LEM, pros sell to dso with 0.087</text>
  </threadedComment>
  <threadedComment ref="W1" dT="2023-08-04T22:54:20.73" personId="{3AAD0E9C-B1B3-4EDE-B897-08F9C4B4CB5B}" id="{CCA50B4D-552B-46C9-8A08-855320018E7B}">
    <text>Prosumers sell to NESO with 0.087</text>
  </threadedComment>
  <threadedComment ref="AY1" dT="2023-08-05T03:14:16.94" personId="{3AAD0E9C-B1B3-4EDE-B897-08F9C4B4CB5B}" id="{56066A01-4F25-4D1C-A91E-C1082E0EE5CB}">
    <text>All agents are treated equal</text>
  </threadedComment>
  <threadedComment ref="AZ1" dT="2023-08-05T03:14:49.88" personId="{3AAD0E9C-B1B3-4EDE-B897-08F9C4B4CB5B}" id="{D08658FB-DB93-48FD-8987-ADA6E9063820}">
    <text xml:space="preserve">Giving advantage to prosumers who took the risk of investment </text>
  </threadedComment>
  <threadedComment ref="BA2" dT="2023-08-05T03:23:06.50" personId="{3AAD0E9C-B1B3-4EDE-B897-08F9C4B4CB5B}" id="{C1771760-EED8-4660-BE3B-2BDA5959DB9D}">
    <text>What prosumers received more under this scheme</text>
  </threadedComment>
  <threadedComment ref="AW5" dT="2023-08-05T03:20:38.73" personId="{3AAD0E9C-B1B3-4EDE-B897-08F9C4B4CB5B}" id="{A0A0E578-DA3A-4D50-82A2-0EEB5E6F7113}">
    <text>Income of prosumers under the scheme giving them advantage</text>
  </threadedComment>
  <threadedComment ref="U10" dT="2023-08-05T01:27:14.91" personId="{3AAD0E9C-B1B3-4EDE-B897-08F9C4B4CB5B}" id="{E7E12943-9A15-40CF-8776-F912B31D6DE9}">
    <text>Say that they will not pay as the cost of smart meters will be covered by the standard cost in the energy bills which will happen with every household in Greece and Europe</text>
  </threadedComment>
  <threadedComment ref="U11" dT="2023-08-05T01:19:33.15" personId="{3AAD0E9C-B1B3-4EDE-B897-08F9C4B4CB5B}" id="{412176F2-C61B-4FF1-A7B2-CD89230EDDE7}">
    <text>For 3 people personel and 1700 euro gross salary per month
As if having personnel it will not be economically feasible say that for the monitoring it will be people from the community who could earn a discount on their expanses in the LEM and if they do extra works by offering service to the grid, they would be paid from there</text>
  </threadedComment>
  <threadedComment ref="U12" dT="2023-08-05T01:24:04.13" personId="{3AAD0E9C-B1B3-4EDE-B897-08F9C4B4CB5B}" id="{2D7293DA-DF50-4041-A155-5F71AF4A8A3E}">
    <text>Say that the building will be offered by a community member or the local authorities to support the scheme</text>
  </threadedComment>
  <threadedComment ref="U13" dT="2023-08-05T01:54:33.67" personId="{3AAD0E9C-B1B3-4EDE-B897-08F9C4B4CB5B}" id="{60ED0AE5-1281-4DB0-A10E-28A9E6ABBAA7}">
    <text>It would be built by us, or there would be an annual fee to the whole LEM for using it by the provider company. This annual fee would be seperated over the bills of all the members of LEM</text>
  </threadedComment>
  <threadedComment ref="S16" dT="2023-08-04T07:33:54.10" personId="{3AAD0E9C-B1B3-4EDE-B897-08F9C4B4CB5B}" id="{C964C7E8-BE2F-45E7-9DC1-5A12EC712241}">
    <text>Pg 45 NREL</text>
  </threadedComment>
  <threadedComment ref="S18" dT="2023-08-04T07:12:43.66" personId="{3AAD0E9C-B1B3-4EDE-B897-08F9C4B4CB5B}" id="{11EAE7F9-25AE-4E7E-85E4-BF4254EAC1A2}">
    <text>Based on NREL 2020 report (pg 45 etc) making dollars to euro and to article by Οικονομικός Ταχυδρόμος</text>
  </threadedComment>
  <threadedComment ref="S27" dT="2023-08-04T07:34:16.84" personId="{3AAD0E9C-B1B3-4EDE-B897-08F9C4B4CB5B}" id="{B96BED18-EBA2-404C-9C0D-2D2C251E5CCE}">
    <text>pg 76 NREL</text>
  </threadedComment>
  <threadedComment ref="U29" dT="2023-08-04T23:28:34.00" personId="{3AAD0E9C-B1B3-4EDE-B897-08F9C4B4CB5B}" id="{43BAE627-E19B-405C-8627-0C11BB49B0CE}">
    <text>1700 euro/kWh I consider</text>
  </threadedComment>
  <threadedComment ref="U30" dT="2023-08-04T23:28:39.04" personId="{3AAD0E9C-B1B3-4EDE-B897-08F9C4B4CB5B}" id="{0BA58174-8CC6-4E72-A9F0-775B129D0D28}">
    <text>1700 euro/kWh I consider</text>
  </threadedComment>
  <threadedComment ref="U31" dT="2023-08-04T23:27:16.83" personId="{3AAD0E9C-B1B3-4EDE-B897-08F9C4B4CB5B}" id="{BFFBCC8C-447C-4CA2-81F2-3CB022BB0485}">
    <text>1120 euro/kWh I consider</text>
  </threadedComment>
  <threadedComment ref="U32" dT="2023-08-04T23:27:27.63" personId="{3AAD0E9C-B1B3-4EDE-B897-08F9C4B4CB5B}" id="{604CEDE7-A04F-4B25-BF92-DBEAAF07EC07}">
    <text>1120 euro/kWh I consider</text>
  </threadedComment>
  <threadedComment ref="U33" dT="2023-08-04T23:29:32.87" personId="{3AAD0E9C-B1B3-4EDE-B897-08F9C4B4CB5B}" id="{67E6F654-9B9D-4787-AFF9-A2AA3DBF581C}">
    <text>700 euro/kWh I consider</text>
  </threadedComment>
  <threadedComment ref="U34" dT="2023-08-04T23:29:36.79" personId="{3AAD0E9C-B1B3-4EDE-B897-08F9C4B4CB5B}" id="{EED6F8C6-F16B-48F5-B248-684B4F557D79}">
    <text>700 euro/kWh I consider</text>
  </threadedComment>
  <threadedComment ref="U35" dT="2023-08-04T23:22:19.56" personId="{3AAD0E9C-B1B3-4EDE-B897-08F9C4B4CB5B}" id="{8DADBD31-9C69-4E4B-B16F-7104143132D5}">
    <text>825 euro / kWh is the cost</text>
  </threadedComment>
  <threadedComment ref="A46" dT="2023-08-04T07:21:04.92" personId="{3AAD0E9C-B1B3-4EDE-B897-08F9C4B4CB5B}" id="{8D752D30-C901-4075-AE38-A8D09B59B30B}">
    <text>Last Prosumer</text>
  </threadedComment>
  <threadedComment ref="AX46" dT="2023-08-05T03:18:11.75" personId="{3AAD0E9C-B1B3-4EDE-B897-08F9C4B4CB5B}" id="{AA2C77C7-BEFD-4226-8154-C833489DBE04}">
    <text>Last prosumer</text>
  </threadedComment>
  <threadedComment ref="A47" dT="2023-08-04T08:41:55.67" personId="{3AAD0E9C-B1B3-4EDE-B897-08F9C4B4CB5B}" id="{4B24A808-1CB5-458B-9B90-09EB93EA0B83}">
    <text>First Consumer</text>
  </threadedComment>
  <threadedComment ref="BA47" dT="2023-08-05T03:22:52.69" personId="{3AAD0E9C-B1B3-4EDE-B897-08F9C4B4CB5B}" id="{84803E39-4599-4B75-A4EA-BF5B8B859372}">
    <text>What consumers received less under this scheme</text>
  </threadedComment>
  <threadedComment ref="S50" dT="2023-08-04T09:06:07.52" personId="{3AAD0E9C-B1B3-4EDE-B897-08F9C4B4CB5B}" id="{010F7B79-7656-4AA7-A95E-065C9CE41974}">
    <text>Keep the same for both?</text>
  </threadedComment>
  <threadedComment ref="S67" dT="2023-08-04T07:12:43.66" personId="{3AAD0E9C-B1B3-4EDE-B897-08F9C4B4CB5B}" id="{3ADAF4A0-1EEC-4F61-ABE8-861D8A37C8C2}">
    <text>Based on NREL 2020 report (pg 45 etc) making dollars to euro and to article by Οικονομικός Ταχυδρόμος</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08-04T22:33:19.97" personId="{3AAD0E9C-B1B3-4EDE-B897-08F9C4B4CB5B}" id="{A3A70D91-12CF-4CDE-89FD-7322B3EA7032}">
    <text>My initial LEM, pros sell to dso with 0.087</text>
  </threadedComment>
  <threadedComment ref="V1" dT="2023-08-04T22:54:20.73" personId="{3AAD0E9C-B1B3-4EDE-B897-08F9C4B4CB5B}" id="{8ECF0D28-80D5-42B9-B3B2-FE2C66524998}">
    <text>Prosumers sell to NESO with 0.087</text>
  </threadedComment>
  <threadedComment ref="AX1" dT="2023-08-05T03:14:16.94" personId="{3AAD0E9C-B1B3-4EDE-B897-08F9C4B4CB5B}" id="{DCB065F7-990E-4C3B-981D-01EF4D0B5008}">
    <text>All agents are treated equal</text>
  </threadedComment>
  <threadedComment ref="AY1" dT="2023-08-05T03:14:49.88" personId="{3AAD0E9C-B1B3-4EDE-B897-08F9C4B4CB5B}" id="{79607108-7085-44CA-8E46-5EA3F4C0B924}">
    <text xml:space="preserve">Giving advantage to prosumers who took the risk of investment </text>
  </threadedComment>
  <threadedComment ref="AZ2" dT="2023-08-05T03:23:06.50" personId="{3AAD0E9C-B1B3-4EDE-B897-08F9C4B4CB5B}" id="{184012CB-A746-459B-ACCD-7C3492B67123}">
    <text>What prosumers received more under this scheme</text>
  </threadedComment>
  <threadedComment ref="AV5" dT="2023-08-05T03:20:38.73" personId="{3AAD0E9C-B1B3-4EDE-B897-08F9C4B4CB5B}" id="{8985E2D4-71CC-4224-813A-A95D58EC138A}">
    <text>Income of prosumers under the scheme giving them advantage</text>
  </threadedComment>
  <threadedComment ref="T10" dT="2023-08-05T01:27:14.91" personId="{3AAD0E9C-B1B3-4EDE-B897-08F9C4B4CB5B}" id="{233C84B8-49F0-4A19-9612-BF1EFABD8B43}">
    <text>Say that they will not pay as the cost of smart meters will be covered by the standard cost in the energy bills which will happen with every household in Greece and Europe</text>
  </threadedComment>
  <threadedComment ref="T11" dT="2023-08-05T01:19:33.15" personId="{3AAD0E9C-B1B3-4EDE-B897-08F9C4B4CB5B}" id="{035E5B01-1299-4EB0-9FBB-831835739405}">
    <text>For 3 people personel and 1700 euro gross salary per month
As if having personnel it will not be economically feasible say that for the monitoring it will be people from the community who could earn a discount on their expanses in the LEM and if they do extra works by offering service to the grid, they would be paid from there</text>
  </threadedComment>
  <threadedComment ref="T12" dT="2023-08-05T01:24:04.13" personId="{3AAD0E9C-B1B3-4EDE-B897-08F9C4B4CB5B}" id="{EA95309D-8588-4028-AC8E-27D211137299}">
    <text>Say that the building will be offered by a community member or the local authorities to support the scheme</text>
  </threadedComment>
  <threadedComment ref="T13" dT="2023-08-05T01:54:33.67" personId="{3AAD0E9C-B1B3-4EDE-B897-08F9C4B4CB5B}" id="{1D5766FE-8DEC-4815-9046-0BE87E71BD6D}">
    <text>It would be built by us, or there would be an annual fee to the whole LEM for using it by the provider company. This annual fee would be seperated over the bills of all the members of LEM</text>
  </threadedComment>
  <threadedComment ref="R16" dT="2023-08-04T07:33:54.10" personId="{3AAD0E9C-B1B3-4EDE-B897-08F9C4B4CB5B}" id="{C622DCE5-D72E-4D5A-9EA1-F42DD21D0DC4}">
    <text>Pg 45 NREL</text>
  </threadedComment>
  <threadedComment ref="R18" dT="2023-08-04T07:12:43.66" personId="{3AAD0E9C-B1B3-4EDE-B897-08F9C4B4CB5B}" id="{0F6F37F6-5DD6-4B1A-BA0F-F1D5C6C53346}">
    <text>Based on NREL 2020 report (pg 45 etc) making dollars to euro and to article by Οικονομικός Ταχυδρόμος</text>
  </threadedComment>
  <threadedComment ref="R27" dT="2023-08-04T07:34:16.84" personId="{3AAD0E9C-B1B3-4EDE-B897-08F9C4B4CB5B}" id="{03E45444-02A2-47E3-B32F-E9D50EA51AD6}">
    <text>pg 76 NREL</text>
  </threadedComment>
  <threadedComment ref="T29" dT="2023-08-04T23:28:34.00" personId="{3AAD0E9C-B1B3-4EDE-B897-08F9C4B4CB5B}" id="{A524ADCD-7461-4D23-908D-FD763C84CD05}">
    <text>1700 euro/kWh I consider</text>
  </threadedComment>
  <threadedComment ref="T30" dT="2023-08-04T23:28:39.04" personId="{3AAD0E9C-B1B3-4EDE-B897-08F9C4B4CB5B}" id="{230F3F92-67D4-40FB-9FB6-7184B9E1FE23}">
    <text>1700 euro/kWh I consider</text>
  </threadedComment>
  <threadedComment ref="T31" dT="2023-08-04T23:27:16.83" personId="{3AAD0E9C-B1B3-4EDE-B897-08F9C4B4CB5B}" id="{592217D8-DD43-48DB-B026-B129CA5C0BF9}">
    <text>1120 euro/kWh I consider</text>
  </threadedComment>
  <threadedComment ref="T32" dT="2023-08-04T23:27:27.63" personId="{3AAD0E9C-B1B3-4EDE-B897-08F9C4B4CB5B}" id="{ABE90BFE-0B54-4DA4-BFD2-D4D4EB22A4E7}">
    <text>1120 euro/kWh I consider</text>
  </threadedComment>
  <threadedComment ref="T33" dT="2023-08-04T23:29:32.87" personId="{3AAD0E9C-B1B3-4EDE-B897-08F9C4B4CB5B}" id="{BFC54BF6-610B-4E9F-8983-B152204B04B9}">
    <text>700 euro/kWh I consider</text>
  </threadedComment>
  <threadedComment ref="T34" dT="2023-08-04T23:29:36.79" personId="{3AAD0E9C-B1B3-4EDE-B897-08F9C4B4CB5B}" id="{59A2A432-86CF-4FF4-8449-6047C4AA8721}">
    <text>700 euro/kWh I consider</text>
  </threadedComment>
  <threadedComment ref="T35" dT="2023-08-04T23:22:19.56" personId="{3AAD0E9C-B1B3-4EDE-B897-08F9C4B4CB5B}" id="{5684B457-BBC4-4695-BB6A-5D2760779A9C}">
    <text>825 euro / kWh is the cost</text>
  </threadedComment>
  <threadedComment ref="A46" dT="2023-08-04T07:21:04.92" personId="{3AAD0E9C-B1B3-4EDE-B897-08F9C4B4CB5B}" id="{0102CBF4-F5A4-4BF3-887B-7855D01B2226}">
    <text>Last Prosumer</text>
  </threadedComment>
  <threadedComment ref="AW46" dT="2023-08-05T03:18:11.75" personId="{3AAD0E9C-B1B3-4EDE-B897-08F9C4B4CB5B}" id="{801F0EBB-9CDC-4ECA-81DC-A3B8BE0EEF70}">
    <text>Last prosumer</text>
  </threadedComment>
  <threadedComment ref="A47" dT="2023-08-04T08:41:55.67" personId="{3AAD0E9C-B1B3-4EDE-B897-08F9C4B4CB5B}" id="{686E8D13-241F-4554-A142-93901835541B}">
    <text>First Consumer</text>
  </threadedComment>
  <threadedComment ref="AZ47" dT="2023-08-05T03:22:52.69" personId="{3AAD0E9C-B1B3-4EDE-B897-08F9C4B4CB5B}" id="{D7A89392-5653-40B2-8C31-8067D3DE3230}">
    <text>What consumers received less under this scheme</text>
  </threadedComment>
  <threadedComment ref="R50" dT="2023-08-04T09:06:07.52" personId="{3AAD0E9C-B1B3-4EDE-B897-08F9C4B4CB5B}" id="{1CCF59B2-416D-437C-905F-0BEC34E46623}">
    <text>Keep the same for both?</text>
  </threadedComment>
  <threadedComment ref="R67" dT="2023-08-04T07:12:43.66" personId="{3AAD0E9C-B1B3-4EDE-B897-08F9C4B4CB5B}" id="{BF178F40-609F-42E1-A6AE-DD34ED586B23}">
    <text>Based on NREL 2020 report (pg 45 etc) making dollars to euro and to article by Οικονομικός Ταχυδρόμος</text>
  </threadedComment>
</ThreadedComments>
</file>

<file path=xl/threadedComments/threadedComment8.xml><?xml version="1.0" encoding="utf-8"?>
<ThreadedComments xmlns="http://schemas.microsoft.com/office/spreadsheetml/2018/threadedcomments" xmlns:x="http://schemas.openxmlformats.org/spreadsheetml/2006/main">
  <threadedComment ref="A1" dT="2023-08-04T22:33:19.97" personId="{3AAD0E9C-B1B3-4EDE-B897-08F9C4B4CB5B}" id="{AAE95478-4381-4ACB-BE88-310442DB7CC0}">
    <text>My initial LEM, pros sell to dso with 0.087</text>
  </threadedComment>
  <threadedComment ref="W1" dT="2023-08-04T22:54:20.73" personId="{3AAD0E9C-B1B3-4EDE-B897-08F9C4B4CB5B}" id="{A3A00E62-6216-4493-8D8E-DE4CBD226828}">
    <text>Prosumers sell to NESO with 0.087</text>
  </threadedComment>
  <threadedComment ref="AQ1" dT="2023-08-05T10:56:50.40" personId="{3AAD0E9C-B1B3-4EDE-B897-08F9C4B4CB5B}" id="{23956C00-2855-4659-8613-2669C9CEC0EF}">
    <text>Over the 25 years</text>
  </threadedComment>
  <threadedComment ref="AY1" dT="2023-08-05T03:14:16.94" personId="{3AAD0E9C-B1B3-4EDE-B897-08F9C4B4CB5B}" id="{3085D613-6E39-48C7-8240-FE5DE1B5BB38}">
    <text>All agents are treated equal</text>
  </threadedComment>
  <threadedComment ref="AZ1" dT="2023-08-05T03:14:49.88" personId="{3AAD0E9C-B1B3-4EDE-B897-08F9C4B4CB5B}" id="{9CD9BEDB-767C-477F-B12F-557B29BC0B73}">
    <text xml:space="preserve">Giving advantage to prosumers who took the risk of investment </text>
  </threadedComment>
  <threadedComment ref="BA2" dT="2023-08-05T03:23:06.50" personId="{3AAD0E9C-B1B3-4EDE-B897-08F9C4B4CB5B}" id="{16785166-4A4D-469B-BBE0-62F84B997672}">
    <text>What prosumers received more under this scheme</text>
  </threadedComment>
  <threadedComment ref="AQ3" dT="2023-08-05T11:00:05.30" personId="{3AAD0E9C-B1B3-4EDE-B897-08F9C4B4CB5B}" id="{0FE96924-F032-489B-93C4-5DB365298FED}">
    <text>To increase social welfare we can say that over the lifetime of the project 20% of these funds will go for O&amp;M of LEM if needed or if LEM has funding then will be invested in projects that … inside the munic of the community.</text>
  </threadedComment>
  <threadedComment ref="AW5" dT="2023-08-05T03:20:38.73" personId="{3AAD0E9C-B1B3-4EDE-B897-08F9C4B4CB5B}" id="{82AF86B9-BA94-4252-9AB4-6B6C406AF4A9}">
    <text>Income of prosumers under the scheme giving them advantage</text>
  </threadedComment>
  <threadedComment ref="U10" dT="2023-08-05T01:27:14.91" personId="{3AAD0E9C-B1B3-4EDE-B897-08F9C4B4CB5B}" id="{D0D6E0A1-82A9-4617-9337-FFC5506D9488}">
    <text>Say that they will not pay as the cost of smart meters will be covered by the standard cost in the energy bills which will happen with every household in Greece and Europe</text>
  </threadedComment>
  <threadedComment ref="U11" dT="2023-08-05T01:19:33.15" personId="{3AAD0E9C-B1B3-4EDE-B897-08F9C4B4CB5B}" id="{C4F9DF63-2706-487F-928E-9B1DD5088701}">
    <text>For 3 people personel and 1700 euro gross salary per month
As if having personnel it will not be economically feasible say that for the monitoring it will be people from the community who could earn a discount on their expanses in the LEM and if they do extra works by offering service to the grid, they would be paid from there</text>
  </threadedComment>
  <threadedComment ref="U12" dT="2023-08-05T01:24:04.13" personId="{3AAD0E9C-B1B3-4EDE-B897-08F9C4B4CB5B}" id="{1ED06997-6BF5-44A0-98C0-EE059051903C}">
    <text>Say that the building will be offered by a community member or the local authorities to support the scheme</text>
  </threadedComment>
  <threadedComment ref="U13" dT="2023-08-05T01:54:33.67" personId="{3AAD0E9C-B1B3-4EDE-B897-08F9C4B4CB5B}" id="{C7E42453-5848-4EA7-984B-184CD4D65BEC}">
    <text>It would be built by us, or there would be an annual fee to the whole LEM for using it by the provider company. This annual fee would be seperated over the bills of all the members of LEM</text>
  </threadedComment>
  <threadedComment ref="S16" dT="2023-08-04T07:33:54.10" personId="{3AAD0E9C-B1B3-4EDE-B897-08F9C4B4CB5B}" id="{82C7434A-4E21-458E-A785-E07B25374955}">
    <text>Pg 45 NREL</text>
  </threadedComment>
  <threadedComment ref="S18" dT="2023-08-04T07:12:43.66" personId="{3AAD0E9C-B1B3-4EDE-B897-08F9C4B4CB5B}" id="{A2E0ECD0-3AE2-451F-A5E4-96AC2745C036}">
    <text>Based on NREL 2020 report (pg 45 etc) making dollars to euro and to article by Οικονομικός Ταχυδρόμος</text>
  </threadedComment>
  <threadedComment ref="S27" dT="2023-08-04T07:34:16.84" personId="{3AAD0E9C-B1B3-4EDE-B897-08F9C4B4CB5B}" id="{9722B659-E304-4578-B531-AE6BE42666AE}">
    <text>pg 76 NREL</text>
  </threadedComment>
  <threadedComment ref="U29" dT="2023-08-04T23:28:34.00" personId="{3AAD0E9C-B1B3-4EDE-B897-08F9C4B4CB5B}" id="{E4E098B3-A285-4824-B6CF-62CC752CEDB8}">
    <text>1700 euro/kWh I consider</text>
  </threadedComment>
  <threadedComment ref="U30" dT="2023-08-04T23:28:39.04" personId="{3AAD0E9C-B1B3-4EDE-B897-08F9C4B4CB5B}" id="{B883BA65-87B4-4479-BF15-06525D959CAB}">
    <text>1700 euro/kWh I consider</text>
  </threadedComment>
  <threadedComment ref="U31" dT="2023-08-04T23:27:16.83" personId="{3AAD0E9C-B1B3-4EDE-B897-08F9C4B4CB5B}" id="{595BD7AF-28EC-4F8C-A0E9-F2F9ABF71190}">
    <text>1120 euro/kWh I consider</text>
  </threadedComment>
  <threadedComment ref="U32" dT="2023-08-04T23:27:27.63" personId="{3AAD0E9C-B1B3-4EDE-B897-08F9C4B4CB5B}" id="{36AB707A-3B07-4603-A873-EE6EF9E18C70}">
    <text>1120 euro/kWh I consider</text>
  </threadedComment>
  <threadedComment ref="U33" dT="2023-08-04T23:29:32.87" personId="{3AAD0E9C-B1B3-4EDE-B897-08F9C4B4CB5B}" id="{A2035031-F82C-4A5B-872A-737A7FD1042F}">
    <text>700 euro/kWh I consider</text>
  </threadedComment>
  <threadedComment ref="U34" dT="2023-08-04T23:29:36.79" personId="{3AAD0E9C-B1B3-4EDE-B897-08F9C4B4CB5B}" id="{C12E73D0-C9DE-4342-8D85-13CC0DBE601D}">
    <text>700 euro/kWh I consider</text>
  </threadedComment>
  <threadedComment ref="U35" dT="2023-08-04T23:22:19.56" personId="{3AAD0E9C-B1B3-4EDE-B897-08F9C4B4CB5B}" id="{660D4FB9-F150-48A4-8442-C999A79F7AAD}">
    <text>825 euro / kWh is the cost</text>
  </threadedComment>
  <threadedComment ref="A46" dT="2023-08-04T07:21:04.92" personId="{3AAD0E9C-B1B3-4EDE-B897-08F9C4B4CB5B}" id="{445BC1B4-BC84-43BE-A694-17874686F447}">
    <text>Last Prosumer</text>
  </threadedComment>
  <threadedComment ref="AX46" dT="2023-08-05T03:18:11.75" personId="{3AAD0E9C-B1B3-4EDE-B897-08F9C4B4CB5B}" id="{1FE6EB7C-4A03-4BC6-8EBE-5FB0EDE16CE9}">
    <text>Last prosumer</text>
  </threadedComment>
  <threadedComment ref="A47" dT="2023-08-04T08:41:55.67" personId="{3AAD0E9C-B1B3-4EDE-B897-08F9C4B4CB5B}" id="{9FC1475D-2F34-4B4F-A5B9-8DEAB5784B0C}">
    <text>First Consumer</text>
  </threadedComment>
  <threadedComment ref="BA47" dT="2023-08-05T03:22:52.69" personId="{3AAD0E9C-B1B3-4EDE-B897-08F9C4B4CB5B}" id="{58526FA3-5FF2-4633-9240-BAB20AC3055C}">
    <text>What consumers received less under this scheme</text>
  </threadedComment>
  <threadedComment ref="S50" dT="2023-08-04T09:06:07.52" personId="{3AAD0E9C-B1B3-4EDE-B897-08F9C4B4CB5B}" id="{0D22C9B7-E9E3-4A56-947F-F199C711708D}">
    <text>Keep the same for both?</text>
  </threadedComment>
  <threadedComment ref="S67" dT="2023-08-04T07:12:43.66" personId="{3AAD0E9C-B1B3-4EDE-B897-08F9C4B4CB5B}" id="{1DC223C3-83B1-472C-B658-801C57146455}">
    <text>Based on NREL 2020 report (pg 45 etc) making dollars to euro and to article by Οικονομικός Ταχυδρόμος</text>
  </threadedComment>
</ThreadedComments>
</file>

<file path=xl/threadedComments/threadedComment9.xml><?xml version="1.0" encoding="utf-8"?>
<ThreadedComments xmlns="http://schemas.microsoft.com/office/spreadsheetml/2018/threadedcomments" xmlns:x="http://schemas.openxmlformats.org/spreadsheetml/2006/main">
  <threadedComment ref="A1" dT="2023-08-04T22:33:19.97" personId="{3AAD0E9C-B1B3-4EDE-B897-08F9C4B4CB5B}" id="{939357B6-7B45-4473-9517-2262C27B35EC}">
    <text>Similar to v6 but agents in LEM and buy from NESO for 0 and sell to neso for 0.155</text>
  </threadedComment>
  <threadedComment ref="A1" dT="2023-08-04T23:13:51.72" personId="{3AAD0E9C-B1B3-4EDE-B897-08F9C4B4CB5B}" id="{BAE35560-5B91-4B90-A9FC-C9A600CBA6A3}" parentId="{939357B6-7B45-4473-9517-2262C27B35EC}">
    <text>I made 2.5 into 2.6 to include an extra installation cost because of the batts</text>
  </threadedComment>
  <threadedComment ref="V1" dT="2023-08-04T22:54:20.73" personId="{3AAD0E9C-B1B3-4EDE-B897-08F9C4B4CB5B}" id="{B7276132-B1EB-47F4-99AB-CE68306F67DF}">
    <text>Prosumers sell to NESO with 0.155</text>
  </threadedComment>
  <threadedComment ref="AX1" dT="2023-08-05T03:14:16.94" personId="{3AAD0E9C-B1B3-4EDE-B897-08F9C4B4CB5B}" id="{A6A33C80-589F-4DDF-BC02-523222ED812D}">
    <text>All agents are treated equal</text>
  </threadedComment>
  <threadedComment ref="AY1" dT="2023-08-05T03:14:49.88" personId="{3AAD0E9C-B1B3-4EDE-B897-08F9C4B4CB5B}" id="{F11C43F4-D6A3-4CB9-9B9A-F1555599B2D8}">
    <text>Giving advantage to prosumers who took the risk of investment 
The extra funds could be transferred to the accounts of the prosumers either straight for this reason by consumers or from the beginning by adding an extra charge at the billing of consumers</text>
  </threadedComment>
  <threadedComment ref="AZ2" dT="2023-08-05T03:23:06.50" personId="{3AAD0E9C-B1B3-4EDE-B897-08F9C4B4CB5B}" id="{DAAB0CB3-63C6-46AB-AD53-485D59CA9696}">
    <text>What prosumers received more under this scheme</text>
  </threadedComment>
  <threadedComment ref="AV5" dT="2023-08-05T03:20:38.73" personId="{3AAD0E9C-B1B3-4EDE-B897-08F9C4B4CB5B}" id="{07E438CA-05E4-4CBF-8196-958C3AF0687E}">
    <text>Income of prosumers under the scheme giving them advantage</text>
  </threadedComment>
  <threadedComment ref="T10" dT="2023-08-05T01:27:14.91" personId="{3AAD0E9C-B1B3-4EDE-B897-08F9C4B4CB5B}" id="{66922BE8-F86A-4EBC-87F3-11EA09EDD315}">
    <text>Say that they will not pay as the cost of smart meters will be covered by the standard cost in the energy bills which will happen with every household in Greece and Europe</text>
  </threadedComment>
  <threadedComment ref="T11" dT="2023-08-05T01:19:33.15" personId="{3AAD0E9C-B1B3-4EDE-B897-08F9C4B4CB5B}" id="{4A124A5C-81C3-4085-A4FA-61651C37DC28}">
    <text>For 3 people personel and 1700 euro gross salary per month
As if having personnel it will not be economically feasible say that for the monitoring it will be people from the community who could earn a discount on their expanses in the LEM and if they do extra works by offering service to the grid, they would be paid from there</text>
  </threadedComment>
  <threadedComment ref="T12" dT="2023-08-05T01:24:04.13" personId="{3AAD0E9C-B1B3-4EDE-B897-08F9C4B4CB5B}" id="{2D4349AF-00B0-409D-90B8-DE8000B49A4B}">
    <text>Say that the building will be offered by a community member or the local authorities to support the scheme</text>
  </threadedComment>
  <threadedComment ref="T13" dT="2023-08-05T01:54:33.67" personId="{3AAD0E9C-B1B3-4EDE-B897-08F9C4B4CB5B}" id="{4A26B0E2-ACB1-4940-B8AF-3FA68351CA92}">
    <text>It would be built by us, or there would be an annual fee to the whole LEM for using it by the provider company. This annual fee would be seperated over the bills of all the members of LEM</text>
  </threadedComment>
  <threadedComment ref="AV13" dT="2023-08-05T03:48:27.08" personId="{3AAD0E9C-B1B3-4EDE-B897-08F9C4B4CB5B}" id="{DF05AD8A-78F6-40E8-A110-5629E24AFCBB}">
    <text>We see that the average profit for 1 pros and cons are close, over the 25 year period, which means that we achieve good social welfare</text>
  </threadedComment>
  <threadedComment ref="R16" dT="2023-08-04T07:33:54.10" personId="{3AAD0E9C-B1B3-4EDE-B897-08F9C4B4CB5B}" id="{E6E8B57E-CD30-4595-B9E3-3F9921D5D521}">
    <text>Pg 45 NREL</text>
  </threadedComment>
  <threadedComment ref="R18" dT="2023-08-04T07:12:43.66" personId="{3AAD0E9C-B1B3-4EDE-B897-08F9C4B4CB5B}" id="{B39B46F9-DFE4-4155-959B-021D5B010CD5}">
    <text>Based on NREL 2020 report (pg 45 etc) making dollars to euro and to article by Οικονομικός Ταχυδρόμος</text>
  </threadedComment>
  <threadedComment ref="R27" dT="2023-08-04T07:34:16.84" personId="{3AAD0E9C-B1B3-4EDE-B897-08F9C4B4CB5B}" id="{191F8204-23A5-4E01-B435-292145E48374}">
    <text>pg 76 NREL</text>
  </threadedComment>
  <threadedComment ref="T29" dT="2023-08-04T23:28:34.00" personId="{3AAD0E9C-B1B3-4EDE-B897-08F9C4B4CB5B}" id="{EDB28AE7-9E8A-460B-9373-D6D3DD0A7ED2}">
    <text>1700 euro/kWh I consider</text>
  </threadedComment>
  <threadedComment ref="T30" dT="2023-08-04T23:28:39.04" personId="{3AAD0E9C-B1B3-4EDE-B897-08F9C4B4CB5B}" id="{A16F7599-3EE3-4452-952F-A3F3ADEC38B5}">
    <text>1700 euro/kWh I consider</text>
  </threadedComment>
  <threadedComment ref="T31" dT="2023-08-04T23:27:16.83" personId="{3AAD0E9C-B1B3-4EDE-B897-08F9C4B4CB5B}" id="{037DD45A-8AA6-42C7-AD3F-7E80A0B44DD6}">
    <text>1120 euro/kWh I consider</text>
  </threadedComment>
  <threadedComment ref="T32" dT="2023-08-04T23:27:27.63" personId="{3AAD0E9C-B1B3-4EDE-B897-08F9C4B4CB5B}" id="{60C924EC-2793-48E4-8E1C-AC7AAA9B74BD}">
    <text>1120 euro/kWh I consider</text>
  </threadedComment>
  <threadedComment ref="T33" dT="2023-08-04T23:29:32.87" personId="{3AAD0E9C-B1B3-4EDE-B897-08F9C4B4CB5B}" id="{299BCE2D-0A26-4ABC-BD41-CA6922F4CFF1}">
    <text>700 euro/kWh I consider</text>
  </threadedComment>
  <threadedComment ref="T34" dT="2023-08-04T23:29:36.79" personId="{3AAD0E9C-B1B3-4EDE-B897-08F9C4B4CB5B}" id="{01FC9E86-8652-4BF4-9E0D-8AFAF90C07A6}">
    <text>700 euro/kWh I consider</text>
  </threadedComment>
  <threadedComment ref="T35" dT="2023-08-04T23:22:19.56" personId="{3AAD0E9C-B1B3-4EDE-B897-08F9C4B4CB5B}" id="{58DAF102-C045-49C9-AC45-F51FB1E3D2F0}">
    <text>825 euro / kWh is the cost</text>
  </threadedComment>
  <threadedComment ref="A46" dT="2023-08-04T07:21:04.92" personId="{3AAD0E9C-B1B3-4EDE-B897-08F9C4B4CB5B}" id="{22CF91AD-8A8A-475B-9386-DCE5713F4D80}">
    <text>Last Prosumer</text>
  </threadedComment>
  <threadedComment ref="AW46" dT="2023-08-05T03:18:11.75" personId="{3AAD0E9C-B1B3-4EDE-B897-08F9C4B4CB5B}" id="{1FC1FCE3-0BA0-4F32-B1D8-AC723CE6CAB2}">
    <text>Last prosumer</text>
  </threadedComment>
  <threadedComment ref="A47" dT="2023-08-04T08:41:55.67" personId="{3AAD0E9C-B1B3-4EDE-B897-08F9C4B4CB5B}" id="{57B82767-222F-46BD-9706-BCD7DE2C8AF9}">
    <text>First Consumer</text>
  </threadedComment>
  <threadedComment ref="AZ47" dT="2023-08-05T03:22:52.69" personId="{3AAD0E9C-B1B3-4EDE-B897-08F9C4B4CB5B}" id="{56B43883-88D3-4AD8-B263-5F9B07251F4F}">
    <text>What consumers received less under this scheme</text>
  </threadedComment>
  <threadedComment ref="R50" dT="2023-08-04T09:06:07.52" personId="{3AAD0E9C-B1B3-4EDE-B897-08F9C4B4CB5B}" id="{C70B84E5-A66C-4B64-A7EF-96EE0556CD27}">
    <text>Keep the same for both?</text>
  </threadedComment>
  <threadedComment ref="R67" dT="2023-08-04T07:12:43.66" personId="{3AAD0E9C-B1B3-4EDE-B897-08F9C4B4CB5B}" id="{7E7C2EE9-B5C3-41CC-9A89-219C16F05605}">
    <text>Based on NREL 2020 report (pg 45 etc) making dollars to euro and to article by Οικονομικός Ταχυδρόμος</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 Id="rId4" Type="http://schemas.microsoft.com/office/2017/10/relationships/threadedComment" Target="../threadedComments/threadedComment8.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8.xml"/><Relationship Id="rId4" Type="http://schemas.microsoft.com/office/2017/10/relationships/threadedComment" Target="../threadedComments/threadedComment9.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9.xml"/><Relationship Id="rId4" Type="http://schemas.microsoft.com/office/2017/10/relationships/threadedComment" Target="../threadedComments/threadedComment10.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0.xml"/><Relationship Id="rId4" Type="http://schemas.microsoft.com/office/2017/10/relationships/threadedComment" Target="../threadedComments/threadedComment1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1.xml"/><Relationship Id="rId4" Type="http://schemas.microsoft.com/office/2017/10/relationships/threadedComment" Target="../threadedComments/threadedComment12.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2.xml"/><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3.xml"/><Relationship Id="rId4" Type="http://schemas.microsoft.com/office/2017/10/relationships/threadedComment" Target="../threadedComments/threadedComment1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4.xml"/><Relationship Id="rId4" Type="http://schemas.microsoft.com/office/2017/10/relationships/threadedComment" Target="../threadedComments/threadedComment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3" Type="http://schemas.microsoft.com/office/2017/10/relationships/threadedComment" Target="../threadedComments/threadedComment16.xml"/><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6.xml"/><Relationship Id="rId4" Type="http://schemas.microsoft.com/office/2017/10/relationships/threadedComment" Target="../threadedComments/threadedComment17.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7.xml"/><Relationship Id="rId4" Type="http://schemas.microsoft.com/office/2017/10/relationships/threadedComment" Target="../threadedComments/threadedComment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5.xml"/><Relationship Id="rId4" Type="http://schemas.microsoft.com/office/2017/10/relationships/threadedComment" Target="../threadedComments/threadedComment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 Id="rId4" Type="http://schemas.microsoft.com/office/2017/10/relationships/threadedComment" Target="../threadedComments/threadedComment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L8" sqref="L8"/>
    </sheetView>
  </sheetViews>
  <sheetFormatPr defaultRowHeight="14.5" x14ac:dyDescent="0.35"/>
  <cols>
    <col min="1" max="1" width="46.81640625" bestFit="1" customWidth="1"/>
    <col min="3" max="3" width="30.81640625" bestFit="1" customWidth="1"/>
    <col min="5" max="5" width="44.81640625" bestFit="1" customWidth="1"/>
  </cols>
  <sheetData>
    <row r="1" spans="1:6" x14ac:dyDescent="0.35">
      <c r="A1" t="s">
        <v>0</v>
      </c>
      <c r="B1">
        <v>402700</v>
      </c>
    </row>
    <row r="3" spans="1:6" x14ac:dyDescent="0.35">
      <c r="A3" t="s">
        <v>1</v>
      </c>
      <c r="B3">
        <v>663633</v>
      </c>
    </row>
    <row r="5" spans="1:6" x14ac:dyDescent="0.35">
      <c r="A5" t="s">
        <v>2</v>
      </c>
      <c r="B5">
        <v>4000</v>
      </c>
      <c r="C5" t="s">
        <v>3</v>
      </c>
      <c r="D5">
        <f>B5/B3</f>
        <v>6.0274278102505447E-3</v>
      </c>
      <c r="E5" t="s">
        <v>4</v>
      </c>
      <c r="F5">
        <f>D5*B1</f>
        <v>2427.2451791878943</v>
      </c>
    </row>
    <row r="7" spans="1:6" x14ac:dyDescent="0.35">
      <c r="A7" t="s">
        <v>5</v>
      </c>
      <c r="B7">
        <v>330495</v>
      </c>
      <c r="C7" t="s">
        <v>3</v>
      </c>
      <c r="D7">
        <f>B7/B3</f>
        <v>0.49800868853718849</v>
      </c>
      <c r="E7" t="s">
        <v>4</v>
      </c>
      <c r="F7">
        <f>D7*B1</f>
        <v>200548.0988739258</v>
      </c>
    </row>
    <row r="11" spans="1:6" x14ac:dyDescent="0.35">
      <c r="C11" t="s">
        <v>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FA4B-24D1-4F69-94FA-2E0BE7869EA3}">
  <dimension ref="A1:BA104"/>
  <sheetViews>
    <sheetView topLeftCell="U1" zoomScale="80" zoomScaleNormal="80" workbookViewId="0">
      <selection activeCell="AP21" sqref="AP21"/>
    </sheetView>
  </sheetViews>
  <sheetFormatPr defaultRowHeight="14.5" x14ac:dyDescent="0.35"/>
  <cols>
    <col min="1" max="1" width="23.26953125" style="1" bestFit="1" customWidth="1"/>
    <col min="2" max="2" width="25.54296875" style="1" bestFit="1" customWidth="1"/>
    <col min="3" max="3" width="16.7265625" bestFit="1" customWidth="1"/>
    <col min="4" max="10" width="16.7265625" customWidth="1"/>
    <col min="11" max="11" width="16.1796875" bestFit="1" customWidth="1"/>
    <col min="12" max="12" width="20.54296875" customWidth="1"/>
    <col min="13" max="14" width="12" customWidth="1"/>
    <col min="15" max="16" width="12.26953125" customWidth="1"/>
    <col min="17" max="17" width="13" customWidth="1"/>
    <col min="18" max="18" width="8.7265625" customWidth="1"/>
    <col min="19" max="19" width="28.7265625" bestFit="1" customWidth="1"/>
    <col min="20" max="20" width="12.6328125" bestFit="1" customWidth="1"/>
    <col min="21" max="21" width="21.6328125" bestFit="1" customWidth="1"/>
    <col min="23" max="23" width="12.453125" customWidth="1"/>
    <col min="25" max="25" width="14.36328125" customWidth="1"/>
    <col min="26" max="26" width="10.36328125" customWidth="1"/>
    <col min="27" max="27" width="12.453125" customWidth="1"/>
    <col min="28" max="28" width="11.1796875" customWidth="1"/>
    <col min="30" max="30" width="14" customWidth="1"/>
    <col min="32" max="32" width="23" customWidth="1"/>
    <col min="33" max="33" width="20.54296875" customWidth="1"/>
    <col min="34" max="34" width="19.81640625" customWidth="1"/>
    <col min="35" max="35" width="18.1796875" customWidth="1"/>
    <col min="36" max="36" width="16" customWidth="1"/>
    <col min="37" max="37" width="15.26953125" bestFit="1" customWidth="1"/>
    <col min="38" max="38" width="14.81640625" bestFit="1" customWidth="1"/>
    <col min="43" max="43" width="14.08984375" customWidth="1"/>
    <col min="47" max="48" width="8.7265625" customWidth="1"/>
    <col min="49" max="49" width="27.26953125" customWidth="1"/>
    <col min="50" max="50" width="14.81640625" bestFit="1" customWidth="1"/>
    <col min="51" max="52" width="14.26953125" bestFit="1" customWidth="1"/>
  </cols>
  <sheetData>
    <row r="1" spans="1:53" ht="63" customHeight="1" x14ac:dyDescent="0.35">
      <c r="A1" s="57" t="s">
        <v>7</v>
      </c>
      <c r="B1" s="60" t="s">
        <v>8</v>
      </c>
      <c r="C1" s="60" t="s">
        <v>253</v>
      </c>
      <c r="D1" s="61" t="s">
        <v>281</v>
      </c>
      <c r="E1" s="61" t="s">
        <v>301</v>
      </c>
      <c r="F1" s="61" t="s">
        <v>308</v>
      </c>
      <c r="G1" s="61" t="s">
        <v>312</v>
      </c>
      <c r="H1" s="61" t="s">
        <v>309</v>
      </c>
      <c r="I1" s="61" t="s">
        <v>310</v>
      </c>
      <c r="J1" s="61" t="s">
        <v>311</v>
      </c>
      <c r="K1" s="60" t="s">
        <v>254</v>
      </c>
      <c r="L1" s="61" t="s">
        <v>255</v>
      </c>
      <c r="M1" s="61" t="s">
        <v>256</v>
      </c>
      <c r="N1" s="61" t="s">
        <v>340</v>
      </c>
      <c r="O1" s="61" t="s">
        <v>257</v>
      </c>
      <c r="P1" s="61" t="s">
        <v>282</v>
      </c>
      <c r="Q1" s="61" t="s">
        <v>275</v>
      </c>
      <c r="R1" s="69"/>
      <c r="S1" s="69"/>
      <c r="T1" s="69"/>
      <c r="U1" s="69"/>
      <c r="V1" s="69"/>
      <c r="W1" s="61" t="s">
        <v>276</v>
      </c>
      <c r="X1" s="61" t="s">
        <v>277</v>
      </c>
      <c r="Y1" s="61" t="s">
        <v>278</v>
      </c>
      <c r="Z1" s="61" t="s">
        <v>279</v>
      </c>
      <c r="AA1" s="61" t="s">
        <v>31</v>
      </c>
      <c r="AB1" s="12" t="s">
        <v>283</v>
      </c>
      <c r="AC1" s="1"/>
      <c r="AD1" s="6" t="s">
        <v>33</v>
      </c>
      <c r="AE1" s="6" t="s">
        <v>34</v>
      </c>
      <c r="AF1" s="6" t="s">
        <v>35</v>
      </c>
      <c r="AG1" s="6" t="s">
        <v>36</v>
      </c>
      <c r="AH1" s="6" t="s">
        <v>37</v>
      </c>
      <c r="AI1" s="6" t="s">
        <v>38</v>
      </c>
      <c r="AJ1" s="12" t="s">
        <v>39</v>
      </c>
      <c r="AK1" s="12" t="s">
        <v>40</v>
      </c>
      <c r="AL1" s="12" t="s">
        <v>41</v>
      </c>
      <c r="AQ1" s="86" t="s">
        <v>353</v>
      </c>
      <c r="AW1" s="6" t="s">
        <v>320</v>
      </c>
      <c r="AX1" s="86" t="s">
        <v>321</v>
      </c>
      <c r="AY1" s="86" t="s">
        <v>322</v>
      </c>
      <c r="AZ1" s="6" t="s">
        <v>322</v>
      </c>
    </row>
    <row r="2" spans="1:53" ht="15" thickBot="1" x14ac:dyDescent="0.4">
      <c r="A2" s="1">
        <v>1</v>
      </c>
      <c r="B2" s="62">
        <v>1079.529030351737</v>
      </c>
      <c r="C2" s="62">
        <v>2</v>
      </c>
      <c r="D2" s="62">
        <v>3494.71</v>
      </c>
      <c r="E2" s="62">
        <v>1079.53</v>
      </c>
      <c r="F2" s="62">
        <v>1395.84</v>
      </c>
      <c r="G2" s="62">
        <v>139.60599999999999</v>
      </c>
      <c r="H2" s="62">
        <v>1682.91</v>
      </c>
      <c r="I2" s="62">
        <v>473.57100000000003</v>
      </c>
      <c r="J2" s="62">
        <v>556.52700000000004</v>
      </c>
      <c r="K2" s="62">
        <v>5</v>
      </c>
      <c r="L2" s="62">
        <v>1.2</v>
      </c>
      <c r="M2" s="62">
        <f>((C2*$T$18*1000)+T29)</f>
        <v>7240</v>
      </c>
      <c r="N2" s="88">
        <f>(M2*(1-$T$53))</f>
        <v>3982.0000000000005</v>
      </c>
      <c r="O2" s="62">
        <f>$T$38*C2</f>
        <v>71.2</v>
      </c>
      <c r="P2" s="56">
        <f>O2/D2</f>
        <v>2.0373650460267088E-2</v>
      </c>
      <c r="Q2" s="56">
        <f t="shared" ref="Q2:Q46" si="0">O2*25</f>
        <v>1780</v>
      </c>
      <c r="R2" s="56"/>
      <c r="S2" s="56"/>
      <c r="T2" s="56"/>
      <c r="U2" s="56"/>
      <c r="V2" s="56"/>
      <c r="W2" s="1">
        <v>560.12223999999992</v>
      </c>
      <c r="X2" s="1">
        <f>W2-N2</f>
        <v>-3421.8777600000003</v>
      </c>
      <c r="Y2" s="1">
        <f t="shared" ref="Y2:Y33" si="1">W2*$T$47</f>
        <v>14003.055999999999</v>
      </c>
      <c r="Z2" s="1">
        <f>Y2-N2</f>
        <v>10021.055999999999</v>
      </c>
      <c r="AA2" s="1">
        <f>(N2/($T$47*B2))+P2</f>
        <v>0.16791947416831754</v>
      </c>
      <c r="AB2" s="1">
        <f>(N2/($T$50*B2))+P2</f>
        <v>0.29492422954654668</v>
      </c>
      <c r="AC2" s="1"/>
      <c r="AD2" s="1" t="s">
        <v>284</v>
      </c>
      <c r="AE2" s="1">
        <v>0</v>
      </c>
      <c r="AF2">
        <f>-AD5</f>
        <v>-243151.40000000002</v>
      </c>
      <c r="AG2">
        <f>AF2</f>
        <v>-243151.40000000002</v>
      </c>
      <c r="AI2">
        <f>AF2</f>
        <v>-243151.40000000002</v>
      </c>
      <c r="AJ2">
        <f>AF2</f>
        <v>-243151.40000000002</v>
      </c>
      <c r="AL2">
        <f>AF2</f>
        <v>-243151.40000000002</v>
      </c>
      <c r="AQ2">
        <f>'LEM economic evaluation_v7'!AN29</f>
        <v>153553.51696824766</v>
      </c>
      <c r="AW2" s="1">
        <f>AL27+AL63</f>
        <v>657071.74864579621</v>
      </c>
      <c r="AX2">
        <f>B2/$B$102</f>
        <v>2.6692481992770093E-3</v>
      </c>
      <c r="AY2">
        <f>AX2*$AW$2</f>
        <v>1753.8875818685872</v>
      </c>
      <c r="AZ2">
        <f>(AY2)*1.08</f>
        <v>1894.1985884180742</v>
      </c>
      <c r="BA2">
        <f>AZ2-AY2</f>
        <v>140.31100654948705</v>
      </c>
    </row>
    <row r="3" spans="1:53" x14ac:dyDescent="0.35">
      <c r="A3" s="1">
        <v>2</v>
      </c>
      <c r="B3" s="62">
        <v>3886.3217817133332</v>
      </c>
      <c r="C3" s="62">
        <v>4</v>
      </c>
      <c r="D3" s="62">
        <v>6989.42</v>
      </c>
      <c r="E3" s="62">
        <v>3886.32</v>
      </c>
      <c r="F3" s="62">
        <v>2567.4899999999998</v>
      </c>
      <c r="G3" s="62">
        <v>253.81899999999999</v>
      </c>
      <c r="H3" s="62">
        <v>3085.9</v>
      </c>
      <c r="I3" s="62">
        <v>1442.46</v>
      </c>
      <c r="J3" s="62">
        <v>2007.51</v>
      </c>
      <c r="K3" s="62">
        <v>10</v>
      </c>
      <c r="L3" s="62">
        <v>3.3</v>
      </c>
      <c r="M3" s="62">
        <f>(C3*$T$18*1000)+T31</f>
        <v>14096</v>
      </c>
      <c r="N3" s="88">
        <f t="shared" ref="N3:N12" si="2">(M3*(1-$T$53))</f>
        <v>7752.8</v>
      </c>
      <c r="O3" s="62">
        <f>$T$38*C3</f>
        <v>142.4</v>
      </c>
      <c r="P3" s="56">
        <f t="shared" ref="P3:P46" si="3">O3/D3</f>
        <v>2.0373650460267088E-2</v>
      </c>
      <c r="Q3" s="56">
        <f t="shared" si="0"/>
        <v>3560</v>
      </c>
      <c r="R3" s="56"/>
      <c r="S3" s="80" t="s">
        <v>267</v>
      </c>
      <c r="T3" s="81"/>
      <c r="U3" s="82"/>
      <c r="V3" s="56"/>
      <c r="W3" s="1">
        <v>1266.8788500000001</v>
      </c>
      <c r="X3" s="1">
        <f t="shared" ref="X3:X46" si="4">W3-N3</f>
        <v>-6485.9211500000001</v>
      </c>
      <c r="Y3" s="1">
        <f t="shared" si="1"/>
        <v>31671.971250000002</v>
      </c>
      <c r="Z3" s="1">
        <f t="shared" ref="Z3:Z46" si="5">Y3-N3</f>
        <v>23919.171250000003</v>
      </c>
      <c r="AA3" s="1">
        <f t="shared" ref="AA3:AA46" si="6">(N3/($T$47*B3))+P3</f>
        <v>0.10016941041488497</v>
      </c>
      <c r="AB3" s="1">
        <f t="shared" ref="AB3:AB46" si="7">(N3/($T$50*B3))+P3</f>
        <v>0.16885614595617146</v>
      </c>
      <c r="AC3" s="1"/>
      <c r="AD3" s="1"/>
      <c r="AE3" s="1">
        <v>1</v>
      </c>
      <c r="AF3">
        <f>AD8</f>
        <v>50976.439844999986</v>
      </c>
      <c r="AG3">
        <f>AG2+AF3</f>
        <v>-192174.96015500004</v>
      </c>
      <c r="AH3">
        <f t="shared" ref="AH3:AH27" si="8">AF3/(1+$T$20)^AE3</f>
        <v>48045.654896324209</v>
      </c>
      <c r="AI3">
        <f>AI2+AH3</f>
        <v>-195105.74510367581</v>
      </c>
      <c r="AJ3">
        <f t="shared" ref="AJ3:AJ27" si="9">$AD$8*((1+$T$44)^AE3)</f>
        <v>52250.850841124979</v>
      </c>
      <c r="AK3">
        <f t="shared" ref="AK3:AK27" si="10">AJ3/(1+$T$20)^AE3</f>
        <v>49246.796268732309</v>
      </c>
      <c r="AL3">
        <f>AL2+AK3</f>
        <v>-193904.60373126771</v>
      </c>
      <c r="AQ3" t="s">
        <v>354</v>
      </c>
      <c r="AW3" s="1"/>
      <c r="AX3">
        <f t="shared" ref="AX3:AX66" si="11">B3/$B$102</f>
        <v>9.6093362253253847E-3</v>
      </c>
      <c r="AY3">
        <f t="shared" ref="AY3:AY18" si="12">AX3*$AW$2</f>
        <v>6314.0233568999456</v>
      </c>
      <c r="AZ3">
        <f t="shared" ref="AZ3:AZ46" si="13">(AY3)*1.08</f>
        <v>6819.1452254519418</v>
      </c>
      <c r="BA3">
        <f t="shared" ref="BA3:BA46" si="14">AZ3-AY3</f>
        <v>505.12186855199616</v>
      </c>
    </row>
    <row r="4" spans="1:53" ht="29" x14ac:dyDescent="0.35">
      <c r="A4" s="1">
        <v>3</v>
      </c>
      <c r="B4" s="1">
        <v>3457.332910813851</v>
      </c>
      <c r="C4" s="1">
        <v>2</v>
      </c>
      <c r="D4" s="1">
        <v>3494.71</v>
      </c>
      <c r="E4" s="1">
        <v>3457.33</v>
      </c>
      <c r="F4" s="1">
        <v>613.53200000000004</v>
      </c>
      <c r="G4" s="1">
        <v>54.761099999999999</v>
      </c>
      <c r="H4" s="1">
        <v>1498.2</v>
      </c>
      <c r="I4" s="1">
        <v>1382.98</v>
      </c>
      <c r="J4" s="1">
        <v>2074.35</v>
      </c>
      <c r="K4" s="1">
        <v>5</v>
      </c>
      <c r="L4" s="1">
        <v>0</v>
      </c>
      <c r="M4" s="1">
        <f>C4*$T$18*1000</f>
        <v>5200</v>
      </c>
      <c r="N4" s="88">
        <f t="shared" si="2"/>
        <v>2860.0000000000005</v>
      </c>
      <c r="O4" s="1">
        <f>$T$19*C4</f>
        <v>53</v>
      </c>
      <c r="P4" s="4">
        <f t="shared" si="3"/>
        <v>1.5165779134749377E-2</v>
      </c>
      <c r="Q4" s="4">
        <f t="shared" si="0"/>
        <v>1325</v>
      </c>
      <c r="R4" s="4"/>
      <c r="S4" s="63" t="s">
        <v>302</v>
      </c>
      <c r="T4" s="4">
        <v>0.155</v>
      </c>
      <c r="U4" s="30"/>
      <c r="V4" s="4"/>
      <c r="W4" s="1">
        <v>822.86824999999999</v>
      </c>
      <c r="X4" s="1">
        <f t="shared" si="4"/>
        <v>-2037.1317500000005</v>
      </c>
      <c r="Y4" s="1">
        <f t="shared" si="1"/>
        <v>20571.706249999999</v>
      </c>
      <c r="Z4" s="1">
        <f t="shared" si="5"/>
        <v>17711.706249999999</v>
      </c>
      <c r="AA4" s="1">
        <f t="shared" si="6"/>
        <v>4.8254869179326663E-2</v>
      </c>
      <c r="AB4" s="1">
        <f t="shared" si="7"/>
        <v>7.6737354695929197E-2</v>
      </c>
      <c r="AC4" s="1"/>
      <c r="AD4" s="6" t="s">
        <v>285</v>
      </c>
      <c r="AE4" s="1">
        <f>AE3+1</f>
        <v>2</v>
      </c>
      <c r="AF4">
        <f>AF3</f>
        <v>50976.439844999986</v>
      </c>
      <c r="AG4">
        <f>AG3+AF4</f>
        <v>-141198.52031000005</v>
      </c>
      <c r="AH4">
        <f t="shared" si="8"/>
        <v>45283.369365055805</v>
      </c>
      <c r="AI4">
        <f t="shared" ref="AI4:AI27" si="15">AI3+AH4</f>
        <v>-149822.37573862</v>
      </c>
      <c r="AJ4">
        <f t="shared" si="9"/>
        <v>53557.122112153105</v>
      </c>
      <c r="AK4">
        <f t="shared" si="10"/>
        <v>47575.839939161749</v>
      </c>
      <c r="AL4">
        <f t="shared" ref="AL4:AL27" si="16">AL3+AK4</f>
        <v>-146328.76379210595</v>
      </c>
      <c r="AW4" s="1"/>
      <c r="AX4">
        <f t="shared" si="11"/>
        <v>8.5486164679463485E-3</v>
      </c>
      <c r="AY4">
        <f t="shared" si="12"/>
        <v>5617.0543710957572</v>
      </c>
      <c r="AZ4">
        <f t="shared" si="13"/>
        <v>6066.4187207834184</v>
      </c>
      <c r="BA4">
        <f t="shared" si="14"/>
        <v>449.36434968766116</v>
      </c>
    </row>
    <row r="5" spans="1:53" x14ac:dyDescent="0.35">
      <c r="A5" s="1">
        <v>4</v>
      </c>
      <c r="B5" s="62">
        <v>1453.8912212817379</v>
      </c>
      <c r="C5" s="62">
        <v>2</v>
      </c>
      <c r="D5" s="62">
        <v>3494.71</v>
      </c>
      <c r="E5" s="62">
        <v>1453.89</v>
      </c>
      <c r="F5" s="62">
        <v>1292.6199999999999</v>
      </c>
      <c r="G5" s="62">
        <v>127.47</v>
      </c>
      <c r="H5" s="62">
        <v>1638.92</v>
      </c>
      <c r="I5" s="62">
        <v>615.08299999999997</v>
      </c>
      <c r="J5" s="62">
        <v>724.553</v>
      </c>
      <c r="K5" s="62">
        <v>5</v>
      </c>
      <c r="L5" s="62">
        <v>1.2</v>
      </c>
      <c r="M5" s="62">
        <f>(C5*$T$18*1000)+T29</f>
        <v>7240</v>
      </c>
      <c r="N5" s="88">
        <f t="shared" si="2"/>
        <v>3982.0000000000005</v>
      </c>
      <c r="O5" s="62">
        <f>$T$38*C5</f>
        <v>71.2</v>
      </c>
      <c r="P5" s="56">
        <f t="shared" si="3"/>
        <v>2.0373650460267088E-2</v>
      </c>
      <c r="Q5" s="56">
        <f t="shared" si="0"/>
        <v>1780</v>
      </c>
      <c r="R5" s="56"/>
      <c r="S5" s="83" t="s">
        <v>303</v>
      </c>
      <c r="T5" s="56">
        <v>0.129</v>
      </c>
      <c r="U5" s="46" t="s">
        <v>6</v>
      </c>
      <c r="V5" s="56"/>
      <c r="W5" s="1">
        <v>589.14617999999996</v>
      </c>
      <c r="X5" s="1">
        <f t="shared" si="4"/>
        <v>-3392.8538200000003</v>
      </c>
      <c r="Y5" s="1">
        <f t="shared" si="1"/>
        <v>14728.654499999999</v>
      </c>
      <c r="Z5" s="1">
        <f t="shared" si="5"/>
        <v>10746.654499999999</v>
      </c>
      <c r="AA5" s="1">
        <f t="shared" si="6"/>
        <v>0.12992792637066164</v>
      </c>
      <c r="AB5" s="1">
        <f t="shared" si="7"/>
        <v>0.22423024996722921</v>
      </c>
      <c r="AC5" s="1"/>
      <c r="AD5" s="1">
        <f>SUM(N2:N46) + (U10*45/99)+U39+U40+U11+U12</f>
        <v>243151.40000000002</v>
      </c>
      <c r="AE5" s="1">
        <f t="shared" ref="AE5:AE27" si="17">AE4+1</f>
        <v>3</v>
      </c>
      <c r="AF5">
        <f t="shared" ref="AF5:AF27" si="18">AF4</f>
        <v>50976.439844999986</v>
      </c>
      <c r="AG5">
        <f t="shared" ref="AG5:AG27" si="19">AG4+AF5</f>
        <v>-90222.080465000065</v>
      </c>
      <c r="AH5">
        <f t="shared" si="8"/>
        <v>42679.895725783048</v>
      </c>
      <c r="AI5">
        <f t="shared" si="15"/>
        <v>-107142.48001283695</v>
      </c>
      <c r="AJ5">
        <f t="shared" si="9"/>
        <v>54896.050164956934</v>
      </c>
      <c r="AK5">
        <f t="shared" si="10"/>
        <v>45961.579583073333</v>
      </c>
      <c r="AL5">
        <f t="shared" si="16"/>
        <v>-100367.18420903262</v>
      </c>
      <c r="AW5" s="1" t="s">
        <v>324</v>
      </c>
      <c r="AX5">
        <f t="shared" si="11"/>
        <v>3.5948977889797666E-3</v>
      </c>
      <c r="AY5">
        <f t="shared" si="12"/>
        <v>2362.1057764078419</v>
      </c>
      <c r="AZ5">
        <f t="shared" si="13"/>
        <v>2551.0742385204694</v>
      </c>
      <c r="BA5">
        <f t="shared" si="14"/>
        <v>188.96846211262755</v>
      </c>
    </row>
    <row r="6" spans="1:53" x14ac:dyDescent="0.35">
      <c r="A6" s="1">
        <v>5</v>
      </c>
      <c r="B6" s="1">
        <v>3955.020115733626</v>
      </c>
      <c r="C6" s="1">
        <v>4</v>
      </c>
      <c r="D6" s="1">
        <v>6989.42</v>
      </c>
      <c r="E6" s="1">
        <v>3955.02</v>
      </c>
      <c r="F6" s="1">
        <v>1833.18</v>
      </c>
      <c r="G6" s="1">
        <v>168.476</v>
      </c>
      <c r="H6" s="1">
        <v>3471.67</v>
      </c>
      <c r="I6" s="1">
        <v>1684.57</v>
      </c>
      <c r="J6" s="1">
        <v>2270.4499999999998</v>
      </c>
      <c r="K6" s="1">
        <v>10</v>
      </c>
      <c r="L6" s="1">
        <v>0</v>
      </c>
      <c r="M6" s="1">
        <f>C6*$T$18*1000</f>
        <v>10400</v>
      </c>
      <c r="N6" s="88">
        <f t="shared" si="2"/>
        <v>5720.0000000000009</v>
      </c>
      <c r="O6" s="1">
        <f>$T$19*C6</f>
        <v>106</v>
      </c>
      <c r="P6" s="4">
        <f t="shared" si="3"/>
        <v>1.5165779134749377E-2</v>
      </c>
      <c r="Q6" s="4">
        <f t="shared" si="0"/>
        <v>2650</v>
      </c>
      <c r="R6" s="4"/>
      <c r="S6" s="63"/>
      <c r="T6" s="1"/>
      <c r="U6" s="78">
        <f>(M2*(1-$T$53))</f>
        <v>3982.0000000000005</v>
      </c>
      <c r="V6" s="4"/>
      <c r="W6" s="1">
        <v>1319.61295</v>
      </c>
      <c r="X6" s="1">
        <f t="shared" si="4"/>
        <v>-4400.3870500000012</v>
      </c>
      <c r="Y6" s="1">
        <f t="shared" si="1"/>
        <v>32990.323749999996</v>
      </c>
      <c r="Z6" s="1">
        <f t="shared" si="5"/>
        <v>27270.323749999996</v>
      </c>
      <c r="AA6" s="1">
        <f t="shared" si="6"/>
        <v>7.3016306642764192E-2</v>
      </c>
      <c r="AB6" s="1">
        <f t="shared" si="7"/>
        <v>0.12281298614211117</v>
      </c>
      <c r="AC6" s="1"/>
      <c r="AD6" s="1"/>
      <c r="AE6" s="1">
        <f t="shared" si="17"/>
        <v>4</v>
      </c>
      <c r="AF6">
        <f t="shared" si="18"/>
        <v>50976.439844999986</v>
      </c>
      <c r="AG6">
        <f t="shared" si="19"/>
        <v>-39245.640620000078</v>
      </c>
      <c r="AH6">
        <f t="shared" si="8"/>
        <v>40226.103417326151</v>
      </c>
      <c r="AI6">
        <f t="shared" si="15"/>
        <v>-66916.37659551081</v>
      </c>
      <c r="AJ6">
        <f t="shared" si="9"/>
        <v>56268.451419080848</v>
      </c>
      <c r="AK6">
        <f t="shared" si="10"/>
        <v>44402.091491658954</v>
      </c>
      <c r="AL6">
        <f t="shared" si="16"/>
        <v>-55965.092717373671</v>
      </c>
      <c r="AW6" s="1">
        <f>SUM(AZ2:AZ46)</f>
        <v>295930.05863651377</v>
      </c>
      <c r="AX6">
        <f t="shared" si="11"/>
        <v>9.7792000263176096E-3</v>
      </c>
      <c r="AY6">
        <f t="shared" si="12"/>
        <v>6425.6360616495276</v>
      </c>
      <c r="AZ6">
        <f t="shared" si="13"/>
        <v>6939.6869465814907</v>
      </c>
      <c r="BA6">
        <f t="shared" si="14"/>
        <v>514.05088493196308</v>
      </c>
    </row>
    <row r="7" spans="1:53" ht="29" x14ac:dyDescent="0.35">
      <c r="A7" s="1">
        <v>6</v>
      </c>
      <c r="B7" s="62">
        <v>2105.0165005377999</v>
      </c>
      <c r="C7" s="62">
        <v>2</v>
      </c>
      <c r="D7" s="62">
        <v>3494.71</v>
      </c>
      <c r="E7" s="62">
        <v>2105.02</v>
      </c>
      <c r="F7" s="62">
        <v>1453.58</v>
      </c>
      <c r="G7" s="62">
        <v>145.85</v>
      </c>
      <c r="H7" s="62">
        <v>1123.08</v>
      </c>
      <c r="I7" s="62">
        <v>912.81600000000003</v>
      </c>
      <c r="J7" s="62">
        <v>775.86</v>
      </c>
      <c r="K7" s="62">
        <v>5</v>
      </c>
      <c r="L7" s="62">
        <v>4.2</v>
      </c>
      <c r="M7" s="62">
        <f>(C7*$T$18*1000)+T32</f>
        <v>9904</v>
      </c>
      <c r="N7" s="88">
        <f t="shared" si="2"/>
        <v>5447.2000000000007</v>
      </c>
      <c r="O7" s="62">
        <f>$T$38*C7</f>
        <v>71.2</v>
      </c>
      <c r="P7" s="56">
        <f t="shared" si="3"/>
        <v>2.0373650460267088E-2</v>
      </c>
      <c r="Q7" s="56">
        <f t="shared" si="0"/>
        <v>1780</v>
      </c>
      <c r="R7" s="56"/>
      <c r="S7" s="84"/>
      <c r="T7" s="62"/>
      <c r="U7" s="85"/>
      <c r="V7" s="56"/>
      <c r="W7" s="1">
        <v>581.67217999999991</v>
      </c>
      <c r="X7" s="1">
        <f t="shared" si="4"/>
        <v>-4865.5278200000012</v>
      </c>
      <c r="Y7" s="1">
        <f t="shared" si="1"/>
        <v>14541.804499999998</v>
      </c>
      <c r="Z7" s="1">
        <f t="shared" si="5"/>
        <v>9094.6044999999976</v>
      </c>
      <c r="AA7" s="1">
        <f t="shared" si="6"/>
        <v>0.12388257779852452</v>
      </c>
      <c r="AB7" s="1">
        <f t="shared" si="7"/>
        <v>0.21298117554718446</v>
      </c>
      <c r="AC7" s="1"/>
      <c r="AD7" s="6" t="s">
        <v>286</v>
      </c>
      <c r="AE7" s="1">
        <f t="shared" si="17"/>
        <v>5</v>
      </c>
      <c r="AF7">
        <f t="shared" si="18"/>
        <v>50976.439844999986</v>
      </c>
      <c r="AG7">
        <f t="shared" si="19"/>
        <v>11730.799224999908</v>
      </c>
      <c r="AH7">
        <f t="shared" si="8"/>
        <v>37913.386821231055</v>
      </c>
      <c r="AI7">
        <f t="shared" si="15"/>
        <v>-29002.989774279755</v>
      </c>
      <c r="AJ7">
        <f t="shared" si="9"/>
        <v>57675.162704557864</v>
      </c>
      <c r="AK7">
        <f t="shared" si="10"/>
        <v>42895.517228039986</v>
      </c>
      <c r="AL7">
        <f t="shared" si="16"/>
        <v>-13069.575489333685</v>
      </c>
      <c r="AW7" s="1"/>
      <c r="AX7">
        <f t="shared" si="11"/>
        <v>5.2048730006623049E-3</v>
      </c>
      <c r="AY7">
        <f t="shared" si="12"/>
        <v>3419.975004024473</v>
      </c>
      <c r="AZ7">
        <f t="shared" si="13"/>
        <v>3693.5730043464309</v>
      </c>
      <c r="BA7">
        <f t="shared" si="14"/>
        <v>273.5980003219579</v>
      </c>
    </row>
    <row r="8" spans="1:53" x14ac:dyDescent="0.35">
      <c r="A8" s="1">
        <v>7</v>
      </c>
      <c r="B8" s="1">
        <v>1617.7934488334181</v>
      </c>
      <c r="C8" s="1">
        <v>2</v>
      </c>
      <c r="D8" s="1">
        <v>3494.71</v>
      </c>
      <c r="E8" s="1">
        <v>1617.79</v>
      </c>
      <c r="F8" s="1">
        <v>1038.05</v>
      </c>
      <c r="G8" s="1">
        <v>96.850499999999997</v>
      </c>
      <c r="H8" s="1">
        <v>1831.46</v>
      </c>
      <c r="I8" s="1">
        <v>625.19600000000003</v>
      </c>
      <c r="J8" s="1">
        <v>992.59699999999998</v>
      </c>
      <c r="K8" s="1">
        <v>5</v>
      </c>
      <c r="L8" s="1">
        <v>0</v>
      </c>
      <c r="M8" s="1">
        <f>C8*$T$18*1000</f>
        <v>5200</v>
      </c>
      <c r="N8" s="88">
        <f t="shared" si="2"/>
        <v>2860.0000000000005</v>
      </c>
      <c r="O8" s="1">
        <f>$T$19*C8</f>
        <v>53</v>
      </c>
      <c r="P8" s="4">
        <f t="shared" si="3"/>
        <v>1.5165779134749377E-2</v>
      </c>
      <c r="Q8" s="4">
        <f t="shared" si="0"/>
        <v>1325</v>
      </c>
      <c r="R8" s="4"/>
      <c r="S8" s="65"/>
      <c r="T8" s="1"/>
      <c r="U8" s="78">
        <v>25</v>
      </c>
      <c r="V8" s="4"/>
      <c r="W8" s="1">
        <v>631.48471500000005</v>
      </c>
      <c r="X8" s="1">
        <f t="shared" si="4"/>
        <v>-2228.5152850000004</v>
      </c>
      <c r="Y8" s="1">
        <f t="shared" si="1"/>
        <v>15787.117875000002</v>
      </c>
      <c r="Z8" s="1">
        <f t="shared" si="5"/>
        <v>12927.117875000002</v>
      </c>
      <c r="AA8" s="1">
        <f t="shared" si="6"/>
        <v>8.5879379862019739E-2</v>
      </c>
      <c r="AB8" s="1">
        <f t="shared" si="7"/>
        <v>0.14674835830258481</v>
      </c>
      <c r="AC8" s="1"/>
      <c r="AD8" s="1">
        <f>SUM(W2:W46)</f>
        <v>50976.439844999986</v>
      </c>
      <c r="AE8" s="1">
        <f t="shared" si="17"/>
        <v>6</v>
      </c>
      <c r="AF8">
        <f t="shared" si="18"/>
        <v>50976.439844999986</v>
      </c>
      <c r="AG8">
        <f t="shared" si="19"/>
        <v>62707.239069999894</v>
      </c>
      <c r="AH8">
        <f t="shared" si="8"/>
        <v>35733.63508127338</v>
      </c>
      <c r="AI8">
        <f t="shared" si="15"/>
        <v>6730.6453069936251</v>
      </c>
      <c r="AJ8">
        <f t="shared" si="9"/>
        <v>59117.041772171811</v>
      </c>
      <c r="AK8">
        <f t="shared" si="10"/>
        <v>41440.061412573974</v>
      </c>
      <c r="AL8">
        <f t="shared" si="16"/>
        <v>28370.485923240289</v>
      </c>
      <c r="AW8" s="1"/>
      <c r="AX8">
        <f t="shared" si="11"/>
        <v>4.0001631532722544E-3</v>
      </c>
      <c r="AY8">
        <f t="shared" si="12"/>
        <v>2628.3941979890824</v>
      </c>
      <c r="AZ8">
        <f t="shared" si="13"/>
        <v>2838.6657338282093</v>
      </c>
      <c r="BA8">
        <f t="shared" si="14"/>
        <v>210.27153583912695</v>
      </c>
    </row>
    <row r="9" spans="1:53" x14ac:dyDescent="0.35">
      <c r="A9" s="1">
        <v>8</v>
      </c>
      <c r="B9" s="62">
        <v>10161.74794678937</v>
      </c>
      <c r="C9" s="62">
        <v>10</v>
      </c>
      <c r="D9" s="62">
        <v>17473.5</v>
      </c>
      <c r="E9" s="62">
        <v>10161.700000000001</v>
      </c>
      <c r="F9" s="62">
        <v>6690.31</v>
      </c>
      <c r="G9" s="62">
        <v>666.70799999999997</v>
      </c>
      <c r="H9" s="62">
        <v>7473.12</v>
      </c>
      <c r="I9" s="62">
        <v>3557.92</v>
      </c>
      <c r="J9" s="62">
        <v>5438.81</v>
      </c>
      <c r="K9" s="62">
        <v>25</v>
      </c>
      <c r="L9" s="62">
        <v>9.6999999999999993</v>
      </c>
      <c r="M9" s="62">
        <f>(C9*$T$18*1000)+T35</f>
        <v>34000</v>
      </c>
      <c r="N9" s="88">
        <f t="shared" si="2"/>
        <v>18700</v>
      </c>
      <c r="O9" s="62">
        <f>$T$38*C9</f>
        <v>356</v>
      </c>
      <c r="P9" s="56">
        <f t="shared" si="3"/>
        <v>2.0373708758977881E-2</v>
      </c>
      <c r="Q9" s="56">
        <f t="shared" si="0"/>
        <v>8900</v>
      </c>
      <c r="R9" s="56"/>
      <c r="S9" s="65"/>
      <c r="T9" s="1" t="s">
        <v>314</v>
      </c>
      <c r="U9" s="78" t="s">
        <v>315</v>
      </c>
      <c r="V9" s="56"/>
      <c r="W9" s="1">
        <v>3219.5347500000003</v>
      </c>
      <c r="X9" s="1">
        <f t="shared" si="4"/>
        <v>-15480.465249999999</v>
      </c>
      <c r="Y9" s="1">
        <f t="shared" si="1"/>
        <v>80488.368750000009</v>
      </c>
      <c r="Z9" s="1">
        <f t="shared" si="5"/>
        <v>61788.368750000009</v>
      </c>
      <c r="AA9" s="1">
        <f t="shared" si="6"/>
        <v>9.3983092097041546E-2</v>
      </c>
      <c r="AB9" s="1">
        <f t="shared" si="7"/>
        <v>0.15734470742064072</v>
      </c>
      <c r="AC9" s="1"/>
      <c r="AD9" s="1"/>
      <c r="AE9" s="1">
        <f t="shared" si="17"/>
        <v>7</v>
      </c>
      <c r="AF9">
        <f t="shared" si="18"/>
        <v>50976.439844999986</v>
      </c>
      <c r="AG9">
        <f t="shared" si="19"/>
        <v>113683.67891499988</v>
      </c>
      <c r="AH9">
        <f t="shared" si="8"/>
        <v>33679.203658127604</v>
      </c>
      <c r="AI9">
        <f t="shared" si="15"/>
        <v>40409.848965121229</v>
      </c>
      <c r="AJ9">
        <f t="shared" si="9"/>
        <v>60594.967816476106</v>
      </c>
      <c r="AK9">
        <f t="shared" si="10"/>
        <v>40033.989583306626</v>
      </c>
      <c r="AL9">
        <f t="shared" si="16"/>
        <v>68404.475506546907</v>
      </c>
      <c r="AW9" s="73" t="s">
        <v>323</v>
      </c>
      <c r="AX9">
        <f t="shared" si="11"/>
        <v>2.512598239218878E-2</v>
      </c>
      <c r="AY9">
        <f t="shared" si="12"/>
        <v>16509.573186878966</v>
      </c>
      <c r="AZ9">
        <f t="shared" si="13"/>
        <v>17830.339041829284</v>
      </c>
      <c r="BA9">
        <f t="shared" si="14"/>
        <v>1320.7658549503176</v>
      </c>
    </row>
    <row r="10" spans="1:53" x14ac:dyDescent="0.35">
      <c r="A10" s="1">
        <v>9</v>
      </c>
      <c r="B10" s="62">
        <v>5057.043251595851</v>
      </c>
      <c r="C10" s="62">
        <v>4</v>
      </c>
      <c r="D10" s="62">
        <v>6989.42</v>
      </c>
      <c r="E10" s="62">
        <v>5057.04</v>
      </c>
      <c r="F10" s="62">
        <v>2433.36</v>
      </c>
      <c r="G10" s="62">
        <v>235.053</v>
      </c>
      <c r="H10" s="62">
        <v>2459.33</v>
      </c>
      <c r="I10" s="62">
        <v>2123.7399999999998</v>
      </c>
      <c r="J10" s="62">
        <v>1740.61</v>
      </c>
      <c r="K10" s="62">
        <v>10</v>
      </c>
      <c r="L10" s="62">
        <v>6</v>
      </c>
      <c r="M10" s="62">
        <f>(C10*$T$18*1000)+T34</f>
        <v>14600</v>
      </c>
      <c r="N10" s="88">
        <f t="shared" si="2"/>
        <v>8030.0000000000009</v>
      </c>
      <c r="O10" s="62">
        <f>$T$38*C10</f>
        <v>142.4</v>
      </c>
      <c r="P10" s="56">
        <f t="shared" si="3"/>
        <v>2.0373650460267088E-2</v>
      </c>
      <c r="Q10" s="56">
        <f t="shared" si="0"/>
        <v>3560</v>
      </c>
      <c r="R10" s="56"/>
      <c r="S10" s="50" t="s">
        <v>319</v>
      </c>
      <c r="T10" s="1">
        <f>200+90</f>
        <v>290</v>
      </c>
      <c r="U10" s="78">
        <f>T10*99</f>
        <v>28710</v>
      </c>
      <c r="V10" s="56"/>
      <c r="W10" s="1">
        <v>1215.2233999999999</v>
      </c>
      <c r="X10" s="1">
        <f t="shared" si="4"/>
        <v>-6814.7766000000011</v>
      </c>
      <c r="Y10" s="1">
        <f t="shared" si="1"/>
        <v>30380.584999999995</v>
      </c>
      <c r="Z10" s="1">
        <f t="shared" si="5"/>
        <v>22350.584999999995</v>
      </c>
      <c r="AA10" s="1">
        <f t="shared" si="6"/>
        <v>8.3889025753653979E-2</v>
      </c>
      <c r="AB10" s="1">
        <f t="shared" si="7"/>
        <v>0.13856190295995666</v>
      </c>
      <c r="AC10" s="1"/>
      <c r="AD10" s="1"/>
      <c r="AE10" s="1">
        <f t="shared" si="17"/>
        <v>8</v>
      </c>
      <c r="AF10">
        <f t="shared" si="18"/>
        <v>50976.439844999986</v>
      </c>
      <c r="AG10">
        <f t="shared" si="19"/>
        <v>164660.11875999987</v>
      </c>
      <c r="AH10">
        <f t="shared" si="8"/>
        <v>31742.887519441661</v>
      </c>
      <c r="AI10">
        <f t="shared" si="15"/>
        <v>72152.736484562891</v>
      </c>
      <c r="AJ10">
        <f t="shared" si="9"/>
        <v>62109.842011888002</v>
      </c>
      <c r="AK10">
        <f t="shared" si="10"/>
        <v>38675.626129019125</v>
      </c>
      <c r="AL10">
        <f t="shared" si="16"/>
        <v>107080.10163556604</v>
      </c>
      <c r="AS10">
        <f>AL27-AL63</f>
        <v>534741.52739872853</v>
      </c>
      <c r="AW10" s="1">
        <f>AW2-AW6</f>
        <v>361141.69000928244</v>
      </c>
      <c r="AX10">
        <f t="shared" si="11"/>
        <v>1.2504067249205919E-2</v>
      </c>
      <c r="AY10">
        <f t="shared" si="12"/>
        <v>8216.0693326203636</v>
      </c>
      <c r="AZ10">
        <f t="shared" si="13"/>
        <v>8873.3548792299935</v>
      </c>
      <c r="BA10">
        <f t="shared" si="14"/>
        <v>657.28554660962982</v>
      </c>
    </row>
    <row r="11" spans="1:53" ht="43.5" x14ac:dyDescent="0.35">
      <c r="A11" s="1">
        <v>10</v>
      </c>
      <c r="B11" s="1">
        <v>507.10444675644749</v>
      </c>
      <c r="C11" s="1">
        <v>2</v>
      </c>
      <c r="D11" s="1">
        <v>3494.71</v>
      </c>
      <c r="E11" s="1">
        <v>507.10399999999998</v>
      </c>
      <c r="F11" s="1">
        <v>1300.33</v>
      </c>
      <c r="G11" s="1">
        <v>126.497</v>
      </c>
      <c r="H11" s="1">
        <v>1951.2</v>
      </c>
      <c r="I11" s="1">
        <v>243.18299999999999</v>
      </c>
      <c r="J11" s="1">
        <v>263.92099999999999</v>
      </c>
      <c r="K11" s="1">
        <v>5</v>
      </c>
      <c r="L11" s="1">
        <v>0</v>
      </c>
      <c r="M11" s="1">
        <f>C11*$T$18*1000</f>
        <v>5200</v>
      </c>
      <c r="N11" s="88">
        <f t="shared" si="2"/>
        <v>2860.0000000000005</v>
      </c>
      <c r="O11" s="1">
        <f>$T$19*C11</f>
        <v>53</v>
      </c>
      <c r="P11" s="4">
        <f t="shared" si="3"/>
        <v>1.5165779134749377E-2</v>
      </c>
      <c r="Q11" s="4">
        <f t="shared" si="0"/>
        <v>1325</v>
      </c>
      <c r="R11" s="4"/>
      <c r="S11" s="65" t="s">
        <v>316</v>
      </c>
      <c r="T11" s="1"/>
      <c r="U11" s="78">
        <v>0</v>
      </c>
      <c r="V11" s="4"/>
      <c r="W11" s="1">
        <v>507.53411999999997</v>
      </c>
      <c r="X11" s="1">
        <f t="shared" si="4"/>
        <v>-2352.4658800000007</v>
      </c>
      <c r="Y11" s="1">
        <f t="shared" si="1"/>
        <v>12688.352999999999</v>
      </c>
      <c r="Z11" s="1">
        <f t="shared" si="5"/>
        <v>9828.3529999999992</v>
      </c>
      <c r="AA11" s="1">
        <f t="shared" si="6"/>
        <v>0.24076033018183204</v>
      </c>
      <c r="AB11" s="1">
        <f t="shared" si="7"/>
        <v>0.43494800727318217</v>
      </c>
      <c r="AC11" s="1"/>
      <c r="AD11" s="73" t="s">
        <v>352</v>
      </c>
      <c r="AE11" s="1">
        <f t="shared" si="17"/>
        <v>9</v>
      </c>
      <c r="AF11">
        <f t="shared" si="18"/>
        <v>50976.439844999986</v>
      </c>
      <c r="AG11">
        <f t="shared" si="19"/>
        <v>215636.55860499985</v>
      </c>
      <c r="AH11">
        <f t="shared" si="8"/>
        <v>29917.8958712928</v>
      </c>
      <c r="AI11">
        <f t="shared" si="15"/>
        <v>102070.63235585569</v>
      </c>
      <c r="AJ11">
        <f t="shared" si="9"/>
        <v>63662.58806218519</v>
      </c>
      <c r="AK11">
        <f t="shared" si="10"/>
        <v>37363.352292407726</v>
      </c>
      <c r="AL11">
        <f t="shared" si="16"/>
        <v>144443.45392797375</v>
      </c>
      <c r="AW11" s="1" t="s">
        <v>6</v>
      </c>
      <c r="AX11">
        <f t="shared" si="11"/>
        <v>1.2538686717011949E-3</v>
      </c>
      <c r="AY11">
        <f t="shared" si="12"/>
        <v>823.88168068688583</v>
      </c>
      <c r="AZ11">
        <f t="shared" si="13"/>
        <v>889.79221514183678</v>
      </c>
      <c r="BA11">
        <f t="shared" si="14"/>
        <v>65.910534454950948</v>
      </c>
    </row>
    <row r="12" spans="1:53" x14ac:dyDescent="0.35">
      <c r="A12" s="1">
        <v>11</v>
      </c>
      <c r="B12" s="1">
        <v>480.82648360578531</v>
      </c>
      <c r="C12" s="1">
        <v>2</v>
      </c>
      <c r="D12" s="1">
        <v>3494.71</v>
      </c>
      <c r="E12" s="1">
        <v>480.82600000000002</v>
      </c>
      <c r="F12" s="1">
        <v>1315.33</v>
      </c>
      <c r="G12" s="1">
        <v>128.179</v>
      </c>
      <c r="H12" s="1">
        <v>1959.92</v>
      </c>
      <c r="I12" s="1">
        <v>219.46199999999999</v>
      </c>
      <c r="J12" s="1">
        <v>261.36500000000001</v>
      </c>
      <c r="K12" s="1">
        <v>5</v>
      </c>
      <c r="L12" s="1">
        <v>0</v>
      </c>
      <c r="M12" s="1">
        <f>C12*$T$18*1000</f>
        <v>5200</v>
      </c>
      <c r="N12" s="88">
        <f t="shared" si="2"/>
        <v>2860.0000000000005</v>
      </c>
      <c r="O12" s="1">
        <f>$T$19*C12</f>
        <v>53</v>
      </c>
      <c r="P12" s="4">
        <f t="shared" si="3"/>
        <v>1.5165779134749377E-2</v>
      </c>
      <c r="Q12" s="4">
        <f t="shared" si="0"/>
        <v>1325</v>
      </c>
      <c r="R12" s="4"/>
      <c r="S12" s="65" t="s">
        <v>317</v>
      </c>
      <c r="T12" s="1"/>
      <c r="U12" s="78">
        <v>0</v>
      </c>
      <c r="V12" s="4"/>
      <c r="W12" s="1">
        <v>506.49478499999998</v>
      </c>
      <c r="X12" s="1">
        <f t="shared" si="4"/>
        <v>-2353.5052150000006</v>
      </c>
      <c r="Y12" s="1">
        <f t="shared" si="1"/>
        <v>12662.369624999999</v>
      </c>
      <c r="Z12" s="1">
        <f t="shared" si="5"/>
        <v>9802.3696249999994</v>
      </c>
      <c r="AA12" s="1">
        <f t="shared" si="6"/>
        <v>0.25308944578076764</v>
      </c>
      <c r="AB12" s="1">
        <f t="shared" si="7"/>
        <v>0.45788980082748354</v>
      </c>
      <c r="AC12" s="1"/>
      <c r="AD12" s="1">
        <f>SUM(H2:H46)</f>
        <v>123333.31999999998</v>
      </c>
      <c r="AE12" s="1">
        <f t="shared" si="17"/>
        <v>10</v>
      </c>
      <c r="AF12">
        <f t="shared" si="18"/>
        <v>50976.439844999986</v>
      </c>
      <c r="AG12">
        <f t="shared" si="19"/>
        <v>266612.99844999984</v>
      </c>
      <c r="AH12">
        <f t="shared" si="8"/>
        <v>28197.828342406032</v>
      </c>
      <c r="AI12">
        <f t="shared" si="15"/>
        <v>130268.46069826173</v>
      </c>
      <c r="AJ12">
        <f t="shared" si="9"/>
        <v>65254.152763739825</v>
      </c>
      <c r="AK12">
        <f t="shared" si="10"/>
        <v>36095.604241015943</v>
      </c>
      <c r="AL12">
        <f t="shared" si="16"/>
        <v>180539.05816898969</v>
      </c>
      <c r="AW12" s="1"/>
      <c r="AX12">
        <f t="shared" si="11"/>
        <v>1.1888936651488298E-3</v>
      </c>
      <c r="AY12">
        <f t="shared" si="12"/>
        <v>781.1884395132513</v>
      </c>
      <c r="AZ12">
        <f t="shared" si="13"/>
        <v>843.68351467431148</v>
      </c>
      <c r="BA12">
        <f t="shared" si="14"/>
        <v>62.495075161060186</v>
      </c>
    </row>
    <row r="13" spans="1:53" x14ac:dyDescent="0.35">
      <c r="A13" s="1">
        <v>12</v>
      </c>
      <c r="B13" s="1">
        <v>569.06841271947087</v>
      </c>
      <c r="C13" s="1">
        <v>2</v>
      </c>
      <c r="D13" s="1">
        <v>3497.79</v>
      </c>
      <c r="E13" s="1">
        <v>569.06799999999998</v>
      </c>
      <c r="F13" s="1">
        <v>1277.03</v>
      </c>
      <c r="G13" s="1">
        <v>123.822</v>
      </c>
      <c r="H13" s="1">
        <v>1953.43</v>
      </c>
      <c r="I13" s="1">
        <v>267.33100000000002</v>
      </c>
      <c r="J13" s="1">
        <v>301.738</v>
      </c>
      <c r="K13" s="1">
        <v>5</v>
      </c>
      <c r="L13" s="1">
        <v>0</v>
      </c>
      <c r="M13" s="1">
        <f>C13*$T$18*1000</f>
        <v>5200</v>
      </c>
      <c r="N13" s="89">
        <f>(M13*(1-$T$54))</f>
        <v>2339.9999999999995</v>
      </c>
      <c r="O13" s="1">
        <f>$T$19*C13</f>
        <v>53</v>
      </c>
      <c r="P13" s="4">
        <f t="shared" si="3"/>
        <v>1.5152424816812901E-2</v>
      </c>
      <c r="Q13" s="4">
        <f t="shared" si="0"/>
        <v>1325</v>
      </c>
      <c r="R13" s="4"/>
      <c r="S13" s="65" t="s">
        <v>318</v>
      </c>
      <c r="U13" s="78">
        <v>0</v>
      </c>
      <c r="V13" s="4"/>
      <c r="W13" s="1">
        <v>514.80934500000001</v>
      </c>
      <c r="X13" s="1">
        <f t="shared" si="4"/>
        <v>-1825.1906549999994</v>
      </c>
      <c r="Y13" s="1">
        <f t="shared" si="1"/>
        <v>12870.233625000001</v>
      </c>
      <c r="Z13" s="1">
        <f t="shared" si="5"/>
        <v>10530.233625000001</v>
      </c>
      <c r="AA13" s="1">
        <f t="shared" si="6"/>
        <v>0.17963177019587406</v>
      </c>
      <c r="AB13" s="1">
        <f t="shared" si="7"/>
        <v>0.32121259234081928</v>
      </c>
      <c r="AC13" s="1"/>
      <c r="AE13" s="1">
        <f t="shared" si="17"/>
        <v>11</v>
      </c>
      <c r="AF13">
        <f t="shared" si="18"/>
        <v>50976.439844999986</v>
      </c>
      <c r="AG13">
        <f t="shared" si="19"/>
        <v>317589.43829499983</v>
      </c>
      <c r="AH13">
        <f t="shared" si="8"/>
        <v>26576.652537611721</v>
      </c>
      <c r="AI13">
        <f t="shared" si="15"/>
        <v>156845.11323587346</v>
      </c>
      <c r="AJ13">
        <f t="shared" si="9"/>
        <v>66885.506582833317</v>
      </c>
      <c r="AK13">
        <f t="shared" si="10"/>
        <v>34870.871203620496</v>
      </c>
      <c r="AL13">
        <f t="shared" si="16"/>
        <v>215409.92937261018</v>
      </c>
      <c r="AW13" s="1" t="s">
        <v>346</v>
      </c>
      <c r="AX13">
        <f t="shared" si="11"/>
        <v>1.4070810447977958E-3</v>
      </c>
      <c r="AY13">
        <f t="shared" si="12"/>
        <v>924.55320259164159</v>
      </c>
      <c r="AZ13">
        <f t="shared" si="13"/>
        <v>998.51745879897294</v>
      </c>
      <c r="BA13">
        <f t="shared" si="14"/>
        <v>73.964256207331346</v>
      </c>
    </row>
    <row r="14" spans="1:53" x14ac:dyDescent="0.35">
      <c r="A14" s="1">
        <v>13</v>
      </c>
      <c r="B14" s="62">
        <v>4563.0069277860366</v>
      </c>
      <c r="C14" s="62">
        <v>6</v>
      </c>
      <c r="D14" s="62">
        <v>10493.4</v>
      </c>
      <c r="E14" s="62">
        <v>4563.01</v>
      </c>
      <c r="F14" s="62">
        <v>4058.52</v>
      </c>
      <c r="G14" s="62">
        <v>405.589</v>
      </c>
      <c r="H14" s="62">
        <v>4703.5600000000004</v>
      </c>
      <c r="I14" s="62">
        <v>1886.93</v>
      </c>
      <c r="J14" s="62">
        <v>2197.59</v>
      </c>
      <c r="K14" s="62">
        <v>15</v>
      </c>
      <c r="L14" s="62">
        <v>5</v>
      </c>
      <c r="M14" s="62">
        <f>(C14*$T$18*1000)+T33</f>
        <v>19100</v>
      </c>
      <c r="N14" s="89">
        <f t="shared" ref="N14:N23" si="20">(M14*(1-$T$54))</f>
        <v>8595</v>
      </c>
      <c r="O14" s="62">
        <f>$T$38*C14</f>
        <v>213.60000000000002</v>
      </c>
      <c r="P14" s="56">
        <f t="shared" si="3"/>
        <v>2.0355652124192353E-2</v>
      </c>
      <c r="Q14" s="56">
        <f t="shared" si="0"/>
        <v>5340.0000000000009</v>
      </c>
      <c r="R14" s="56"/>
      <c r="S14" s="65"/>
      <c r="T14" s="1"/>
      <c r="U14" s="78"/>
      <c r="V14" s="56"/>
      <c r="W14" s="1">
        <v>1767.7414000000001</v>
      </c>
      <c r="X14" s="1">
        <f t="shared" si="4"/>
        <v>-6827.2586000000001</v>
      </c>
      <c r="Y14" s="1">
        <f t="shared" si="1"/>
        <v>44193.535000000003</v>
      </c>
      <c r="Z14" s="1">
        <f t="shared" si="5"/>
        <v>35598.535000000003</v>
      </c>
      <c r="AA14" s="1">
        <f t="shared" si="6"/>
        <v>9.5700705384238832E-2</v>
      </c>
      <c r="AB14" s="1">
        <f t="shared" si="7"/>
        <v>0.16055635373648516</v>
      </c>
      <c r="AC14" s="1"/>
      <c r="AE14" s="1">
        <f t="shared" si="17"/>
        <v>12</v>
      </c>
      <c r="AF14">
        <f t="shared" si="18"/>
        <v>50976.439844999986</v>
      </c>
      <c r="AG14">
        <f t="shared" si="19"/>
        <v>368565.87813999981</v>
      </c>
      <c r="AH14">
        <f t="shared" si="8"/>
        <v>25048.68288182066</v>
      </c>
      <c r="AI14">
        <f t="shared" si="15"/>
        <v>181893.79611769412</v>
      </c>
      <c r="AJ14">
        <f t="shared" si="9"/>
        <v>68557.64424740414</v>
      </c>
      <c r="AK14">
        <f t="shared" si="10"/>
        <v>33687.693669850145</v>
      </c>
      <c r="AL14">
        <f t="shared" si="16"/>
        <v>249097.62304246033</v>
      </c>
      <c r="AW14" s="1">
        <f>AW6/45</f>
        <v>6576.2235252558612</v>
      </c>
      <c r="AX14">
        <f t="shared" si="11"/>
        <v>1.1282510875425851E-2</v>
      </c>
      <c r="AY14">
        <f t="shared" si="12"/>
        <v>7413.4191500312763</v>
      </c>
      <c r="AZ14">
        <f t="shared" si="13"/>
        <v>8006.4926820337787</v>
      </c>
      <c r="BA14">
        <f t="shared" si="14"/>
        <v>593.07353200250236</v>
      </c>
    </row>
    <row r="15" spans="1:53" x14ac:dyDescent="0.35">
      <c r="A15" s="1">
        <v>14</v>
      </c>
      <c r="B15" s="62">
        <v>2172.7675547581462</v>
      </c>
      <c r="C15" s="62">
        <v>2</v>
      </c>
      <c r="D15" s="62">
        <v>3497.79</v>
      </c>
      <c r="E15" s="62">
        <v>2172.77</v>
      </c>
      <c r="F15" s="62">
        <v>1243.8900000000001</v>
      </c>
      <c r="G15" s="62">
        <v>122.795</v>
      </c>
      <c r="H15" s="62">
        <v>1461.09</v>
      </c>
      <c r="I15" s="62">
        <v>834.95399999999995</v>
      </c>
      <c r="J15" s="62">
        <v>850.149</v>
      </c>
      <c r="K15" s="62">
        <v>5</v>
      </c>
      <c r="L15" s="62">
        <v>2</v>
      </c>
      <c r="M15" s="62">
        <f>(C15*$T$18*1000)+T30</f>
        <v>8600</v>
      </c>
      <c r="N15" s="89">
        <f t="shared" si="20"/>
        <v>3869.9999999999995</v>
      </c>
      <c r="O15" s="62">
        <f>$T$38*C15</f>
        <v>71.2</v>
      </c>
      <c r="P15" s="56">
        <f t="shared" si="3"/>
        <v>2.0355710319944882E-2</v>
      </c>
      <c r="Q15" s="56">
        <f t="shared" si="0"/>
        <v>1780</v>
      </c>
      <c r="R15" s="56"/>
      <c r="S15" s="63" t="s">
        <v>313</v>
      </c>
      <c r="T15" s="4">
        <v>45</v>
      </c>
      <c r="U15" s="46"/>
      <c r="V15" s="56"/>
      <c r="W15" s="1">
        <v>610.45491500000003</v>
      </c>
      <c r="X15" s="1">
        <f t="shared" si="4"/>
        <v>-3259.5450849999997</v>
      </c>
      <c r="Y15" s="1">
        <f t="shared" si="1"/>
        <v>15261.372875000001</v>
      </c>
      <c r="Z15" s="1">
        <f t="shared" si="5"/>
        <v>11391.372875000001</v>
      </c>
      <c r="AA15" s="1">
        <f t="shared" si="6"/>
        <v>9.1601251363211705E-2</v>
      </c>
      <c r="AB15" s="1">
        <f t="shared" si="7"/>
        <v>0.15292811433084158</v>
      </c>
      <c r="AC15" s="1"/>
      <c r="AE15" s="1">
        <f t="shared" si="17"/>
        <v>13</v>
      </c>
      <c r="AF15">
        <f t="shared" si="18"/>
        <v>50976.439844999986</v>
      </c>
      <c r="AG15">
        <f t="shared" si="19"/>
        <v>419542.3179849998</v>
      </c>
      <c r="AH15">
        <f t="shared" si="8"/>
        <v>23608.560680321072</v>
      </c>
      <c r="AI15">
        <f t="shared" si="15"/>
        <v>205502.35679801519</v>
      </c>
      <c r="AJ15">
        <f t="shared" si="9"/>
        <v>70271.585353589238</v>
      </c>
      <c r="AK15">
        <f t="shared" si="10"/>
        <v>32544.661650891983</v>
      </c>
      <c r="AL15">
        <f t="shared" si="16"/>
        <v>281642.2846933523</v>
      </c>
      <c r="AW15" s="1"/>
      <c r="AX15">
        <f t="shared" si="11"/>
        <v>5.3723945534804394E-3</v>
      </c>
      <c r="AY15">
        <f t="shared" si="12"/>
        <v>3530.0486836705436</v>
      </c>
      <c r="AZ15">
        <f t="shared" si="13"/>
        <v>3812.4525783641875</v>
      </c>
      <c r="BA15">
        <f t="shared" si="14"/>
        <v>282.40389469364391</v>
      </c>
    </row>
    <row r="16" spans="1:53" x14ac:dyDescent="0.35">
      <c r="A16" s="1">
        <v>15</v>
      </c>
      <c r="B16" s="62">
        <v>4548.2349752288228</v>
      </c>
      <c r="C16" s="62">
        <v>4</v>
      </c>
      <c r="D16" s="62">
        <v>6995.57</v>
      </c>
      <c r="E16" s="62">
        <v>4548.2299999999996</v>
      </c>
      <c r="F16" s="62">
        <v>2204.15</v>
      </c>
      <c r="G16" s="62">
        <v>210.84200000000001</v>
      </c>
      <c r="H16" s="62">
        <v>2953.48</v>
      </c>
      <c r="I16" s="62">
        <v>1935.56</v>
      </c>
      <c r="J16" s="62">
        <v>1638.43</v>
      </c>
      <c r="K16" s="62">
        <v>10</v>
      </c>
      <c r="L16" s="62">
        <v>3.3</v>
      </c>
      <c r="M16" s="62">
        <f>(C16*$T$18*1000)+T31</f>
        <v>14096</v>
      </c>
      <c r="N16" s="89">
        <f t="shared" si="20"/>
        <v>6343.2</v>
      </c>
      <c r="O16" s="62">
        <f>$T$38*C16</f>
        <v>142.4</v>
      </c>
      <c r="P16" s="56">
        <f t="shared" si="3"/>
        <v>2.0355739417945929E-2</v>
      </c>
      <c r="Q16" s="56">
        <f t="shared" si="0"/>
        <v>3560</v>
      </c>
      <c r="R16" s="56"/>
      <c r="S16" s="106" t="s">
        <v>258</v>
      </c>
      <c r="T16" s="107"/>
      <c r="U16" s="46" t="s">
        <v>299</v>
      </c>
      <c r="V16" s="56"/>
      <c r="W16" s="1">
        <v>1222.5998500000001</v>
      </c>
      <c r="X16" s="1">
        <f t="shared" si="4"/>
        <v>-5120.6001500000002</v>
      </c>
      <c r="Y16" s="1">
        <f t="shared" si="1"/>
        <v>30564.99625</v>
      </c>
      <c r="Z16" s="1">
        <f t="shared" si="5"/>
        <v>24221.796249999999</v>
      </c>
      <c r="AA16" s="1">
        <f t="shared" si="6"/>
        <v>7.614177540374828E-2</v>
      </c>
      <c r="AB16" s="1">
        <f t="shared" si="7"/>
        <v>0.12416137823518605</v>
      </c>
      <c r="AC16" s="1"/>
      <c r="AE16" s="1">
        <f t="shared" si="17"/>
        <v>14</v>
      </c>
      <c r="AF16">
        <f t="shared" si="18"/>
        <v>50976.439844999986</v>
      </c>
      <c r="AG16">
        <f t="shared" si="19"/>
        <v>470518.75782999978</v>
      </c>
      <c r="AH16">
        <f t="shared" si="8"/>
        <v>22251.235325467555</v>
      </c>
      <c r="AI16">
        <f t="shared" si="15"/>
        <v>227753.59212348273</v>
      </c>
      <c r="AJ16">
        <f t="shared" si="9"/>
        <v>72028.374987428964</v>
      </c>
      <c r="AK16">
        <f t="shared" si="10"/>
        <v>31440.412999212331</v>
      </c>
      <c r="AL16">
        <f t="shared" si="16"/>
        <v>313082.69769256463</v>
      </c>
      <c r="AW16" s="1"/>
      <c r="AX16">
        <f t="shared" si="11"/>
        <v>1.1245985680961834E-2</v>
      </c>
      <c r="AY16">
        <f t="shared" si="12"/>
        <v>7389.4194766351775</v>
      </c>
      <c r="AZ16">
        <f t="shared" si="13"/>
        <v>7980.5730347659919</v>
      </c>
      <c r="BA16">
        <f t="shared" si="14"/>
        <v>591.15355813081442</v>
      </c>
    </row>
    <row r="17" spans="1:53" x14ac:dyDescent="0.35">
      <c r="A17" s="1">
        <v>16</v>
      </c>
      <c r="B17" s="1">
        <v>5476.90270703035</v>
      </c>
      <c r="C17" s="1">
        <v>4</v>
      </c>
      <c r="D17" s="1">
        <v>6995.57</v>
      </c>
      <c r="E17" s="1">
        <v>5476.9</v>
      </c>
      <c r="F17" s="1">
        <v>1485.71</v>
      </c>
      <c r="G17" s="1">
        <v>133.98400000000001</v>
      </c>
      <c r="H17" s="1">
        <v>3239.46</v>
      </c>
      <c r="I17" s="1">
        <v>2270.4</v>
      </c>
      <c r="J17" s="1">
        <v>3206.5</v>
      </c>
      <c r="K17" s="1">
        <v>10</v>
      </c>
      <c r="L17" s="1">
        <v>0</v>
      </c>
      <c r="M17" s="1">
        <f>C17*$T$18*1000</f>
        <v>10400</v>
      </c>
      <c r="N17" s="89">
        <f t="shared" si="20"/>
        <v>4679.9999999999991</v>
      </c>
      <c r="O17" s="1">
        <f>$T$19*C17</f>
        <v>106</v>
      </c>
      <c r="P17" s="4">
        <f t="shared" si="3"/>
        <v>1.5152446476841773E-2</v>
      </c>
      <c r="Q17" s="4">
        <f t="shared" si="0"/>
        <v>2650</v>
      </c>
      <c r="R17" s="4"/>
      <c r="S17" s="50" t="s">
        <v>245</v>
      </c>
      <c r="T17" s="2" t="s">
        <v>246</v>
      </c>
      <c r="U17" s="46">
        <v>1700</v>
      </c>
      <c r="V17" s="4"/>
      <c r="W17" s="1">
        <v>1485.0198</v>
      </c>
      <c r="X17" s="1">
        <f t="shared" si="4"/>
        <v>-3194.9801999999991</v>
      </c>
      <c r="Y17" s="1">
        <f t="shared" si="1"/>
        <v>37125.495000000003</v>
      </c>
      <c r="Z17" s="1">
        <f t="shared" si="5"/>
        <v>32445.495000000003</v>
      </c>
      <c r="AA17" s="1">
        <f t="shared" si="6"/>
        <v>4.9332348880385159E-2</v>
      </c>
      <c r="AB17" s="1">
        <f t="shared" si="7"/>
        <v>7.8753785790746988E-2</v>
      </c>
      <c r="AC17" s="1"/>
      <c r="AE17" s="1">
        <f t="shared" si="17"/>
        <v>15</v>
      </c>
      <c r="AF17">
        <f t="shared" si="18"/>
        <v>50976.439844999986</v>
      </c>
      <c r="AG17">
        <f t="shared" si="19"/>
        <v>521495.19767499977</v>
      </c>
      <c r="AH17">
        <f t="shared" si="8"/>
        <v>20971.94658385255</v>
      </c>
      <c r="AI17">
        <f t="shared" si="15"/>
        <v>248725.53870733528</v>
      </c>
      <c r="AJ17">
        <f t="shared" si="9"/>
        <v>73829.084362114707</v>
      </c>
      <c r="AK17">
        <f t="shared" si="10"/>
        <v>30373.631785289959</v>
      </c>
      <c r="AL17">
        <f t="shared" si="16"/>
        <v>343456.3294778546</v>
      </c>
      <c r="AW17" s="1" t="s">
        <v>347</v>
      </c>
      <c r="AX17">
        <f t="shared" si="11"/>
        <v>1.3542213573999803E-2</v>
      </c>
      <c r="AY17">
        <f t="shared" si="12"/>
        <v>8898.2059536028883</v>
      </c>
      <c r="AZ17">
        <f t="shared" si="13"/>
        <v>9610.0624298911207</v>
      </c>
      <c r="BA17">
        <f t="shared" si="14"/>
        <v>711.85647628823244</v>
      </c>
    </row>
    <row r="18" spans="1:53" x14ac:dyDescent="0.35">
      <c r="A18" s="1">
        <v>17</v>
      </c>
      <c r="B18" s="62">
        <v>2180.0429312531028</v>
      </c>
      <c r="C18" s="62">
        <v>2</v>
      </c>
      <c r="D18" s="62">
        <v>3497.79</v>
      </c>
      <c r="E18" s="62">
        <v>2180.04</v>
      </c>
      <c r="F18" s="62">
        <v>1266.75</v>
      </c>
      <c r="G18" s="62">
        <v>125.211</v>
      </c>
      <c r="H18" s="62">
        <v>1479.9</v>
      </c>
      <c r="I18" s="62">
        <v>802.71100000000001</v>
      </c>
      <c r="J18" s="62">
        <v>951.178</v>
      </c>
      <c r="K18" s="62">
        <v>5</v>
      </c>
      <c r="L18" s="62">
        <v>2</v>
      </c>
      <c r="M18" s="62">
        <f>(C18*$T$18*1000)+T30</f>
        <v>8600</v>
      </c>
      <c r="N18" s="89">
        <f t="shared" si="20"/>
        <v>3869.9999999999995</v>
      </c>
      <c r="O18" s="62">
        <f>$T$38*C18</f>
        <v>71.2</v>
      </c>
      <c r="P18" s="56">
        <f t="shared" si="3"/>
        <v>2.0355710319944882E-2</v>
      </c>
      <c r="Q18" s="56">
        <f t="shared" si="0"/>
        <v>1780</v>
      </c>
      <c r="R18" s="56"/>
      <c r="S18" s="65" t="s">
        <v>247</v>
      </c>
      <c r="T18" s="1">
        <v>2.6</v>
      </c>
      <c r="U18" s="46">
        <v>1120</v>
      </c>
      <c r="V18" s="56"/>
      <c r="W18" s="1">
        <v>626.44829500000003</v>
      </c>
      <c r="X18" s="1">
        <f t="shared" si="4"/>
        <v>-3243.5517049999994</v>
      </c>
      <c r="Y18" s="1">
        <f t="shared" si="1"/>
        <v>15661.207375</v>
      </c>
      <c r="Z18" s="1">
        <f t="shared" si="5"/>
        <v>11791.207375</v>
      </c>
      <c r="AA18" s="1">
        <f t="shared" si="6"/>
        <v>9.1363486259026933E-2</v>
      </c>
      <c r="AB18" s="1">
        <f t="shared" si="7"/>
        <v>0.15248568535928625</v>
      </c>
      <c r="AC18" s="1"/>
      <c r="AE18" s="1">
        <f t="shared" si="17"/>
        <v>16</v>
      </c>
      <c r="AF18">
        <f t="shared" si="18"/>
        <v>50976.439844999986</v>
      </c>
      <c r="AG18">
        <f t="shared" si="19"/>
        <v>572471.63751999976</v>
      </c>
      <c r="AH18">
        <f t="shared" si="8"/>
        <v>19766.207901840291</v>
      </c>
      <c r="AI18">
        <f t="shared" si="15"/>
        <v>268491.74660917558</v>
      </c>
      <c r="AJ18">
        <f t="shared" si="9"/>
        <v>75674.811471167559</v>
      </c>
      <c r="AK18">
        <f t="shared" si="10"/>
        <v>29343.046729427148</v>
      </c>
      <c r="AL18">
        <f t="shared" si="16"/>
        <v>372799.37620728172</v>
      </c>
      <c r="AN18" t="s">
        <v>6</v>
      </c>
      <c r="AW18" s="4">
        <f>AW10/55</f>
        <v>6566.2125456233171</v>
      </c>
      <c r="AX18">
        <f t="shared" si="11"/>
        <v>5.3903836812039408E-3</v>
      </c>
      <c r="AY18">
        <f t="shared" si="12"/>
        <v>3541.8688312804375</v>
      </c>
      <c r="AZ18">
        <f t="shared" si="13"/>
        <v>3825.2183377828728</v>
      </c>
      <c r="BA18">
        <f t="shared" si="14"/>
        <v>283.34950650243536</v>
      </c>
    </row>
    <row r="19" spans="1:53" x14ac:dyDescent="0.35">
      <c r="A19" s="1">
        <v>18</v>
      </c>
      <c r="B19" s="62">
        <v>5524.0028847571884</v>
      </c>
      <c r="C19" s="62">
        <v>4</v>
      </c>
      <c r="D19" s="62">
        <v>6995.57</v>
      </c>
      <c r="E19" s="62">
        <v>5524</v>
      </c>
      <c r="F19" s="62">
        <v>2468.4299999999998</v>
      </c>
      <c r="G19" s="62">
        <v>237.523</v>
      </c>
      <c r="H19" s="62">
        <v>2577.7199999999998</v>
      </c>
      <c r="I19" s="62">
        <v>1982.7</v>
      </c>
      <c r="J19" s="62">
        <v>2035.42</v>
      </c>
      <c r="K19" s="62">
        <v>10</v>
      </c>
      <c r="L19" s="62">
        <v>6</v>
      </c>
      <c r="M19" s="62">
        <f>(C19*$T$18*1000)+T34</f>
        <v>14600</v>
      </c>
      <c r="N19" s="89">
        <f t="shared" si="20"/>
        <v>6569.9999999999991</v>
      </c>
      <c r="O19" s="62">
        <f>$T$38*C19</f>
        <v>142.4</v>
      </c>
      <c r="P19" s="56">
        <f t="shared" si="3"/>
        <v>2.0355739417945929E-2</v>
      </c>
      <c r="Q19" s="56">
        <f t="shared" si="0"/>
        <v>3560</v>
      </c>
      <c r="R19" s="56"/>
      <c r="S19" s="65" t="s">
        <v>248</v>
      </c>
      <c r="T19" s="1">
        <v>26.5</v>
      </c>
      <c r="U19" s="46">
        <v>700</v>
      </c>
      <c r="V19" s="56"/>
      <c r="W19" s="1">
        <v>1259.8781999999999</v>
      </c>
      <c r="X19" s="1">
        <f t="shared" si="4"/>
        <v>-5310.121799999999</v>
      </c>
      <c r="Y19" s="1">
        <f t="shared" si="1"/>
        <v>31496.954999999998</v>
      </c>
      <c r="Z19" s="1">
        <f t="shared" si="5"/>
        <v>24926.954999999998</v>
      </c>
      <c r="AA19" s="1">
        <f t="shared" si="6"/>
        <v>6.7929936152195378E-2</v>
      </c>
      <c r="AB19" s="1">
        <f t="shared" si="7"/>
        <v>0.10888093745267764</v>
      </c>
      <c r="AC19" s="1"/>
      <c r="AE19" s="1">
        <f t="shared" si="17"/>
        <v>17</v>
      </c>
      <c r="AF19">
        <f t="shared" si="18"/>
        <v>50976.439844999986</v>
      </c>
      <c r="AG19">
        <f t="shared" si="19"/>
        <v>623448.0773649998</v>
      </c>
      <c r="AH19">
        <f t="shared" si="8"/>
        <v>18629.79067091451</v>
      </c>
      <c r="AI19">
        <f t="shared" si="15"/>
        <v>287121.5372800901</v>
      </c>
      <c r="AJ19">
        <f t="shared" si="9"/>
        <v>77566.681757946746</v>
      </c>
      <c r="AK19">
        <f t="shared" si="10"/>
        <v>28347.429686769869</v>
      </c>
      <c r="AL19">
        <f t="shared" si="16"/>
        <v>401146.80589405156</v>
      </c>
      <c r="AX19">
        <f t="shared" si="11"/>
        <v>1.3658673679331133E-2</v>
      </c>
      <c r="AY19">
        <f t="shared" ref="AY19:AY34" si="21">AX19*$AW$2</f>
        <v>8974.7285986604184</v>
      </c>
      <c r="AZ19">
        <f t="shared" si="13"/>
        <v>9692.7068865532528</v>
      </c>
      <c r="BA19">
        <f t="shared" si="14"/>
        <v>717.97828789283449</v>
      </c>
    </row>
    <row r="20" spans="1:53" x14ac:dyDescent="0.35">
      <c r="A20" s="1">
        <v>19</v>
      </c>
      <c r="B20" s="1">
        <v>6393.5501464958952</v>
      </c>
      <c r="C20" s="1">
        <v>4</v>
      </c>
      <c r="D20" s="1">
        <v>6995.57</v>
      </c>
      <c r="E20" s="1">
        <v>6393.55</v>
      </c>
      <c r="F20" s="1">
        <v>1450.97</v>
      </c>
      <c r="G20" s="1">
        <v>130.24100000000001</v>
      </c>
      <c r="H20" s="1">
        <v>3311.12</v>
      </c>
      <c r="I20" s="1">
        <v>2233.48</v>
      </c>
      <c r="J20" s="1">
        <v>4160.07</v>
      </c>
      <c r="K20" s="1">
        <v>10</v>
      </c>
      <c r="L20" s="1">
        <v>0</v>
      </c>
      <c r="M20" s="1">
        <f>C20*$T$18*1000</f>
        <v>10400</v>
      </c>
      <c r="N20" s="89">
        <f t="shared" si="20"/>
        <v>4679.9999999999991</v>
      </c>
      <c r="O20" s="1">
        <f>$T$19*C20</f>
        <v>106</v>
      </c>
      <c r="P20" s="4">
        <f t="shared" si="3"/>
        <v>1.5152446476841773E-2</v>
      </c>
      <c r="Q20" s="4">
        <f t="shared" si="0"/>
        <v>2650</v>
      </c>
      <c r="R20" s="4"/>
      <c r="S20" s="65" t="s">
        <v>250</v>
      </c>
      <c r="T20" s="1">
        <v>6.0999999999999999E-2</v>
      </c>
      <c r="U20" s="30" t="s">
        <v>300</v>
      </c>
      <c r="V20" s="4"/>
      <c r="W20" s="1">
        <v>1634.4648499999998</v>
      </c>
      <c r="X20" s="1">
        <f t="shared" si="4"/>
        <v>-3045.5351499999992</v>
      </c>
      <c r="Y20" s="1">
        <f t="shared" si="1"/>
        <v>40861.621249999997</v>
      </c>
      <c r="Z20" s="1">
        <f t="shared" si="5"/>
        <v>36181.621249999997</v>
      </c>
      <c r="AA20" s="1">
        <f t="shared" si="6"/>
        <v>4.4431954060370843E-2</v>
      </c>
      <c r="AB20" s="1">
        <f t="shared" si="7"/>
        <v>6.9635220440849341E-2</v>
      </c>
      <c r="AC20" s="1"/>
      <c r="AE20" s="1">
        <f>AE19+1</f>
        <v>18</v>
      </c>
      <c r="AF20">
        <f t="shared" si="18"/>
        <v>50976.439844999986</v>
      </c>
      <c r="AG20">
        <f t="shared" si="19"/>
        <v>674424.51720999973</v>
      </c>
      <c r="AH20">
        <f t="shared" si="8"/>
        <v>17558.709397657407</v>
      </c>
      <c r="AI20">
        <f t="shared" si="15"/>
        <v>304680.24667774752</v>
      </c>
      <c r="AJ20">
        <f t="shared" si="9"/>
        <v>79505.848801895409</v>
      </c>
      <c r="AK20">
        <f t="shared" si="10"/>
        <v>27385.594183731489</v>
      </c>
      <c r="AL20">
        <f t="shared" si="16"/>
        <v>428532.40007778304</v>
      </c>
      <c r="AX20">
        <f t="shared" si="11"/>
        <v>1.5808720039664811E-2</v>
      </c>
      <c r="AY20">
        <f t="shared" si="21"/>
        <v>10387.463320314399</v>
      </c>
      <c r="AZ20">
        <f t="shared" si="13"/>
        <v>11218.460385939552</v>
      </c>
      <c r="BA20">
        <f t="shared" si="14"/>
        <v>830.99706562515348</v>
      </c>
    </row>
    <row r="21" spans="1:53" x14ac:dyDescent="0.35">
      <c r="A21" s="1">
        <v>20</v>
      </c>
      <c r="B21" s="62">
        <v>6287.6864400653858</v>
      </c>
      <c r="C21" s="62">
        <v>10</v>
      </c>
      <c r="D21" s="62">
        <v>17488.900000000001</v>
      </c>
      <c r="E21" s="62">
        <v>6287.69</v>
      </c>
      <c r="F21" s="62">
        <v>8120.34</v>
      </c>
      <c r="G21" s="62">
        <v>841.88900000000001</v>
      </c>
      <c r="H21" s="62">
        <v>7131.35</v>
      </c>
      <c r="I21" s="62">
        <v>2494.35</v>
      </c>
      <c r="J21" s="62">
        <v>3382.63</v>
      </c>
      <c r="K21" s="62">
        <v>25</v>
      </c>
      <c r="L21" s="62">
        <v>13.5</v>
      </c>
      <c r="M21" s="62">
        <f>(C21*$T$18*1000)+T36</f>
        <v>33300</v>
      </c>
      <c r="N21" s="89">
        <f t="shared" si="20"/>
        <v>14984.999999999998</v>
      </c>
      <c r="O21" s="62">
        <f>$T$38*C21</f>
        <v>356</v>
      </c>
      <c r="P21" s="56">
        <f t="shared" si="3"/>
        <v>2.0355768516030166E-2</v>
      </c>
      <c r="Q21" s="56">
        <f t="shared" si="0"/>
        <v>8900</v>
      </c>
      <c r="R21" s="56"/>
      <c r="S21" s="65" t="s">
        <v>251</v>
      </c>
      <c r="T21" s="1" t="s">
        <v>252</v>
      </c>
      <c r="U21" s="46">
        <v>1.2</v>
      </c>
      <c r="V21" s="56"/>
      <c r="W21" s="1">
        <v>2858.1801500000001</v>
      </c>
      <c r="X21" s="1">
        <f t="shared" si="4"/>
        <v>-12126.819849999998</v>
      </c>
      <c r="Y21" s="1">
        <f t="shared" si="1"/>
        <v>71454.503750000003</v>
      </c>
      <c r="Z21" s="1">
        <f t="shared" si="5"/>
        <v>56469.503750000003</v>
      </c>
      <c r="AA21" s="1">
        <f t="shared" si="6"/>
        <v>0.11568494972020082</v>
      </c>
      <c r="AB21" s="1">
        <f t="shared" si="7"/>
        <v>0.19774257110838234</v>
      </c>
      <c r="AC21" s="1"/>
      <c r="AE21" s="1">
        <f t="shared" si="17"/>
        <v>19</v>
      </c>
      <c r="AF21">
        <f t="shared" si="18"/>
        <v>50976.439844999986</v>
      </c>
      <c r="AG21">
        <f t="shared" si="19"/>
        <v>725400.95705499966</v>
      </c>
      <c r="AH21">
        <f t="shared" si="8"/>
        <v>16549.207726350054</v>
      </c>
      <c r="AI21">
        <f t="shared" si="15"/>
        <v>321229.45440409757</v>
      </c>
      <c r="AJ21">
        <f t="shared" si="9"/>
        <v>81493.495021942799</v>
      </c>
      <c r="AK21">
        <f t="shared" si="10"/>
        <v>26456.394004076137</v>
      </c>
      <c r="AL21">
        <f t="shared" si="16"/>
        <v>454988.79408185917</v>
      </c>
      <c r="AX21">
        <f t="shared" si="11"/>
        <v>1.5546960976394084E-2</v>
      </c>
      <c r="AY21">
        <f t="shared" si="21"/>
        <v>10215.468834887215</v>
      </c>
      <c r="AZ21">
        <f t="shared" si="13"/>
        <v>11032.706341678193</v>
      </c>
      <c r="BA21">
        <f t="shared" si="14"/>
        <v>817.23750679097793</v>
      </c>
    </row>
    <row r="22" spans="1:53" x14ac:dyDescent="0.35">
      <c r="A22" s="1">
        <v>21</v>
      </c>
      <c r="B22" s="62">
        <v>1195.617299383852</v>
      </c>
      <c r="C22" s="62">
        <v>2</v>
      </c>
      <c r="D22" s="62">
        <v>3497.79</v>
      </c>
      <c r="E22" s="62">
        <v>1195.6199999999999</v>
      </c>
      <c r="F22" s="62">
        <v>1334.89</v>
      </c>
      <c r="G22" s="62">
        <v>132.762</v>
      </c>
      <c r="H22" s="62">
        <v>1658.19</v>
      </c>
      <c r="I22" s="62">
        <v>558.10699999999997</v>
      </c>
      <c r="J22" s="62">
        <v>464.2</v>
      </c>
      <c r="K22" s="62">
        <v>5</v>
      </c>
      <c r="L22" s="62">
        <v>1.2</v>
      </c>
      <c r="M22" s="62">
        <f>(C22*$T$18*1000)+T29</f>
        <v>7240</v>
      </c>
      <c r="N22" s="89">
        <f t="shared" si="20"/>
        <v>3257.9999999999995</v>
      </c>
      <c r="O22" s="62">
        <f>$T$38*C22</f>
        <v>71.2</v>
      </c>
      <c r="P22" s="56">
        <f t="shared" si="3"/>
        <v>2.0355710319944882E-2</v>
      </c>
      <c r="Q22" s="56">
        <f t="shared" si="0"/>
        <v>1780</v>
      </c>
      <c r="R22" s="56"/>
      <c r="S22" s="65" t="s">
        <v>262</v>
      </c>
      <c r="T22" s="1">
        <v>7.0000000000000007E-2</v>
      </c>
      <c r="U22" s="46">
        <v>2</v>
      </c>
      <c r="V22" s="56"/>
      <c r="W22" s="1">
        <v>548.23903500000006</v>
      </c>
      <c r="X22" s="1">
        <f t="shared" si="4"/>
        <v>-2709.7609649999995</v>
      </c>
      <c r="Y22" s="1">
        <f t="shared" si="1"/>
        <v>13705.975875000002</v>
      </c>
      <c r="Z22" s="1">
        <f t="shared" si="5"/>
        <v>10447.975875000002</v>
      </c>
      <c r="AA22" s="1">
        <f t="shared" si="6"/>
        <v>0.12935379864399216</v>
      </c>
      <c r="AB22" s="1">
        <f t="shared" si="7"/>
        <v>0.22317736610518976</v>
      </c>
      <c r="AC22" s="1"/>
      <c r="AD22" s="1"/>
      <c r="AE22" s="1">
        <f t="shared" si="17"/>
        <v>20</v>
      </c>
      <c r="AF22">
        <f t="shared" si="18"/>
        <v>50976.439844999986</v>
      </c>
      <c r="AG22">
        <f t="shared" si="19"/>
        <v>776377.39689999959</v>
      </c>
      <c r="AH22">
        <f t="shared" si="8"/>
        <v>15597.745265174415</v>
      </c>
      <c r="AI22">
        <f t="shared" si="15"/>
        <v>336827.199669272</v>
      </c>
      <c r="AJ22">
        <f t="shared" si="9"/>
        <v>83530.832397491366</v>
      </c>
      <c r="AK22">
        <f t="shared" si="10"/>
        <v>25558.721822976473</v>
      </c>
      <c r="AL22">
        <f t="shared" si="16"/>
        <v>480547.51590483566</v>
      </c>
      <c r="AW22" s="1" t="s">
        <v>348</v>
      </c>
      <c r="AX22">
        <f t="shared" si="11"/>
        <v>2.9562885607299989E-3</v>
      </c>
      <c r="AY22">
        <f t="shared" si="21"/>
        <v>1942.4936941004246</v>
      </c>
      <c r="AZ22">
        <f t="shared" si="13"/>
        <v>2097.8931896284589</v>
      </c>
      <c r="BA22">
        <f t="shared" si="14"/>
        <v>155.39949552803432</v>
      </c>
    </row>
    <row r="23" spans="1:53" x14ac:dyDescent="0.35">
      <c r="A23" s="1">
        <v>22</v>
      </c>
      <c r="B23" s="1">
        <v>4102.942217502793</v>
      </c>
      <c r="C23" s="1">
        <v>4</v>
      </c>
      <c r="D23" s="1">
        <v>6995.57</v>
      </c>
      <c r="E23" s="1">
        <v>4102.9399999999996</v>
      </c>
      <c r="F23" s="1">
        <v>1869.19</v>
      </c>
      <c r="G23" s="1">
        <v>171.71799999999999</v>
      </c>
      <c r="H23" s="1">
        <v>3587.24</v>
      </c>
      <c r="I23" s="1">
        <v>1539.14</v>
      </c>
      <c r="J23" s="1">
        <v>2563.8000000000002</v>
      </c>
      <c r="K23" s="1">
        <v>10</v>
      </c>
      <c r="L23" s="1">
        <v>0</v>
      </c>
      <c r="M23" s="1">
        <f>C23*$T$18*1000</f>
        <v>10400</v>
      </c>
      <c r="N23" s="89">
        <f t="shared" si="20"/>
        <v>4679.9999999999991</v>
      </c>
      <c r="O23" s="1">
        <f>$T$19*C23</f>
        <v>106</v>
      </c>
      <c r="P23" s="4">
        <f t="shared" si="3"/>
        <v>1.5152446476841773E-2</v>
      </c>
      <c r="Q23" s="4">
        <f t="shared" si="0"/>
        <v>2650</v>
      </c>
      <c r="R23" s="4"/>
      <c r="S23" s="65" t="s">
        <v>263</v>
      </c>
      <c r="T23" s="1">
        <v>2.5000000000000001E-2</v>
      </c>
      <c r="U23" s="46">
        <v>3.3</v>
      </c>
      <c r="V23" s="4"/>
      <c r="W23" s="1">
        <v>1363.6959000000002</v>
      </c>
      <c r="X23" s="1">
        <f t="shared" si="4"/>
        <v>-3316.3040999999989</v>
      </c>
      <c r="Y23" s="1">
        <f t="shared" si="1"/>
        <v>34092.397500000006</v>
      </c>
      <c r="Z23" s="1">
        <f t="shared" si="5"/>
        <v>29412.397500000006</v>
      </c>
      <c r="AA23" s="1">
        <f t="shared" si="6"/>
        <v>6.0778241351900242E-2</v>
      </c>
      <c r="AB23" s="1">
        <f t="shared" si="7"/>
        <v>0.10005209385015899</v>
      </c>
      <c r="AC23" s="1"/>
      <c r="AD23" s="1"/>
      <c r="AE23" s="1">
        <f t="shared" si="17"/>
        <v>21</v>
      </c>
      <c r="AF23">
        <f t="shared" si="18"/>
        <v>50976.439844999986</v>
      </c>
      <c r="AG23">
        <f t="shared" si="19"/>
        <v>827353.83674499951</v>
      </c>
      <c r="AH23">
        <f t="shared" si="8"/>
        <v>14700.985169815662</v>
      </c>
      <c r="AI23">
        <f t="shared" si="15"/>
        <v>351528.18483908765</v>
      </c>
      <c r="AJ23">
        <f t="shared" si="9"/>
        <v>85619.103207428634</v>
      </c>
      <c r="AK23">
        <f t="shared" si="10"/>
        <v>24691.507887418364</v>
      </c>
      <c r="AL23">
        <f t="shared" si="16"/>
        <v>505239.02379225404</v>
      </c>
      <c r="AW23" s="1">
        <f>AL27/45</f>
        <v>13242.369733828053</v>
      </c>
      <c r="AX23">
        <f t="shared" si="11"/>
        <v>1.0144952861748048E-2</v>
      </c>
      <c r="AY23">
        <f t="shared" si="21"/>
        <v>6665.9619167979645</v>
      </c>
      <c r="AZ23">
        <f t="shared" si="13"/>
        <v>7199.2388701418022</v>
      </c>
      <c r="BA23">
        <f t="shared" si="14"/>
        <v>533.2769533438377</v>
      </c>
    </row>
    <row r="24" spans="1:53" x14ac:dyDescent="0.35">
      <c r="A24" s="1">
        <v>23</v>
      </c>
      <c r="B24" s="62">
        <v>2916.9354826987528</v>
      </c>
      <c r="C24" s="62">
        <v>2</v>
      </c>
      <c r="D24" s="62">
        <v>3465.23</v>
      </c>
      <c r="E24" s="62">
        <v>2916.94</v>
      </c>
      <c r="F24" s="62">
        <v>1050.31</v>
      </c>
      <c r="G24" s="62">
        <v>98.870500000000007</v>
      </c>
      <c r="H24" s="62">
        <v>1426.38</v>
      </c>
      <c r="I24" s="62">
        <v>1031.08</v>
      </c>
      <c r="J24" s="62">
        <v>949.72299999999996</v>
      </c>
      <c r="K24" s="62">
        <v>5</v>
      </c>
      <c r="L24" s="62">
        <v>2</v>
      </c>
      <c r="M24" s="62">
        <f>(C24*$T$18*1000)+T30</f>
        <v>8600</v>
      </c>
      <c r="N24" s="90">
        <f>(M24*(1-$T$55))</f>
        <v>3010</v>
      </c>
      <c r="O24" s="62">
        <f>$T$38*C24</f>
        <v>71.2</v>
      </c>
      <c r="P24" s="56">
        <f t="shared" si="3"/>
        <v>2.0546976679758633E-2</v>
      </c>
      <c r="Q24" s="56">
        <f t="shared" si="0"/>
        <v>1780</v>
      </c>
      <c r="R24" s="56"/>
      <c r="S24" s="63"/>
      <c r="T24" s="4"/>
      <c r="U24" s="46">
        <v>4.2</v>
      </c>
      <c r="V24" s="56"/>
      <c r="W24" s="1">
        <v>626.98386499999992</v>
      </c>
      <c r="X24" s="1">
        <f t="shared" si="4"/>
        <v>-2383.0161349999998</v>
      </c>
      <c r="Y24" s="1">
        <f t="shared" si="1"/>
        <v>15674.596624999998</v>
      </c>
      <c r="Z24" s="1">
        <f t="shared" si="5"/>
        <v>12664.596624999998</v>
      </c>
      <c r="AA24" s="1">
        <f t="shared" si="6"/>
        <v>6.1823172438673996E-2</v>
      </c>
      <c r="AB24" s="1">
        <f t="shared" si="7"/>
        <v>9.7352969308274681E-2</v>
      </c>
      <c r="AC24" s="1"/>
      <c r="AD24" s="1"/>
      <c r="AE24" s="1">
        <f t="shared" si="17"/>
        <v>22</v>
      </c>
      <c r="AF24">
        <f t="shared" si="18"/>
        <v>50976.439844999986</v>
      </c>
      <c r="AG24">
        <f t="shared" si="19"/>
        <v>878330.27658999944</v>
      </c>
      <c r="AH24">
        <f t="shared" si="8"/>
        <v>13855.782440919565</v>
      </c>
      <c r="AI24">
        <f t="shared" si="15"/>
        <v>365383.9672800072</v>
      </c>
      <c r="AJ24">
        <f t="shared" si="9"/>
        <v>87759.580787614352</v>
      </c>
      <c r="AK24">
        <f t="shared" si="10"/>
        <v>23853.71874137966</v>
      </c>
      <c r="AL24">
        <f t="shared" si="16"/>
        <v>529092.74253363372</v>
      </c>
      <c r="AW24" s="1"/>
      <c r="AX24">
        <f t="shared" si="11"/>
        <v>7.2124274250077204E-3</v>
      </c>
      <c r="AY24">
        <f t="shared" si="21"/>
        <v>4739.0823001307199</v>
      </c>
      <c r="AZ24">
        <f t="shared" si="13"/>
        <v>5118.2088841411778</v>
      </c>
      <c r="BA24">
        <f t="shared" si="14"/>
        <v>379.12658401045792</v>
      </c>
    </row>
    <row r="25" spans="1:53" x14ac:dyDescent="0.35">
      <c r="A25" s="1">
        <v>24</v>
      </c>
      <c r="B25" s="62">
        <v>4395.7178346280416</v>
      </c>
      <c r="C25" s="62">
        <v>4</v>
      </c>
      <c r="D25" s="62">
        <v>6930.46</v>
      </c>
      <c r="E25" s="62">
        <v>4395.72</v>
      </c>
      <c r="F25" s="62">
        <v>2268.81</v>
      </c>
      <c r="G25" s="62">
        <v>218.07400000000001</v>
      </c>
      <c r="H25" s="62">
        <v>2973.31</v>
      </c>
      <c r="I25" s="62">
        <v>1797.8</v>
      </c>
      <c r="J25" s="62">
        <v>1736.79</v>
      </c>
      <c r="K25" s="62">
        <v>10</v>
      </c>
      <c r="L25" s="62">
        <v>3.3</v>
      </c>
      <c r="M25" s="62">
        <f>(C25*$T$18*1000)+T31</f>
        <v>14096</v>
      </c>
      <c r="N25" s="90">
        <f t="shared" ref="N25:N34" si="22">(M25*(1-$T$55))</f>
        <v>4933.5999999999995</v>
      </c>
      <c r="O25" s="62">
        <f>$T$38*C25</f>
        <v>142.4</v>
      </c>
      <c r="P25" s="56">
        <f t="shared" si="3"/>
        <v>2.0546976679758633E-2</v>
      </c>
      <c r="Q25" s="56">
        <f t="shared" si="0"/>
        <v>3560</v>
      </c>
      <c r="R25" s="56"/>
      <c r="S25" s="63"/>
      <c r="T25" s="4"/>
      <c r="U25" s="46">
        <v>5</v>
      </c>
      <c r="V25" s="56"/>
      <c r="W25" s="1">
        <v>1226.7984999999999</v>
      </c>
      <c r="X25" s="1">
        <f t="shared" si="4"/>
        <v>-3706.8014999999996</v>
      </c>
      <c r="Y25" s="1">
        <f t="shared" si="1"/>
        <v>30669.962499999998</v>
      </c>
      <c r="Z25" s="1">
        <f t="shared" si="5"/>
        <v>25736.362499999999</v>
      </c>
      <c r="AA25" s="1">
        <f t="shared" si="6"/>
        <v>6.5441578067815864E-2</v>
      </c>
      <c r="AB25" s="1">
        <f t="shared" si="7"/>
        <v>0.1040860325416717</v>
      </c>
      <c r="AC25" s="1"/>
      <c r="AD25" s="1"/>
      <c r="AE25" s="1">
        <f t="shared" si="17"/>
        <v>23</v>
      </c>
      <c r="AF25">
        <f t="shared" si="18"/>
        <v>50976.439844999986</v>
      </c>
      <c r="AG25">
        <f t="shared" si="19"/>
        <v>929306.71643499937</v>
      </c>
      <c r="AH25">
        <f t="shared" si="8"/>
        <v>13059.172894363401</v>
      </c>
      <c r="AI25">
        <f t="shared" si="15"/>
        <v>378443.14017437061</v>
      </c>
      <c r="AJ25">
        <f t="shared" si="9"/>
        <v>89953.570307304704</v>
      </c>
      <c r="AK25">
        <f t="shared" si="10"/>
        <v>23044.35599426405</v>
      </c>
      <c r="AL25">
        <f t="shared" si="16"/>
        <v>552137.09852789773</v>
      </c>
      <c r="AW25" s="2"/>
      <c r="AX25">
        <f t="shared" si="11"/>
        <v>1.0868871132430546E-2</v>
      </c>
      <c r="AY25">
        <f t="shared" si="21"/>
        <v>7141.6281607919545</v>
      </c>
      <c r="AZ25">
        <f t="shared" si="13"/>
        <v>7712.9584136553112</v>
      </c>
      <c r="BA25">
        <f t="shared" si="14"/>
        <v>571.33025286335669</v>
      </c>
    </row>
    <row r="26" spans="1:53" x14ac:dyDescent="0.35">
      <c r="A26" s="1">
        <v>25</v>
      </c>
      <c r="B26" s="1">
        <v>3480.4540913845358</v>
      </c>
      <c r="C26" s="1">
        <v>2</v>
      </c>
      <c r="D26" s="1">
        <v>3465.23</v>
      </c>
      <c r="E26" s="1">
        <v>3480.45</v>
      </c>
      <c r="F26" s="1">
        <v>621.553</v>
      </c>
      <c r="G26" s="1">
        <v>55.542900000000003</v>
      </c>
      <c r="H26" s="1">
        <v>1519.54</v>
      </c>
      <c r="I26" s="1">
        <v>1324.14</v>
      </c>
      <c r="J26" s="1">
        <v>2156.31</v>
      </c>
      <c r="K26" s="1">
        <v>5</v>
      </c>
      <c r="L26" s="1">
        <v>0</v>
      </c>
      <c r="M26" s="1">
        <f>C26*$T$18*1000</f>
        <v>5200</v>
      </c>
      <c r="N26" s="90">
        <f t="shared" si="22"/>
        <v>1819.9999999999998</v>
      </c>
      <c r="O26" s="1">
        <f>$T$19*C26</f>
        <v>53</v>
      </c>
      <c r="P26" s="4">
        <f t="shared" si="3"/>
        <v>1.5294800056561902E-2</v>
      </c>
      <c r="Q26" s="4">
        <f t="shared" si="0"/>
        <v>1325</v>
      </c>
      <c r="R26" s="4"/>
      <c r="S26" s="63" t="s">
        <v>298</v>
      </c>
      <c r="T26" s="4">
        <v>1</v>
      </c>
      <c r="U26" s="46">
        <v>6</v>
      </c>
      <c r="V26" s="4"/>
      <c r="W26" s="1">
        <v>830.54134999999997</v>
      </c>
      <c r="X26" s="1">
        <f t="shared" si="4"/>
        <v>-989.45864999999981</v>
      </c>
      <c r="Y26" s="1">
        <f t="shared" si="1"/>
        <v>20763.533749999999</v>
      </c>
      <c r="Z26" s="1">
        <f t="shared" si="5"/>
        <v>18943.533749999999</v>
      </c>
      <c r="AA26" s="1">
        <f t="shared" si="6"/>
        <v>3.6211610934834368E-2</v>
      </c>
      <c r="AB26" s="1">
        <f t="shared" si="7"/>
        <v>5.4216420438247856E-2</v>
      </c>
      <c r="AC26" s="1"/>
      <c r="AD26" s="2" t="s">
        <v>329</v>
      </c>
      <c r="AE26" s="1">
        <f>AE25+1</f>
        <v>24</v>
      </c>
      <c r="AF26">
        <f t="shared" si="18"/>
        <v>50976.439844999986</v>
      </c>
      <c r="AG26">
        <f t="shared" si="19"/>
        <v>980283.1562799993</v>
      </c>
      <c r="AH26">
        <f t="shared" si="8"/>
        <v>12308.362765658248</v>
      </c>
      <c r="AI26">
        <f t="shared" si="15"/>
        <v>390751.50294002885</v>
      </c>
      <c r="AJ26">
        <f t="shared" si="9"/>
        <v>92202.40956498732</v>
      </c>
      <c r="AK26">
        <f t="shared" si="10"/>
        <v>22262.455131122195</v>
      </c>
      <c r="AL26">
        <f t="shared" si="16"/>
        <v>574399.55365901988</v>
      </c>
      <c r="AW26" s="1" t="s">
        <v>349</v>
      </c>
      <c r="AX26">
        <f t="shared" si="11"/>
        <v>8.6057860000925569E-3</v>
      </c>
      <c r="AY26">
        <f t="shared" si="21"/>
        <v>5654.6188555523286</v>
      </c>
      <c r="AZ26">
        <f t="shared" si="13"/>
        <v>6106.9883639965155</v>
      </c>
      <c r="BA26">
        <f t="shared" si="14"/>
        <v>452.36950844418698</v>
      </c>
    </row>
    <row r="27" spans="1:53" x14ac:dyDescent="0.35">
      <c r="A27" s="1">
        <v>26</v>
      </c>
      <c r="B27" s="1">
        <v>5233.1130996820621</v>
      </c>
      <c r="C27" s="1">
        <v>4</v>
      </c>
      <c r="D27" s="1">
        <v>6930.46</v>
      </c>
      <c r="E27" s="1">
        <v>5233.1099999999997</v>
      </c>
      <c r="F27" s="1">
        <v>1642.54</v>
      </c>
      <c r="G27" s="1">
        <v>148.89400000000001</v>
      </c>
      <c r="H27" s="1">
        <v>3427.61</v>
      </c>
      <c r="I27" s="1">
        <v>1860.31</v>
      </c>
      <c r="J27" s="1">
        <v>3372.81</v>
      </c>
      <c r="K27" s="1">
        <v>10</v>
      </c>
      <c r="L27" s="1">
        <v>0</v>
      </c>
      <c r="M27" s="1">
        <f>C27*$T$18*1000</f>
        <v>10400</v>
      </c>
      <c r="N27" s="90">
        <f t="shared" si="22"/>
        <v>3639.9999999999995</v>
      </c>
      <c r="O27" s="1">
        <f>$T$19*C27</f>
        <v>106</v>
      </c>
      <c r="P27" s="4">
        <f t="shared" si="3"/>
        <v>1.5294800056561902E-2</v>
      </c>
      <c r="Q27" s="4">
        <f t="shared" si="0"/>
        <v>2650</v>
      </c>
      <c r="R27" s="4"/>
      <c r="S27" s="67" t="s">
        <v>259</v>
      </c>
      <c r="T27" s="76"/>
      <c r="U27" s="46"/>
      <c r="V27" s="4"/>
      <c r="W27" s="1">
        <v>1491.3071500000001</v>
      </c>
      <c r="X27" s="1">
        <f t="shared" si="4"/>
        <v>-2148.6928499999995</v>
      </c>
      <c r="Y27" s="1">
        <f t="shared" si="1"/>
        <v>37282.678749999999</v>
      </c>
      <c r="Z27" s="1">
        <f t="shared" si="5"/>
        <v>33642.678749999999</v>
      </c>
      <c r="AA27" s="1">
        <f t="shared" si="6"/>
        <v>4.3117626971739008E-2</v>
      </c>
      <c r="AB27" s="1">
        <f t="shared" si="7"/>
        <v>6.7067009187293219E-2</v>
      </c>
      <c r="AC27" s="1"/>
      <c r="AD27" s="1">
        <f>MIN(W2:W46)</f>
        <v>506.49478499999998</v>
      </c>
      <c r="AE27" s="1">
        <f t="shared" si="17"/>
        <v>25</v>
      </c>
      <c r="AF27">
        <f t="shared" si="18"/>
        <v>50976.439844999986</v>
      </c>
      <c r="AG27">
        <f t="shared" si="19"/>
        <v>1031259.5961249992</v>
      </c>
      <c r="AH27">
        <f t="shared" si="8"/>
        <v>11600.718912024739</v>
      </c>
      <c r="AI27">
        <f t="shared" si="15"/>
        <v>402352.2218520536</v>
      </c>
      <c r="AJ27">
        <f t="shared" si="9"/>
        <v>94507.469804111985</v>
      </c>
      <c r="AK27">
        <f t="shared" si="10"/>
        <v>21507.084363242455</v>
      </c>
      <c r="AL27">
        <f t="shared" si="16"/>
        <v>595906.63802226237</v>
      </c>
      <c r="AW27" s="1">
        <f>AL63/55</f>
        <v>1112.0929204278875</v>
      </c>
      <c r="AX27">
        <f t="shared" si="11"/>
        <v>1.2939418325219101E-2</v>
      </c>
      <c r="AY27">
        <f t="shared" si="21"/>
        <v>8502.1262254111753</v>
      </c>
      <c r="AZ27">
        <f t="shared" si="13"/>
        <v>9182.2963234440704</v>
      </c>
      <c r="BA27">
        <f t="shared" si="14"/>
        <v>680.17009803289511</v>
      </c>
    </row>
    <row r="28" spans="1:53" x14ac:dyDescent="0.35">
      <c r="A28" s="1">
        <v>27</v>
      </c>
      <c r="B28" s="1">
        <v>6696.2920887280334</v>
      </c>
      <c r="C28" s="1">
        <v>4</v>
      </c>
      <c r="D28" s="1">
        <v>6930.46</v>
      </c>
      <c r="E28" s="1">
        <v>6696.29</v>
      </c>
      <c r="F28" s="1">
        <v>1385.43</v>
      </c>
      <c r="G28" s="1">
        <v>124.053</v>
      </c>
      <c r="H28" s="1">
        <v>3240.4</v>
      </c>
      <c r="I28" s="1">
        <v>2304.63</v>
      </c>
      <c r="J28" s="1">
        <v>4391.67</v>
      </c>
      <c r="K28" s="1">
        <v>10</v>
      </c>
      <c r="L28" s="1">
        <v>0</v>
      </c>
      <c r="M28" s="1">
        <f>C28*$T$18*1000</f>
        <v>10400</v>
      </c>
      <c r="N28" s="90">
        <f t="shared" si="22"/>
        <v>3639.9999999999995</v>
      </c>
      <c r="O28" s="1">
        <f>$T$19*C28</f>
        <v>106</v>
      </c>
      <c r="P28" s="4">
        <f t="shared" si="3"/>
        <v>1.5294800056561902E-2</v>
      </c>
      <c r="Q28" s="4">
        <f t="shared" si="0"/>
        <v>2650</v>
      </c>
      <c r="R28" s="4"/>
      <c r="S28" s="50" t="s">
        <v>245</v>
      </c>
      <c r="T28" s="2" t="s">
        <v>246</v>
      </c>
      <c r="U28" s="46"/>
      <c r="V28" s="4"/>
      <c r="W28" s="1">
        <v>1664.2415000000001</v>
      </c>
      <c r="X28" s="1">
        <f t="shared" si="4"/>
        <v>-1975.7584999999995</v>
      </c>
      <c r="Y28" s="1">
        <f t="shared" si="1"/>
        <v>41606.037500000006</v>
      </c>
      <c r="Z28" s="1">
        <f t="shared" si="5"/>
        <v>37966.037500000006</v>
      </c>
      <c r="AA28" s="1">
        <f t="shared" si="6"/>
        <v>3.703817655071015E-2</v>
      </c>
      <c r="AB28" s="1">
        <f t="shared" si="7"/>
        <v>5.5754478668486471E-2</v>
      </c>
      <c r="AC28" s="1"/>
      <c r="AD28" s="1"/>
      <c r="AE28" s="1"/>
      <c r="AW28" s="2"/>
      <c r="AX28">
        <f t="shared" si="11"/>
        <v>1.6557281089371333E-2</v>
      </c>
      <c r="AY28">
        <f t="shared" si="21"/>
        <v>10879.321638213196</v>
      </c>
      <c r="AZ28">
        <f t="shared" si="13"/>
        <v>11749.667369270252</v>
      </c>
      <c r="BA28">
        <f t="shared" si="14"/>
        <v>870.34573105705567</v>
      </c>
    </row>
    <row r="29" spans="1:53" x14ac:dyDescent="0.35">
      <c r="A29" s="1">
        <v>28</v>
      </c>
      <c r="B29" s="62">
        <v>8230.4847304692612</v>
      </c>
      <c r="C29" s="62">
        <v>6</v>
      </c>
      <c r="D29" s="62">
        <v>10395.700000000001</v>
      </c>
      <c r="E29" s="62">
        <v>8230.48</v>
      </c>
      <c r="F29" s="62">
        <v>2928.68</v>
      </c>
      <c r="G29" s="62">
        <v>274</v>
      </c>
      <c r="H29" s="62">
        <v>4210.74</v>
      </c>
      <c r="I29" s="62">
        <v>3393.9</v>
      </c>
      <c r="J29" s="62">
        <v>2532.5700000000002</v>
      </c>
      <c r="K29" s="62">
        <v>15</v>
      </c>
      <c r="L29" s="62">
        <v>5</v>
      </c>
      <c r="M29" s="62">
        <f>(C29*$T$18*1000)+T33</f>
        <v>19100</v>
      </c>
      <c r="N29" s="90">
        <f t="shared" si="22"/>
        <v>6685</v>
      </c>
      <c r="O29" s="62">
        <f>$T$38*C29</f>
        <v>213.60000000000002</v>
      </c>
      <c r="P29" s="56">
        <f t="shared" si="3"/>
        <v>2.0546956914878269E-2</v>
      </c>
      <c r="Q29" s="56">
        <f t="shared" si="0"/>
        <v>5340.0000000000009</v>
      </c>
      <c r="R29" s="56"/>
      <c r="S29" s="63" t="s">
        <v>288</v>
      </c>
      <c r="T29" s="4">
        <f>(U21*U17*$T$26)</f>
        <v>2040</v>
      </c>
      <c r="U29" s="46" t="s">
        <v>289</v>
      </c>
      <c r="V29" s="56"/>
      <c r="W29" s="1">
        <v>1845.26755</v>
      </c>
      <c r="X29" s="1">
        <f t="shared" si="4"/>
        <v>-4839.7324499999995</v>
      </c>
      <c r="Y29" s="1">
        <f t="shared" si="1"/>
        <v>46131.688750000001</v>
      </c>
      <c r="Z29" s="1">
        <f t="shared" si="5"/>
        <v>39446.688750000001</v>
      </c>
      <c r="AA29" s="1">
        <f t="shared" si="6"/>
        <v>5.3035930378383403E-2</v>
      </c>
      <c r="AB29" s="1">
        <f t="shared" si="7"/>
        <v>8.1001846481755346E-2</v>
      </c>
      <c r="AC29" s="1"/>
      <c r="AD29" s="2" t="s">
        <v>330</v>
      </c>
      <c r="AF29" s="18" t="s">
        <v>51</v>
      </c>
      <c r="AG29" s="4">
        <f>AE5-(AG5/AF6)</f>
        <v>4.7698780208922233</v>
      </c>
      <c r="AH29" s="4"/>
      <c r="AI29" s="10">
        <f>AE6-(AI6/AH7)</f>
        <v>5.7649801878960183</v>
      </c>
      <c r="AJ29" s="10"/>
      <c r="AK29" s="10"/>
      <c r="AL29" s="10">
        <f>AE7-(AL7/AK8)</f>
        <v>5.3153850415233226</v>
      </c>
      <c r="AW29" s="1"/>
      <c r="AX29">
        <f t="shared" si="11"/>
        <v>2.0350732521592207E-2</v>
      </c>
      <c r="AY29">
        <f t="shared" si="21"/>
        <v>13371.891404185464</v>
      </c>
      <c r="AZ29">
        <f t="shared" si="13"/>
        <v>14441.642716520302</v>
      </c>
      <c r="BA29">
        <f t="shared" si="14"/>
        <v>1069.7513123348381</v>
      </c>
    </row>
    <row r="30" spans="1:53" ht="15" thickBot="1" x14ac:dyDescent="0.4">
      <c r="A30" s="1">
        <v>29</v>
      </c>
      <c r="B30" s="62">
        <v>3184.1460343074909</v>
      </c>
      <c r="C30" s="62">
        <v>2</v>
      </c>
      <c r="D30" s="62">
        <v>3465.23</v>
      </c>
      <c r="E30" s="62">
        <v>3184.15</v>
      </c>
      <c r="F30" s="62">
        <v>1055.81</v>
      </c>
      <c r="G30" s="62">
        <v>98.489099999999993</v>
      </c>
      <c r="H30" s="62">
        <v>1177.54</v>
      </c>
      <c r="I30" s="62">
        <v>1255.03</v>
      </c>
      <c r="J30" s="62">
        <v>807.74400000000003</v>
      </c>
      <c r="K30" s="62">
        <v>5</v>
      </c>
      <c r="L30" s="62">
        <v>3.3</v>
      </c>
      <c r="M30" s="62">
        <f>(C30*$T$18*1000)+T31</f>
        <v>8896</v>
      </c>
      <c r="N30" s="90">
        <f t="shared" si="22"/>
        <v>3113.6</v>
      </c>
      <c r="O30" s="62">
        <f>$T$38*C30</f>
        <v>71.2</v>
      </c>
      <c r="P30" s="56">
        <f t="shared" si="3"/>
        <v>2.0546976679758633E-2</v>
      </c>
      <c r="Q30" s="56">
        <f t="shared" si="0"/>
        <v>1780</v>
      </c>
      <c r="R30" s="56"/>
      <c r="S30" s="63" t="s">
        <v>288</v>
      </c>
      <c r="T30" s="4">
        <f>(U22*U17*$T$26)</f>
        <v>3400</v>
      </c>
      <c r="U30" s="46" t="s">
        <v>296</v>
      </c>
      <c r="V30" s="56"/>
      <c r="W30" s="1">
        <v>600.73776999999995</v>
      </c>
      <c r="X30" s="1">
        <f t="shared" si="4"/>
        <v>-2512.8622299999997</v>
      </c>
      <c r="Y30" s="1">
        <f t="shared" si="1"/>
        <v>15018.444249999999</v>
      </c>
      <c r="Z30" s="1">
        <f t="shared" si="5"/>
        <v>11904.844249999998</v>
      </c>
      <c r="AA30" s="1">
        <f t="shared" si="6"/>
        <v>5.9660760613693888E-2</v>
      </c>
      <c r="AB30" s="1">
        <f t="shared" si="7"/>
        <v>9.3329192803789901E-2</v>
      </c>
      <c r="AC30" s="1"/>
      <c r="AD30" s="1">
        <f>MAX(W2:W46)</f>
        <v>3219.5347500000003</v>
      </c>
      <c r="AF30" s="4"/>
      <c r="AG30" s="4"/>
      <c r="AH30" s="4"/>
      <c r="AI30" s="4"/>
      <c r="AJ30" s="4"/>
      <c r="AK30" s="4"/>
      <c r="AL30" s="4"/>
      <c r="AQ30" t="s">
        <v>6</v>
      </c>
      <c r="AW30" s="1"/>
      <c r="AX30">
        <f t="shared" si="11"/>
        <v>7.8731334029442709E-3</v>
      </c>
      <c r="AY30">
        <f t="shared" si="21"/>
        <v>5173.2135323942202</v>
      </c>
      <c r="AZ30">
        <f t="shared" si="13"/>
        <v>5587.0706149857579</v>
      </c>
      <c r="BA30">
        <f t="shared" si="14"/>
        <v>413.85708259153762</v>
      </c>
    </row>
    <row r="31" spans="1:53" ht="15" customHeight="1" thickBot="1" x14ac:dyDescent="0.4">
      <c r="A31" s="1">
        <v>30</v>
      </c>
      <c r="B31" s="62">
        <v>2455.556329062375</v>
      </c>
      <c r="C31" s="62">
        <v>2</v>
      </c>
      <c r="D31" s="62">
        <v>3465.23</v>
      </c>
      <c r="E31" s="62">
        <v>2455.56</v>
      </c>
      <c r="F31" s="62">
        <v>981.01199999999994</v>
      </c>
      <c r="G31" s="62">
        <v>91.956100000000006</v>
      </c>
      <c r="H31" s="62">
        <v>1498.17</v>
      </c>
      <c r="I31" s="62">
        <v>1029.33</v>
      </c>
      <c r="J31" s="62">
        <v>829.81899999999996</v>
      </c>
      <c r="K31" s="62">
        <v>5</v>
      </c>
      <c r="L31" s="62">
        <v>1.2</v>
      </c>
      <c r="M31" s="62">
        <f>(C31*$T$18*1000)+T29</f>
        <v>7240</v>
      </c>
      <c r="N31" s="90">
        <f t="shared" si="22"/>
        <v>2534</v>
      </c>
      <c r="O31" s="62">
        <f>$T$38*C31</f>
        <v>71.2</v>
      </c>
      <c r="P31" s="56">
        <f t="shared" si="3"/>
        <v>2.0546976679758633E-2</v>
      </c>
      <c r="Q31" s="56">
        <f t="shared" si="0"/>
        <v>1780</v>
      </c>
      <c r="R31" s="56"/>
      <c r="S31" s="63" t="s">
        <v>288</v>
      </c>
      <c r="T31" s="4">
        <f>(U23*U18*$T$26)</f>
        <v>3696</v>
      </c>
      <c r="U31" s="46" t="s">
        <v>290</v>
      </c>
      <c r="V31" s="56"/>
      <c r="W31" s="1">
        <v>612.34054500000002</v>
      </c>
      <c r="X31" s="1">
        <f t="shared" si="4"/>
        <v>-1921.659455</v>
      </c>
      <c r="Y31" s="1">
        <f t="shared" si="1"/>
        <v>15308.513625</v>
      </c>
      <c r="Z31" s="1">
        <f t="shared" si="5"/>
        <v>12774.513625</v>
      </c>
      <c r="AA31" s="1">
        <f t="shared" si="6"/>
        <v>6.1824791731430899E-2</v>
      </c>
      <c r="AB31" s="1">
        <f t="shared" si="7"/>
        <v>9.7355982458718029E-2</v>
      </c>
      <c r="AC31" s="1"/>
      <c r="AD31" s="1"/>
      <c r="AF31" s="4" t="s">
        <v>53</v>
      </c>
      <c r="AG31" s="9">
        <f>IRR(AF2:AF27)</f>
        <v>0.20777912576428736</v>
      </c>
      <c r="AH31" s="4"/>
      <c r="AI31" s="100" t="s">
        <v>54</v>
      </c>
      <c r="AJ31" s="101"/>
      <c r="AK31" s="101"/>
      <c r="AL31" s="102"/>
      <c r="AW31" s="2"/>
      <c r="AX31">
        <f t="shared" si="11"/>
        <v>6.0716193129492719E-3</v>
      </c>
      <c r="AY31">
        <f t="shared" si="21"/>
        <v>3989.4895190711659</v>
      </c>
      <c r="AZ31">
        <f t="shared" si="13"/>
        <v>4308.6486805968598</v>
      </c>
      <c r="BA31">
        <f t="shared" si="14"/>
        <v>319.15916152569389</v>
      </c>
    </row>
    <row r="32" spans="1:53" ht="15" thickBot="1" x14ac:dyDescent="0.4">
      <c r="A32" s="1">
        <v>31</v>
      </c>
      <c r="B32" s="1">
        <v>1553.515228702383</v>
      </c>
      <c r="C32" s="1">
        <v>2</v>
      </c>
      <c r="D32" s="1">
        <v>3465.23</v>
      </c>
      <c r="E32" s="1">
        <v>1553.52</v>
      </c>
      <c r="F32" s="1">
        <v>992.22699999999998</v>
      </c>
      <c r="G32" s="1">
        <v>92.273499999999999</v>
      </c>
      <c r="H32" s="1">
        <v>1784.82</v>
      </c>
      <c r="I32" s="1">
        <v>688.178</v>
      </c>
      <c r="J32" s="1">
        <v>865.33699999999999</v>
      </c>
      <c r="K32" s="1">
        <v>5</v>
      </c>
      <c r="L32" s="1">
        <v>0</v>
      </c>
      <c r="M32" s="1">
        <f>C32*$T$18*1000</f>
        <v>5200</v>
      </c>
      <c r="N32" s="90">
        <f t="shared" si="22"/>
        <v>1819.9999999999998</v>
      </c>
      <c r="O32" s="1">
        <f>$T$19*C32</f>
        <v>53</v>
      </c>
      <c r="P32" s="4">
        <f t="shared" si="3"/>
        <v>1.5294800056561902E-2</v>
      </c>
      <c r="Q32" s="4">
        <f t="shared" si="0"/>
        <v>1325</v>
      </c>
      <c r="R32" s="4"/>
      <c r="S32" s="63" t="s">
        <v>288</v>
      </c>
      <c r="T32" s="4">
        <f>(U24*U18*$T$26)</f>
        <v>4704</v>
      </c>
      <c r="U32" s="46" t="s">
        <v>291</v>
      </c>
      <c r="V32" s="4"/>
      <c r="W32" s="1">
        <v>609.71542499999998</v>
      </c>
      <c r="X32" s="1">
        <f t="shared" si="4"/>
        <v>-1210.2845749999997</v>
      </c>
      <c r="Y32" s="1">
        <f t="shared" si="1"/>
        <v>15242.885624999999</v>
      </c>
      <c r="Z32" s="1">
        <f t="shared" si="5"/>
        <v>13422.885624999999</v>
      </c>
      <c r="AA32" s="1">
        <f t="shared" si="6"/>
        <v>6.2156265367596053E-2</v>
      </c>
      <c r="AB32" s="1">
        <f t="shared" si="7"/>
        <v>0.10249376045163025</v>
      </c>
      <c r="AC32" s="1"/>
      <c r="AD32" s="2" t="s">
        <v>331</v>
      </c>
      <c r="AF32" s="4"/>
      <c r="AG32" s="8"/>
      <c r="AH32" s="4"/>
      <c r="AI32" s="103"/>
      <c r="AJ32" s="104"/>
      <c r="AK32" s="104"/>
      <c r="AL32" s="105"/>
      <c r="AW32" s="1"/>
      <c r="AX32">
        <f t="shared" si="11"/>
        <v>3.841228545203777E-3</v>
      </c>
      <c r="AY32">
        <f t="shared" si="21"/>
        <v>2523.9627571451938</v>
      </c>
      <c r="AZ32">
        <f t="shared" si="13"/>
        <v>2725.8797777168093</v>
      </c>
      <c r="BA32">
        <f t="shared" si="14"/>
        <v>201.91702057161547</v>
      </c>
    </row>
    <row r="33" spans="1:53" x14ac:dyDescent="0.35">
      <c r="A33" s="1">
        <v>32</v>
      </c>
      <c r="B33" s="62">
        <v>14627.53150971361</v>
      </c>
      <c r="C33" s="62">
        <v>10</v>
      </c>
      <c r="D33" s="62">
        <v>17326.099999999999</v>
      </c>
      <c r="E33" s="62">
        <v>14627.5</v>
      </c>
      <c r="F33" s="62">
        <v>6319.47</v>
      </c>
      <c r="G33" s="62">
        <v>606.04600000000005</v>
      </c>
      <c r="H33" s="62">
        <v>5835.93</v>
      </c>
      <c r="I33" s="62">
        <v>5167.72</v>
      </c>
      <c r="J33" s="62">
        <v>4764.6000000000004</v>
      </c>
      <c r="K33" s="62">
        <v>25</v>
      </c>
      <c r="L33" s="62">
        <f>19.4</f>
        <v>19.399999999999999</v>
      </c>
      <c r="M33" s="62">
        <f>(C33*$T$18*1000)+T37</f>
        <v>42000</v>
      </c>
      <c r="N33" s="90">
        <f t="shared" si="22"/>
        <v>14699.999999999998</v>
      </c>
      <c r="O33" s="62">
        <f>$T$38*C33</f>
        <v>356</v>
      </c>
      <c r="P33" s="56">
        <f t="shared" si="3"/>
        <v>2.0547035974627877E-2</v>
      </c>
      <c r="Q33" s="56">
        <f t="shared" si="0"/>
        <v>8900</v>
      </c>
      <c r="R33" s="56"/>
      <c r="S33" s="63" t="s">
        <v>288</v>
      </c>
      <c r="T33" s="4">
        <f>(U25*U19*$T$26)</f>
        <v>3500</v>
      </c>
      <c r="U33" s="46" t="s">
        <v>293</v>
      </c>
      <c r="V33" s="56"/>
      <c r="W33" s="1">
        <v>3050.1247499999999</v>
      </c>
      <c r="X33" s="1">
        <f t="shared" si="4"/>
        <v>-11649.875249999997</v>
      </c>
      <c r="Y33" s="1">
        <f t="shared" si="1"/>
        <v>76253.118749999994</v>
      </c>
      <c r="Z33" s="1">
        <f t="shared" si="5"/>
        <v>61553.118749999994</v>
      </c>
      <c r="AA33" s="1">
        <f t="shared" si="6"/>
        <v>6.0745206090312164E-2</v>
      </c>
      <c r="AB33" s="1">
        <f t="shared" si="7"/>
        <v>9.5347058137964291E-2</v>
      </c>
      <c r="AC33" s="1"/>
      <c r="AD33" s="1">
        <f>MIN(W47:W100)</f>
        <v>7.2637200000000002</v>
      </c>
      <c r="AX33">
        <f t="shared" si="11"/>
        <v>3.6168098350675297E-2</v>
      </c>
      <c r="AY33">
        <f t="shared" si="21"/>
        <v>23765.035628471356</v>
      </c>
      <c r="AZ33">
        <f t="shared" si="13"/>
        <v>25666.238478749066</v>
      </c>
      <c r="BA33">
        <f t="shared" si="14"/>
        <v>1901.2028502777102</v>
      </c>
    </row>
    <row r="34" spans="1:53" x14ac:dyDescent="0.35">
      <c r="A34" s="1">
        <v>33</v>
      </c>
      <c r="B34" s="62">
        <v>4264.5516094210579</v>
      </c>
      <c r="C34" s="62">
        <v>4</v>
      </c>
      <c r="D34" s="62">
        <v>6930.46</v>
      </c>
      <c r="E34" s="62">
        <v>4264.55</v>
      </c>
      <c r="F34" s="62">
        <v>2602.7800000000002</v>
      </c>
      <c r="G34" s="62">
        <v>255.268</v>
      </c>
      <c r="H34" s="62">
        <v>2529.48</v>
      </c>
      <c r="I34" s="62">
        <v>1820.92</v>
      </c>
      <c r="J34" s="62">
        <v>1578.24</v>
      </c>
      <c r="K34" s="62">
        <v>10</v>
      </c>
      <c r="L34" s="62">
        <v>6</v>
      </c>
      <c r="M34" s="62">
        <f>(C34*$T$18*1000)+T34</f>
        <v>14600</v>
      </c>
      <c r="N34" s="90">
        <f t="shared" si="22"/>
        <v>5110</v>
      </c>
      <c r="O34" s="62">
        <f>$T$38*C34</f>
        <v>142.4</v>
      </c>
      <c r="P34" s="56">
        <f t="shared" si="3"/>
        <v>2.0546976679758633E-2</v>
      </c>
      <c r="Q34" s="56">
        <f t="shared" si="0"/>
        <v>3560</v>
      </c>
      <c r="R34" s="56"/>
      <c r="S34" s="63" t="s">
        <v>288</v>
      </c>
      <c r="T34" s="4">
        <f>(U26*U19*$T$26)</f>
        <v>4200</v>
      </c>
      <c r="U34" s="46" t="s">
        <v>292</v>
      </c>
      <c r="V34" s="56"/>
      <c r="W34" s="1">
        <v>1174.2071999999998</v>
      </c>
      <c r="X34" s="1">
        <f t="shared" si="4"/>
        <v>-3935.7928000000002</v>
      </c>
      <c r="Y34" s="1">
        <f t="shared" ref="Y34:Y65" si="23">W34*$T$47</f>
        <v>29355.179999999997</v>
      </c>
      <c r="Z34" s="1">
        <f t="shared" si="5"/>
        <v>24245.179999999997</v>
      </c>
      <c r="AA34" s="1">
        <f t="shared" si="6"/>
        <v>6.8476986378421589E-2</v>
      </c>
      <c r="AB34" s="1">
        <f t="shared" si="7"/>
        <v>0.10973426499241938</v>
      </c>
      <c r="AC34" s="1"/>
      <c r="AD34" s="1"/>
      <c r="AX34">
        <f t="shared" si="11"/>
        <v>1.0544548950630927E-2</v>
      </c>
      <c r="AY34">
        <f t="shared" si="21"/>
        <v>6928.5252176722588</v>
      </c>
      <c r="AZ34">
        <f t="shared" si="13"/>
        <v>7482.8072350860402</v>
      </c>
      <c r="BA34">
        <f t="shared" si="14"/>
        <v>554.28201741378143</v>
      </c>
    </row>
    <row r="35" spans="1:53" x14ac:dyDescent="0.35">
      <c r="A35" s="1">
        <v>34</v>
      </c>
      <c r="B35" s="1">
        <v>5041.8344142687847</v>
      </c>
      <c r="C35" s="1">
        <v>4</v>
      </c>
      <c r="D35" s="1">
        <v>7106.6</v>
      </c>
      <c r="E35" s="1">
        <v>5041.83</v>
      </c>
      <c r="F35" s="1">
        <v>1667.85</v>
      </c>
      <c r="G35" s="1">
        <v>152.785</v>
      </c>
      <c r="H35" s="1">
        <v>3300.83</v>
      </c>
      <c r="I35" s="1">
        <v>2137.92</v>
      </c>
      <c r="J35" s="1">
        <v>2903.92</v>
      </c>
      <c r="K35" s="1">
        <v>10</v>
      </c>
      <c r="L35" s="1">
        <v>0</v>
      </c>
      <c r="M35" s="1">
        <f>C35*$T$18*1000</f>
        <v>10400</v>
      </c>
      <c r="N35" s="91">
        <f>(M35*(1-$T$56))</f>
        <v>2600</v>
      </c>
      <c r="O35" s="1">
        <f>$T$19*C35</f>
        <v>106</v>
      </c>
      <c r="P35" s="4">
        <f t="shared" si="3"/>
        <v>1.4915712154898262E-2</v>
      </c>
      <c r="Q35" s="4">
        <f t="shared" si="0"/>
        <v>2650</v>
      </c>
      <c r="R35" s="4"/>
      <c r="S35" s="63" t="s">
        <v>288</v>
      </c>
      <c r="T35" s="4">
        <f xml:space="preserve"> 8000 *T26</f>
        <v>8000</v>
      </c>
      <c r="U35" s="46" t="s">
        <v>294</v>
      </c>
      <c r="V35" s="4"/>
      <c r="W35" s="1">
        <v>1445.89885</v>
      </c>
      <c r="X35" s="1">
        <f t="shared" si="4"/>
        <v>-1154.10115</v>
      </c>
      <c r="Y35" s="1">
        <f t="shared" si="23"/>
        <v>36147.471250000002</v>
      </c>
      <c r="Z35" s="1">
        <f t="shared" si="5"/>
        <v>33547.471250000002</v>
      </c>
      <c r="AA35" s="1">
        <f t="shared" si="6"/>
        <v>3.5543125007980444E-2</v>
      </c>
      <c r="AB35" s="1">
        <f t="shared" si="7"/>
        <v>5.3298825966858226E-2</v>
      </c>
      <c r="AC35" s="1"/>
      <c r="AD35" s="2" t="s">
        <v>332</v>
      </c>
      <c r="AX35">
        <f t="shared" si="11"/>
        <v>1.2466461811550257E-2</v>
      </c>
      <c r="AY35">
        <f t="shared" ref="AY35:AY50" si="24">AX35*$AW$2</f>
        <v>8191.3598619413679</v>
      </c>
      <c r="AZ35">
        <f t="shared" si="13"/>
        <v>8846.6686508966777</v>
      </c>
      <c r="BA35">
        <f t="shared" si="14"/>
        <v>655.30878895530986</v>
      </c>
    </row>
    <row r="36" spans="1:53" x14ac:dyDescent="0.35">
      <c r="A36" s="1">
        <v>35</v>
      </c>
      <c r="B36" s="62">
        <v>1680.154057549307</v>
      </c>
      <c r="C36" s="62">
        <v>2</v>
      </c>
      <c r="D36" s="62">
        <v>3553.3</v>
      </c>
      <c r="E36" s="62">
        <v>1680.15</v>
      </c>
      <c r="F36" s="62">
        <v>1252.81</v>
      </c>
      <c r="G36" s="62">
        <v>122.58499999999999</v>
      </c>
      <c r="H36" s="62">
        <v>1604.06</v>
      </c>
      <c r="I36" s="62">
        <v>745.89400000000001</v>
      </c>
      <c r="J36" s="62">
        <v>657.86699999999996</v>
      </c>
      <c r="K36" s="62">
        <v>5</v>
      </c>
      <c r="L36" s="62">
        <v>1.2</v>
      </c>
      <c r="M36" s="62">
        <f>(C36*$T$18*1000)+T29</f>
        <v>7240</v>
      </c>
      <c r="N36" s="91">
        <f t="shared" ref="N36:N46" si="25">(M36*(1-$T$56))</f>
        <v>1810</v>
      </c>
      <c r="O36" s="62">
        <f>$T$38*C36</f>
        <v>71.2</v>
      </c>
      <c r="P36" s="56">
        <f t="shared" si="3"/>
        <v>2.0037711423184081E-2</v>
      </c>
      <c r="Q36" s="56">
        <f t="shared" si="0"/>
        <v>1780</v>
      </c>
      <c r="R36" s="56"/>
      <c r="S36" s="63" t="s">
        <v>288</v>
      </c>
      <c r="T36" s="4">
        <f>7300*T26</f>
        <v>7300</v>
      </c>
      <c r="U36" s="46" t="s">
        <v>295</v>
      </c>
      <c r="V36" s="56"/>
      <c r="W36" s="1">
        <v>588.79725499999995</v>
      </c>
      <c r="X36" s="1">
        <f t="shared" si="4"/>
        <v>-1221.202745</v>
      </c>
      <c r="Y36" s="1">
        <f t="shared" si="23"/>
        <v>14719.931374999998</v>
      </c>
      <c r="Z36" s="1">
        <f t="shared" si="5"/>
        <v>12909.931374999998</v>
      </c>
      <c r="AA36" s="1">
        <f t="shared" si="6"/>
        <v>6.3128998007703316E-2</v>
      </c>
      <c r="AB36" s="1">
        <f t="shared" si="7"/>
        <v>0.1002211919719939</v>
      </c>
      <c r="AC36" s="1"/>
      <c r="AD36" s="1">
        <f>MAX(W47:W100)</f>
        <v>382.77600000000001</v>
      </c>
      <c r="AX36">
        <f t="shared" si="11"/>
        <v>4.1543562669733927E-3</v>
      </c>
      <c r="AY36">
        <f t="shared" si="24"/>
        <v>2729.7101368378294</v>
      </c>
      <c r="AZ36">
        <f t="shared" si="13"/>
        <v>2948.086947784856</v>
      </c>
      <c r="BA36">
        <f t="shared" si="14"/>
        <v>218.37681094702657</v>
      </c>
    </row>
    <row r="37" spans="1:53" x14ac:dyDescent="0.35">
      <c r="A37" s="1">
        <v>36</v>
      </c>
      <c r="B37" s="1">
        <v>5659.8657296841702</v>
      </c>
      <c r="C37" s="1">
        <v>4</v>
      </c>
      <c r="D37" s="1">
        <v>7106.6</v>
      </c>
      <c r="E37" s="1">
        <v>5659.87</v>
      </c>
      <c r="F37" s="1">
        <v>1537.84</v>
      </c>
      <c r="G37" s="1">
        <v>139.857</v>
      </c>
      <c r="H37" s="1">
        <v>3205.84</v>
      </c>
      <c r="I37" s="1">
        <v>2362.91</v>
      </c>
      <c r="J37" s="1">
        <v>3296.95</v>
      </c>
      <c r="K37" s="1">
        <v>10</v>
      </c>
      <c r="L37" s="1">
        <v>0</v>
      </c>
      <c r="M37" s="1">
        <f>C37*$T$18*1000</f>
        <v>10400</v>
      </c>
      <c r="N37" s="91">
        <f t="shared" si="25"/>
        <v>2600</v>
      </c>
      <c r="O37" s="1">
        <f>$T$19*C37</f>
        <v>106</v>
      </c>
      <c r="P37" s="4">
        <f t="shared" si="3"/>
        <v>1.4915712154898262E-2</v>
      </c>
      <c r="Q37" s="4">
        <f t="shared" si="0"/>
        <v>2650</v>
      </c>
      <c r="R37" s="4"/>
      <c r="S37" s="63" t="s">
        <v>288</v>
      </c>
      <c r="T37" s="4">
        <f>16000*T26</f>
        <v>16000</v>
      </c>
      <c r="U37" s="46" t="s">
        <v>297</v>
      </c>
      <c r="V37" s="4"/>
      <c r="W37" s="1">
        <v>1514.0405000000001</v>
      </c>
      <c r="X37" s="1">
        <f t="shared" si="4"/>
        <v>-1085.9594999999999</v>
      </c>
      <c r="Y37" s="1">
        <f t="shared" si="23"/>
        <v>37851.012500000004</v>
      </c>
      <c r="Z37" s="1">
        <f t="shared" si="5"/>
        <v>35251.012500000004</v>
      </c>
      <c r="AA37" s="1">
        <f t="shared" si="6"/>
        <v>3.3290706362720815E-2</v>
      </c>
      <c r="AB37" s="1">
        <f t="shared" si="7"/>
        <v>4.9107566411966314E-2</v>
      </c>
      <c r="AC37" s="1"/>
      <c r="AX37">
        <f t="shared" si="11"/>
        <v>1.399460874358025E-2</v>
      </c>
      <c r="AY37">
        <f t="shared" si="24"/>
        <v>9195.4620387580235</v>
      </c>
      <c r="AZ37">
        <f t="shared" si="13"/>
        <v>9931.0990018586654</v>
      </c>
      <c r="BA37">
        <f t="shared" si="14"/>
        <v>735.63696310064188</v>
      </c>
    </row>
    <row r="38" spans="1:53" x14ac:dyDescent="0.35">
      <c r="A38" s="1">
        <v>37</v>
      </c>
      <c r="B38" s="62">
        <v>7074.8321611913698</v>
      </c>
      <c r="C38" s="62">
        <v>6</v>
      </c>
      <c r="D38" s="62">
        <v>10659.9</v>
      </c>
      <c r="E38" s="62">
        <v>7074.83</v>
      </c>
      <c r="F38" s="62">
        <v>3404.59</v>
      </c>
      <c r="G38" s="62">
        <v>327.08699999999999</v>
      </c>
      <c r="H38" s="62">
        <v>4373.93</v>
      </c>
      <c r="I38" s="62">
        <v>3025.14</v>
      </c>
      <c r="J38" s="62">
        <v>2437.81</v>
      </c>
      <c r="K38" s="62">
        <v>15</v>
      </c>
      <c r="L38" s="62">
        <v>5</v>
      </c>
      <c r="M38" s="62">
        <f>(C38*$T$18*1000)+T33</f>
        <v>19100</v>
      </c>
      <c r="N38" s="91">
        <f t="shared" si="25"/>
        <v>4775</v>
      </c>
      <c r="O38" s="62">
        <f>$T$38*C38</f>
        <v>213.60000000000002</v>
      </c>
      <c r="P38" s="56">
        <f t="shared" si="3"/>
        <v>2.0037711423184085E-2</v>
      </c>
      <c r="Q38" s="56">
        <f t="shared" si="0"/>
        <v>5340.0000000000009</v>
      </c>
      <c r="R38" s="56"/>
      <c r="S38" s="65" t="s">
        <v>248</v>
      </c>
      <c r="T38" s="1">
        <v>35.6</v>
      </c>
      <c r="U38" s="30"/>
      <c r="V38" s="56"/>
      <c r="W38" s="1">
        <v>1851.8033999999998</v>
      </c>
      <c r="X38" s="1">
        <f t="shared" si="4"/>
        <v>-2923.1966000000002</v>
      </c>
      <c r="Y38" s="1">
        <f t="shared" si="23"/>
        <v>46295.084999999992</v>
      </c>
      <c r="Z38" s="1">
        <f t="shared" si="5"/>
        <v>41520.084999999992</v>
      </c>
      <c r="AA38" s="1">
        <f t="shared" si="6"/>
        <v>4.7034818301241309E-2</v>
      </c>
      <c r="AB38" s="1">
        <f t="shared" si="7"/>
        <v>7.0273435761211381E-2</v>
      </c>
      <c r="AC38" s="1"/>
      <c r="AD38" s="1" t="s">
        <v>287</v>
      </c>
      <c r="AE38" s="1">
        <v>0</v>
      </c>
      <c r="AF38">
        <f>-AD41</f>
        <v>-15950</v>
      </c>
      <c r="AG38">
        <f>AF38</f>
        <v>-15950</v>
      </c>
      <c r="AI38">
        <f>AF38</f>
        <v>-15950</v>
      </c>
      <c r="AJ38">
        <f>AF38</f>
        <v>-15950</v>
      </c>
      <c r="AL38">
        <f>AF38</f>
        <v>-15950</v>
      </c>
      <c r="AX38">
        <f t="shared" si="11"/>
        <v>1.7493260927215738E-2</v>
      </c>
      <c r="AY38">
        <f t="shared" si="24"/>
        <v>11494.327546962828</v>
      </c>
      <c r="AZ38">
        <f t="shared" si="13"/>
        <v>12413.873750719855</v>
      </c>
      <c r="BA38">
        <f t="shared" si="14"/>
        <v>919.54620375702689</v>
      </c>
    </row>
    <row r="39" spans="1:53" x14ac:dyDescent="0.35">
      <c r="A39" s="1">
        <v>38</v>
      </c>
      <c r="B39" s="1">
        <v>1036.155497852058</v>
      </c>
      <c r="C39" s="1">
        <v>2</v>
      </c>
      <c r="D39" s="1">
        <v>3553.3</v>
      </c>
      <c r="E39" s="1">
        <v>1036.1600000000001</v>
      </c>
      <c r="F39" s="1">
        <v>1206.4100000000001</v>
      </c>
      <c r="G39" s="1">
        <v>115.129</v>
      </c>
      <c r="H39" s="1">
        <v>1906.9</v>
      </c>
      <c r="I39" s="1">
        <v>439.99</v>
      </c>
      <c r="J39" s="1">
        <v>596.16499999999996</v>
      </c>
      <c r="K39" s="1">
        <v>5</v>
      </c>
      <c r="L39" s="1">
        <v>0</v>
      </c>
      <c r="M39" s="1">
        <f>C39*$T$18*1000</f>
        <v>5200</v>
      </c>
      <c r="N39" s="91">
        <f t="shared" si="25"/>
        <v>1300</v>
      </c>
      <c r="O39" s="1">
        <f>$T$19*C39</f>
        <v>53</v>
      </c>
      <c r="P39" s="4">
        <f t="shared" si="3"/>
        <v>1.4915712154898262E-2</v>
      </c>
      <c r="Q39" s="4">
        <f t="shared" si="0"/>
        <v>1325</v>
      </c>
      <c r="R39" s="4"/>
      <c r="S39" s="68" t="s">
        <v>260</v>
      </c>
      <c r="T39" s="1">
        <v>220</v>
      </c>
      <c r="U39" s="78">
        <f>T39*T15</f>
        <v>9900</v>
      </c>
      <c r="V39" s="4"/>
      <c r="W39" s="1">
        <v>571.30252500000006</v>
      </c>
      <c r="X39" s="1">
        <f t="shared" si="4"/>
        <v>-728.69747499999994</v>
      </c>
      <c r="Y39" s="1">
        <f t="shared" si="23"/>
        <v>14282.563125000001</v>
      </c>
      <c r="Z39" s="1">
        <f t="shared" si="5"/>
        <v>12982.563125000001</v>
      </c>
      <c r="AA39" s="1">
        <f t="shared" si="6"/>
        <v>6.5101229780192518E-2</v>
      </c>
      <c r="AB39" s="1">
        <f t="shared" si="7"/>
        <v>0.10830000850091163</v>
      </c>
      <c r="AC39" s="1"/>
      <c r="AD39" s="1"/>
      <c r="AE39" s="1">
        <v>1</v>
      </c>
      <c r="AF39">
        <f>AD44</f>
        <v>4685.0797199999997</v>
      </c>
      <c r="AG39">
        <f>AG38+AF39</f>
        <v>-11264.92028</v>
      </c>
      <c r="AH39">
        <f t="shared" ref="AH39:AH63" si="26">AF39/(1+$T$20)^AE39</f>
        <v>4415.7207540056552</v>
      </c>
      <c r="AI39">
        <f>AI38+AH39</f>
        <v>-11534.279245994345</v>
      </c>
      <c r="AJ39">
        <f>$AD$44*((1+$T$44)^AE39)</f>
        <v>4802.2067129999996</v>
      </c>
      <c r="AK39">
        <f t="shared" ref="AK39:AK63" si="27">AJ39/(1+$T$20)^AE39</f>
        <v>4526.113772855796</v>
      </c>
      <c r="AL39">
        <f>AL38+AK39</f>
        <v>-11423.886227144205</v>
      </c>
      <c r="AX39">
        <f t="shared" si="11"/>
        <v>2.562002613224239E-3</v>
      </c>
      <c r="AY39">
        <f t="shared" si="24"/>
        <v>1683.4195371063502</v>
      </c>
      <c r="AZ39">
        <f t="shared" si="13"/>
        <v>1818.0931000748583</v>
      </c>
      <c r="BA39">
        <f t="shared" si="14"/>
        <v>134.67356296850812</v>
      </c>
    </row>
    <row r="40" spans="1:53" ht="29" x14ac:dyDescent="0.35">
      <c r="A40" s="1">
        <v>39</v>
      </c>
      <c r="B40" s="62">
        <v>1397.7981728371551</v>
      </c>
      <c r="C40" s="62">
        <v>2</v>
      </c>
      <c r="D40" s="62">
        <v>3553.3</v>
      </c>
      <c r="E40" s="62">
        <v>1397.8</v>
      </c>
      <c r="F40" s="62">
        <v>1337.82</v>
      </c>
      <c r="G40" s="62">
        <v>132.495</v>
      </c>
      <c r="H40" s="62">
        <v>1638.51</v>
      </c>
      <c r="I40" s="62">
        <v>629.24800000000005</v>
      </c>
      <c r="J40" s="62">
        <v>605.05899999999997</v>
      </c>
      <c r="K40" s="62">
        <v>5</v>
      </c>
      <c r="L40" s="62">
        <v>1.2</v>
      </c>
      <c r="M40" s="62">
        <f>(C40*$T$18*1000)+T29</f>
        <v>7240</v>
      </c>
      <c r="N40" s="91">
        <f t="shared" si="25"/>
        <v>1810</v>
      </c>
      <c r="O40" s="62">
        <f>$T$38*C40</f>
        <v>71.2</v>
      </c>
      <c r="P40" s="56">
        <f t="shared" si="3"/>
        <v>2.0037711423184081E-2</v>
      </c>
      <c r="Q40" s="56">
        <f t="shared" si="0"/>
        <v>1780</v>
      </c>
      <c r="R40" s="56"/>
      <c r="S40" s="68" t="s">
        <v>261</v>
      </c>
      <c r="T40" s="1">
        <v>165</v>
      </c>
      <c r="U40" s="78">
        <f>T40*T15</f>
        <v>7425</v>
      </c>
      <c r="V40" s="56"/>
      <c r="W40" s="1">
        <v>577.78163500000005</v>
      </c>
      <c r="X40" s="1">
        <f t="shared" si="4"/>
        <v>-1232.2183649999999</v>
      </c>
      <c r="Y40" s="1">
        <f t="shared" si="23"/>
        <v>14444.540875000001</v>
      </c>
      <c r="Z40" s="1">
        <f t="shared" si="5"/>
        <v>12634.540875000001</v>
      </c>
      <c r="AA40" s="1">
        <f t="shared" si="6"/>
        <v>7.1833458053076601E-2</v>
      </c>
      <c r="AB40" s="1">
        <f t="shared" si="7"/>
        <v>0.11641829254746908</v>
      </c>
      <c r="AC40" s="1"/>
      <c r="AD40" s="6" t="s">
        <v>285</v>
      </c>
      <c r="AE40" s="1">
        <f>AE39+1</f>
        <v>2</v>
      </c>
      <c r="AF40">
        <f>AF39</f>
        <v>4685.0797199999997</v>
      </c>
      <c r="AG40">
        <f>AG39+AF40</f>
        <v>-6579.8405600000006</v>
      </c>
      <c r="AH40">
        <f t="shared" si="26"/>
        <v>4161.8480245105138</v>
      </c>
      <c r="AI40">
        <f t="shared" ref="AI40:AI63" si="28">AI39+AH40</f>
        <v>-7372.431221483831</v>
      </c>
      <c r="AJ40">
        <f t="shared" ref="AJ40:AJ63" si="29">$AD$44*((1+$T$44)^AE40)</f>
        <v>4922.261880824999</v>
      </c>
      <c r="AK40">
        <f t="shared" si="27"/>
        <v>4372.5415807513573</v>
      </c>
      <c r="AL40">
        <f>AL39+AK40</f>
        <v>-7051.3446463928476</v>
      </c>
      <c r="AX40">
        <f t="shared" si="11"/>
        <v>3.4562018722021732E-3</v>
      </c>
      <c r="AY40">
        <f t="shared" si="24"/>
        <v>2270.9726078407566</v>
      </c>
      <c r="AZ40">
        <f t="shared" si="13"/>
        <v>2452.6504164680173</v>
      </c>
      <c r="BA40">
        <f t="shared" si="14"/>
        <v>181.67780862726067</v>
      </c>
    </row>
    <row r="41" spans="1:53" x14ac:dyDescent="0.35">
      <c r="A41" s="1">
        <v>40</v>
      </c>
      <c r="B41" s="62">
        <v>2769.3097556877569</v>
      </c>
      <c r="C41" s="62">
        <v>2</v>
      </c>
      <c r="D41" s="62">
        <v>3553.3</v>
      </c>
      <c r="E41" s="62">
        <v>2769.31</v>
      </c>
      <c r="F41" s="62">
        <v>1224.25</v>
      </c>
      <c r="G41" s="62">
        <v>117.764</v>
      </c>
      <c r="H41" s="62">
        <v>1185.83</v>
      </c>
      <c r="I41" s="62">
        <v>1159.6300000000001</v>
      </c>
      <c r="J41" s="62">
        <v>850.86400000000003</v>
      </c>
      <c r="K41" s="62">
        <v>5</v>
      </c>
      <c r="L41" s="62">
        <v>3.3</v>
      </c>
      <c r="M41" s="62">
        <f>(C41*$T$18*1000)+T31</f>
        <v>8896</v>
      </c>
      <c r="N41" s="91">
        <f t="shared" si="25"/>
        <v>2224</v>
      </c>
      <c r="O41" s="62">
        <f>$T$38*C41</f>
        <v>71.2</v>
      </c>
      <c r="P41" s="56">
        <f t="shared" si="3"/>
        <v>2.0037711423184081E-2</v>
      </c>
      <c r="Q41" s="56">
        <f t="shared" si="0"/>
        <v>1780</v>
      </c>
      <c r="R41" s="56"/>
      <c r="S41" s="65" t="s">
        <v>250</v>
      </c>
      <c r="T41" s="1">
        <v>3.1E-2</v>
      </c>
      <c r="U41" s="30"/>
      <c r="V41" s="56"/>
      <c r="W41" s="1">
        <v>613.19421999999997</v>
      </c>
      <c r="X41" s="1">
        <f t="shared" si="4"/>
        <v>-1610.8057800000001</v>
      </c>
      <c r="Y41" s="1">
        <f t="shared" si="23"/>
        <v>15329.8555</v>
      </c>
      <c r="Z41" s="1">
        <f t="shared" si="5"/>
        <v>13105.8555</v>
      </c>
      <c r="AA41" s="1">
        <f t="shared" si="6"/>
        <v>5.2161239611856078E-2</v>
      </c>
      <c r="AB41" s="1">
        <f t="shared" si="7"/>
        <v>7.981258708449436E-2</v>
      </c>
      <c r="AC41" s="1"/>
      <c r="AD41" s="1">
        <f>(U10*55/99)</f>
        <v>15950</v>
      </c>
      <c r="AE41" s="1">
        <f t="shared" ref="AE41:AE55" si="30">AE40+1</f>
        <v>3</v>
      </c>
      <c r="AF41">
        <f t="shared" ref="AF41:AF63" si="31">AF40</f>
        <v>4685.0797199999997</v>
      </c>
      <c r="AG41">
        <f t="shared" ref="AG41:AG63" si="32">AG40+AF41</f>
        <v>-1894.7608400000008</v>
      </c>
      <c r="AH41">
        <f t="shared" si="26"/>
        <v>3922.5711823850274</v>
      </c>
      <c r="AI41">
        <f t="shared" si="28"/>
        <v>-3449.8600390988036</v>
      </c>
      <c r="AJ41">
        <f t="shared" si="29"/>
        <v>5045.3184278456238</v>
      </c>
      <c r="AK41">
        <f t="shared" si="27"/>
        <v>4224.1801322056008</v>
      </c>
      <c r="AL41">
        <f t="shared" ref="AL41:AL63" si="33">AL40+AK41</f>
        <v>-2827.1645141872468</v>
      </c>
      <c r="AX41">
        <f t="shared" si="11"/>
        <v>6.8474074070998467E-3</v>
      </c>
      <c r="AY41">
        <f t="shared" si="24"/>
        <v>4499.2379586732732</v>
      </c>
      <c r="AZ41">
        <f t="shared" si="13"/>
        <v>4859.1769953671355</v>
      </c>
      <c r="BA41">
        <f t="shared" si="14"/>
        <v>359.93903669386236</v>
      </c>
    </row>
    <row r="42" spans="1:53" x14ac:dyDescent="0.35">
      <c r="A42" s="1">
        <v>41</v>
      </c>
      <c r="B42" s="1">
        <v>975.76163139608616</v>
      </c>
      <c r="C42" s="1">
        <v>2</v>
      </c>
      <c r="D42" s="1">
        <v>3553.3</v>
      </c>
      <c r="E42" s="1">
        <v>975.76199999999994</v>
      </c>
      <c r="F42" s="1">
        <v>1216.8800000000001</v>
      </c>
      <c r="G42" s="1">
        <v>117.163</v>
      </c>
      <c r="H42" s="1">
        <v>1888.06</v>
      </c>
      <c r="I42" s="1">
        <v>448.36099999999999</v>
      </c>
      <c r="J42" s="1">
        <v>527.40099999999995</v>
      </c>
      <c r="K42" s="1">
        <v>5</v>
      </c>
      <c r="L42" s="1">
        <v>0</v>
      </c>
      <c r="M42" s="1">
        <f>C42*$T$18*1000</f>
        <v>5200</v>
      </c>
      <c r="N42" s="91">
        <f t="shared" si="25"/>
        <v>1300</v>
      </c>
      <c r="O42" s="1">
        <f>$T$19*C42</f>
        <v>53</v>
      </c>
      <c r="P42" s="4">
        <f t="shared" si="3"/>
        <v>1.4915712154898262E-2</v>
      </c>
      <c r="Q42" s="4">
        <f t="shared" si="0"/>
        <v>1325</v>
      </c>
      <c r="R42" s="4"/>
      <c r="S42" s="65" t="s">
        <v>251</v>
      </c>
      <c r="T42" s="1" t="s">
        <v>252</v>
      </c>
      <c r="U42" s="30"/>
      <c r="V42" s="4"/>
      <c r="W42" s="1">
        <v>561.05540999999994</v>
      </c>
      <c r="X42" s="1">
        <f t="shared" si="4"/>
        <v>-738.94459000000006</v>
      </c>
      <c r="Y42" s="1">
        <f t="shared" si="23"/>
        <v>14026.385249999999</v>
      </c>
      <c r="Z42" s="1">
        <f t="shared" si="5"/>
        <v>12726.385249999999</v>
      </c>
      <c r="AA42" s="1">
        <f t="shared" si="6"/>
        <v>6.8207416119113573E-2</v>
      </c>
      <c r="AB42" s="1">
        <f t="shared" si="7"/>
        <v>0.11407994341650854</v>
      </c>
      <c r="AC42" s="1"/>
      <c r="AD42" s="1"/>
      <c r="AE42" s="1">
        <f t="shared" si="30"/>
        <v>4</v>
      </c>
      <c r="AF42">
        <f t="shared" si="31"/>
        <v>4685.0797199999997</v>
      </c>
      <c r="AG42">
        <f t="shared" si="32"/>
        <v>2790.3188799999989</v>
      </c>
      <c r="AH42">
        <f t="shared" si="26"/>
        <v>3697.0510672808928</v>
      </c>
      <c r="AI42">
        <f t="shared" si="28"/>
        <v>247.19102818208921</v>
      </c>
      <c r="AJ42">
        <f t="shared" si="29"/>
        <v>5171.4513885417646</v>
      </c>
      <c r="AK42">
        <f t="shared" si="27"/>
        <v>4080.8526253635632</v>
      </c>
      <c r="AL42">
        <f t="shared" si="33"/>
        <v>1253.6881111763164</v>
      </c>
      <c r="AX42">
        <f t="shared" si="11"/>
        <v>2.412672475031981E-3</v>
      </c>
      <c r="AY42">
        <f t="shared" si="24"/>
        <v>1585.298922078845</v>
      </c>
      <c r="AZ42">
        <f t="shared" si="13"/>
        <v>1712.1228358451526</v>
      </c>
      <c r="BA42">
        <f t="shared" si="14"/>
        <v>126.82391376630767</v>
      </c>
    </row>
    <row r="43" spans="1:53" ht="29" x14ac:dyDescent="0.35">
      <c r="A43" s="1">
        <v>42</v>
      </c>
      <c r="B43" s="62">
        <v>1220.838737866377</v>
      </c>
      <c r="C43" s="62">
        <v>2</v>
      </c>
      <c r="D43" s="62">
        <v>3553.3</v>
      </c>
      <c r="E43" s="62">
        <v>1220.8399999999999</v>
      </c>
      <c r="F43" s="62">
        <v>1565.05</v>
      </c>
      <c r="G43" s="62">
        <v>159.86699999999999</v>
      </c>
      <c r="H43" s="62">
        <v>1546.75</v>
      </c>
      <c r="I43" s="62">
        <v>497.50700000000001</v>
      </c>
      <c r="J43" s="62">
        <v>659.64099999999996</v>
      </c>
      <c r="K43" s="62">
        <v>5</v>
      </c>
      <c r="L43" s="62">
        <v>2</v>
      </c>
      <c r="M43" s="62">
        <f>(C43*$T$18*1000)+T30</f>
        <v>8600</v>
      </c>
      <c r="N43" s="91">
        <f t="shared" si="25"/>
        <v>2150</v>
      </c>
      <c r="O43" s="62">
        <f>$T$38*C43</f>
        <v>71.2</v>
      </c>
      <c r="P43" s="56">
        <f t="shared" si="3"/>
        <v>2.0037711423184081E-2</v>
      </c>
      <c r="Q43" s="56">
        <f t="shared" si="0"/>
        <v>1780</v>
      </c>
      <c r="R43" s="56"/>
      <c r="S43" s="65" t="s">
        <v>262</v>
      </c>
      <c r="T43" s="1">
        <v>7.0000000000000007E-2</v>
      </c>
      <c r="U43" s="30"/>
      <c r="V43" s="56"/>
      <c r="W43" s="1">
        <v>578.97118999999998</v>
      </c>
      <c r="X43" s="1">
        <f t="shared" si="4"/>
        <v>-1571.02881</v>
      </c>
      <c r="Y43" s="1">
        <f t="shared" si="23"/>
        <v>14474.27975</v>
      </c>
      <c r="Z43" s="1">
        <f t="shared" si="5"/>
        <v>12324.27975</v>
      </c>
      <c r="AA43" s="1">
        <f t="shared" si="6"/>
        <v>9.0481085582739026E-2</v>
      </c>
      <c r="AB43" s="1">
        <f t="shared" si="7"/>
        <v>0.15111745791987888</v>
      </c>
      <c r="AC43" s="1"/>
      <c r="AD43" s="6" t="s">
        <v>328</v>
      </c>
      <c r="AE43" s="1">
        <f t="shared" si="30"/>
        <v>5</v>
      </c>
      <c r="AF43">
        <f t="shared" si="31"/>
        <v>4685.0797199999997</v>
      </c>
      <c r="AG43">
        <f t="shared" si="32"/>
        <v>7475.3985999999986</v>
      </c>
      <c r="AH43">
        <f t="shared" si="26"/>
        <v>3484.4967646379764</v>
      </c>
      <c r="AI43">
        <f t="shared" si="28"/>
        <v>3731.6877928200656</v>
      </c>
      <c r="AJ43">
        <f t="shared" si="29"/>
        <v>5300.7376732553075</v>
      </c>
      <c r="AK43">
        <f t="shared" si="27"/>
        <v>3942.3882573022161</v>
      </c>
      <c r="AL43">
        <f t="shared" si="33"/>
        <v>5196.0763684785325</v>
      </c>
      <c r="AX43">
        <f t="shared" si="11"/>
        <v>3.018651199769655E-3</v>
      </c>
      <c r="AY43">
        <f t="shared" si="24"/>
        <v>1983.470422384378</v>
      </c>
      <c r="AZ43">
        <f t="shared" si="13"/>
        <v>2142.1480561751282</v>
      </c>
      <c r="BA43">
        <f t="shared" si="14"/>
        <v>158.67763379075018</v>
      </c>
    </row>
    <row r="44" spans="1:53" x14ac:dyDescent="0.35">
      <c r="A44" s="1">
        <v>43</v>
      </c>
      <c r="B44" s="62">
        <v>3438.0361146713012</v>
      </c>
      <c r="C44" s="62">
        <v>10</v>
      </c>
      <c r="D44" s="62">
        <v>17766.5</v>
      </c>
      <c r="E44" s="62">
        <v>3438.04</v>
      </c>
      <c r="F44" s="62">
        <v>8491</v>
      </c>
      <c r="G44" s="62">
        <v>881.13699999999994</v>
      </c>
      <c r="H44" s="62">
        <v>7948</v>
      </c>
      <c r="I44" s="62">
        <v>1634.71</v>
      </c>
      <c r="J44" s="62">
        <v>1636.63</v>
      </c>
      <c r="K44" s="62">
        <v>25</v>
      </c>
      <c r="L44" s="62">
        <v>9.6999999999999993</v>
      </c>
      <c r="M44" s="62">
        <f>(C44*$T$18*1000)+T35</f>
        <v>34000</v>
      </c>
      <c r="N44" s="91">
        <f t="shared" si="25"/>
        <v>8500</v>
      </c>
      <c r="O44" s="62">
        <f>$T$38*C44</f>
        <v>356</v>
      </c>
      <c r="P44" s="56">
        <f t="shared" si="3"/>
        <v>2.0037711423184081E-2</v>
      </c>
      <c r="Q44" s="56">
        <f t="shared" si="0"/>
        <v>8900</v>
      </c>
      <c r="R44" s="56"/>
      <c r="S44" s="65" t="s">
        <v>263</v>
      </c>
      <c r="T44" s="1">
        <v>2.5000000000000001E-2</v>
      </c>
      <c r="U44" s="46"/>
      <c r="V44" s="56"/>
      <c r="W44" s="1">
        <v>2620.1347000000005</v>
      </c>
      <c r="X44" s="1">
        <f t="shared" si="4"/>
        <v>-5879.8652999999995</v>
      </c>
      <c r="Y44" s="1">
        <f t="shared" si="23"/>
        <v>65503.367500000015</v>
      </c>
      <c r="Z44" s="1">
        <f t="shared" si="5"/>
        <v>57003.367500000015</v>
      </c>
      <c r="AA44" s="1">
        <f t="shared" si="6"/>
        <v>0.1189313788134425</v>
      </c>
      <c r="AB44" s="1">
        <f t="shared" si="7"/>
        <v>0.20405724493221647</v>
      </c>
      <c r="AC44" s="1"/>
      <c r="AD44" s="1">
        <f>SUM(W47:W100)</f>
        <v>4685.0797199999997</v>
      </c>
      <c r="AE44" s="1">
        <f t="shared" si="30"/>
        <v>6</v>
      </c>
      <c r="AF44">
        <f t="shared" si="31"/>
        <v>4685.0797199999997</v>
      </c>
      <c r="AG44">
        <f t="shared" si="32"/>
        <v>12160.478319999998</v>
      </c>
      <c r="AH44">
        <f t="shared" si="26"/>
        <v>3284.1628318925318</v>
      </c>
      <c r="AI44">
        <f t="shared" si="28"/>
        <v>7015.850624712597</v>
      </c>
      <c r="AJ44">
        <f t="shared" si="29"/>
        <v>5433.2561150866904</v>
      </c>
      <c r="AK44">
        <f t="shared" si="27"/>
        <v>3808.6220204851757</v>
      </c>
      <c r="AL44">
        <f t="shared" si="33"/>
        <v>9004.6983889637086</v>
      </c>
      <c r="AX44">
        <f t="shared" si="11"/>
        <v>8.5009031254542674E-3</v>
      </c>
      <c r="AY44">
        <f t="shared" si="24"/>
        <v>5585.7032817107502</v>
      </c>
      <c r="AZ44">
        <f t="shared" si="13"/>
        <v>6032.5595442476106</v>
      </c>
      <c r="BA44">
        <f t="shared" si="14"/>
        <v>446.85626253686041</v>
      </c>
    </row>
    <row r="45" spans="1:53" x14ac:dyDescent="0.35">
      <c r="A45" s="1">
        <v>44</v>
      </c>
      <c r="B45" s="1">
        <v>1279.200878938675</v>
      </c>
      <c r="C45" s="1">
        <v>2</v>
      </c>
      <c r="D45" s="1">
        <v>3553.3</v>
      </c>
      <c r="E45" s="1">
        <v>1279.2</v>
      </c>
      <c r="F45" s="1">
        <v>1135.29</v>
      </c>
      <c r="G45" s="1">
        <v>107.304</v>
      </c>
      <c r="H45" s="1">
        <v>1864.24</v>
      </c>
      <c r="I45" s="1">
        <v>553.76199999999994</v>
      </c>
      <c r="J45" s="1">
        <v>725.43899999999996</v>
      </c>
      <c r="K45" s="1">
        <v>5</v>
      </c>
      <c r="L45" s="1">
        <v>0</v>
      </c>
      <c r="M45" s="1">
        <f>C45*$T$18*1000</f>
        <v>5200</v>
      </c>
      <c r="N45" s="91">
        <f t="shared" si="25"/>
        <v>1300</v>
      </c>
      <c r="O45" s="1">
        <f>$T$19*C45</f>
        <v>53</v>
      </c>
      <c r="P45" s="4">
        <f t="shared" si="3"/>
        <v>1.4915712154898262E-2</v>
      </c>
      <c r="Q45" s="4">
        <f t="shared" si="0"/>
        <v>1325</v>
      </c>
      <c r="R45" s="4"/>
      <c r="S45" s="63"/>
      <c r="T45" s="4"/>
      <c r="U45" s="30"/>
      <c r="V45" s="4"/>
      <c r="W45" s="1">
        <v>594.53735500000005</v>
      </c>
      <c r="X45" s="1">
        <f t="shared" si="4"/>
        <v>-705.46264499999995</v>
      </c>
      <c r="Y45" s="1">
        <f t="shared" si="23"/>
        <v>14863.433875000001</v>
      </c>
      <c r="Z45" s="1">
        <f t="shared" si="5"/>
        <v>13563.433875000001</v>
      </c>
      <c r="AA45" s="1">
        <f t="shared" si="6"/>
        <v>5.5566090728076903E-2</v>
      </c>
      <c r="AB45" s="1">
        <f t="shared" si="7"/>
        <v>9.0557195572457991E-2</v>
      </c>
      <c r="AC45" s="1"/>
      <c r="AD45" s="1"/>
      <c r="AE45" s="1">
        <f t="shared" si="30"/>
        <v>7</v>
      </c>
      <c r="AF45">
        <f t="shared" si="31"/>
        <v>4685.0797199999997</v>
      </c>
      <c r="AG45">
        <f t="shared" si="32"/>
        <v>16845.558039999996</v>
      </c>
      <c r="AH45">
        <f t="shared" si="26"/>
        <v>3095.3466841588429</v>
      </c>
      <c r="AI45">
        <f t="shared" si="28"/>
        <v>10111.19730887144</v>
      </c>
      <c r="AJ45">
        <f t="shared" si="29"/>
        <v>5569.0875179638579</v>
      </c>
      <c r="AK45">
        <f t="shared" si="27"/>
        <v>3679.3945061237569</v>
      </c>
      <c r="AL45">
        <f t="shared" si="33"/>
        <v>12684.092895087466</v>
      </c>
      <c r="AX45">
        <f t="shared" si="11"/>
        <v>3.1629576848971781E-3</v>
      </c>
      <c r="AY45">
        <f t="shared" si="24"/>
        <v>2078.2901369080482</v>
      </c>
      <c r="AZ45">
        <f t="shared" si="13"/>
        <v>2244.5533478606922</v>
      </c>
      <c r="BA45">
        <f t="shared" si="14"/>
        <v>166.26321095264393</v>
      </c>
    </row>
    <row r="46" spans="1:53" x14ac:dyDescent="0.35">
      <c r="A46" s="62">
        <v>45</v>
      </c>
      <c r="B46" s="62">
        <v>3266.9511427123548</v>
      </c>
      <c r="C46" s="62">
        <v>2</v>
      </c>
      <c r="D46" s="62">
        <v>3553.3</v>
      </c>
      <c r="E46" s="62">
        <v>3266.95</v>
      </c>
      <c r="F46" s="62">
        <v>1185.51</v>
      </c>
      <c r="G46" s="62">
        <v>112.761</v>
      </c>
      <c r="H46" s="62">
        <v>1014.2</v>
      </c>
      <c r="I46" s="62">
        <v>1335.02</v>
      </c>
      <c r="J46" s="62">
        <v>888.14800000000002</v>
      </c>
      <c r="K46" s="62">
        <v>5</v>
      </c>
      <c r="L46" s="62">
        <v>4.2</v>
      </c>
      <c r="M46" s="62">
        <f>(C46*$T$18*1000)+T32</f>
        <v>9904</v>
      </c>
      <c r="N46" s="91">
        <f t="shared" si="25"/>
        <v>2476</v>
      </c>
      <c r="O46" s="62">
        <f>$T$38*C46</f>
        <v>71.2</v>
      </c>
      <c r="P46" s="56">
        <f t="shared" si="3"/>
        <v>2.0037711423184081E-2</v>
      </c>
      <c r="Q46" s="56">
        <f t="shared" si="0"/>
        <v>1780</v>
      </c>
      <c r="R46" s="4"/>
      <c r="S46" s="63"/>
      <c r="T46" s="4"/>
      <c r="U46" s="30"/>
      <c r="V46" s="56"/>
      <c r="W46" s="1">
        <v>614.55304000000001</v>
      </c>
      <c r="X46" s="1">
        <f t="shared" si="4"/>
        <v>-1861.44696</v>
      </c>
      <c r="Y46" s="1">
        <f t="shared" si="23"/>
        <v>15363.826000000001</v>
      </c>
      <c r="Z46" s="1">
        <f t="shared" si="5"/>
        <v>12887.826000000001</v>
      </c>
      <c r="AA46" s="1">
        <f t="shared" si="6"/>
        <v>5.0353438740052672E-2</v>
      </c>
      <c r="AB46" s="1">
        <f t="shared" si="7"/>
        <v>7.6448664177341114E-2</v>
      </c>
      <c r="AC46" s="1"/>
      <c r="AD46" s="1"/>
      <c r="AE46" s="1">
        <f t="shared" si="30"/>
        <v>8</v>
      </c>
      <c r="AF46">
        <f t="shared" si="31"/>
        <v>4685.0797199999997</v>
      </c>
      <c r="AG46">
        <f t="shared" si="32"/>
        <v>21530.637759999998</v>
      </c>
      <c r="AH46">
        <f t="shared" si="26"/>
        <v>2917.3861302156861</v>
      </c>
      <c r="AI46">
        <f t="shared" si="28"/>
        <v>13028.583439087126</v>
      </c>
      <c r="AJ46">
        <f t="shared" si="29"/>
        <v>5708.3147059129533</v>
      </c>
      <c r="AK46">
        <f t="shared" si="27"/>
        <v>3554.551714210038</v>
      </c>
      <c r="AL46">
        <f t="shared" si="33"/>
        <v>16238.644609297504</v>
      </c>
      <c r="AX46" s="79">
        <f t="shared" si="11"/>
        <v>8.0778776759432135E-3</v>
      </c>
      <c r="AY46" s="79">
        <f t="shared" si="24"/>
        <v>5307.7452098788481</v>
      </c>
      <c r="AZ46">
        <f t="shared" si="13"/>
        <v>5732.3648266691562</v>
      </c>
      <c r="BA46" s="79">
        <f t="shared" si="14"/>
        <v>424.6196167903081</v>
      </c>
    </row>
    <row r="47" spans="1:53" x14ac:dyDescent="0.35">
      <c r="A47" s="70">
        <v>46</v>
      </c>
      <c r="B47" s="70">
        <v>1763.99702425654</v>
      </c>
      <c r="C47" s="70">
        <v>0</v>
      </c>
      <c r="D47" s="70"/>
      <c r="E47" s="70">
        <v>1764</v>
      </c>
      <c r="F47" s="70"/>
      <c r="G47" s="70"/>
      <c r="H47" s="70"/>
      <c r="I47" s="70"/>
      <c r="J47" s="70"/>
      <c r="K47" s="70">
        <v>0</v>
      </c>
      <c r="L47" s="70">
        <v>0</v>
      </c>
      <c r="M47" s="71">
        <f>T10</f>
        <v>290</v>
      </c>
      <c r="N47" s="71"/>
      <c r="O47" s="71">
        <f t="shared" ref="O47:O78" si="34">$T$19*C47</f>
        <v>0</v>
      </c>
      <c r="P47" s="71">
        <f t="shared" ref="P47:P78" si="35">$T$19*D47</f>
        <v>0</v>
      </c>
      <c r="Q47" s="71">
        <f t="shared" ref="Q47:Q78" si="36">$T$19*K47</f>
        <v>0</v>
      </c>
      <c r="R47" s="71"/>
      <c r="S47" s="50" t="s">
        <v>49</v>
      </c>
      <c r="T47" s="4">
        <v>25</v>
      </c>
      <c r="U47" s="30"/>
      <c r="V47" s="71"/>
      <c r="W47" s="70">
        <v>36.3322</v>
      </c>
      <c r="X47" s="70">
        <f t="shared" ref="X47:X100" si="37">W47-M47</f>
        <v>-253.6678</v>
      </c>
      <c r="Y47" s="70">
        <f t="shared" si="23"/>
        <v>908.30500000000006</v>
      </c>
      <c r="Z47" s="70">
        <f t="shared" ref="Z47:Z80" si="38">Y47-M47</f>
        <v>618.30500000000006</v>
      </c>
      <c r="AA47" s="70">
        <f t="shared" ref="AA47:AA78" si="39">(M47/($T$47*B47))+P47</f>
        <v>6.5759748120260992E-3</v>
      </c>
      <c r="AB47" s="70">
        <f t="shared" ref="AB47:AB78" si="40">(M47/($T$50*B47))+P47</f>
        <v>1.223645405424E-2</v>
      </c>
      <c r="AC47" s="4"/>
      <c r="AD47" s="1"/>
      <c r="AE47" s="1">
        <f t="shared" si="30"/>
        <v>9</v>
      </c>
      <c r="AF47">
        <f t="shared" si="31"/>
        <v>4685.0797199999997</v>
      </c>
      <c r="AG47">
        <f t="shared" si="32"/>
        <v>26215.717479999999</v>
      </c>
      <c r="AH47">
        <f t="shared" si="26"/>
        <v>2749.6570501561605</v>
      </c>
      <c r="AI47">
        <f t="shared" si="28"/>
        <v>15778.240489243286</v>
      </c>
      <c r="AJ47">
        <f t="shared" si="29"/>
        <v>5851.0225735607764</v>
      </c>
      <c r="AK47">
        <f t="shared" si="27"/>
        <v>3433.9448699955592</v>
      </c>
      <c r="AL47">
        <f t="shared" si="33"/>
        <v>19672.589479293063</v>
      </c>
      <c r="AX47">
        <f t="shared" si="11"/>
        <v>4.3616667529474519E-3</v>
      </c>
      <c r="AY47">
        <f>AX47*$AW$2</f>
        <v>2865.9280003694143</v>
      </c>
      <c r="AZ47">
        <f t="shared" ref="AZ47:AZ78" si="41">AX47*$AW$10</f>
        <v>1575.1797024167422</v>
      </c>
      <c r="BA47">
        <f>AY47-AZ47</f>
        <v>1290.7482979526721</v>
      </c>
    </row>
    <row r="48" spans="1:53" x14ac:dyDescent="0.35">
      <c r="A48" s="1">
        <v>47</v>
      </c>
      <c r="B48" s="1">
        <v>2322.9032263370332</v>
      </c>
      <c r="C48" s="1">
        <v>0</v>
      </c>
      <c r="D48" s="1"/>
      <c r="E48" s="1">
        <v>2322.9</v>
      </c>
      <c r="F48" s="1"/>
      <c r="G48" s="1"/>
      <c r="H48" s="1"/>
      <c r="I48" s="1"/>
      <c r="J48" s="1"/>
      <c r="K48" s="1">
        <v>0</v>
      </c>
      <c r="L48" s="1">
        <v>0</v>
      </c>
      <c r="M48" s="4">
        <f>$T$10</f>
        <v>290</v>
      </c>
      <c r="N48" s="4"/>
      <c r="O48" s="4">
        <f t="shared" si="34"/>
        <v>0</v>
      </c>
      <c r="P48" s="4">
        <f t="shared" si="35"/>
        <v>0</v>
      </c>
      <c r="Q48" s="4">
        <f t="shared" si="36"/>
        <v>0</v>
      </c>
      <c r="R48" s="4"/>
      <c r="S48" s="65"/>
      <c r="T48" s="4"/>
      <c r="U48" s="46"/>
      <c r="V48" s="4"/>
      <c r="W48" s="1">
        <v>48.805199999999999</v>
      </c>
      <c r="X48" s="1">
        <f>W48-M48</f>
        <v>-241.19479999999999</v>
      </c>
      <c r="Y48" s="1">
        <f t="shared" si="23"/>
        <v>1220.1299999999999</v>
      </c>
      <c r="Z48" s="1">
        <f t="shared" si="38"/>
        <v>930.12999999999988</v>
      </c>
      <c r="AA48" s="1">
        <f t="shared" si="39"/>
        <v>4.9937508667943706E-3</v>
      </c>
      <c r="AB48" s="1">
        <f t="shared" si="40"/>
        <v>9.2922805799226307E-3</v>
      </c>
      <c r="AC48" s="4"/>
      <c r="AD48" s="1"/>
      <c r="AE48" s="1">
        <f t="shared" si="30"/>
        <v>10</v>
      </c>
      <c r="AF48">
        <f t="shared" si="31"/>
        <v>4685.0797199999997</v>
      </c>
      <c r="AG48">
        <f t="shared" si="32"/>
        <v>30900.797200000001</v>
      </c>
      <c r="AH48">
        <f t="shared" si="26"/>
        <v>2591.5712065562302</v>
      </c>
      <c r="AI48">
        <f t="shared" si="28"/>
        <v>18369.811695799515</v>
      </c>
      <c r="AJ48">
        <f t="shared" si="29"/>
        <v>5997.2981378997956</v>
      </c>
      <c r="AK48">
        <f t="shared" si="27"/>
        <v>3317.4302466969348</v>
      </c>
      <c r="AL48">
        <f t="shared" si="33"/>
        <v>22990.019725989998</v>
      </c>
      <c r="AX48">
        <f t="shared" si="11"/>
        <v>5.7436206712983317E-3</v>
      </c>
      <c r="AY48">
        <f t="shared" si="24"/>
        <v>3773.9708780481365</v>
      </c>
      <c r="AZ48">
        <f t="shared" si="41"/>
        <v>2074.2608760049288</v>
      </c>
      <c r="BA48">
        <f t="shared" ref="BA48:BA102" si="42">AY48-AZ48</f>
        <v>1699.7100020432076</v>
      </c>
    </row>
    <row r="49" spans="1:53" x14ac:dyDescent="0.35">
      <c r="A49" s="1">
        <v>48</v>
      </c>
      <c r="B49" s="1">
        <v>1052.7350255677291</v>
      </c>
      <c r="C49" s="1">
        <v>0</v>
      </c>
      <c r="D49" s="1"/>
      <c r="E49" s="1">
        <v>1052.74</v>
      </c>
      <c r="F49" s="1"/>
      <c r="G49" s="1"/>
      <c r="H49" s="1"/>
      <c r="I49" s="1"/>
      <c r="J49" s="1"/>
      <c r="K49" s="1">
        <v>0</v>
      </c>
      <c r="L49" s="1">
        <v>0</v>
      </c>
      <c r="M49" s="4">
        <f t="shared" ref="M49:M100" si="43">$T$10</f>
        <v>290</v>
      </c>
      <c r="N49" s="4"/>
      <c r="O49" s="4">
        <f t="shared" si="34"/>
        <v>0</v>
      </c>
      <c r="P49" s="4">
        <f t="shared" si="35"/>
        <v>0</v>
      </c>
      <c r="Q49" s="4">
        <f t="shared" si="36"/>
        <v>0</v>
      </c>
      <c r="R49" s="4"/>
      <c r="S49" s="63"/>
      <c r="T49" s="4"/>
      <c r="U49" s="46"/>
      <c r="V49" s="4"/>
      <c r="W49" s="1">
        <v>22.118400000000001</v>
      </c>
      <c r="X49" s="1">
        <f t="shared" si="37"/>
        <v>-267.88159999999999</v>
      </c>
      <c r="Y49" s="1">
        <f t="shared" si="23"/>
        <v>552.96</v>
      </c>
      <c r="Z49" s="1">
        <f t="shared" si="38"/>
        <v>262.96000000000004</v>
      </c>
      <c r="AA49" s="1">
        <f t="shared" si="39"/>
        <v>1.1018917123750339E-2</v>
      </c>
      <c r="AB49" s="1">
        <f t="shared" si="40"/>
        <v>2.0503800115789474E-2</v>
      </c>
      <c r="AC49" s="4"/>
      <c r="AD49" s="1"/>
      <c r="AE49" s="1">
        <f t="shared" si="30"/>
        <v>11</v>
      </c>
      <c r="AF49">
        <f t="shared" si="31"/>
        <v>4685.0797199999997</v>
      </c>
      <c r="AG49">
        <f t="shared" si="32"/>
        <v>35585.876920000002</v>
      </c>
      <c r="AH49">
        <f t="shared" si="26"/>
        <v>2442.5741814856087</v>
      </c>
      <c r="AI49">
        <f t="shared" si="28"/>
        <v>20812.385877285124</v>
      </c>
      <c r="AJ49">
        <f t="shared" si="29"/>
        <v>6147.230591347291</v>
      </c>
      <c r="AK49">
        <f t="shared" si="27"/>
        <v>3204.8689942171154</v>
      </c>
      <c r="AL49">
        <f t="shared" si="33"/>
        <v>26194.888720207113</v>
      </c>
      <c r="AX49">
        <f t="shared" si="11"/>
        <v>2.602997225926316E-3</v>
      </c>
      <c r="AY49">
        <f t="shared" si="24"/>
        <v>1710.3559389595612</v>
      </c>
      <c r="AZ49">
        <f t="shared" si="41"/>
        <v>940.05081726050378</v>
      </c>
      <c r="BA49">
        <f t="shared" si="42"/>
        <v>770.30512169905739</v>
      </c>
    </row>
    <row r="50" spans="1:53" x14ac:dyDescent="0.35">
      <c r="A50" s="1">
        <v>49</v>
      </c>
      <c r="B50" s="1">
        <v>2650.8063291642311</v>
      </c>
      <c r="C50" s="1">
        <v>0</v>
      </c>
      <c r="D50" s="1"/>
      <c r="E50" s="1">
        <v>2650.81</v>
      </c>
      <c r="F50" s="1"/>
      <c r="G50" s="1"/>
      <c r="H50" s="1"/>
      <c r="I50" s="1"/>
      <c r="J50" s="1"/>
      <c r="K50" s="1">
        <v>0</v>
      </c>
      <c r="L50" s="1">
        <v>0</v>
      </c>
      <c r="M50" s="4">
        <f t="shared" si="43"/>
        <v>290</v>
      </c>
      <c r="N50" s="4"/>
      <c r="O50" s="4">
        <f t="shared" si="34"/>
        <v>0</v>
      </c>
      <c r="P50" s="4">
        <f t="shared" si="35"/>
        <v>0</v>
      </c>
      <c r="Q50" s="4">
        <f t="shared" si="36"/>
        <v>0</v>
      </c>
      <c r="R50" s="4"/>
      <c r="S50" s="50" t="s">
        <v>280</v>
      </c>
      <c r="T50" s="1">
        <f>1+((1-(1+$T$20)^(1-$T$47))/$T$20)</f>
        <v>13.43521330378282</v>
      </c>
      <c r="U50" s="46"/>
      <c r="V50" s="4"/>
      <c r="W50" s="4">
        <v>53.152200000000001</v>
      </c>
      <c r="X50" s="1">
        <f t="shared" si="37"/>
        <v>-236.84780000000001</v>
      </c>
      <c r="Y50" s="1">
        <f t="shared" si="23"/>
        <v>1328.8050000000001</v>
      </c>
      <c r="Z50" s="1">
        <f t="shared" si="38"/>
        <v>1038.8050000000001</v>
      </c>
      <c r="AA50" s="1">
        <f t="shared" si="39"/>
        <v>4.3760269742744084E-3</v>
      </c>
      <c r="AB50" s="1">
        <f t="shared" si="40"/>
        <v>8.1428312214482917E-3</v>
      </c>
      <c r="AC50" s="4"/>
      <c r="AD50" s="1"/>
      <c r="AE50" s="1">
        <f t="shared" si="30"/>
        <v>12</v>
      </c>
      <c r="AF50">
        <f t="shared" si="31"/>
        <v>4685.0797199999997</v>
      </c>
      <c r="AG50">
        <f t="shared" si="32"/>
        <v>40270.956640000004</v>
      </c>
      <c r="AH50">
        <f t="shared" si="26"/>
        <v>2302.1434321259271</v>
      </c>
      <c r="AI50">
        <f t="shared" si="28"/>
        <v>23114.529309411049</v>
      </c>
      <c r="AJ50">
        <f t="shared" si="29"/>
        <v>6300.9113561309723</v>
      </c>
      <c r="AK50">
        <f t="shared" si="27"/>
        <v>3096.1269736781742</v>
      </c>
      <c r="AL50">
        <f t="shared" si="33"/>
        <v>29291.015693885289</v>
      </c>
      <c r="AX50">
        <f t="shared" si="11"/>
        <v>6.554395316676476E-3</v>
      </c>
      <c r="AY50">
        <f t="shared" si="24"/>
        <v>4306.7079920444294</v>
      </c>
      <c r="AZ50">
        <f t="shared" si="41"/>
        <v>2367.0654016534686</v>
      </c>
      <c r="BA50">
        <f t="shared" si="42"/>
        <v>1939.6425903909608</v>
      </c>
    </row>
    <row r="51" spans="1:53" x14ac:dyDescent="0.35">
      <c r="A51" s="1">
        <v>50</v>
      </c>
      <c r="B51" s="1">
        <v>2336.365059758562</v>
      </c>
      <c r="C51" s="1">
        <v>0</v>
      </c>
      <c r="D51" s="1"/>
      <c r="E51" s="1">
        <v>2336.37</v>
      </c>
      <c r="F51" s="1"/>
      <c r="G51" s="1"/>
      <c r="H51" s="1"/>
      <c r="I51" s="1"/>
      <c r="J51" s="1"/>
      <c r="K51" s="1">
        <v>0</v>
      </c>
      <c r="L51" s="1">
        <v>0</v>
      </c>
      <c r="M51" s="4">
        <f t="shared" si="43"/>
        <v>290</v>
      </c>
      <c r="N51" s="4"/>
      <c r="O51" s="4">
        <f t="shared" si="34"/>
        <v>0</v>
      </c>
      <c r="P51" s="4">
        <f t="shared" si="35"/>
        <v>0</v>
      </c>
      <c r="Q51" s="4">
        <f t="shared" si="36"/>
        <v>0</v>
      </c>
      <c r="R51" s="4"/>
      <c r="S51" s="63"/>
      <c r="T51" s="4"/>
      <c r="U51" s="46"/>
      <c r="V51" s="4"/>
      <c r="W51" s="4">
        <v>49.088000000000001</v>
      </c>
      <c r="X51" s="1">
        <f t="shared" si="37"/>
        <v>-240.91200000000001</v>
      </c>
      <c r="Y51" s="1">
        <f t="shared" si="23"/>
        <v>1227.2</v>
      </c>
      <c r="Z51" s="1">
        <f t="shared" si="38"/>
        <v>937.2</v>
      </c>
      <c r="AA51" s="1">
        <f t="shared" si="39"/>
        <v>4.9649775199080972E-3</v>
      </c>
      <c r="AB51" s="1">
        <f t="shared" si="40"/>
        <v>9.2387396605570788E-3</v>
      </c>
      <c r="AC51" s="4"/>
      <c r="AD51" s="1"/>
      <c r="AE51" s="1">
        <f t="shared" si="30"/>
        <v>13</v>
      </c>
      <c r="AF51">
        <f t="shared" si="31"/>
        <v>4685.0797199999997</v>
      </c>
      <c r="AG51">
        <f t="shared" si="32"/>
        <v>44956.036360000006</v>
      </c>
      <c r="AH51">
        <f t="shared" si="26"/>
        <v>2169.7864581771223</v>
      </c>
      <c r="AI51">
        <f t="shared" si="28"/>
        <v>25284.31576758817</v>
      </c>
      <c r="AJ51">
        <f t="shared" si="29"/>
        <v>6458.4341400342464</v>
      </c>
      <c r="AK51">
        <f t="shared" si="27"/>
        <v>2991.0745975684522</v>
      </c>
      <c r="AL51">
        <f t="shared" si="33"/>
        <v>32282.09029145374</v>
      </c>
      <c r="AX51">
        <f t="shared" si="11"/>
        <v>5.7769064594606701E-3</v>
      </c>
      <c r="AY51">
        <f t="shared" ref="AY51:AY66" si="44">AX51*$AW$2</f>
        <v>3795.8420290810177</v>
      </c>
      <c r="AZ51">
        <f t="shared" si="41"/>
        <v>2086.2817617951669</v>
      </c>
      <c r="BA51">
        <f t="shared" si="42"/>
        <v>1709.5602672858508</v>
      </c>
    </row>
    <row r="52" spans="1:53" x14ac:dyDescent="0.35">
      <c r="A52" s="1">
        <v>51</v>
      </c>
      <c r="B52" s="1">
        <v>586.05584352134008</v>
      </c>
      <c r="C52" s="1">
        <v>0</v>
      </c>
      <c r="D52" s="1"/>
      <c r="E52" s="1">
        <v>586.05600000000004</v>
      </c>
      <c r="F52" s="1"/>
      <c r="G52" s="1"/>
      <c r="H52" s="1"/>
      <c r="I52" s="1"/>
      <c r="J52" s="1"/>
      <c r="K52" s="1">
        <v>0</v>
      </c>
      <c r="L52" s="1">
        <v>0</v>
      </c>
      <c r="M52" s="4">
        <f t="shared" si="43"/>
        <v>290</v>
      </c>
      <c r="N52" s="4"/>
      <c r="O52" s="4">
        <f t="shared" si="34"/>
        <v>0</v>
      </c>
      <c r="P52" s="4">
        <f t="shared" si="35"/>
        <v>0</v>
      </c>
      <c r="Q52" s="4">
        <f t="shared" si="36"/>
        <v>0</v>
      </c>
      <c r="R52" s="4"/>
      <c r="S52" s="50" t="s">
        <v>339</v>
      </c>
      <c r="T52" s="1"/>
      <c r="U52" s="46"/>
      <c r="V52" s="4"/>
      <c r="W52" s="4">
        <v>11.751200000000001</v>
      </c>
      <c r="X52" s="1">
        <f t="shared" si="37"/>
        <v>-278.24880000000002</v>
      </c>
      <c r="Y52" s="1">
        <f t="shared" si="23"/>
        <v>293.78000000000003</v>
      </c>
      <c r="Z52" s="1">
        <f t="shared" si="38"/>
        <v>3.7800000000000296</v>
      </c>
      <c r="AA52" s="1">
        <f t="shared" si="39"/>
        <v>1.9793335615085644E-2</v>
      </c>
      <c r="AB52" s="1">
        <f t="shared" si="40"/>
        <v>3.683107809221129E-2</v>
      </c>
      <c r="AC52" s="4"/>
      <c r="AD52" s="1" t="s">
        <v>6</v>
      </c>
      <c r="AE52" s="1">
        <f t="shared" si="30"/>
        <v>14</v>
      </c>
      <c r="AF52">
        <f t="shared" si="31"/>
        <v>4685.0797199999997</v>
      </c>
      <c r="AG52">
        <f t="shared" si="32"/>
        <v>49641.116080000007</v>
      </c>
      <c r="AH52">
        <f t="shared" si="26"/>
        <v>2045.0390746249975</v>
      </c>
      <c r="AI52">
        <f t="shared" si="28"/>
        <v>27329.354842213168</v>
      </c>
      <c r="AJ52">
        <f t="shared" si="29"/>
        <v>6619.894993535102</v>
      </c>
      <c r="AK52">
        <f t="shared" si="27"/>
        <v>2889.5866753135379</v>
      </c>
      <c r="AL52">
        <f t="shared" si="33"/>
        <v>35171.676966767278</v>
      </c>
      <c r="AX52">
        <f t="shared" si="11"/>
        <v>1.4490842404538294E-3</v>
      </c>
      <c r="AY52">
        <f t="shared" si="44"/>
        <v>952.1523158100631</v>
      </c>
      <c r="AZ52">
        <f t="shared" si="41"/>
        <v>523.32473156331332</v>
      </c>
      <c r="BA52">
        <f t="shared" si="42"/>
        <v>428.82758424674978</v>
      </c>
    </row>
    <row r="53" spans="1:53" x14ac:dyDescent="0.35">
      <c r="A53" s="1">
        <v>52</v>
      </c>
      <c r="B53" s="1">
        <v>5329.6971333659421</v>
      </c>
      <c r="C53" s="1">
        <v>0</v>
      </c>
      <c r="D53" s="1"/>
      <c r="E53" s="1">
        <v>5329.7</v>
      </c>
      <c r="F53" s="1"/>
      <c r="G53" s="1"/>
      <c r="H53" s="1"/>
      <c r="I53" s="1"/>
      <c r="J53" s="1"/>
      <c r="K53" s="1">
        <v>0</v>
      </c>
      <c r="L53" s="1">
        <v>0</v>
      </c>
      <c r="M53" s="4">
        <f t="shared" si="43"/>
        <v>290</v>
      </c>
      <c r="N53" s="4"/>
      <c r="O53" s="4">
        <f t="shared" si="34"/>
        <v>0</v>
      </c>
      <c r="P53" s="4">
        <f t="shared" si="35"/>
        <v>0</v>
      </c>
      <c r="Q53" s="4">
        <f t="shared" si="36"/>
        <v>0</v>
      </c>
      <c r="R53" s="4"/>
      <c r="S53" s="65" t="s">
        <v>342</v>
      </c>
      <c r="T53" s="1">
        <v>0.45</v>
      </c>
      <c r="U53" s="30"/>
      <c r="V53" s="4"/>
      <c r="W53" s="4">
        <v>110.047</v>
      </c>
      <c r="X53" s="1">
        <f t="shared" si="37"/>
        <v>-179.953</v>
      </c>
      <c r="Y53" s="1">
        <f t="shared" si="23"/>
        <v>2751.1749999999997</v>
      </c>
      <c r="Z53" s="1">
        <f t="shared" si="38"/>
        <v>2461.1749999999997</v>
      </c>
      <c r="AA53" s="1">
        <f t="shared" si="39"/>
        <v>2.1764838995033254E-3</v>
      </c>
      <c r="AB53" s="1">
        <f t="shared" si="40"/>
        <v>4.0499615642323183E-3</v>
      </c>
      <c r="AC53" s="4"/>
      <c r="AD53" s="1"/>
      <c r="AE53" s="1">
        <f t="shared" si="30"/>
        <v>15</v>
      </c>
      <c r="AF53">
        <f t="shared" si="31"/>
        <v>4685.0797199999997</v>
      </c>
      <c r="AG53">
        <f t="shared" si="32"/>
        <v>54326.195800000009</v>
      </c>
      <c r="AH53">
        <f t="shared" si="26"/>
        <v>1927.4637838124388</v>
      </c>
      <c r="AI53">
        <f t="shared" si="28"/>
        <v>29256.818626025608</v>
      </c>
      <c r="AJ53">
        <f t="shared" si="29"/>
        <v>6785.3923683734802</v>
      </c>
      <c r="AK53">
        <f t="shared" si="27"/>
        <v>2791.5422640870656</v>
      </c>
      <c r="AL53">
        <f t="shared" si="33"/>
        <v>37963.219230854345</v>
      </c>
      <c r="AX53">
        <f t="shared" si="11"/>
        <v>1.3178232429093275E-2</v>
      </c>
      <c r="AY53">
        <f t="shared" si="44"/>
        <v>8659.0442262450561</v>
      </c>
      <c r="AZ53">
        <f t="shared" si="41"/>
        <v>4759.2091307778765</v>
      </c>
      <c r="BA53">
        <f t="shared" si="42"/>
        <v>3899.8350954671796</v>
      </c>
    </row>
    <row r="54" spans="1:53" x14ac:dyDescent="0.35">
      <c r="A54" s="1">
        <v>53</v>
      </c>
      <c r="B54" s="1">
        <v>5328.3833046167756</v>
      </c>
      <c r="C54" s="1">
        <v>0</v>
      </c>
      <c r="D54" s="1"/>
      <c r="E54" s="1">
        <v>5328.38</v>
      </c>
      <c r="F54" s="1"/>
      <c r="G54" s="1"/>
      <c r="H54" s="1"/>
      <c r="I54" s="1"/>
      <c r="J54" s="1"/>
      <c r="K54" s="1">
        <v>0</v>
      </c>
      <c r="L54" s="1">
        <v>0</v>
      </c>
      <c r="M54" s="4">
        <f t="shared" si="43"/>
        <v>290</v>
      </c>
      <c r="N54" s="4"/>
      <c r="O54" s="4">
        <f t="shared" si="34"/>
        <v>0</v>
      </c>
      <c r="P54" s="4">
        <f t="shared" si="35"/>
        <v>0</v>
      </c>
      <c r="Q54" s="4">
        <f t="shared" si="36"/>
        <v>0</v>
      </c>
      <c r="R54" s="4"/>
      <c r="S54" s="65" t="s">
        <v>343</v>
      </c>
      <c r="T54" s="1">
        <v>0.55000000000000004</v>
      </c>
      <c r="U54" s="30"/>
      <c r="V54" s="4"/>
      <c r="W54" s="4">
        <v>104.018</v>
      </c>
      <c r="X54" s="1">
        <f t="shared" si="37"/>
        <v>-185.982</v>
      </c>
      <c r="Y54" s="1">
        <f t="shared" si="23"/>
        <v>2600.4499999999998</v>
      </c>
      <c r="Z54" s="1">
        <f t="shared" si="38"/>
        <v>2310.4499999999998</v>
      </c>
      <c r="AA54" s="1">
        <f t="shared" si="39"/>
        <v>2.1770205589281061E-3</v>
      </c>
      <c r="AB54" s="1">
        <f t="shared" si="40"/>
        <v>4.0509601703069787E-3</v>
      </c>
      <c r="AC54" s="4"/>
      <c r="AD54" s="1"/>
      <c r="AE54" s="1">
        <f t="shared" si="30"/>
        <v>16</v>
      </c>
      <c r="AF54">
        <f t="shared" si="31"/>
        <v>4685.0797199999997</v>
      </c>
      <c r="AG54">
        <f t="shared" si="32"/>
        <v>59011.27552000001</v>
      </c>
      <c r="AH54">
        <f t="shared" si="26"/>
        <v>1816.648241105032</v>
      </c>
      <c r="AI54">
        <f t="shared" si="28"/>
        <v>31073.466867130639</v>
      </c>
      <c r="AJ54">
        <f t="shared" si="29"/>
        <v>6955.0271775828169</v>
      </c>
      <c r="AK54">
        <f t="shared" si="27"/>
        <v>2696.8245246835459</v>
      </c>
      <c r="AL54">
        <f t="shared" si="33"/>
        <v>40660.043755537889</v>
      </c>
      <c r="AX54">
        <f t="shared" si="11"/>
        <v>1.3174983850385086E-2</v>
      </c>
      <c r="AY54">
        <f t="shared" si="44"/>
        <v>8656.9096769526532</v>
      </c>
      <c r="AZ54">
        <f t="shared" si="41"/>
        <v>4758.0359335730736</v>
      </c>
      <c r="BA54">
        <f t="shared" si="42"/>
        <v>3898.8737433795795</v>
      </c>
    </row>
    <row r="55" spans="1:53" x14ac:dyDescent="0.35">
      <c r="A55" s="1">
        <v>54</v>
      </c>
      <c r="B55" s="1">
        <v>1132.850191183687</v>
      </c>
      <c r="C55" s="1">
        <v>0</v>
      </c>
      <c r="D55" s="1"/>
      <c r="E55" s="1">
        <v>1132.8499999999999</v>
      </c>
      <c r="F55" s="1"/>
      <c r="G55" s="1"/>
      <c r="H55" s="1"/>
      <c r="I55" s="1"/>
      <c r="J55" s="1"/>
      <c r="K55" s="1">
        <v>0</v>
      </c>
      <c r="L55" s="1">
        <v>0</v>
      </c>
      <c r="M55" s="4">
        <f t="shared" si="43"/>
        <v>290</v>
      </c>
      <c r="N55" s="4"/>
      <c r="O55" s="4">
        <f t="shared" si="34"/>
        <v>0</v>
      </c>
      <c r="P55" s="4">
        <f t="shared" si="35"/>
        <v>0</v>
      </c>
      <c r="Q55" s="4">
        <f t="shared" si="36"/>
        <v>0</v>
      </c>
      <c r="R55" s="4"/>
      <c r="S55" s="65" t="s">
        <v>344</v>
      </c>
      <c r="T55" s="1">
        <v>0.65</v>
      </c>
      <c r="U55" s="30"/>
      <c r="V55" s="4"/>
      <c r="W55" s="4">
        <v>23.8017</v>
      </c>
      <c r="X55" s="1">
        <f t="shared" si="37"/>
        <v>-266.19830000000002</v>
      </c>
      <c r="Y55" s="1">
        <f t="shared" si="23"/>
        <v>595.04250000000002</v>
      </c>
      <c r="Z55" s="1">
        <f t="shared" si="38"/>
        <v>305.04250000000002</v>
      </c>
      <c r="AA55" s="1">
        <f t="shared" si="39"/>
        <v>1.0239659303830322E-2</v>
      </c>
      <c r="AB55" s="1">
        <f t="shared" si="40"/>
        <v>1.9053771369873306E-2</v>
      </c>
      <c r="AC55" s="4"/>
      <c r="AD55" s="1"/>
      <c r="AE55" s="1">
        <f t="shared" si="30"/>
        <v>17</v>
      </c>
      <c r="AF55">
        <f t="shared" si="31"/>
        <v>4685.0797199999997</v>
      </c>
      <c r="AG55">
        <f t="shared" si="32"/>
        <v>63696.355240000012</v>
      </c>
      <c r="AH55">
        <f t="shared" si="26"/>
        <v>1712.2038087700587</v>
      </c>
      <c r="AI55">
        <f t="shared" si="28"/>
        <v>32785.670675900699</v>
      </c>
      <c r="AJ55">
        <f t="shared" si="29"/>
        <v>7128.9028570223863</v>
      </c>
      <c r="AK55">
        <f t="shared" si="27"/>
        <v>2605.3205822814652</v>
      </c>
      <c r="AL55">
        <f t="shared" si="33"/>
        <v>43265.364337819352</v>
      </c>
      <c r="AX55">
        <f t="shared" si="11"/>
        <v>2.8010903346271524E-3</v>
      </c>
      <c r="AY55">
        <f t="shared" si="44"/>
        <v>1840.5173242883016</v>
      </c>
      <c r="AZ55">
        <f t="shared" si="41"/>
        <v>1011.5904973159163</v>
      </c>
      <c r="BA55">
        <f t="shared" si="42"/>
        <v>828.92682697238524</v>
      </c>
    </row>
    <row r="56" spans="1:53" x14ac:dyDescent="0.35">
      <c r="A56" s="1">
        <v>55</v>
      </c>
      <c r="B56" s="1">
        <v>1734.337401732017</v>
      </c>
      <c r="C56" s="1">
        <v>0</v>
      </c>
      <c r="D56" s="1"/>
      <c r="E56" s="1">
        <v>1734.34</v>
      </c>
      <c r="F56" s="1"/>
      <c r="G56" s="1"/>
      <c r="H56" s="1"/>
      <c r="I56" s="1"/>
      <c r="J56" s="1"/>
      <c r="K56" s="1">
        <v>0</v>
      </c>
      <c r="L56" s="1">
        <v>0</v>
      </c>
      <c r="M56" s="4">
        <f t="shared" si="43"/>
        <v>290</v>
      </c>
      <c r="N56" s="4"/>
      <c r="O56" s="4">
        <f t="shared" si="34"/>
        <v>0</v>
      </c>
      <c r="P56" s="4">
        <f t="shared" si="35"/>
        <v>0</v>
      </c>
      <c r="Q56" s="4">
        <f t="shared" si="36"/>
        <v>0</v>
      </c>
      <c r="R56" s="4"/>
      <c r="S56" s="65" t="s">
        <v>345</v>
      </c>
      <c r="T56" s="1">
        <v>0.75</v>
      </c>
      <c r="U56" s="30"/>
      <c r="V56" s="4"/>
      <c r="W56" s="4">
        <v>36.4392</v>
      </c>
      <c r="X56" s="1">
        <f t="shared" si="37"/>
        <v>-253.5608</v>
      </c>
      <c r="Y56" s="1">
        <f t="shared" si="23"/>
        <v>910.98</v>
      </c>
      <c r="Z56" s="1">
        <f t="shared" si="38"/>
        <v>620.98</v>
      </c>
      <c r="AA56" s="1">
        <f t="shared" si="39"/>
        <v>6.6884332820220096E-3</v>
      </c>
      <c r="AB56" s="1">
        <f t="shared" si="40"/>
        <v>1.2445714725159618E-2</v>
      </c>
      <c r="AC56" s="4"/>
      <c r="AD56" s="1"/>
      <c r="AE56" s="1">
        <f>AE55+1</f>
        <v>18</v>
      </c>
      <c r="AF56">
        <f t="shared" si="31"/>
        <v>4685.0797199999997</v>
      </c>
      <c r="AG56">
        <f t="shared" si="32"/>
        <v>68381.434960000013</v>
      </c>
      <c r="AH56">
        <f t="shared" si="26"/>
        <v>1613.7641929972278</v>
      </c>
      <c r="AI56">
        <f t="shared" si="28"/>
        <v>34399.43486889793</v>
      </c>
      <c r="AJ56">
        <f t="shared" si="29"/>
        <v>7307.1254284479464</v>
      </c>
      <c r="AK56">
        <f t="shared" si="27"/>
        <v>2516.9213919307276</v>
      </c>
      <c r="AL56">
        <f t="shared" si="33"/>
        <v>45782.285729750081</v>
      </c>
      <c r="AX56">
        <f t="shared" si="11"/>
        <v>4.2883302406453942E-3</v>
      </c>
      <c r="AY56">
        <f t="shared" si="44"/>
        <v>2817.7406499915173</v>
      </c>
      <c r="AZ56">
        <f t="shared" si="41"/>
        <v>1548.6948304245905</v>
      </c>
      <c r="BA56">
        <f t="shared" si="42"/>
        <v>1269.0458195669269</v>
      </c>
    </row>
    <row r="57" spans="1:53" x14ac:dyDescent="0.35">
      <c r="A57" s="1">
        <v>56</v>
      </c>
      <c r="B57" s="1">
        <v>1696.5437943175671</v>
      </c>
      <c r="C57" s="1">
        <v>0</v>
      </c>
      <c r="D57" s="1"/>
      <c r="E57" s="1">
        <v>1696.54</v>
      </c>
      <c r="F57" s="1"/>
      <c r="G57" s="1"/>
      <c r="H57" s="1"/>
      <c r="I57" s="1"/>
      <c r="J57" s="1"/>
      <c r="K57" s="1">
        <v>0</v>
      </c>
      <c r="L57" s="1">
        <v>0</v>
      </c>
      <c r="M57" s="4">
        <f t="shared" si="43"/>
        <v>290</v>
      </c>
      <c r="N57" s="4"/>
      <c r="O57" s="4">
        <f t="shared" si="34"/>
        <v>0</v>
      </c>
      <c r="P57" s="4">
        <f t="shared" si="35"/>
        <v>0</v>
      </c>
      <c r="Q57" s="4">
        <f t="shared" si="36"/>
        <v>0</v>
      </c>
      <c r="R57" s="4"/>
      <c r="S57" s="72"/>
      <c r="U57" s="30"/>
      <c r="V57" s="4"/>
      <c r="W57" s="4">
        <v>33.6798</v>
      </c>
      <c r="X57" s="1">
        <f t="shared" si="37"/>
        <v>-256.3202</v>
      </c>
      <c r="Y57" s="1">
        <f t="shared" si="23"/>
        <v>841.995</v>
      </c>
      <c r="Z57" s="1">
        <f t="shared" si="38"/>
        <v>551.995</v>
      </c>
      <c r="AA57" s="1">
        <f t="shared" si="39"/>
        <v>6.837430332687691E-3</v>
      </c>
      <c r="AB57" s="1">
        <f t="shared" si="40"/>
        <v>1.272296572091368E-2</v>
      </c>
      <c r="AC57" s="4"/>
      <c r="AD57" s="1"/>
      <c r="AE57" s="1">
        <f t="shared" ref="AE57:AE61" si="45">AE56+1</f>
        <v>19</v>
      </c>
      <c r="AF57">
        <f t="shared" si="31"/>
        <v>4685.0797199999997</v>
      </c>
      <c r="AG57">
        <f t="shared" si="32"/>
        <v>73066.514680000008</v>
      </c>
      <c r="AH57">
        <f t="shared" si="26"/>
        <v>1520.9841592810819</v>
      </c>
      <c r="AI57">
        <f t="shared" si="28"/>
        <v>35920.419028179014</v>
      </c>
      <c r="AJ57">
        <f t="shared" si="29"/>
        <v>7489.803564159145</v>
      </c>
      <c r="AK57">
        <f t="shared" si="27"/>
        <v>2431.5216086041432</v>
      </c>
      <c r="AL57">
        <f t="shared" si="33"/>
        <v>48213.807338354221</v>
      </c>
      <c r="AX57">
        <f t="shared" si="11"/>
        <v>4.1948816017492885E-3</v>
      </c>
      <c r="AY57">
        <f t="shared" si="44"/>
        <v>2756.3381894234835</v>
      </c>
      <c r="AZ57">
        <f t="shared" si="41"/>
        <v>1514.9466310445837</v>
      </c>
      <c r="BA57">
        <f t="shared" si="42"/>
        <v>1241.3915583788998</v>
      </c>
    </row>
    <row r="58" spans="1:53" x14ac:dyDescent="0.35">
      <c r="A58" s="1">
        <v>57</v>
      </c>
      <c r="B58" s="1">
        <v>2227.6855671211929</v>
      </c>
      <c r="C58" s="1">
        <v>0</v>
      </c>
      <c r="D58" s="1"/>
      <c r="E58" s="1">
        <v>2227.69</v>
      </c>
      <c r="F58" s="1"/>
      <c r="G58" s="1"/>
      <c r="H58" s="1"/>
      <c r="I58" s="1"/>
      <c r="J58" s="1"/>
      <c r="K58" s="1">
        <v>0</v>
      </c>
      <c r="L58" s="1">
        <v>0</v>
      </c>
      <c r="M58" s="4">
        <f t="shared" si="43"/>
        <v>290</v>
      </c>
      <c r="N58" s="4"/>
      <c r="O58" s="4">
        <f t="shared" si="34"/>
        <v>0</v>
      </c>
      <c r="P58" s="4">
        <f t="shared" si="35"/>
        <v>0</v>
      </c>
      <c r="Q58" s="4">
        <f t="shared" si="36"/>
        <v>0</v>
      </c>
      <c r="R58" s="4"/>
      <c r="S58" s="72"/>
      <c r="U58" s="30"/>
      <c r="V58" s="4"/>
      <c r="W58" s="4">
        <v>43.985100000000003</v>
      </c>
      <c r="X58" s="1">
        <f t="shared" si="37"/>
        <v>-246.01490000000001</v>
      </c>
      <c r="Y58" s="1">
        <f t="shared" si="23"/>
        <v>1099.6275000000001</v>
      </c>
      <c r="Z58" s="1">
        <f t="shared" si="38"/>
        <v>809.62750000000005</v>
      </c>
      <c r="AA58" s="1">
        <f t="shared" si="39"/>
        <v>5.2071980764280476E-3</v>
      </c>
      <c r="AB58" s="1">
        <f t="shared" si="40"/>
        <v>9.6894592565975636E-3</v>
      </c>
      <c r="AC58" s="4"/>
      <c r="AD58" s="1"/>
      <c r="AE58" s="1">
        <f t="shared" si="45"/>
        <v>20</v>
      </c>
      <c r="AF58">
        <f t="shared" si="31"/>
        <v>4685.0797199999997</v>
      </c>
      <c r="AG58">
        <f t="shared" si="32"/>
        <v>77751.594400000002</v>
      </c>
      <c r="AH58">
        <f t="shared" si="26"/>
        <v>1433.538321659832</v>
      </c>
      <c r="AI58">
        <f t="shared" si="28"/>
        <v>37353.957349838849</v>
      </c>
      <c r="AJ58">
        <f t="shared" si="29"/>
        <v>7677.048653263123</v>
      </c>
      <c r="AK58">
        <f t="shared" si="27"/>
        <v>2349.019461658102</v>
      </c>
      <c r="AL58">
        <f t="shared" si="33"/>
        <v>50562.826800012321</v>
      </c>
      <c r="AX58">
        <f t="shared" si="11"/>
        <v>5.5081850709065181E-3</v>
      </c>
      <c r="AY58">
        <f t="shared" si="44"/>
        <v>3619.2727964052146</v>
      </c>
      <c r="AZ58">
        <f t="shared" si="41"/>
        <v>1989.2352653910791</v>
      </c>
      <c r="BA58">
        <f t="shared" si="42"/>
        <v>1630.0375310141355</v>
      </c>
    </row>
    <row r="59" spans="1:53" x14ac:dyDescent="0.35">
      <c r="A59" s="1">
        <v>58</v>
      </c>
      <c r="B59" s="1">
        <v>404.30530639696019</v>
      </c>
      <c r="C59" s="1">
        <v>0</v>
      </c>
      <c r="D59" s="1"/>
      <c r="E59" s="1">
        <v>404.30500000000001</v>
      </c>
      <c r="F59" s="1"/>
      <c r="G59" s="1"/>
      <c r="H59" s="1"/>
      <c r="I59" s="1"/>
      <c r="J59" s="1"/>
      <c r="K59" s="1">
        <v>0</v>
      </c>
      <c r="L59" s="1">
        <v>0</v>
      </c>
      <c r="M59" s="4">
        <f t="shared" si="43"/>
        <v>290</v>
      </c>
      <c r="N59" s="4"/>
      <c r="O59" s="4">
        <f t="shared" si="34"/>
        <v>0</v>
      </c>
      <c r="P59" s="4">
        <f t="shared" si="35"/>
        <v>0</v>
      </c>
      <c r="Q59" s="4">
        <f t="shared" si="36"/>
        <v>0</v>
      </c>
      <c r="R59" s="4"/>
      <c r="S59" s="63"/>
      <c r="T59" s="4"/>
      <c r="U59" s="46"/>
      <c r="V59" s="4"/>
      <c r="W59" s="4">
        <v>7.2637200000000002</v>
      </c>
      <c r="X59" s="1">
        <f t="shared" si="37"/>
        <v>-282.73628000000002</v>
      </c>
      <c r="Y59" s="1">
        <f t="shared" si="23"/>
        <v>181.59300000000002</v>
      </c>
      <c r="Z59" s="1">
        <f t="shared" si="38"/>
        <v>-108.40699999999998</v>
      </c>
      <c r="AA59" s="1">
        <f t="shared" si="39"/>
        <v>2.8691189100077601E-2</v>
      </c>
      <c r="AB59" s="1">
        <f t="shared" si="40"/>
        <v>5.3388041654685352E-2</v>
      </c>
      <c r="AC59" s="4"/>
      <c r="AD59" s="1"/>
      <c r="AE59" s="1">
        <f t="shared" si="45"/>
        <v>21</v>
      </c>
      <c r="AF59">
        <f t="shared" si="31"/>
        <v>4685.0797199999997</v>
      </c>
      <c r="AG59">
        <f t="shared" si="32"/>
        <v>82436.674119999996</v>
      </c>
      <c r="AH59">
        <f t="shared" si="26"/>
        <v>1351.1200015644035</v>
      </c>
      <c r="AI59">
        <f t="shared" si="28"/>
        <v>38705.077351403255</v>
      </c>
      <c r="AJ59">
        <f t="shared" si="29"/>
        <v>7868.9748695947001</v>
      </c>
      <c r="AK59">
        <f t="shared" si="27"/>
        <v>2269.3166335528317</v>
      </c>
      <c r="AL59">
        <f t="shared" si="33"/>
        <v>52832.14343356515</v>
      </c>
      <c r="AX59">
        <f t="shared" si="11"/>
        <v>9.9968706789348551E-4</v>
      </c>
      <c r="AY59">
        <f t="shared" si="44"/>
        <v>656.86612979936137</v>
      </c>
      <c r="AZ59">
        <f t="shared" si="41"/>
        <v>361.02867717947765</v>
      </c>
      <c r="BA59">
        <f t="shared" si="42"/>
        <v>295.83745261988372</v>
      </c>
    </row>
    <row r="60" spans="1:53" x14ac:dyDescent="0.35">
      <c r="A60" s="1">
        <v>59</v>
      </c>
      <c r="B60" s="1">
        <v>3141.552121160008</v>
      </c>
      <c r="C60" s="1">
        <v>0</v>
      </c>
      <c r="D60" s="1"/>
      <c r="E60" s="1">
        <v>3141.55</v>
      </c>
      <c r="F60" s="1"/>
      <c r="G60" s="1"/>
      <c r="H60" s="1"/>
      <c r="I60" s="1"/>
      <c r="J60" s="1"/>
      <c r="K60" s="1">
        <v>0</v>
      </c>
      <c r="L60" s="1">
        <v>0</v>
      </c>
      <c r="M60" s="4">
        <f t="shared" si="43"/>
        <v>290</v>
      </c>
      <c r="N60" s="4"/>
      <c r="O60" s="4">
        <f t="shared" si="34"/>
        <v>0</v>
      </c>
      <c r="P60" s="4">
        <f t="shared" si="35"/>
        <v>0</v>
      </c>
      <c r="Q60" s="4">
        <f t="shared" si="36"/>
        <v>0</v>
      </c>
      <c r="R60" s="4"/>
      <c r="S60" s="63"/>
      <c r="T60" s="4"/>
      <c r="U60" s="46"/>
      <c r="V60" s="4"/>
      <c r="W60" s="4">
        <v>63.6265</v>
      </c>
      <c r="X60" s="1">
        <f t="shared" si="37"/>
        <v>-226.37350000000001</v>
      </c>
      <c r="Y60" s="1">
        <f t="shared" si="23"/>
        <v>1590.6624999999999</v>
      </c>
      <c r="Z60" s="1">
        <f t="shared" si="38"/>
        <v>1300.6624999999999</v>
      </c>
      <c r="AA60" s="1">
        <f t="shared" si="39"/>
        <v>3.6924423191542453E-3</v>
      </c>
      <c r="AB60" s="1">
        <f t="shared" si="40"/>
        <v>6.8708293565287156E-3</v>
      </c>
      <c r="AC60" s="4"/>
      <c r="AD60" s="1"/>
      <c r="AE60" s="1">
        <f t="shared" si="45"/>
        <v>22</v>
      </c>
      <c r="AF60">
        <f t="shared" si="31"/>
        <v>4685.0797199999997</v>
      </c>
      <c r="AG60">
        <f t="shared" si="32"/>
        <v>87121.75383999999</v>
      </c>
      <c r="AH60">
        <f t="shared" si="26"/>
        <v>1273.4401522755923</v>
      </c>
      <c r="AI60">
        <f t="shared" si="28"/>
        <v>39978.51750367885</v>
      </c>
      <c r="AJ60">
        <f t="shared" si="29"/>
        <v>8065.699241334567</v>
      </c>
      <c r="AK60">
        <f t="shared" si="27"/>
        <v>2192.3181426877022</v>
      </c>
      <c r="AL60">
        <f t="shared" si="33"/>
        <v>55024.461576252856</v>
      </c>
      <c r="AX60">
        <f t="shared" si="11"/>
        <v>7.7678155071096069E-3</v>
      </c>
      <c r="AY60">
        <f t="shared" si="44"/>
        <v>5104.0121184144418</v>
      </c>
      <c r="AZ60">
        <f t="shared" si="41"/>
        <v>2805.2820199178745</v>
      </c>
      <c r="BA60">
        <f t="shared" si="42"/>
        <v>2298.7300984965673</v>
      </c>
    </row>
    <row r="61" spans="1:53" x14ac:dyDescent="0.35">
      <c r="A61" s="1">
        <v>60</v>
      </c>
      <c r="B61" s="1">
        <v>2862.8042339526478</v>
      </c>
      <c r="C61" s="1">
        <v>0</v>
      </c>
      <c r="D61" s="1"/>
      <c r="E61" s="1">
        <v>2862.8</v>
      </c>
      <c r="F61" s="1"/>
      <c r="G61" s="1"/>
      <c r="H61" s="1"/>
      <c r="I61" s="1"/>
      <c r="J61" s="1"/>
      <c r="K61" s="1">
        <v>0</v>
      </c>
      <c r="L61" s="1">
        <v>0</v>
      </c>
      <c r="M61" s="4">
        <f t="shared" si="43"/>
        <v>290</v>
      </c>
      <c r="N61" s="4"/>
      <c r="O61" s="4">
        <f t="shared" si="34"/>
        <v>0</v>
      </c>
      <c r="P61" s="4">
        <f t="shared" si="35"/>
        <v>0</v>
      </c>
      <c r="Q61" s="4">
        <f t="shared" si="36"/>
        <v>0</v>
      </c>
      <c r="R61" s="4"/>
      <c r="S61" s="63" t="s">
        <v>341</v>
      </c>
      <c r="T61" s="4"/>
      <c r="U61" s="46"/>
      <c r="V61" s="4"/>
      <c r="W61" s="4">
        <v>59.825899999999997</v>
      </c>
      <c r="X61" s="1">
        <f t="shared" si="37"/>
        <v>-230.17410000000001</v>
      </c>
      <c r="Y61" s="1">
        <f t="shared" si="23"/>
        <v>1495.6475</v>
      </c>
      <c r="Z61" s="1">
        <f t="shared" si="38"/>
        <v>1205.6475</v>
      </c>
      <c r="AA61" s="1">
        <f t="shared" si="39"/>
        <v>4.0519710926876706E-3</v>
      </c>
      <c r="AB61" s="1">
        <f t="shared" si="40"/>
        <v>7.539833944331195E-3</v>
      </c>
      <c r="AC61" s="4"/>
      <c r="AD61" s="1"/>
      <c r="AE61" s="1">
        <f t="shared" si="45"/>
        <v>23</v>
      </c>
      <c r="AF61">
        <f t="shared" si="31"/>
        <v>4685.0797199999997</v>
      </c>
      <c r="AG61">
        <f t="shared" si="32"/>
        <v>91806.833559999985</v>
      </c>
      <c r="AH61">
        <f t="shared" si="26"/>
        <v>1200.2263452173352</v>
      </c>
      <c r="AI61">
        <f t="shared" si="28"/>
        <v>41178.743848896185</v>
      </c>
      <c r="AJ61">
        <f t="shared" si="29"/>
        <v>8267.3417223679317</v>
      </c>
      <c r="AK61">
        <f t="shared" si="27"/>
        <v>2117.9322302119658</v>
      </c>
      <c r="AL61">
        <f t="shared" si="33"/>
        <v>57142.393806464825</v>
      </c>
      <c r="AX61">
        <f t="shared" si="11"/>
        <v>7.0785822627399868E-3</v>
      </c>
      <c r="AY61">
        <f t="shared" si="44"/>
        <v>4651.1364253116799</v>
      </c>
      <c r="AZ61">
        <f t="shared" si="41"/>
        <v>2556.3711612356492</v>
      </c>
      <c r="BA61">
        <f t="shared" si="42"/>
        <v>2094.7652640760307</v>
      </c>
    </row>
    <row r="62" spans="1:53" x14ac:dyDescent="0.35">
      <c r="A62" s="1">
        <v>61</v>
      </c>
      <c r="B62" s="1">
        <v>2954.0094942934988</v>
      </c>
      <c r="C62" s="1">
        <v>0</v>
      </c>
      <c r="D62" s="1"/>
      <c r="E62" s="1">
        <v>2954.01</v>
      </c>
      <c r="F62" s="1"/>
      <c r="G62" s="1"/>
      <c r="H62" s="1"/>
      <c r="I62" s="1"/>
      <c r="J62" s="1"/>
      <c r="K62" s="1">
        <v>0</v>
      </c>
      <c r="L62" s="1">
        <v>0</v>
      </c>
      <c r="M62" s="4">
        <f t="shared" si="43"/>
        <v>290</v>
      </c>
      <c r="N62" s="4"/>
      <c r="O62" s="4">
        <f t="shared" si="34"/>
        <v>0</v>
      </c>
      <c r="P62" s="4">
        <f t="shared" si="35"/>
        <v>0</v>
      </c>
      <c r="Q62" s="4">
        <f t="shared" si="36"/>
        <v>0</v>
      </c>
      <c r="R62" s="4"/>
      <c r="S62" s="87" t="s">
        <v>333</v>
      </c>
      <c r="T62" s="4">
        <v>650</v>
      </c>
      <c r="U62" s="46" t="s">
        <v>337</v>
      </c>
      <c r="V62" s="4"/>
      <c r="W62" s="4">
        <v>64.215500000000006</v>
      </c>
      <c r="X62" s="1">
        <f t="shared" si="37"/>
        <v>-225.78449999999998</v>
      </c>
      <c r="Y62" s="1">
        <f t="shared" si="23"/>
        <v>1605.3875</v>
      </c>
      <c r="Z62" s="1">
        <f t="shared" si="38"/>
        <v>1315.3875</v>
      </c>
      <c r="AA62" s="1">
        <f t="shared" si="39"/>
        <v>3.9268661872646883E-3</v>
      </c>
      <c r="AB62" s="1">
        <f t="shared" si="40"/>
        <v>7.3070410169056238E-3</v>
      </c>
      <c r="AC62" s="4"/>
      <c r="AD62" s="1"/>
      <c r="AE62" s="1">
        <f>AE61+1</f>
        <v>24</v>
      </c>
      <c r="AF62">
        <f t="shared" si="31"/>
        <v>4685.0797199999997</v>
      </c>
      <c r="AG62">
        <f t="shared" si="32"/>
        <v>96491.913279999979</v>
      </c>
      <c r="AH62">
        <f t="shared" si="26"/>
        <v>1131.2218145309473</v>
      </c>
      <c r="AI62">
        <f t="shared" si="28"/>
        <v>42309.96566342713</v>
      </c>
      <c r="AJ62">
        <f t="shared" si="29"/>
        <v>8474.0252654271299</v>
      </c>
      <c r="AK62">
        <f t="shared" si="27"/>
        <v>2046.0702506760272</v>
      </c>
      <c r="AL62">
        <f t="shared" si="33"/>
        <v>59188.464057140853</v>
      </c>
      <c r="AX62">
        <f t="shared" si="11"/>
        <v>7.3040967881345346E-3</v>
      </c>
      <c r="AY62">
        <f t="shared" si="44"/>
        <v>4799.3156488577024</v>
      </c>
      <c r="AZ62">
        <f t="shared" si="41"/>
        <v>2637.8138580582777</v>
      </c>
      <c r="BA62">
        <f t="shared" si="42"/>
        <v>2161.5017907994247</v>
      </c>
    </row>
    <row r="63" spans="1:53" x14ac:dyDescent="0.35">
      <c r="A63" s="1">
        <v>62</v>
      </c>
      <c r="B63" s="1">
        <v>1204.0745303370161</v>
      </c>
      <c r="C63" s="1">
        <v>0</v>
      </c>
      <c r="D63" s="1"/>
      <c r="E63" s="1">
        <v>1204.07</v>
      </c>
      <c r="F63" s="1"/>
      <c r="G63" s="1"/>
      <c r="H63" s="1"/>
      <c r="I63" s="1"/>
      <c r="J63" s="1"/>
      <c r="K63" s="1">
        <v>0</v>
      </c>
      <c r="L63" s="1">
        <v>0</v>
      </c>
      <c r="M63" s="4">
        <f t="shared" si="43"/>
        <v>290</v>
      </c>
      <c r="N63" s="4"/>
      <c r="O63" s="4">
        <f t="shared" si="34"/>
        <v>0</v>
      </c>
      <c r="P63" s="4">
        <f t="shared" si="35"/>
        <v>0</v>
      </c>
      <c r="Q63" s="4">
        <f t="shared" si="36"/>
        <v>0</v>
      </c>
      <c r="R63" s="4"/>
      <c r="S63" s="87" t="s">
        <v>334</v>
      </c>
      <c r="T63" s="4">
        <v>350</v>
      </c>
      <c r="U63" s="46" t="s">
        <v>337</v>
      </c>
      <c r="V63" s="4"/>
      <c r="W63" s="4">
        <v>25.6633</v>
      </c>
      <c r="X63" s="1">
        <f t="shared" si="37"/>
        <v>-264.33670000000001</v>
      </c>
      <c r="Y63" s="1">
        <f t="shared" si="23"/>
        <v>641.58249999999998</v>
      </c>
      <c r="Z63" s="1">
        <f>Y63-M63</f>
        <v>351.58249999999998</v>
      </c>
      <c r="AA63" s="1">
        <f t="shared" si="39"/>
        <v>9.6339551312934115E-3</v>
      </c>
      <c r="AB63" s="1">
        <f t="shared" si="40"/>
        <v>1.7926688087231323E-2</v>
      </c>
      <c r="AC63" s="4"/>
      <c r="AD63" s="1"/>
      <c r="AE63" s="1">
        <f t="shared" ref="AE63" si="46">AE62+1</f>
        <v>25</v>
      </c>
      <c r="AF63">
        <f t="shared" si="31"/>
        <v>4685.0797199999997</v>
      </c>
      <c r="AG63">
        <f t="shared" si="32"/>
        <v>101176.99299999997</v>
      </c>
      <c r="AH63">
        <f t="shared" si="26"/>
        <v>1066.1845565795923</v>
      </c>
      <c r="AI63">
        <f t="shared" si="28"/>
        <v>43376.150220006726</v>
      </c>
      <c r="AJ63">
        <f t="shared" si="29"/>
        <v>8685.875897062806</v>
      </c>
      <c r="AK63">
        <f t="shared" si="27"/>
        <v>1976.6465663929569</v>
      </c>
      <c r="AL63">
        <f t="shared" si="33"/>
        <v>61165.110623533808</v>
      </c>
      <c r="AX63">
        <f t="shared" si="11"/>
        <v>2.9771999469529777E-3</v>
      </c>
      <c r="AY63">
        <f t="shared" si="44"/>
        <v>1956.2339752125647</v>
      </c>
      <c r="AZ63">
        <f t="shared" si="41"/>
        <v>1075.1910203381444</v>
      </c>
      <c r="BA63">
        <f t="shared" si="42"/>
        <v>881.04295487442027</v>
      </c>
    </row>
    <row r="64" spans="1:53" x14ac:dyDescent="0.35">
      <c r="A64" s="1">
        <v>63</v>
      </c>
      <c r="B64" s="1">
        <v>13474.18710799874</v>
      </c>
      <c r="C64" s="1">
        <v>0</v>
      </c>
      <c r="D64" s="1"/>
      <c r="E64" s="1">
        <v>13474.2</v>
      </c>
      <c r="F64" s="1"/>
      <c r="G64" s="1"/>
      <c r="H64" s="1"/>
      <c r="I64" s="1"/>
      <c r="J64" s="1"/>
      <c r="K64" s="1">
        <v>0</v>
      </c>
      <c r="L64" s="1">
        <v>0</v>
      </c>
      <c r="M64" s="4">
        <f t="shared" si="43"/>
        <v>290</v>
      </c>
      <c r="N64" s="4"/>
      <c r="O64" s="4">
        <f t="shared" si="34"/>
        <v>0</v>
      </c>
      <c r="P64" s="4">
        <f t="shared" si="35"/>
        <v>0</v>
      </c>
      <c r="Q64" s="4">
        <f t="shared" si="36"/>
        <v>0</v>
      </c>
      <c r="R64" s="4"/>
      <c r="S64" s="87"/>
      <c r="T64" s="4"/>
      <c r="U64" s="46"/>
      <c r="V64" s="4"/>
      <c r="W64" s="4">
        <v>279.54399999999998</v>
      </c>
      <c r="X64" s="1">
        <f t="shared" si="37"/>
        <v>-10.456000000000017</v>
      </c>
      <c r="Y64" s="1">
        <f t="shared" si="23"/>
        <v>6988.5999999999995</v>
      </c>
      <c r="Z64" s="1">
        <f t="shared" si="38"/>
        <v>6698.5999999999995</v>
      </c>
      <c r="AA64" s="1">
        <f t="shared" si="39"/>
        <v>8.6090536720496047E-4</v>
      </c>
      <c r="AB64" s="1">
        <f t="shared" si="40"/>
        <v>1.6019570135193983E-3</v>
      </c>
      <c r="AC64" s="4"/>
      <c r="AX64">
        <f t="shared" si="11"/>
        <v>3.33163339415046E-2</v>
      </c>
      <c r="AY64">
        <f t="shared" si="44"/>
        <v>21891.221801411721</v>
      </c>
      <c r="AZ64">
        <f t="shared" si="41"/>
        <v>12031.91714454859</v>
      </c>
      <c r="BA64">
        <f t="shared" si="42"/>
        <v>9859.3046568631307</v>
      </c>
    </row>
    <row r="65" spans="1:53" x14ac:dyDescent="0.35">
      <c r="A65" s="1">
        <v>64</v>
      </c>
      <c r="B65" s="1">
        <v>3713.6923624805509</v>
      </c>
      <c r="C65" s="1">
        <v>0</v>
      </c>
      <c r="D65" s="1"/>
      <c r="E65" s="1">
        <v>3713.69</v>
      </c>
      <c r="F65" s="1"/>
      <c r="G65" s="1"/>
      <c r="H65" s="1"/>
      <c r="I65" s="1"/>
      <c r="J65" s="1"/>
      <c r="K65" s="1">
        <v>0</v>
      </c>
      <c r="L65" s="1">
        <v>0</v>
      </c>
      <c r="M65" s="4">
        <f t="shared" si="43"/>
        <v>290</v>
      </c>
      <c r="N65" s="4"/>
      <c r="O65" s="4">
        <f t="shared" si="34"/>
        <v>0</v>
      </c>
      <c r="P65" s="4">
        <f t="shared" si="35"/>
        <v>0</v>
      </c>
      <c r="Q65" s="4">
        <f t="shared" si="36"/>
        <v>0</v>
      </c>
      <c r="R65" s="4"/>
      <c r="S65" s="87" t="s">
        <v>335</v>
      </c>
      <c r="T65" s="4">
        <v>890</v>
      </c>
      <c r="U65" s="46" t="s">
        <v>338</v>
      </c>
      <c r="V65" s="4"/>
      <c r="W65" s="4">
        <v>78.026300000000006</v>
      </c>
      <c r="X65" s="1">
        <f t="shared" si="37"/>
        <v>-211.97370000000001</v>
      </c>
      <c r="Y65" s="1">
        <f t="shared" si="23"/>
        <v>1950.6575000000003</v>
      </c>
      <c r="Z65" s="1">
        <f t="shared" si="38"/>
        <v>1660.6575000000003</v>
      </c>
      <c r="AA65" s="1">
        <f t="shared" si="39"/>
        <v>3.1235759098397187E-3</v>
      </c>
      <c r="AB65" s="1">
        <f t="shared" si="40"/>
        <v>5.8122931121611671E-3</v>
      </c>
      <c r="AC65" s="4"/>
      <c r="AF65" s="18" t="s">
        <v>51</v>
      </c>
      <c r="AG65" s="4">
        <f>AE41-(AG41/AF42)</f>
        <v>3.4044244608926313</v>
      </c>
      <c r="AH65" s="4"/>
      <c r="AI65" s="10">
        <f>AE42-(AI42/AH43)</f>
        <v>3.9290597624624941</v>
      </c>
      <c r="AJ65" s="10"/>
      <c r="AK65" s="10"/>
      <c r="AL65" s="10">
        <f>AE41-(AL41/AK42)</f>
        <v>3.6927877024070122</v>
      </c>
      <c r="AX65">
        <f t="shared" si="11"/>
        <v>9.1824919687339673E-3</v>
      </c>
      <c r="AY65">
        <f t="shared" si="44"/>
        <v>6033.5560548220074</v>
      </c>
      <c r="AZ65">
        <f t="shared" si="41"/>
        <v>3316.1806680852478</v>
      </c>
      <c r="BA65">
        <f t="shared" si="42"/>
        <v>2717.3753867367595</v>
      </c>
    </row>
    <row r="66" spans="1:53" x14ac:dyDescent="0.35">
      <c r="A66" s="1">
        <v>65</v>
      </c>
      <c r="B66" s="1">
        <v>1118.1009256975681</v>
      </c>
      <c r="C66" s="1">
        <v>0</v>
      </c>
      <c r="D66" s="1"/>
      <c r="E66" s="1">
        <v>1118.0999999999999</v>
      </c>
      <c r="F66" s="1"/>
      <c r="G66" s="1"/>
      <c r="H66" s="1"/>
      <c r="I66" s="1"/>
      <c r="J66" s="1"/>
      <c r="K66" s="1">
        <v>0</v>
      </c>
      <c r="L66" s="1">
        <v>0</v>
      </c>
      <c r="M66" s="4">
        <f t="shared" si="43"/>
        <v>290</v>
      </c>
      <c r="N66" s="4"/>
      <c r="O66" s="4">
        <f t="shared" si="34"/>
        <v>0</v>
      </c>
      <c r="P66" s="4">
        <f t="shared" si="35"/>
        <v>0</v>
      </c>
      <c r="Q66" s="4">
        <f t="shared" si="36"/>
        <v>0</v>
      </c>
      <c r="R66" s="4"/>
      <c r="S66" s="87" t="s">
        <v>336</v>
      </c>
      <c r="T66" s="4">
        <v>820</v>
      </c>
      <c r="U66" s="46" t="s">
        <v>338</v>
      </c>
      <c r="V66" s="4"/>
      <c r="W66" s="4">
        <v>23.491800000000001</v>
      </c>
      <c r="X66" s="1">
        <f t="shared" si="37"/>
        <v>-266.50819999999999</v>
      </c>
      <c r="Y66" s="1">
        <f t="shared" ref="Y66:Y100" si="47">W66*$T$47</f>
        <v>587.29500000000007</v>
      </c>
      <c r="Z66" s="1">
        <f t="shared" si="38"/>
        <v>297.29500000000007</v>
      </c>
      <c r="AA66" s="1">
        <f t="shared" si="39"/>
        <v>1.0374734277912271E-2</v>
      </c>
      <c r="AB66" s="1">
        <f t="shared" si="40"/>
        <v>1.9305116419311256E-2</v>
      </c>
      <c r="AC66" s="4"/>
      <c r="AX66">
        <f t="shared" si="11"/>
        <v>2.7646212363142946E-3</v>
      </c>
      <c r="AY66">
        <f t="shared" si="44"/>
        <v>1816.5545100883367</v>
      </c>
      <c r="AZ66">
        <f t="shared" si="41"/>
        <v>998.41998551809615</v>
      </c>
      <c r="BA66">
        <f t="shared" si="42"/>
        <v>818.1345245702405</v>
      </c>
    </row>
    <row r="67" spans="1:53" x14ac:dyDescent="0.35">
      <c r="A67" s="1">
        <v>66</v>
      </c>
      <c r="B67" s="1">
        <v>789.18834550043005</v>
      </c>
      <c r="C67" s="1">
        <v>0</v>
      </c>
      <c r="D67" s="1"/>
      <c r="E67" s="1">
        <v>789.18799999999999</v>
      </c>
      <c r="F67" s="1"/>
      <c r="G67" s="1"/>
      <c r="H67" s="1"/>
      <c r="I67" s="1"/>
      <c r="J67" s="1"/>
      <c r="K67" s="1">
        <v>0</v>
      </c>
      <c r="L67" s="1">
        <v>0</v>
      </c>
      <c r="M67" s="4">
        <f t="shared" si="43"/>
        <v>290</v>
      </c>
      <c r="N67" s="4"/>
      <c r="O67" s="4">
        <f t="shared" si="34"/>
        <v>0</v>
      </c>
      <c r="P67" s="4">
        <f t="shared" si="35"/>
        <v>0</v>
      </c>
      <c r="Q67" s="4">
        <f t="shared" si="36"/>
        <v>0</v>
      </c>
      <c r="R67" s="4"/>
      <c r="S67" s="65" t="s">
        <v>247</v>
      </c>
      <c r="T67" s="1">
        <v>24000</v>
      </c>
      <c r="U67" s="46" t="s">
        <v>268</v>
      </c>
      <c r="V67" s="4"/>
      <c r="W67" s="4">
        <v>16.784199999999998</v>
      </c>
      <c r="X67" s="1">
        <f t="shared" si="37"/>
        <v>-273.2158</v>
      </c>
      <c r="Y67" s="1">
        <f t="shared" si="47"/>
        <v>419.60499999999996</v>
      </c>
      <c r="Z67" s="1">
        <f t="shared" si="38"/>
        <v>129.60499999999996</v>
      </c>
      <c r="AA67" s="1">
        <f t="shared" si="39"/>
        <v>1.469864585068645E-2</v>
      </c>
      <c r="AB67" s="1">
        <f t="shared" si="40"/>
        <v>2.7350972251679651E-2</v>
      </c>
      <c r="AC67" s="4"/>
      <c r="AX67">
        <f t="shared" ref="AX67:AX103" si="48">B67/$B$102</f>
        <v>1.9513505527786158E-3</v>
      </c>
      <c r="AY67">
        <f t="shared" ref="AY67:AY103" si="49">AX67*$AW$2</f>
        <v>1282.177319935186</v>
      </c>
      <c r="AZ67">
        <f t="shared" si="41"/>
        <v>704.71403643101678</v>
      </c>
      <c r="BA67">
        <f t="shared" si="42"/>
        <v>577.46328350416923</v>
      </c>
    </row>
    <row r="68" spans="1:53" x14ac:dyDescent="0.35">
      <c r="A68" s="1">
        <v>67</v>
      </c>
      <c r="B68" s="1">
        <v>1631.3808757786551</v>
      </c>
      <c r="C68" s="1">
        <v>0</v>
      </c>
      <c r="D68" s="1"/>
      <c r="E68" s="1">
        <v>1631.38</v>
      </c>
      <c r="F68" s="1"/>
      <c r="G68" s="1"/>
      <c r="H68" s="1"/>
      <c r="I68" s="1"/>
      <c r="J68" s="1"/>
      <c r="K68" s="1">
        <v>0</v>
      </c>
      <c r="L68" s="1">
        <v>0</v>
      </c>
      <c r="M68" s="4">
        <f t="shared" si="43"/>
        <v>290</v>
      </c>
      <c r="N68" s="4"/>
      <c r="O68" s="4">
        <f t="shared" si="34"/>
        <v>0</v>
      </c>
      <c r="P68" s="4">
        <f t="shared" si="35"/>
        <v>0</v>
      </c>
      <c r="Q68" s="4">
        <f t="shared" si="36"/>
        <v>0</v>
      </c>
      <c r="R68" s="4"/>
      <c r="S68" s="63" t="s">
        <v>247</v>
      </c>
      <c r="T68" s="4">
        <v>26000</v>
      </c>
      <c r="U68" s="46" t="s">
        <v>264</v>
      </c>
      <c r="V68" s="4"/>
      <c r="W68" s="4">
        <v>31.626000000000001</v>
      </c>
      <c r="X68" s="1">
        <f t="shared" si="37"/>
        <v>-258.37400000000002</v>
      </c>
      <c r="Y68" s="1">
        <f t="shared" si="47"/>
        <v>790.65</v>
      </c>
      <c r="Z68" s="1">
        <f t="shared" si="38"/>
        <v>500.65</v>
      </c>
      <c r="AA68" s="1">
        <f t="shared" si="39"/>
        <v>7.1105406298595606E-3</v>
      </c>
      <c r="AB68" s="1">
        <f t="shared" si="40"/>
        <v>1.3231164383258278E-2</v>
      </c>
      <c r="AC68" s="4"/>
      <c r="AX68">
        <f t="shared" si="48"/>
        <v>4.0337594845303078E-3</v>
      </c>
      <c r="AY68">
        <f t="shared" si="49"/>
        <v>2650.4693981168948</v>
      </c>
      <c r="AZ68">
        <f t="shared" si="41"/>
        <v>1456.7587173342474</v>
      </c>
      <c r="BA68">
        <f t="shared" si="42"/>
        <v>1193.7106807826474</v>
      </c>
    </row>
    <row r="69" spans="1:53" x14ac:dyDescent="0.35">
      <c r="A69" s="1">
        <v>68</v>
      </c>
      <c r="B69" s="1">
        <v>4258.9353884654111</v>
      </c>
      <c r="C69" s="1">
        <v>0</v>
      </c>
      <c r="D69" s="1"/>
      <c r="E69" s="1">
        <v>4258.9399999999996</v>
      </c>
      <c r="F69" s="1"/>
      <c r="G69" s="1"/>
      <c r="H69" s="1"/>
      <c r="I69" s="1"/>
      <c r="J69" s="1"/>
      <c r="K69" s="1">
        <v>0</v>
      </c>
      <c r="L69" s="1">
        <v>0</v>
      </c>
      <c r="M69" s="4">
        <f t="shared" si="43"/>
        <v>290</v>
      </c>
      <c r="N69" s="4"/>
      <c r="O69" s="4">
        <f t="shared" si="34"/>
        <v>0</v>
      </c>
      <c r="P69" s="4">
        <f t="shared" si="35"/>
        <v>0</v>
      </c>
      <c r="Q69" s="4">
        <f t="shared" si="36"/>
        <v>0</v>
      </c>
      <c r="R69" s="4"/>
      <c r="S69" s="63" t="s">
        <v>247</v>
      </c>
      <c r="T69" s="4">
        <v>32500</v>
      </c>
      <c r="U69" s="46" t="s">
        <v>265</v>
      </c>
      <c r="V69" s="4"/>
      <c r="W69" s="4">
        <v>86.851900000000001</v>
      </c>
      <c r="X69" s="1">
        <f t="shared" si="37"/>
        <v>-203.1481</v>
      </c>
      <c r="Y69" s="1">
        <f t="shared" si="47"/>
        <v>2171.2975000000001</v>
      </c>
      <c r="Z69" s="1">
        <f t="shared" si="38"/>
        <v>1881.2975000000001</v>
      </c>
      <c r="AA69" s="1">
        <f t="shared" si="39"/>
        <v>2.7236853678073145E-3</v>
      </c>
      <c r="AB69" s="1">
        <f t="shared" si="40"/>
        <v>5.068184081306013E-3</v>
      </c>
      <c r="AC69" s="4"/>
      <c r="AX69">
        <f t="shared" si="48"/>
        <v>1.053066225814641E-2</v>
      </c>
      <c r="AY69">
        <f t="shared" si="49"/>
        <v>6919.4006643585508</v>
      </c>
      <c r="AZ69">
        <f t="shared" si="41"/>
        <v>3803.061164823961</v>
      </c>
      <c r="BA69">
        <f t="shared" si="42"/>
        <v>3116.3394995345898</v>
      </c>
    </row>
    <row r="70" spans="1:53" x14ac:dyDescent="0.35">
      <c r="A70" s="1">
        <v>69</v>
      </c>
      <c r="B70" s="1">
        <v>4490.8701254733214</v>
      </c>
      <c r="C70" s="1">
        <v>0</v>
      </c>
      <c r="D70" s="1"/>
      <c r="E70" s="1">
        <v>4490.87</v>
      </c>
      <c r="F70" s="1"/>
      <c r="G70" s="1"/>
      <c r="H70" s="1"/>
      <c r="I70" s="1"/>
      <c r="J70" s="1"/>
      <c r="K70" s="1">
        <v>0</v>
      </c>
      <c r="L70" s="1">
        <v>0</v>
      </c>
      <c r="M70" s="4">
        <f t="shared" si="43"/>
        <v>290</v>
      </c>
      <c r="N70" s="4"/>
      <c r="O70" s="4">
        <f t="shared" si="34"/>
        <v>0</v>
      </c>
      <c r="P70" s="4">
        <f t="shared" si="35"/>
        <v>0</v>
      </c>
      <c r="Q70" s="4">
        <f t="shared" si="36"/>
        <v>0</v>
      </c>
      <c r="R70" s="4"/>
      <c r="S70" s="63" t="s">
        <v>247</v>
      </c>
      <c r="T70" s="4">
        <v>34600</v>
      </c>
      <c r="U70" s="46" t="s">
        <v>266</v>
      </c>
      <c r="V70" s="4"/>
      <c r="W70" s="4">
        <v>90.9893</v>
      </c>
      <c r="X70" s="1">
        <f t="shared" si="37"/>
        <v>-199.01069999999999</v>
      </c>
      <c r="Y70" s="1">
        <f t="shared" si="47"/>
        <v>2274.7325000000001</v>
      </c>
      <c r="Z70" s="1">
        <f t="shared" si="38"/>
        <v>1984.7325000000001</v>
      </c>
      <c r="AA70" s="1">
        <f t="shared" si="39"/>
        <v>2.5830183630120903E-3</v>
      </c>
      <c r="AB70" s="1">
        <f t="shared" si="40"/>
        <v>4.8064334830560818E-3</v>
      </c>
      <c r="AC70" s="4"/>
      <c r="AX70">
        <f t="shared" si="48"/>
        <v>1.1104145102703576E-2</v>
      </c>
      <c r="AY70">
        <f t="shared" si="49"/>
        <v>7296.2200398500927</v>
      </c>
      <c r="AZ70">
        <f t="shared" si="41"/>
        <v>4010.1697284986662</v>
      </c>
      <c r="BA70">
        <f t="shared" si="42"/>
        <v>3286.0503113514264</v>
      </c>
    </row>
    <row r="71" spans="1:53" x14ac:dyDescent="0.35">
      <c r="A71" s="1">
        <v>70</v>
      </c>
      <c r="B71" s="1">
        <v>6097.7538980173758</v>
      </c>
      <c r="C71" s="1">
        <v>0</v>
      </c>
      <c r="D71" s="1"/>
      <c r="E71" s="1">
        <v>6097.75</v>
      </c>
      <c r="F71" s="1"/>
      <c r="G71" s="1"/>
      <c r="H71" s="1"/>
      <c r="I71" s="1"/>
      <c r="J71" s="1"/>
      <c r="K71" s="1">
        <v>0</v>
      </c>
      <c r="L71" s="1">
        <v>0</v>
      </c>
      <c r="M71" s="4">
        <f t="shared" si="43"/>
        <v>290</v>
      </c>
      <c r="N71" s="4"/>
      <c r="O71" s="4">
        <f t="shared" si="34"/>
        <v>0</v>
      </c>
      <c r="P71" s="4">
        <f t="shared" si="35"/>
        <v>0</v>
      </c>
      <c r="Q71" s="4">
        <f t="shared" si="36"/>
        <v>0</v>
      </c>
      <c r="R71" s="4"/>
      <c r="S71" s="63"/>
      <c r="T71" s="4"/>
      <c r="U71" s="46"/>
      <c r="V71" s="4"/>
      <c r="W71" s="4">
        <v>124.14400000000001</v>
      </c>
      <c r="X71" s="1">
        <f t="shared" si="37"/>
        <v>-165.85599999999999</v>
      </c>
      <c r="Y71" s="1">
        <f t="shared" si="47"/>
        <v>3103.6000000000004</v>
      </c>
      <c r="Z71" s="1">
        <f t="shared" si="38"/>
        <v>2813.6000000000004</v>
      </c>
      <c r="AA71" s="1">
        <f t="shared" si="39"/>
        <v>1.9023398113478512E-3</v>
      </c>
      <c r="AB71" s="1">
        <f t="shared" si="40"/>
        <v>3.5398392424708064E-3</v>
      </c>
      <c r="AC71" s="4"/>
      <c r="AX71">
        <f t="shared" si="48"/>
        <v>1.5077332942694453E-2</v>
      </c>
      <c r="AY71">
        <f t="shared" si="49"/>
        <v>9906.8895215711127</v>
      </c>
      <c r="AZ71">
        <f t="shared" si="41"/>
        <v>5445.0534997573022</v>
      </c>
      <c r="BA71">
        <f t="shared" si="42"/>
        <v>4461.8360218138105</v>
      </c>
    </row>
    <row r="72" spans="1:53" x14ac:dyDescent="0.35">
      <c r="A72" s="1">
        <v>71</v>
      </c>
      <c r="B72" s="1">
        <v>4593.5313049109664</v>
      </c>
      <c r="C72" s="1">
        <v>0</v>
      </c>
      <c r="D72" s="1"/>
      <c r="E72" s="1">
        <v>4593.53</v>
      </c>
      <c r="F72" s="1"/>
      <c r="G72" s="1"/>
      <c r="H72" s="1"/>
      <c r="I72" s="1"/>
      <c r="J72" s="1"/>
      <c r="K72" s="1">
        <v>0</v>
      </c>
      <c r="L72" s="1">
        <v>0</v>
      </c>
      <c r="M72" s="4">
        <f t="shared" si="43"/>
        <v>290</v>
      </c>
      <c r="N72" s="4"/>
      <c r="O72" s="4">
        <f t="shared" si="34"/>
        <v>0</v>
      </c>
      <c r="P72" s="4">
        <f t="shared" si="35"/>
        <v>0</v>
      </c>
      <c r="Q72" s="4">
        <f t="shared" si="36"/>
        <v>0</v>
      </c>
      <c r="R72" s="4"/>
      <c r="S72" s="63"/>
      <c r="T72" s="4"/>
      <c r="U72" s="46"/>
      <c r="V72" s="4"/>
      <c r="W72" s="4">
        <v>96.512100000000004</v>
      </c>
      <c r="X72" s="1">
        <f t="shared" si="37"/>
        <v>-193.4879</v>
      </c>
      <c r="Y72" s="1">
        <f t="shared" si="47"/>
        <v>2412.8025000000002</v>
      </c>
      <c r="Z72" s="1">
        <f t="shared" si="38"/>
        <v>2122.8025000000002</v>
      </c>
      <c r="AA72" s="1">
        <f t="shared" si="39"/>
        <v>2.5252902897599464E-3</v>
      </c>
      <c r="AB72" s="1">
        <f t="shared" si="40"/>
        <v>4.6990141366957784E-3</v>
      </c>
      <c r="AC72" s="4"/>
      <c r="AX72">
        <f t="shared" si="48"/>
        <v>1.1357985583732882E-2</v>
      </c>
      <c r="AY72">
        <f t="shared" si="49"/>
        <v>7463.0114485971098</v>
      </c>
      <c r="AZ72">
        <f t="shared" si="41"/>
        <v>4101.8421088103596</v>
      </c>
      <c r="BA72">
        <f t="shared" si="42"/>
        <v>3361.1693397867502</v>
      </c>
    </row>
    <row r="73" spans="1:53" x14ac:dyDescent="0.35">
      <c r="A73" s="1">
        <v>72</v>
      </c>
      <c r="B73" s="1">
        <v>8062.2213477933838</v>
      </c>
      <c r="C73" s="1">
        <v>0</v>
      </c>
      <c r="D73" s="1"/>
      <c r="E73" s="1">
        <v>8062.22</v>
      </c>
      <c r="F73" s="1"/>
      <c r="G73" s="1"/>
      <c r="H73" s="1"/>
      <c r="I73" s="1"/>
      <c r="J73" s="1"/>
      <c r="K73" s="1">
        <v>0</v>
      </c>
      <c r="L73" s="1">
        <v>0</v>
      </c>
      <c r="M73" s="4">
        <f t="shared" si="43"/>
        <v>290</v>
      </c>
      <c r="N73" s="4"/>
      <c r="O73" s="4">
        <f t="shared" si="34"/>
        <v>0</v>
      </c>
      <c r="P73" s="4">
        <f t="shared" si="35"/>
        <v>0</v>
      </c>
      <c r="Q73" s="4">
        <f t="shared" si="36"/>
        <v>0</v>
      </c>
      <c r="R73" s="4"/>
      <c r="S73" s="63"/>
      <c r="T73" s="4"/>
      <c r="U73" s="46"/>
      <c r="V73" s="4"/>
      <c r="W73" s="4">
        <v>174.48599999999999</v>
      </c>
      <c r="X73" s="1">
        <f t="shared" si="37"/>
        <v>-115.51400000000001</v>
      </c>
      <c r="Y73" s="1">
        <f t="shared" si="47"/>
        <v>4362.1499999999996</v>
      </c>
      <c r="Z73" s="1">
        <f t="shared" si="38"/>
        <v>4072.1499999999996</v>
      </c>
      <c r="AA73" s="1">
        <f t="shared" si="39"/>
        <v>1.4388094173543003E-3</v>
      </c>
      <c r="AB73" s="1">
        <f t="shared" si="40"/>
        <v>2.6773103352017288E-3</v>
      </c>
      <c r="AC73" s="4"/>
      <c r="AX73">
        <f t="shared" si="48"/>
        <v>1.9934683746076182E-2</v>
      </c>
      <c r="AY73">
        <f t="shared" si="49"/>
        <v>13098.517507735209</v>
      </c>
      <c r="AZ73">
        <f t="shared" si="41"/>
        <v>7199.2453778585259</v>
      </c>
      <c r="BA73">
        <f t="shared" si="42"/>
        <v>5899.2721298766828</v>
      </c>
    </row>
    <row r="74" spans="1:53" x14ac:dyDescent="0.35">
      <c r="A74" s="1">
        <v>73</v>
      </c>
      <c r="B74" s="1">
        <v>4657.9117518025187</v>
      </c>
      <c r="C74" s="1">
        <v>0</v>
      </c>
      <c r="D74" s="1"/>
      <c r="E74" s="1">
        <v>4657.91</v>
      </c>
      <c r="F74" s="1"/>
      <c r="G74" s="1"/>
      <c r="H74" s="1"/>
      <c r="I74" s="1"/>
      <c r="J74" s="1"/>
      <c r="K74" s="1">
        <v>0</v>
      </c>
      <c r="L74" s="1">
        <v>0</v>
      </c>
      <c r="M74" s="4">
        <f t="shared" si="43"/>
        <v>290</v>
      </c>
      <c r="N74" s="4"/>
      <c r="O74" s="4">
        <f t="shared" si="34"/>
        <v>0</v>
      </c>
      <c r="P74" s="4">
        <f t="shared" si="35"/>
        <v>0</v>
      </c>
      <c r="Q74" s="4">
        <f t="shared" si="36"/>
        <v>0</v>
      </c>
      <c r="R74" s="4"/>
      <c r="S74" s="63"/>
      <c r="T74" s="4"/>
      <c r="U74" s="46"/>
      <c r="V74" s="4"/>
      <c r="W74" s="4">
        <v>98.659400000000005</v>
      </c>
      <c r="X74" s="1">
        <f t="shared" si="37"/>
        <v>-191.34059999999999</v>
      </c>
      <c r="Y74" s="1">
        <f t="shared" si="47"/>
        <v>2466.4850000000001</v>
      </c>
      <c r="Z74" s="1">
        <f t="shared" si="38"/>
        <v>2176.4850000000001</v>
      </c>
      <c r="AA74" s="1">
        <f t="shared" si="39"/>
        <v>2.4903863830204667E-3</v>
      </c>
      <c r="AB74" s="1">
        <f t="shared" si="40"/>
        <v>4.6340655833117163E-3</v>
      </c>
      <c r="AC74" s="4"/>
      <c r="AX74">
        <f t="shared" si="48"/>
        <v>1.1517172958136269E-2</v>
      </c>
      <c r="AY74">
        <f t="shared" si="49"/>
        <v>7567.6089750586762</v>
      </c>
      <c r="AZ74">
        <f t="shared" si="41"/>
        <v>4159.3313062305388</v>
      </c>
      <c r="BA74">
        <f t="shared" si="42"/>
        <v>3408.2776688281374</v>
      </c>
    </row>
    <row r="75" spans="1:53" x14ac:dyDescent="0.35">
      <c r="A75" s="1">
        <v>74</v>
      </c>
      <c r="B75" s="1">
        <v>4129.0607113934348</v>
      </c>
      <c r="C75" s="1">
        <v>0</v>
      </c>
      <c r="D75" s="1"/>
      <c r="E75" s="1">
        <v>4129.0600000000004</v>
      </c>
      <c r="F75" s="1"/>
      <c r="G75" s="1"/>
      <c r="H75" s="1"/>
      <c r="I75" s="1"/>
      <c r="J75" s="1"/>
      <c r="K75" s="1">
        <v>0</v>
      </c>
      <c r="L75" s="1">
        <v>0</v>
      </c>
      <c r="M75" s="4">
        <f t="shared" si="43"/>
        <v>290</v>
      </c>
      <c r="N75" s="4"/>
      <c r="O75" s="4">
        <f t="shared" si="34"/>
        <v>0</v>
      </c>
      <c r="P75" s="4">
        <f t="shared" si="35"/>
        <v>0</v>
      </c>
      <c r="Q75" s="4">
        <f t="shared" si="36"/>
        <v>0</v>
      </c>
      <c r="R75" s="4"/>
      <c r="S75" s="63"/>
      <c r="T75" s="4"/>
      <c r="U75" s="46"/>
      <c r="V75" s="4"/>
      <c r="W75" s="4">
        <v>86.753399999999999</v>
      </c>
      <c r="X75" s="1">
        <f t="shared" si="37"/>
        <v>-203.2466</v>
      </c>
      <c r="Y75" s="1">
        <f t="shared" si="47"/>
        <v>2168.835</v>
      </c>
      <c r="Z75" s="1">
        <f t="shared" si="38"/>
        <v>1878.835</v>
      </c>
      <c r="AA75" s="1">
        <f t="shared" si="39"/>
        <v>2.8093556406162275E-3</v>
      </c>
      <c r="AB75" s="1">
        <f t="shared" si="40"/>
        <v>5.2275977632324326E-3</v>
      </c>
      <c r="AC75" s="4"/>
      <c r="AX75">
        <f t="shared" si="48"/>
        <v>1.0209533563911015E-2</v>
      </c>
      <c r="AY75">
        <f t="shared" si="49"/>
        <v>6708.3960716969586</v>
      </c>
      <c r="AZ75">
        <f t="shared" si="41"/>
        <v>3687.0882054773165</v>
      </c>
      <c r="BA75">
        <f t="shared" si="42"/>
        <v>3021.3078662196422</v>
      </c>
    </row>
    <row r="76" spans="1:53" x14ac:dyDescent="0.35">
      <c r="A76" s="1">
        <v>75</v>
      </c>
      <c r="B76" s="1">
        <v>14350.316193396229</v>
      </c>
      <c r="C76" s="1">
        <v>0</v>
      </c>
      <c r="D76" s="1"/>
      <c r="E76" s="1">
        <v>14350.3</v>
      </c>
      <c r="F76" s="1"/>
      <c r="G76" s="1"/>
      <c r="H76" s="1"/>
      <c r="I76" s="1"/>
      <c r="J76" s="1"/>
      <c r="K76" s="1">
        <v>0</v>
      </c>
      <c r="L76" s="1">
        <v>0</v>
      </c>
      <c r="M76" s="4">
        <f t="shared" si="43"/>
        <v>290</v>
      </c>
      <c r="N76" s="4"/>
      <c r="O76" s="4">
        <f t="shared" si="34"/>
        <v>0</v>
      </c>
      <c r="P76" s="4">
        <f t="shared" si="35"/>
        <v>0</v>
      </c>
      <c r="Q76" s="4">
        <f t="shared" si="36"/>
        <v>0</v>
      </c>
      <c r="R76" s="4"/>
      <c r="S76" s="63"/>
      <c r="T76" s="4"/>
      <c r="U76" s="46"/>
      <c r="V76" s="4"/>
      <c r="W76" s="4">
        <v>250.209</v>
      </c>
      <c r="X76" s="1">
        <f t="shared" si="37"/>
        <v>-39.790999999999997</v>
      </c>
      <c r="Y76" s="1">
        <f t="shared" si="47"/>
        <v>6255.2250000000004</v>
      </c>
      <c r="Z76" s="1">
        <f t="shared" si="38"/>
        <v>5965.2250000000004</v>
      </c>
      <c r="AA76" s="1">
        <f t="shared" si="39"/>
        <v>8.0834455796438282E-4</v>
      </c>
      <c r="AB76" s="1">
        <f t="shared" si="40"/>
        <v>1.5041528178357712E-3</v>
      </c>
      <c r="AC76" s="4"/>
      <c r="AX76">
        <f t="shared" si="48"/>
        <v>3.5482654547787408E-2</v>
      </c>
      <c r="AY76">
        <f t="shared" si="49"/>
        <v>23314.649870309386</v>
      </c>
      <c r="AZ76">
        <f t="shared" si="41"/>
        <v>12814.265829403495</v>
      </c>
      <c r="BA76">
        <f t="shared" si="42"/>
        <v>10500.38404090589</v>
      </c>
    </row>
    <row r="77" spans="1:53" x14ac:dyDescent="0.35">
      <c r="A77" s="1">
        <v>76</v>
      </c>
      <c r="B77" s="1">
        <v>5149.4780654648821</v>
      </c>
      <c r="C77" s="1">
        <v>0</v>
      </c>
      <c r="D77" s="1"/>
      <c r="E77" s="1">
        <v>5149.4799999999996</v>
      </c>
      <c r="F77" s="1"/>
      <c r="G77" s="1"/>
      <c r="H77" s="1"/>
      <c r="I77" s="1"/>
      <c r="J77" s="1"/>
      <c r="K77" s="1">
        <v>0</v>
      </c>
      <c r="L77" s="1">
        <v>0</v>
      </c>
      <c r="M77" s="4">
        <f t="shared" si="43"/>
        <v>290</v>
      </c>
      <c r="N77" s="4"/>
      <c r="O77" s="4">
        <f t="shared" si="34"/>
        <v>0</v>
      </c>
      <c r="P77" s="4">
        <f t="shared" si="35"/>
        <v>0</v>
      </c>
      <c r="Q77" s="4">
        <f t="shared" si="36"/>
        <v>0</v>
      </c>
      <c r="R77" s="4"/>
      <c r="S77" s="63"/>
      <c r="T77" s="4"/>
      <c r="U77" s="46"/>
      <c r="V77" s="4"/>
      <c r="W77" s="4">
        <v>108.91500000000001</v>
      </c>
      <c r="X77" s="1">
        <f t="shared" si="37"/>
        <v>-181.08499999999998</v>
      </c>
      <c r="Y77" s="1">
        <f t="shared" si="47"/>
        <v>2722.875</v>
      </c>
      <c r="Z77" s="1">
        <f t="shared" si="38"/>
        <v>2432.875</v>
      </c>
      <c r="AA77" s="1">
        <f t="shared" si="39"/>
        <v>2.2526554832412479E-3</v>
      </c>
      <c r="AB77" s="1">
        <f t="shared" si="40"/>
        <v>4.1917002586907004E-3</v>
      </c>
      <c r="AC77" s="4"/>
      <c r="AX77">
        <f t="shared" si="48"/>
        <v>1.2732621974028859E-2</v>
      </c>
      <c r="AY77">
        <f t="shared" si="49"/>
        <v>8366.2461853210316</v>
      </c>
      <c r="AZ77">
        <f t="shared" si="41"/>
        <v>4598.2806179501076</v>
      </c>
      <c r="BA77">
        <f t="shared" si="42"/>
        <v>3767.965567370924</v>
      </c>
    </row>
    <row r="78" spans="1:53" x14ac:dyDescent="0.35">
      <c r="A78" s="1">
        <v>77</v>
      </c>
      <c r="B78" s="1">
        <v>4612.9275296437472</v>
      </c>
      <c r="C78" s="1">
        <v>0</v>
      </c>
      <c r="D78" s="1"/>
      <c r="E78" s="1">
        <v>4612.93</v>
      </c>
      <c r="F78" s="1"/>
      <c r="G78" s="1"/>
      <c r="H78" s="1"/>
      <c r="I78" s="1"/>
      <c r="J78" s="1"/>
      <c r="K78" s="1">
        <v>0</v>
      </c>
      <c r="L78" s="1">
        <v>0</v>
      </c>
      <c r="M78" s="4">
        <f t="shared" si="43"/>
        <v>290</v>
      </c>
      <c r="N78" s="4"/>
      <c r="O78" s="4">
        <f t="shared" si="34"/>
        <v>0</v>
      </c>
      <c r="P78" s="4">
        <f t="shared" si="35"/>
        <v>0</v>
      </c>
      <c r="Q78" s="4">
        <f t="shared" si="36"/>
        <v>0</v>
      </c>
      <c r="R78" s="4"/>
      <c r="S78" s="63"/>
      <c r="T78" s="4"/>
      <c r="U78" s="46"/>
      <c r="V78" s="4"/>
      <c r="W78" s="4">
        <v>98.416499999999999</v>
      </c>
      <c r="X78" s="1">
        <f t="shared" si="37"/>
        <v>-191.58350000000002</v>
      </c>
      <c r="Y78" s="1">
        <f t="shared" si="47"/>
        <v>2460.4124999999999</v>
      </c>
      <c r="Z78" s="1">
        <f t="shared" si="38"/>
        <v>2170.4124999999999</v>
      </c>
      <c r="AA78" s="1">
        <f t="shared" si="39"/>
        <v>2.5146720657230571E-3</v>
      </c>
      <c r="AB78" s="1">
        <f t="shared" si="40"/>
        <v>4.6792559389716307E-3</v>
      </c>
      <c r="AC78" s="4"/>
      <c r="AX78">
        <f t="shared" si="48"/>
        <v>1.1405944773791791E-2</v>
      </c>
      <c r="AY78">
        <f t="shared" si="49"/>
        <v>7494.5240774727527</v>
      </c>
      <c r="AZ78">
        <f t="shared" si="41"/>
        <v>4119.16217175971</v>
      </c>
      <c r="BA78">
        <f t="shared" si="42"/>
        <v>3375.3619057130427</v>
      </c>
    </row>
    <row r="79" spans="1:53" x14ac:dyDescent="0.35">
      <c r="A79" s="1">
        <v>78</v>
      </c>
      <c r="B79" s="1">
        <v>4299.5858542619962</v>
      </c>
      <c r="C79" s="1">
        <v>0</v>
      </c>
      <c r="D79" s="1"/>
      <c r="E79" s="1">
        <v>4299.59</v>
      </c>
      <c r="F79" s="1"/>
      <c r="G79" s="1"/>
      <c r="H79" s="1"/>
      <c r="I79" s="1"/>
      <c r="J79" s="1"/>
      <c r="K79" s="1">
        <v>0</v>
      </c>
      <c r="L79" s="1">
        <v>0</v>
      </c>
      <c r="M79" s="4">
        <f t="shared" si="43"/>
        <v>290</v>
      </c>
      <c r="N79" s="4"/>
      <c r="O79" s="4">
        <f t="shared" ref="O79:O100" si="50">$T$19*C79</f>
        <v>0</v>
      </c>
      <c r="P79" s="4">
        <f t="shared" ref="P79:P100" si="51">$T$19*D79</f>
        <v>0</v>
      </c>
      <c r="Q79" s="4">
        <f t="shared" ref="Q79:Q100" si="52">$T$19*K79</f>
        <v>0</v>
      </c>
      <c r="R79" s="4"/>
      <c r="S79" s="63"/>
      <c r="T79" s="4"/>
      <c r="U79" s="46"/>
      <c r="V79" s="4"/>
      <c r="W79" s="4">
        <v>78.811800000000005</v>
      </c>
      <c r="X79" s="1">
        <f t="shared" si="37"/>
        <v>-211.18819999999999</v>
      </c>
      <c r="Y79" s="1">
        <f t="shared" si="47"/>
        <v>1970.2950000000001</v>
      </c>
      <c r="Z79" s="1">
        <f t="shared" si="38"/>
        <v>1680.2950000000001</v>
      </c>
      <c r="AA79" s="1">
        <f t="shared" ref="AA79:AA100" si="53">(M79/($T$47*B79))+P79</f>
        <v>2.6979342646458416E-3</v>
      </c>
      <c r="AB79" s="1">
        <f t="shared" ref="AB79:AB100" si="54">(M79/($T$50*B79))+P79</f>
        <v>5.0202668979699239E-3</v>
      </c>
      <c r="AC79" s="4"/>
      <c r="AX79">
        <f t="shared" si="48"/>
        <v>1.0631174777566062E-2</v>
      </c>
      <c r="AY79">
        <f t="shared" si="49"/>
        <v>6985.4446012544158</v>
      </c>
      <c r="AZ79">
        <f t="shared" ref="AZ79:AZ103" si="55">AX79*$AW$10</f>
        <v>3839.3604259542649</v>
      </c>
      <c r="BA79">
        <f t="shared" si="42"/>
        <v>3146.0841753001509</v>
      </c>
    </row>
    <row r="80" spans="1:53" x14ac:dyDescent="0.35">
      <c r="A80" s="1">
        <v>79</v>
      </c>
      <c r="B80" s="1">
        <v>3153.09355833985</v>
      </c>
      <c r="C80" s="1">
        <v>0</v>
      </c>
      <c r="D80" s="1"/>
      <c r="E80" s="1">
        <v>3153.09</v>
      </c>
      <c r="F80" s="1"/>
      <c r="G80" s="1"/>
      <c r="H80" s="1"/>
      <c r="I80" s="1"/>
      <c r="J80" s="1"/>
      <c r="K80" s="1">
        <v>0</v>
      </c>
      <c r="L80" s="1">
        <v>0</v>
      </c>
      <c r="M80" s="4">
        <f t="shared" si="43"/>
        <v>290</v>
      </c>
      <c r="N80" s="4"/>
      <c r="O80" s="4">
        <f t="shared" si="50"/>
        <v>0</v>
      </c>
      <c r="P80" s="4">
        <f t="shared" si="51"/>
        <v>0</v>
      </c>
      <c r="Q80" s="4">
        <f t="shared" si="52"/>
        <v>0</v>
      </c>
      <c r="R80" s="4"/>
      <c r="S80" s="63"/>
      <c r="T80" s="4"/>
      <c r="U80" s="46"/>
      <c r="V80" s="4"/>
      <c r="W80" s="4">
        <v>66.247900000000001</v>
      </c>
      <c r="X80" s="1">
        <f t="shared" si="37"/>
        <v>-223.75209999999998</v>
      </c>
      <c r="Y80" s="1">
        <f t="shared" si="47"/>
        <v>1656.1975</v>
      </c>
      <c r="Z80" s="1">
        <f t="shared" si="38"/>
        <v>1366.1975</v>
      </c>
      <c r="AA80" s="1">
        <f t="shared" si="53"/>
        <v>3.6789266748264741E-3</v>
      </c>
      <c r="AB80" s="1">
        <f t="shared" si="54"/>
        <v>6.8456796919454848E-3</v>
      </c>
      <c r="AC80" s="4"/>
      <c r="AX80">
        <f t="shared" si="48"/>
        <v>7.7963529151303286E-3</v>
      </c>
      <c r="AY80">
        <f t="shared" si="49"/>
        <v>5122.7632430044359</v>
      </c>
      <c r="AZ80">
        <f t="shared" si="55"/>
        <v>2815.5880676789625</v>
      </c>
      <c r="BA80">
        <f t="shared" si="42"/>
        <v>2307.1751753254734</v>
      </c>
    </row>
    <row r="81" spans="1:53" x14ac:dyDescent="0.35">
      <c r="A81" s="1">
        <v>80</v>
      </c>
      <c r="B81" s="1">
        <v>4296.4999200900902</v>
      </c>
      <c r="C81" s="1">
        <v>0</v>
      </c>
      <c r="D81" s="1"/>
      <c r="E81" s="1">
        <v>4296.5</v>
      </c>
      <c r="F81" s="1"/>
      <c r="G81" s="1"/>
      <c r="H81" s="1"/>
      <c r="I81" s="1"/>
      <c r="J81" s="1"/>
      <c r="K81" s="1">
        <v>0</v>
      </c>
      <c r="L81" s="1">
        <v>0</v>
      </c>
      <c r="M81" s="4">
        <f t="shared" si="43"/>
        <v>290</v>
      </c>
      <c r="N81" s="4"/>
      <c r="O81" s="4">
        <f t="shared" si="50"/>
        <v>0</v>
      </c>
      <c r="P81" s="4">
        <f t="shared" si="51"/>
        <v>0</v>
      </c>
      <c r="Q81" s="4">
        <f t="shared" si="52"/>
        <v>0</v>
      </c>
      <c r="R81" s="4"/>
      <c r="S81" s="63"/>
      <c r="T81" s="4"/>
      <c r="U81" s="46"/>
      <c r="V81" s="4"/>
      <c r="W81" s="4">
        <v>89.923500000000004</v>
      </c>
      <c r="X81" s="1">
        <f t="shared" si="37"/>
        <v>-200.07650000000001</v>
      </c>
      <c r="Y81" s="1">
        <f t="shared" si="47"/>
        <v>2248.0875000000001</v>
      </c>
      <c r="Z81" s="1">
        <f>Y81-M81</f>
        <v>1958.0875000000001</v>
      </c>
      <c r="AA81" s="1">
        <f t="shared" si="53"/>
        <v>2.6998720390426002E-3</v>
      </c>
      <c r="AB81" s="1">
        <f t="shared" si="54"/>
        <v>5.0238726732429765E-3</v>
      </c>
      <c r="AC81" s="4"/>
      <c r="AX81">
        <f t="shared" si="48"/>
        <v>1.0623544483243395E-2</v>
      </c>
      <c r="AY81">
        <f t="shared" si="49"/>
        <v>6980.4309504211396</v>
      </c>
      <c r="AZ81">
        <f t="shared" si="55"/>
        <v>3836.6048085673087</v>
      </c>
      <c r="BA81">
        <f t="shared" si="42"/>
        <v>3143.8261418538309</v>
      </c>
    </row>
    <row r="82" spans="1:53" x14ac:dyDescent="0.35">
      <c r="A82" s="1">
        <v>81</v>
      </c>
      <c r="B82" s="1">
        <v>1722.7511821559251</v>
      </c>
      <c r="C82" s="1">
        <v>0</v>
      </c>
      <c r="D82" s="1"/>
      <c r="E82" s="1">
        <v>1722.75</v>
      </c>
      <c r="F82" s="1"/>
      <c r="G82" s="1"/>
      <c r="H82" s="1"/>
      <c r="I82" s="1"/>
      <c r="J82" s="1"/>
      <c r="K82" s="1">
        <v>0</v>
      </c>
      <c r="L82" s="1">
        <v>0</v>
      </c>
      <c r="M82" s="4">
        <f t="shared" si="43"/>
        <v>290</v>
      </c>
      <c r="N82" s="4"/>
      <c r="O82" s="4">
        <f t="shared" si="50"/>
        <v>0</v>
      </c>
      <c r="P82" s="4">
        <f t="shared" si="51"/>
        <v>0</v>
      </c>
      <c r="Q82" s="4">
        <f t="shared" si="52"/>
        <v>0</v>
      </c>
      <c r="R82" s="4"/>
      <c r="S82" s="63"/>
      <c r="T82" s="4"/>
      <c r="U82" s="46"/>
      <c r="V82" s="4"/>
      <c r="W82" s="4">
        <v>30.037500000000001</v>
      </c>
      <c r="X82" s="1">
        <f t="shared" si="37"/>
        <v>-259.96249999999998</v>
      </c>
      <c r="Y82" s="1">
        <f t="shared" si="47"/>
        <v>750.9375</v>
      </c>
      <c r="Z82" s="1">
        <f t="shared" ref="Z82:Z96" si="56">Y82-M82</f>
        <v>460.9375</v>
      </c>
      <c r="AA82" s="1">
        <f t="shared" si="53"/>
        <v>6.7334157829357921E-3</v>
      </c>
      <c r="AB82" s="1">
        <f t="shared" si="54"/>
        <v>1.2529417342856647E-2</v>
      </c>
      <c r="AC82" s="4"/>
      <c r="AX82">
        <f t="shared" si="48"/>
        <v>4.2596821034759516E-3</v>
      </c>
      <c r="AY82">
        <f t="shared" si="49"/>
        <v>2798.9167684061472</v>
      </c>
      <c r="AZ82">
        <f t="shared" si="55"/>
        <v>1538.3487937516002</v>
      </c>
      <c r="BA82">
        <f t="shared" si="42"/>
        <v>1260.567974654547</v>
      </c>
    </row>
    <row r="83" spans="1:53" x14ac:dyDescent="0.35">
      <c r="A83" s="1">
        <v>82</v>
      </c>
      <c r="B83" s="1">
        <v>8378.7212496204556</v>
      </c>
      <c r="C83" s="1">
        <v>0</v>
      </c>
      <c r="D83" s="1"/>
      <c r="E83" s="1">
        <v>8378.7199999999993</v>
      </c>
      <c r="F83" s="1"/>
      <c r="G83" s="1"/>
      <c r="H83" s="1"/>
      <c r="I83" s="1"/>
      <c r="J83" s="1"/>
      <c r="K83" s="1">
        <v>0</v>
      </c>
      <c r="L83" s="1">
        <v>0</v>
      </c>
      <c r="M83" s="4">
        <f t="shared" si="43"/>
        <v>290</v>
      </c>
      <c r="N83" s="4"/>
      <c r="O83" s="4">
        <f t="shared" si="50"/>
        <v>0</v>
      </c>
      <c r="P83" s="4">
        <f t="shared" si="51"/>
        <v>0</v>
      </c>
      <c r="Q83" s="4">
        <f t="shared" si="52"/>
        <v>0</v>
      </c>
      <c r="R83" s="4"/>
      <c r="S83" s="63"/>
      <c r="T83" s="4"/>
      <c r="U83" s="46"/>
      <c r="V83" s="4"/>
      <c r="W83" s="4">
        <v>122.405</v>
      </c>
      <c r="X83" s="1">
        <f t="shared" si="37"/>
        <v>-167.595</v>
      </c>
      <c r="Y83" s="1">
        <f t="shared" si="47"/>
        <v>3060.125</v>
      </c>
      <c r="Z83" s="1">
        <f t="shared" si="56"/>
        <v>2770.125</v>
      </c>
      <c r="AA83" s="1">
        <f t="shared" si="53"/>
        <v>1.384459472324069E-3</v>
      </c>
      <c r="AB83" s="1">
        <f t="shared" si="54"/>
        <v>2.5761769482555599E-3</v>
      </c>
      <c r="AC83" s="4"/>
      <c r="AX83">
        <f t="shared" si="48"/>
        <v>2.0717262786815824E-2</v>
      </c>
      <c r="AY83">
        <f t="shared" si="49"/>
        <v>13612.728086487556</v>
      </c>
      <c r="AZ83">
        <f t="shared" si="55"/>
        <v>7481.867295197083</v>
      </c>
      <c r="BA83">
        <f t="shared" si="42"/>
        <v>6130.8607912904727</v>
      </c>
    </row>
    <row r="84" spans="1:53" x14ac:dyDescent="0.35">
      <c r="A84" s="1">
        <v>83</v>
      </c>
      <c r="B84" s="1">
        <v>4180.060549855245</v>
      </c>
      <c r="C84" s="1">
        <v>0</v>
      </c>
      <c r="D84" s="1"/>
      <c r="E84" s="1">
        <v>4180.0600000000004</v>
      </c>
      <c r="F84" s="1"/>
      <c r="G84" s="1"/>
      <c r="H84" s="1"/>
      <c r="I84" s="1"/>
      <c r="J84" s="1"/>
      <c r="K84" s="1">
        <v>0</v>
      </c>
      <c r="L84" s="1">
        <v>0</v>
      </c>
      <c r="M84" s="4">
        <f t="shared" si="43"/>
        <v>290</v>
      </c>
      <c r="N84" s="4"/>
      <c r="O84" s="4">
        <f t="shared" si="50"/>
        <v>0</v>
      </c>
      <c r="P84" s="4">
        <f t="shared" si="51"/>
        <v>0</v>
      </c>
      <c r="Q84" s="4">
        <f t="shared" si="52"/>
        <v>0</v>
      </c>
      <c r="R84" s="4"/>
      <c r="S84" s="63"/>
      <c r="T84" s="4"/>
      <c r="U84" s="46"/>
      <c r="V84" s="4"/>
      <c r="W84" s="4">
        <v>92.304299999999998</v>
      </c>
      <c r="X84" s="1">
        <f t="shared" si="37"/>
        <v>-197.69569999999999</v>
      </c>
      <c r="Y84" s="1">
        <f t="shared" si="47"/>
        <v>2307.6075000000001</v>
      </c>
      <c r="Z84" s="1">
        <f t="shared" si="56"/>
        <v>2017.6075000000001</v>
      </c>
      <c r="AA84" s="1">
        <f t="shared" si="53"/>
        <v>2.77507941850309E-3</v>
      </c>
      <c r="AB84" s="1">
        <f t="shared" si="54"/>
        <v>5.1638171939587633E-3</v>
      </c>
      <c r="AC84" s="4"/>
      <c r="AX84">
        <f t="shared" si="48"/>
        <v>1.0335635987421803E-2</v>
      </c>
      <c r="AY84">
        <f t="shared" si="49"/>
        <v>6791.254411621665</v>
      </c>
      <c r="AZ84">
        <f t="shared" si="55"/>
        <v>3732.6290478182686</v>
      </c>
      <c r="BA84">
        <f t="shared" si="42"/>
        <v>3058.6253638033963</v>
      </c>
    </row>
    <row r="85" spans="1:53" x14ac:dyDescent="0.35">
      <c r="A85" s="1">
        <v>84</v>
      </c>
      <c r="B85" s="1">
        <v>3330.950005722922</v>
      </c>
      <c r="C85" s="1">
        <v>0</v>
      </c>
      <c r="D85" s="1"/>
      <c r="E85" s="1">
        <v>3330.95</v>
      </c>
      <c r="F85" s="1"/>
      <c r="G85" s="1"/>
      <c r="H85" s="1"/>
      <c r="I85" s="1"/>
      <c r="J85" s="1"/>
      <c r="K85" s="1">
        <v>0</v>
      </c>
      <c r="L85" s="1">
        <v>0</v>
      </c>
      <c r="M85" s="4">
        <f t="shared" si="43"/>
        <v>290</v>
      </c>
      <c r="N85" s="4"/>
      <c r="O85" s="4">
        <f t="shared" si="50"/>
        <v>0</v>
      </c>
      <c r="P85" s="4">
        <f t="shared" si="51"/>
        <v>0</v>
      </c>
      <c r="Q85" s="4">
        <f t="shared" si="52"/>
        <v>0</v>
      </c>
      <c r="R85" s="4"/>
      <c r="S85" s="63"/>
      <c r="T85" s="4"/>
      <c r="U85" s="46"/>
      <c r="V85" s="4"/>
      <c r="W85" s="4">
        <v>57.065800000000003</v>
      </c>
      <c r="X85" s="1">
        <f t="shared" si="37"/>
        <v>-232.9342</v>
      </c>
      <c r="Y85" s="1">
        <f t="shared" si="47"/>
        <v>1426.645</v>
      </c>
      <c r="Z85" s="1">
        <f t="shared" si="56"/>
        <v>1136.645</v>
      </c>
      <c r="AA85" s="1">
        <f t="shared" si="53"/>
        <v>3.4824899743526568E-3</v>
      </c>
      <c r="AB85" s="1">
        <f t="shared" si="54"/>
        <v>6.4801538606240935E-3</v>
      </c>
      <c r="AC85" s="4"/>
      <c r="AX85">
        <f t="shared" si="48"/>
        <v>8.2361215443744976E-3</v>
      </c>
      <c r="AY85">
        <f t="shared" si="49"/>
        <v>5411.7227852214664</v>
      </c>
      <c r="AZ85">
        <f t="shared" si="55"/>
        <v>2974.4068536572672</v>
      </c>
      <c r="BA85">
        <f t="shared" si="42"/>
        <v>2437.3159315641992</v>
      </c>
    </row>
    <row r="86" spans="1:53" x14ac:dyDescent="0.35">
      <c r="A86" s="1">
        <v>85</v>
      </c>
      <c r="B86" s="1">
        <v>2875.5642031497382</v>
      </c>
      <c r="C86" s="1">
        <v>0</v>
      </c>
      <c r="D86" s="1"/>
      <c r="E86" s="1">
        <v>2875.56</v>
      </c>
      <c r="F86" s="1"/>
      <c r="G86" s="1"/>
      <c r="H86" s="1"/>
      <c r="I86" s="1"/>
      <c r="J86" s="1"/>
      <c r="K86" s="1">
        <v>0</v>
      </c>
      <c r="L86" s="1">
        <v>0</v>
      </c>
      <c r="M86" s="4">
        <f t="shared" si="43"/>
        <v>290</v>
      </c>
      <c r="N86" s="4"/>
      <c r="O86" s="4">
        <f t="shared" si="50"/>
        <v>0</v>
      </c>
      <c r="P86" s="4">
        <f t="shared" si="51"/>
        <v>0</v>
      </c>
      <c r="Q86" s="4">
        <f t="shared" si="52"/>
        <v>0</v>
      </c>
      <c r="R86" s="4"/>
      <c r="S86" s="63"/>
      <c r="T86" s="4"/>
      <c r="U86" s="46"/>
      <c r="V86" s="4"/>
      <c r="W86" s="4">
        <v>62.269399999999997</v>
      </c>
      <c r="X86" s="1">
        <f t="shared" si="37"/>
        <v>-227.73060000000001</v>
      </c>
      <c r="Y86" s="1">
        <f t="shared" si="47"/>
        <v>1556.7349999999999</v>
      </c>
      <c r="Z86" s="1">
        <f t="shared" si="56"/>
        <v>1266.7349999999999</v>
      </c>
      <c r="AA86" s="1">
        <f t="shared" si="53"/>
        <v>4.0339909598589331E-3</v>
      </c>
      <c r="AB86" s="1">
        <f t="shared" si="54"/>
        <v>7.5063768409302477E-3</v>
      </c>
      <c r="AC86" s="4"/>
      <c r="AX86">
        <f t="shared" si="48"/>
        <v>7.1101326183529955E-3</v>
      </c>
      <c r="AY86">
        <f t="shared" si="49"/>
        <v>4671.8672726447166</v>
      </c>
      <c r="AZ86">
        <f t="shared" si="55"/>
        <v>2567.765309982125</v>
      </c>
      <c r="BA86">
        <f t="shared" si="42"/>
        <v>2104.1019626625916</v>
      </c>
    </row>
    <row r="87" spans="1:53" ht="15" thickBot="1" x14ac:dyDescent="0.4">
      <c r="A87" s="1">
        <v>86</v>
      </c>
      <c r="B87" s="1">
        <v>2673.7959050516761</v>
      </c>
      <c r="C87" s="1">
        <v>0</v>
      </c>
      <c r="D87" s="1"/>
      <c r="E87" s="1">
        <v>2673.8</v>
      </c>
      <c r="F87" s="1"/>
      <c r="G87" s="1"/>
      <c r="H87" s="1"/>
      <c r="I87" s="1"/>
      <c r="J87" s="1"/>
      <c r="K87" s="1">
        <v>0</v>
      </c>
      <c r="L87" s="1">
        <v>0</v>
      </c>
      <c r="M87" s="4">
        <f t="shared" si="43"/>
        <v>290</v>
      </c>
      <c r="N87" s="4"/>
      <c r="O87" s="4">
        <f t="shared" si="50"/>
        <v>0</v>
      </c>
      <c r="P87" s="4">
        <f t="shared" si="51"/>
        <v>0</v>
      </c>
      <c r="Q87" s="4">
        <f t="shared" si="52"/>
        <v>0</v>
      </c>
      <c r="R87" s="4"/>
      <c r="S87" s="66"/>
      <c r="T87" s="52"/>
      <c r="U87" s="53"/>
      <c r="V87" s="4"/>
      <c r="W87" s="4">
        <v>54.038899999999998</v>
      </c>
      <c r="X87" s="1">
        <f t="shared" si="37"/>
        <v>-235.96109999999999</v>
      </c>
      <c r="Y87" s="1">
        <f t="shared" si="47"/>
        <v>1350.9724999999999</v>
      </c>
      <c r="Z87" s="1">
        <f t="shared" si="56"/>
        <v>1060.9724999999999</v>
      </c>
      <c r="AA87" s="1">
        <f t="shared" si="53"/>
        <v>4.3384014382263809E-3</v>
      </c>
      <c r="AB87" s="1">
        <f t="shared" si="54"/>
        <v>8.0728183098605147E-3</v>
      </c>
      <c r="AC87" s="4"/>
      <c r="AX87">
        <f t="shared" si="48"/>
        <v>6.611239442507637E-3</v>
      </c>
      <c r="AY87">
        <f t="shared" si="49"/>
        <v>4344.0586612045518</v>
      </c>
      <c r="AZ87">
        <f t="shared" si="55"/>
        <v>2387.5941853232343</v>
      </c>
      <c r="BA87">
        <f t="shared" si="42"/>
        <v>1956.4644758813174</v>
      </c>
    </row>
    <row r="88" spans="1:53" x14ac:dyDescent="0.35">
      <c r="A88" s="1">
        <v>87</v>
      </c>
      <c r="B88" s="1">
        <v>19513.44492845656</v>
      </c>
      <c r="C88" s="1">
        <v>0</v>
      </c>
      <c r="D88" s="1"/>
      <c r="E88" s="1">
        <v>19513.400000000001</v>
      </c>
      <c r="F88" s="1"/>
      <c r="G88" s="1"/>
      <c r="H88" s="1"/>
      <c r="I88" s="1"/>
      <c r="J88" s="1"/>
      <c r="K88" s="1">
        <v>0</v>
      </c>
      <c r="L88" s="1">
        <v>0</v>
      </c>
      <c r="M88" s="4">
        <f t="shared" si="43"/>
        <v>290</v>
      </c>
      <c r="N88" s="4"/>
      <c r="O88" s="4">
        <f t="shared" si="50"/>
        <v>0</v>
      </c>
      <c r="P88" s="4">
        <f t="shared" si="51"/>
        <v>0</v>
      </c>
      <c r="Q88" s="4">
        <f t="shared" si="52"/>
        <v>0</v>
      </c>
      <c r="R88" s="4"/>
      <c r="S88" s="4"/>
      <c r="T88" s="4"/>
      <c r="U88" s="4"/>
      <c r="V88" s="4"/>
      <c r="W88" s="4">
        <v>382.77600000000001</v>
      </c>
      <c r="X88" s="1">
        <f t="shared" si="37"/>
        <v>92.77600000000001</v>
      </c>
      <c r="Y88" s="1">
        <f t="shared" si="47"/>
        <v>9569.4</v>
      </c>
      <c r="Z88" s="1">
        <f t="shared" si="56"/>
        <v>9279.4</v>
      </c>
      <c r="AA88" s="1">
        <f t="shared" si="53"/>
        <v>5.9446192317808835E-4</v>
      </c>
      <c r="AB88" s="1">
        <f t="shared" si="54"/>
        <v>1.1061639099743798E-3</v>
      </c>
      <c r="AC88" s="4"/>
      <c r="AX88">
        <f t="shared" si="48"/>
        <v>4.8249029227127677E-2</v>
      </c>
      <c r="AY88">
        <f t="shared" si="49"/>
        <v>31703.074004730912</v>
      </c>
      <c r="AZ88">
        <f t="shared" si="55"/>
        <v>17424.735956392153</v>
      </c>
      <c r="BA88">
        <f t="shared" si="42"/>
        <v>14278.338048338759</v>
      </c>
    </row>
    <row r="89" spans="1:53" x14ac:dyDescent="0.35">
      <c r="A89" s="1">
        <v>88</v>
      </c>
      <c r="B89" s="1">
        <v>5533.3813285011611</v>
      </c>
      <c r="C89" s="1">
        <v>0</v>
      </c>
      <c r="D89" s="1"/>
      <c r="E89" s="1">
        <v>5533.38</v>
      </c>
      <c r="F89" s="1"/>
      <c r="G89" s="1"/>
      <c r="H89" s="1"/>
      <c r="I89" s="1"/>
      <c r="J89" s="1"/>
      <c r="K89" s="1">
        <v>0</v>
      </c>
      <c r="L89" s="1">
        <v>0</v>
      </c>
      <c r="M89" s="4">
        <f t="shared" si="43"/>
        <v>290</v>
      </c>
      <c r="N89" s="4"/>
      <c r="O89" s="4">
        <f t="shared" si="50"/>
        <v>0</v>
      </c>
      <c r="P89" s="4">
        <f t="shared" si="51"/>
        <v>0</v>
      </c>
      <c r="Q89" s="4">
        <f t="shared" si="52"/>
        <v>0</v>
      </c>
      <c r="R89" s="4"/>
      <c r="S89" s="4"/>
      <c r="T89" s="4"/>
      <c r="U89" s="4"/>
      <c r="V89" s="4"/>
      <c r="W89" s="4">
        <v>110.304</v>
      </c>
      <c r="X89" s="1">
        <f t="shared" si="37"/>
        <v>-179.696</v>
      </c>
      <c r="Y89" s="1">
        <f t="shared" si="47"/>
        <v>2757.6</v>
      </c>
      <c r="Z89" s="1">
        <f t="shared" si="56"/>
        <v>2467.6</v>
      </c>
      <c r="AA89" s="1">
        <f t="shared" si="53"/>
        <v>2.0963673586439986E-3</v>
      </c>
      <c r="AB89" s="1">
        <f t="shared" si="54"/>
        <v>3.9008821654765713E-3</v>
      </c>
      <c r="AC89" s="4"/>
      <c r="AX89">
        <f t="shared" si="48"/>
        <v>1.3681862860327463E-2</v>
      </c>
      <c r="AY89">
        <f t="shared" si="49"/>
        <v>8989.9655543673416</v>
      </c>
      <c r="AZ89">
        <f t="shared" si="55"/>
        <v>4941.0910758538948</v>
      </c>
      <c r="BA89">
        <f t="shared" si="42"/>
        <v>4048.8744785134468</v>
      </c>
    </row>
    <row r="90" spans="1:53" x14ac:dyDescent="0.35">
      <c r="A90" s="1">
        <v>89</v>
      </c>
      <c r="B90" s="1">
        <v>7532.7075080212007</v>
      </c>
      <c r="C90" s="1">
        <v>0</v>
      </c>
      <c r="D90" s="1"/>
      <c r="E90" s="1">
        <v>7532.71</v>
      </c>
      <c r="F90" s="1"/>
      <c r="G90" s="1"/>
      <c r="H90" s="1"/>
      <c r="I90" s="1"/>
      <c r="J90" s="1"/>
      <c r="K90" s="1">
        <v>0</v>
      </c>
      <c r="L90" s="1">
        <v>0</v>
      </c>
      <c r="M90" s="4">
        <f t="shared" si="43"/>
        <v>290</v>
      </c>
      <c r="N90" s="4"/>
      <c r="O90" s="4">
        <f t="shared" si="50"/>
        <v>0</v>
      </c>
      <c r="P90" s="4">
        <f t="shared" si="51"/>
        <v>0</v>
      </c>
      <c r="Q90" s="4">
        <f t="shared" si="52"/>
        <v>0</v>
      </c>
      <c r="R90" s="4"/>
      <c r="S90" s="4"/>
      <c r="T90" s="4"/>
      <c r="U90" s="4"/>
      <c r="V90" s="4"/>
      <c r="W90" s="4">
        <v>158.81</v>
      </c>
      <c r="X90" s="1">
        <f t="shared" si="37"/>
        <v>-131.19</v>
      </c>
      <c r="Y90" s="1">
        <f t="shared" si="47"/>
        <v>3970.25</v>
      </c>
      <c r="Z90" s="1">
        <f t="shared" si="56"/>
        <v>3680.25</v>
      </c>
      <c r="AA90" s="1">
        <f t="shared" si="53"/>
        <v>1.53995093897483E-3</v>
      </c>
      <c r="AB90" s="1">
        <f t="shared" si="54"/>
        <v>2.8655126348854491E-3</v>
      </c>
      <c r="AC90" s="4"/>
      <c r="AX90">
        <f t="shared" si="48"/>
        <v>1.8625405511248506E-2</v>
      </c>
      <c r="AY90">
        <f t="shared" si="49"/>
        <v>12238.227768513107</v>
      </c>
      <c r="AZ90">
        <f t="shared" si="55"/>
        <v>6726.4104234404886</v>
      </c>
      <c r="BA90">
        <f t="shared" si="42"/>
        <v>5511.8173450726181</v>
      </c>
    </row>
    <row r="91" spans="1:53" x14ac:dyDescent="0.35">
      <c r="A91" s="1">
        <v>90</v>
      </c>
      <c r="B91" s="1">
        <v>4797.2959806436729</v>
      </c>
      <c r="C91" s="1">
        <v>0</v>
      </c>
      <c r="D91" s="1"/>
      <c r="E91" s="1">
        <v>4797.3</v>
      </c>
      <c r="F91" s="1"/>
      <c r="G91" s="1"/>
      <c r="H91" s="1"/>
      <c r="I91" s="1"/>
      <c r="J91" s="1"/>
      <c r="K91" s="1">
        <v>0</v>
      </c>
      <c r="L91" s="1">
        <v>0</v>
      </c>
      <c r="M91" s="4">
        <f t="shared" si="43"/>
        <v>290</v>
      </c>
      <c r="N91" s="4"/>
      <c r="O91" s="4">
        <f t="shared" si="50"/>
        <v>0</v>
      </c>
      <c r="P91" s="4">
        <f t="shared" si="51"/>
        <v>0</v>
      </c>
      <c r="Q91" s="4">
        <f t="shared" si="52"/>
        <v>0</v>
      </c>
      <c r="R91" s="4"/>
      <c r="S91" s="4"/>
      <c r="T91" s="4"/>
      <c r="U91" s="4"/>
      <c r="V91" s="4"/>
      <c r="W91" s="4">
        <v>100.91</v>
      </c>
      <c r="X91" s="1">
        <f t="shared" si="37"/>
        <v>-189.09</v>
      </c>
      <c r="Y91" s="1">
        <f t="shared" si="47"/>
        <v>2522.75</v>
      </c>
      <c r="Z91" s="1">
        <f t="shared" si="56"/>
        <v>2232.75</v>
      </c>
      <c r="AA91" s="1">
        <f t="shared" si="53"/>
        <v>2.418028832659931E-3</v>
      </c>
      <c r="AB91" s="1">
        <f t="shared" si="54"/>
        <v>4.4994239726344927E-3</v>
      </c>
      <c r="AC91" s="4"/>
      <c r="AX91">
        <f t="shared" si="48"/>
        <v>1.1861815011644215E-2</v>
      </c>
      <c r="AY91">
        <f t="shared" si="49"/>
        <v>7794.0635318140194</v>
      </c>
      <c r="AZ91">
        <f t="shared" si="55"/>
        <v>4283.7959198826675</v>
      </c>
      <c r="BA91">
        <f t="shared" si="42"/>
        <v>3510.2676119313519</v>
      </c>
    </row>
    <row r="92" spans="1:53" x14ac:dyDescent="0.35">
      <c r="A92" s="1">
        <v>91</v>
      </c>
      <c r="B92" s="1">
        <v>5147.5629031179114</v>
      </c>
      <c r="C92" s="1">
        <v>0</v>
      </c>
      <c r="D92" s="1"/>
      <c r="E92" s="1">
        <v>5147.5600000000004</v>
      </c>
      <c r="F92" s="1"/>
      <c r="G92" s="1"/>
      <c r="H92" s="1"/>
      <c r="I92" s="1"/>
      <c r="J92" s="1"/>
      <c r="K92" s="1">
        <v>0</v>
      </c>
      <c r="L92" s="1">
        <v>0</v>
      </c>
      <c r="M92" s="4">
        <f t="shared" si="43"/>
        <v>290</v>
      </c>
      <c r="N92" s="4"/>
      <c r="O92" s="4">
        <f t="shared" si="50"/>
        <v>0</v>
      </c>
      <c r="P92" s="4">
        <f t="shared" si="51"/>
        <v>0</v>
      </c>
      <c r="Q92" s="4">
        <f t="shared" si="52"/>
        <v>0</v>
      </c>
      <c r="R92" s="4"/>
      <c r="S92" s="4"/>
      <c r="T92" s="4"/>
      <c r="U92" s="4" t="s">
        <v>6</v>
      </c>
      <c r="V92" s="4"/>
      <c r="W92" s="4">
        <v>83.866</v>
      </c>
      <c r="X92" s="1">
        <f t="shared" si="37"/>
        <v>-206.13400000000001</v>
      </c>
      <c r="Y92" s="1">
        <f t="shared" si="47"/>
        <v>2096.65</v>
      </c>
      <c r="Z92" s="1">
        <f t="shared" si="56"/>
        <v>1806.65</v>
      </c>
      <c r="AA92" s="1">
        <f t="shared" si="53"/>
        <v>2.2534935887765077E-3</v>
      </c>
      <c r="AB92" s="1">
        <f t="shared" si="54"/>
        <v>4.1932597901925637E-3</v>
      </c>
      <c r="AC92" s="4"/>
      <c r="AX92">
        <f t="shared" si="48"/>
        <v>1.2727886535238195E-2</v>
      </c>
      <c r="AY92">
        <f t="shared" si="49"/>
        <v>8363.1346622742458</v>
      </c>
      <c r="AZ92">
        <f t="shared" si="55"/>
        <v>4596.5704535823124</v>
      </c>
      <c r="BA92">
        <f t="shared" si="42"/>
        <v>3766.5642086919333</v>
      </c>
    </row>
    <row r="93" spans="1:53" x14ac:dyDescent="0.35">
      <c r="A93" s="1">
        <v>92</v>
      </c>
      <c r="B93" s="1">
        <v>2534.563494353717</v>
      </c>
      <c r="C93" s="1">
        <v>0</v>
      </c>
      <c r="D93" s="1"/>
      <c r="E93" s="1">
        <v>2534.56</v>
      </c>
      <c r="F93" s="1"/>
      <c r="G93" s="1"/>
      <c r="H93" s="1"/>
      <c r="I93" s="1"/>
      <c r="J93" s="1"/>
      <c r="K93" s="1">
        <v>0</v>
      </c>
      <c r="L93" s="1">
        <v>0</v>
      </c>
      <c r="M93" s="4">
        <f t="shared" si="43"/>
        <v>290</v>
      </c>
      <c r="N93" s="4"/>
      <c r="O93" s="4">
        <f t="shared" si="50"/>
        <v>0</v>
      </c>
      <c r="P93" s="4">
        <f t="shared" si="51"/>
        <v>0</v>
      </c>
      <c r="Q93" s="4">
        <f t="shared" si="52"/>
        <v>0</v>
      </c>
      <c r="R93" s="4"/>
      <c r="S93" s="4"/>
      <c r="T93" s="4"/>
      <c r="U93" s="4"/>
      <c r="V93" s="4"/>
      <c r="W93" s="4">
        <v>53.252299999999998</v>
      </c>
      <c r="X93" s="1">
        <f t="shared" si="37"/>
        <v>-236.74770000000001</v>
      </c>
      <c r="Y93" s="1">
        <f t="shared" si="47"/>
        <v>1331.3074999999999</v>
      </c>
      <c r="Z93" s="1">
        <f t="shared" si="56"/>
        <v>1041.3074999999999</v>
      </c>
      <c r="AA93" s="1">
        <f t="shared" si="53"/>
        <v>4.576724957114503E-3</v>
      </c>
      <c r="AB93" s="1">
        <f t="shared" si="54"/>
        <v>8.5162863693162942E-3</v>
      </c>
      <c r="AC93" s="4"/>
      <c r="AX93">
        <f t="shared" si="48"/>
        <v>6.2669727752041804E-3</v>
      </c>
      <c r="AY93">
        <f t="shared" si="49"/>
        <v>4117.8507601190095</v>
      </c>
      <c r="AZ93">
        <f t="shared" si="55"/>
        <v>2263.2651392794005</v>
      </c>
      <c r="BA93">
        <f t="shared" si="42"/>
        <v>1854.585620839609</v>
      </c>
    </row>
    <row r="94" spans="1:53" x14ac:dyDescent="0.35">
      <c r="A94" s="1">
        <v>93</v>
      </c>
      <c r="B94" s="1">
        <v>5159.4345472126533</v>
      </c>
      <c r="C94" s="1">
        <v>0</v>
      </c>
      <c r="D94" s="1"/>
      <c r="E94" s="1">
        <v>5159.43</v>
      </c>
      <c r="F94" s="1"/>
      <c r="G94" s="1"/>
      <c r="H94" s="1"/>
      <c r="I94" s="1"/>
      <c r="J94" s="1"/>
      <c r="K94" s="1">
        <v>0</v>
      </c>
      <c r="L94" s="1">
        <v>0</v>
      </c>
      <c r="M94" s="4">
        <f t="shared" si="43"/>
        <v>290</v>
      </c>
      <c r="N94" s="4"/>
      <c r="O94" s="4">
        <f t="shared" si="50"/>
        <v>0</v>
      </c>
      <c r="P94" s="4">
        <f t="shared" si="51"/>
        <v>0</v>
      </c>
      <c r="Q94" s="4">
        <f t="shared" si="52"/>
        <v>0</v>
      </c>
      <c r="R94" s="4"/>
      <c r="S94" s="4"/>
      <c r="T94" s="4"/>
      <c r="U94" s="4"/>
      <c r="V94" s="4"/>
      <c r="W94" s="4">
        <v>109.45699999999999</v>
      </c>
      <c r="X94" s="1">
        <f t="shared" si="37"/>
        <v>-180.54300000000001</v>
      </c>
      <c r="Y94" s="1">
        <f t="shared" si="47"/>
        <v>2736.4249999999997</v>
      </c>
      <c r="Z94" s="1">
        <f t="shared" si="56"/>
        <v>2446.4249999999997</v>
      </c>
      <c r="AA94" s="1">
        <f t="shared" si="53"/>
        <v>2.248308393846534E-3</v>
      </c>
      <c r="AB94" s="1">
        <f t="shared" si="54"/>
        <v>4.1836112739897843E-3</v>
      </c>
      <c r="AC94" s="4"/>
      <c r="AX94">
        <f t="shared" si="48"/>
        <v>1.2757240414320097E-2</v>
      </c>
      <c r="AY94">
        <f t="shared" si="49"/>
        <v>8382.422266932128</v>
      </c>
      <c r="AZ94">
        <f t="shared" si="55"/>
        <v>4607.1713630822778</v>
      </c>
      <c r="BA94">
        <f t="shared" si="42"/>
        <v>3775.2509038498501</v>
      </c>
    </row>
    <row r="95" spans="1:53" x14ac:dyDescent="0.35">
      <c r="A95" s="1">
        <v>94</v>
      </c>
      <c r="B95" s="1">
        <v>4317.7330751348463</v>
      </c>
      <c r="C95" s="1">
        <v>0</v>
      </c>
      <c r="D95" s="1"/>
      <c r="E95" s="1">
        <v>4317.7299999999996</v>
      </c>
      <c r="F95" s="1"/>
      <c r="G95" s="1"/>
      <c r="H95" s="1"/>
      <c r="I95" s="1"/>
      <c r="J95" s="1"/>
      <c r="K95" s="1">
        <v>0</v>
      </c>
      <c r="L95" s="1">
        <v>0</v>
      </c>
      <c r="M95" s="4">
        <f t="shared" si="43"/>
        <v>290</v>
      </c>
      <c r="N95" s="4"/>
      <c r="O95" s="4">
        <f t="shared" si="50"/>
        <v>0</v>
      </c>
      <c r="P95" s="4">
        <f t="shared" si="51"/>
        <v>0</v>
      </c>
      <c r="Q95" s="4">
        <f t="shared" si="52"/>
        <v>0</v>
      </c>
      <c r="R95" s="4"/>
      <c r="S95" s="4"/>
      <c r="T95" s="4"/>
      <c r="U95" s="4"/>
      <c r="V95" s="4"/>
      <c r="W95" s="4">
        <v>97.187200000000004</v>
      </c>
      <c r="X95" s="1">
        <f t="shared" si="37"/>
        <v>-192.81279999999998</v>
      </c>
      <c r="Y95" s="1">
        <f t="shared" si="47"/>
        <v>2429.6800000000003</v>
      </c>
      <c r="Z95" s="1">
        <f t="shared" si="56"/>
        <v>2139.6800000000003</v>
      </c>
      <c r="AA95" s="1">
        <f t="shared" si="53"/>
        <v>2.6865949789260011E-3</v>
      </c>
      <c r="AB95" s="1">
        <f t="shared" si="54"/>
        <v>4.999166961810653E-3</v>
      </c>
      <c r="AC95" s="4"/>
      <c r="AX95">
        <f t="shared" si="48"/>
        <v>1.067604567522127E-2</v>
      </c>
      <c r="AY95">
        <f t="shared" si="49"/>
        <v>7014.9280004400298</v>
      </c>
      <c r="AZ95">
        <f t="shared" si="55"/>
        <v>3855.5651777657004</v>
      </c>
      <c r="BA95">
        <f t="shared" si="42"/>
        <v>3159.3628226743294</v>
      </c>
    </row>
    <row r="96" spans="1:53" x14ac:dyDescent="0.35">
      <c r="A96" s="1">
        <v>95</v>
      </c>
      <c r="B96" s="1">
        <v>6988.6643510423764</v>
      </c>
      <c r="C96" s="1">
        <v>0</v>
      </c>
      <c r="D96" s="1"/>
      <c r="E96" s="1">
        <v>6988.66</v>
      </c>
      <c r="F96" s="1"/>
      <c r="G96" s="1"/>
      <c r="H96" s="1"/>
      <c r="I96" s="1"/>
      <c r="J96" s="1"/>
      <c r="K96" s="1">
        <v>0</v>
      </c>
      <c r="L96" s="1">
        <v>0</v>
      </c>
      <c r="M96" s="4">
        <f t="shared" si="43"/>
        <v>290</v>
      </c>
      <c r="N96" s="4"/>
      <c r="O96" s="4">
        <f t="shared" si="50"/>
        <v>0</v>
      </c>
      <c r="P96" s="4">
        <f t="shared" si="51"/>
        <v>0</v>
      </c>
      <c r="Q96" s="4">
        <f t="shared" si="52"/>
        <v>0</v>
      </c>
      <c r="R96" s="4"/>
      <c r="S96" s="4"/>
      <c r="T96" s="4"/>
      <c r="U96" s="4"/>
      <c r="V96" s="4"/>
      <c r="W96" s="4">
        <v>114.952</v>
      </c>
      <c r="X96" s="1">
        <f t="shared" si="37"/>
        <v>-175.048</v>
      </c>
      <c r="Y96" s="1">
        <f t="shared" si="47"/>
        <v>2873.8</v>
      </c>
      <c r="Z96" s="1">
        <f t="shared" si="56"/>
        <v>2583.8000000000002</v>
      </c>
      <c r="AA96" s="1">
        <f t="shared" si="53"/>
        <v>1.6598307512464569E-3</v>
      </c>
      <c r="AB96" s="1">
        <f t="shared" si="54"/>
        <v>3.0885828042252123E-3</v>
      </c>
      <c r="AC96" s="4"/>
      <c r="AX96">
        <f t="shared" si="48"/>
        <v>1.7280202023185243E-2</v>
      </c>
      <c r="AY96">
        <f t="shared" si="49"/>
        <v>11354.332560326953</v>
      </c>
      <c r="AZ96">
        <f t="shared" si="55"/>
        <v>6240.6013623549406</v>
      </c>
      <c r="BA96">
        <f t="shared" si="42"/>
        <v>5113.7311979720125</v>
      </c>
    </row>
    <row r="97" spans="1:53" x14ac:dyDescent="0.35">
      <c r="A97" s="1">
        <v>96</v>
      </c>
      <c r="B97" s="1">
        <v>2938.8092172996649</v>
      </c>
      <c r="C97" s="1">
        <v>0</v>
      </c>
      <c r="D97" s="1"/>
      <c r="E97" s="1">
        <v>2938.81</v>
      </c>
      <c r="F97" s="1"/>
      <c r="G97" s="1"/>
      <c r="H97" s="1"/>
      <c r="I97" s="1"/>
      <c r="J97" s="1"/>
      <c r="K97" s="1">
        <v>0</v>
      </c>
      <c r="L97" s="1">
        <v>0</v>
      </c>
      <c r="M97" s="4">
        <f t="shared" si="43"/>
        <v>290</v>
      </c>
      <c r="N97" s="4"/>
      <c r="O97" s="4">
        <f t="shared" si="50"/>
        <v>0</v>
      </c>
      <c r="P97" s="4">
        <f t="shared" si="51"/>
        <v>0</v>
      </c>
      <c r="Q97" s="4">
        <f t="shared" si="52"/>
        <v>0</v>
      </c>
      <c r="R97" s="4"/>
      <c r="S97" s="4"/>
      <c r="T97" s="4"/>
      <c r="U97" s="4"/>
      <c r="V97" s="4"/>
      <c r="W97" s="4">
        <v>61.982599999999998</v>
      </c>
      <c r="X97" s="1">
        <f t="shared" si="37"/>
        <v>-228.01740000000001</v>
      </c>
      <c r="Y97" s="1">
        <f t="shared" si="47"/>
        <v>1549.5650000000001</v>
      </c>
      <c r="Z97" s="1">
        <f>Y97-M97</f>
        <v>1259.5650000000001</v>
      </c>
      <c r="AA97" s="1">
        <f t="shared" si="53"/>
        <v>3.9471769489884409E-3</v>
      </c>
      <c r="AB97" s="1">
        <f t="shared" si="54"/>
        <v>7.3448349120684838E-3</v>
      </c>
      <c r="AC97" s="4"/>
      <c r="AX97">
        <f t="shared" si="48"/>
        <v>7.2665125167962422E-3</v>
      </c>
      <c r="AY97">
        <f t="shared" si="49"/>
        <v>4774.6200859678729</v>
      </c>
      <c r="AZ97">
        <f t="shared" si="55"/>
        <v>2624.2406107893994</v>
      </c>
      <c r="BA97">
        <f t="shared" si="42"/>
        <v>2150.3794751784735</v>
      </c>
    </row>
    <row r="98" spans="1:53" x14ac:dyDescent="0.35">
      <c r="A98" s="1">
        <v>97</v>
      </c>
      <c r="B98" s="1">
        <v>6184.3427862351964</v>
      </c>
      <c r="C98" s="1">
        <v>0</v>
      </c>
      <c r="D98" s="1"/>
      <c r="E98" s="1">
        <v>6184.34</v>
      </c>
      <c r="F98" s="1"/>
      <c r="G98" s="1"/>
      <c r="H98" s="1"/>
      <c r="I98" s="1"/>
      <c r="J98" s="1"/>
      <c r="K98" s="1">
        <v>0</v>
      </c>
      <c r="L98" s="1">
        <v>0</v>
      </c>
      <c r="M98" s="4">
        <f t="shared" si="43"/>
        <v>290</v>
      </c>
      <c r="N98" s="4"/>
      <c r="O98" s="4">
        <f t="shared" si="50"/>
        <v>0</v>
      </c>
      <c r="P98" s="4">
        <f t="shared" si="51"/>
        <v>0</v>
      </c>
      <c r="Q98" s="4">
        <f t="shared" si="52"/>
        <v>0</v>
      </c>
      <c r="R98" s="4"/>
      <c r="S98" s="4"/>
      <c r="T98" s="4"/>
      <c r="U98" s="4"/>
      <c r="V98" s="4"/>
      <c r="W98" s="4">
        <v>129.93600000000001</v>
      </c>
      <c r="X98" s="1">
        <f t="shared" si="37"/>
        <v>-160.06399999999999</v>
      </c>
      <c r="Y98" s="1">
        <f t="shared" si="47"/>
        <v>3248.4</v>
      </c>
      <c r="Z98" s="1">
        <f t="shared" ref="Z98:Z100" si="57">Y98-M98</f>
        <v>2958.4</v>
      </c>
      <c r="AA98" s="1">
        <f t="shared" si="53"/>
        <v>1.8757045657007733E-3</v>
      </c>
      <c r="AB98" s="1">
        <f t="shared" si="54"/>
        <v>3.4902768629148776E-3</v>
      </c>
      <c r="AC98" s="4"/>
      <c r="AX98">
        <f t="shared" si="48"/>
        <v>1.5291433006198544E-2</v>
      </c>
      <c r="AY98">
        <f t="shared" si="49"/>
        <v>10047.568624682921</v>
      </c>
      <c r="AZ98">
        <f t="shared" si="55"/>
        <v>5522.3739585222638</v>
      </c>
      <c r="BA98">
        <f t="shared" si="42"/>
        <v>4525.1946661606571</v>
      </c>
    </row>
    <row r="99" spans="1:53" x14ac:dyDescent="0.35">
      <c r="A99" s="1">
        <v>98</v>
      </c>
      <c r="B99" s="1">
        <v>3973.5840486666689</v>
      </c>
      <c r="C99" s="1">
        <v>0</v>
      </c>
      <c r="D99" s="1"/>
      <c r="E99" s="1">
        <v>3973.58</v>
      </c>
      <c r="F99" s="1"/>
      <c r="G99" s="1"/>
      <c r="H99" s="1"/>
      <c r="I99" s="1"/>
      <c r="J99" s="1"/>
      <c r="K99" s="1">
        <v>0</v>
      </c>
      <c r="L99" s="1">
        <v>0</v>
      </c>
      <c r="M99" s="4">
        <f t="shared" si="43"/>
        <v>290</v>
      </c>
      <c r="N99" s="4"/>
      <c r="O99" s="4">
        <f t="shared" si="50"/>
        <v>0</v>
      </c>
      <c r="P99" s="4">
        <f t="shared" si="51"/>
        <v>0</v>
      </c>
      <c r="Q99" s="4">
        <f t="shared" si="52"/>
        <v>0</v>
      </c>
      <c r="R99" s="4"/>
      <c r="S99" s="4"/>
      <c r="T99" s="4"/>
      <c r="U99" s="4"/>
      <c r="V99" s="4"/>
      <c r="W99" s="4">
        <v>82.931700000000006</v>
      </c>
      <c r="X99" s="1">
        <f t="shared" si="37"/>
        <v>-207.06829999999999</v>
      </c>
      <c r="Y99" s="1">
        <f t="shared" si="47"/>
        <v>2073.2925</v>
      </c>
      <c r="Z99" s="1">
        <f t="shared" si="57"/>
        <v>1783.2925</v>
      </c>
      <c r="AA99" s="1">
        <f t="shared" si="53"/>
        <v>2.9192788822202881E-3</v>
      </c>
      <c r="AB99" s="1">
        <f t="shared" si="54"/>
        <v>5.4321409273761509E-3</v>
      </c>
      <c r="AC99" s="4"/>
      <c r="AX99">
        <f t="shared" si="48"/>
        <v>9.8251012880343769E-3</v>
      </c>
      <c r="AY99">
        <f t="shared" si="49"/>
        <v>6455.7964839508122</v>
      </c>
      <c r="AZ99">
        <f t="shared" si="55"/>
        <v>3548.2536836731124</v>
      </c>
      <c r="BA99">
        <f t="shared" si="42"/>
        <v>2907.5428002776998</v>
      </c>
    </row>
    <row r="100" spans="1:53" x14ac:dyDescent="0.35">
      <c r="A100" s="1">
        <v>99</v>
      </c>
      <c r="B100" s="1">
        <v>6386.1720264839241</v>
      </c>
      <c r="C100" s="1">
        <v>0</v>
      </c>
      <c r="D100" s="1"/>
      <c r="E100" s="1">
        <v>6386.17</v>
      </c>
      <c r="F100" s="1"/>
      <c r="G100" s="1"/>
      <c r="H100" s="1"/>
      <c r="I100" s="1"/>
      <c r="J100" s="1"/>
      <c r="K100" s="1">
        <v>0</v>
      </c>
      <c r="L100" s="1">
        <v>0</v>
      </c>
      <c r="M100" s="4">
        <f t="shared" si="43"/>
        <v>290</v>
      </c>
      <c r="N100" s="4"/>
      <c r="O100" s="4">
        <f t="shared" si="50"/>
        <v>0</v>
      </c>
      <c r="P100" s="4">
        <f t="shared" si="51"/>
        <v>0</v>
      </c>
      <c r="Q100" s="4">
        <f t="shared" si="52"/>
        <v>0</v>
      </c>
      <c r="R100" s="4"/>
      <c r="S100" s="4"/>
      <c r="T100" s="4"/>
      <c r="U100" s="4"/>
      <c r="V100" s="4"/>
      <c r="W100" s="4">
        <v>106.389</v>
      </c>
      <c r="X100" s="1">
        <f t="shared" si="37"/>
        <v>-183.61099999999999</v>
      </c>
      <c r="Y100" s="1">
        <f t="shared" si="47"/>
        <v>2659.7249999999999</v>
      </c>
      <c r="Z100" s="1">
        <f t="shared" si="57"/>
        <v>2369.7249999999999</v>
      </c>
      <c r="AA100" s="1">
        <f t="shared" si="53"/>
        <v>1.8164246048953815E-3</v>
      </c>
      <c r="AB100" s="1">
        <f t="shared" si="54"/>
        <v>3.3799697924854471E-3</v>
      </c>
      <c r="AC100" s="4"/>
      <c r="AX100">
        <f t="shared" si="48"/>
        <v>1.5790476867872029E-2</v>
      </c>
      <c r="AY100">
        <f t="shared" si="49"/>
        <v>10375.476247523669</v>
      </c>
      <c r="AZ100">
        <f t="shared" si="55"/>
        <v>5702.5995021157851</v>
      </c>
      <c r="BA100">
        <f t="shared" si="42"/>
        <v>4672.8767454078843</v>
      </c>
    </row>
    <row r="101" spans="1:53" x14ac:dyDescent="0.35">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X101">
        <f t="shared" si="48"/>
        <v>0</v>
      </c>
      <c r="AY101">
        <f t="shared" si="49"/>
        <v>0</v>
      </c>
      <c r="AZ101">
        <f t="shared" si="55"/>
        <v>0</v>
      </c>
      <c r="BA101">
        <f t="shared" si="42"/>
        <v>0</v>
      </c>
    </row>
    <row r="102" spans="1:53" x14ac:dyDescent="0.35">
      <c r="A102" s="1" t="s">
        <v>57</v>
      </c>
      <c r="B102" s="1">
        <f>SUM(B2:B100)</f>
        <v>404431.86611276446</v>
      </c>
      <c r="C102" s="1">
        <f t="shared" ref="C102:Z102" si="58">SUM(C2:C100)</f>
        <v>162</v>
      </c>
      <c r="D102" s="1"/>
      <c r="E102" s="1"/>
      <c r="F102" s="1"/>
      <c r="G102" s="1"/>
      <c r="H102" s="1"/>
      <c r="I102" s="1"/>
      <c r="J102" s="1"/>
      <c r="K102" s="1">
        <f t="shared" si="58"/>
        <v>405</v>
      </c>
      <c r="L102" s="1">
        <f t="shared" si="58"/>
        <v>125.40000000000002</v>
      </c>
      <c r="M102" s="1">
        <f t="shared" si="58"/>
        <v>552988</v>
      </c>
      <c r="N102" s="1"/>
      <c r="O102" s="1">
        <f t="shared" si="58"/>
        <v>5293.9999999999991</v>
      </c>
      <c r="P102" s="1"/>
      <c r="Q102" s="1">
        <f t="shared" si="58"/>
        <v>132350</v>
      </c>
      <c r="R102" s="1">
        <f t="shared" si="58"/>
        <v>0</v>
      </c>
      <c r="S102" s="1">
        <f t="shared" si="58"/>
        <v>0</v>
      </c>
      <c r="T102" s="1">
        <f t="shared" si="58"/>
        <v>173477.1012133038</v>
      </c>
      <c r="U102" s="1">
        <f t="shared" si="58"/>
        <v>53583.7</v>
      </c>
      <c r="V102" s="1">
        <f t="shared" si="58"/>
        <v>0</v>
      </c>
      <c r="W102" s="1">
        <f t="shared" si="58"/>
        <v>55661.519564999988</v>
      </c>
      <c r="X102" s="1">
        <f t="shared" si="58"/>
        <v>-172774.88043500003</v>
      </c>
      <c r="Y102" s="1">
        <f t="shared" si="58"/>
        <v>1391537.9891249998</v>
      </c>
      <c r="Z102" s="1">
        <f t="shared" si="58"/>
        <v>1163101.5891249999</v>
      </c>
      <c r="AA102" s="1"/>
      <c r="AB102" s="1"/>
      <c r="AC102" s="4"/>
      <c r="AX102">
        <f t="shared" si="48"/>
        <v>1</v>
      </c>
      <c r="AY102">
        <f t="shared" si="49"/>
        <v>657071.74864579621</v>
      </c>
      <c r="AZ102">
        <f t="shared" si="55"/>
        <v>361141.69000928244</v>
      </c>
      <c r="BA102">
        <f t="shared" si="42"/>
        <v>295930.05863651377</v>
      </c>
    </row>
    <row r="103" spans="1:53" x14ac:dyDescent="0.35">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X103">
        <f t="shared" si="48"/>
        <v>0</v>
      </c>
      <c r="AY103">
        <f t="shared" si="49"/>
        <v>0</v>
      </c>
      <c r="AZ103">
        <f t="shared" si="55"/>
        <v>0</v>
      </c>
    </row>
    <row r="104" spans="1:53" x14ac:dyDescent="0.35">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sheetData>
  <mergeCells count="2">
    <mergeCell ref="S16:T16"/>
    <mergeCell ref="AI31:AL32"/>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8945C-BA81-44A5-8086-026CDDE83DDD}">
  <dimension ref="A1:BA114"/>
  <sheetViews>
    <sheetView topLeftCell="W1" zoomScale="80" zoomScaleNormal="80" workbookViewId="0">
      <selection activeCell="AC21" sqref="AC21"/>
    </sheetView>
  </sheetViews>
  <sheetFormatPr defaultRowHeight="14.5" x14ac:dyDescent="0.35"/>
  <cols>
    <col min="1" max="1" width="23.26953125" style="1" bestFit="1" customWidth="1"/>
    <col min="2" max="2" width="25.54296875" style="1" bestFit="1" customWidth="1"/>
    <col min="3" max="3" width="16.7265625" bestFit="1" customWidth="1"/>
    <col min="4" max="10" width="16.7265625" customWidth="1"/>
    <col min="11" max="11" width="16.1796875" bestFit="1" customWidth="1"/>
    <col min="12" max="12" width="20.54296875" customWidth="1"/>
    <col min="13" max="13" width="12" customWidth="1"/>
    <col min="14" max="15" width="12.26953125" customWidth="1"/>
    <col min="16" max="16" width="13" customWidth="1"/>
    <col min="17" max="17" width="8.7265625" customWidth="1"/>
    <col min="18" max="18" width="28.7265625" bestFit="1" customWidth="1"/>
    <col min="19" max="19" width="12.6328125" bestFit="1" customWidth="1"/>
    <col min="20" max="20" width="21.6328125" bestFit="1" customWidth="1"/>
    <col min="22" max="22" width="12.453125" customWidth="1"/>
    <col min="24" max="24" width="14.36328125" customWidth="1"/>
    <col min="25" max="25" width="10.36328125" customWidth="1"/>
    <col min="26" max="26" width="12.453125" customWidth="1"/>
    <col min="27" max="27" width="11.1796875" customWidth="1"/>
    <col min="28" max="28" width="10.54296875" customWidth="1"/>
    <col min="29" max="29" width="14" customWidth="1"/>
    <col min="31" max="31" width="23" customWidth="1"/>
    <col min="32" max="32" width="20.54296875" customWidth="1"/>
    <col min="33" max="33" width="19.81640625" customWidth="1"/>
    <col min="34" max="34" width="18.1796875" customWidth="1"/>
    <col min="35" max="35" width="16" customWidth="1"/>
    <col min="36" max="36" width="15.26953125" bestFit="1" customWidth="1"/>
    <col min="37" max="37" width="14.81640625" bestFit="1" customWidth="1"/>
    <col min="39" max="39" width="23.26953125" customWidth="1"/>
    <col min="40" max="40" width="21.453125" customWidth="1"/>
    <col min="48" max="48" width="23.26953125" customWidth="1"/>
    <col min="49" max="49" width="16.90625" customWidth="1"/>
    <col min="50" max="50" width="17.36328125" customWidth="1"/>
    <col min="51" max="51" width="22.54296875" customWidth="1"/>
    <col min="52" max="52" width="13.54296875" customWidth="1"/>
    <col min="53" max="53" width="23.453125" customWidth="1"/>
  </cols>
  <sheetData>
    <row r="1" spans="1:52" ht="63" customHeight="1" x14ac:dyDescent="0.35">
      <c r="A1" s="57" t="s">
        <v>7</v>
      </c>
      <c r="B1" s="60" t="s">
        <v>8</v>
      </c>
      <c r="C1" s="60" t="s">
        <v>253</v>
      </c>
      <c r="D1" s="61" t="s">
        <v>281</v>
      </c>
      <c r="E1" s="61" t="s">
        <v>301</v>
      </c>
      <c r="F1" s="61" t="s">
        <v>308</v>
      </c>
      <c r="G1" s="61" t="s">
        <v>312</v>
      </c>
      <c r="H1" s="61" t="s">
        <v>309</v>
      </c>
      <c r="I1" s="61" t="s">
        <v>310</v>
      </c>
      <c r="J1" s="61" t="s">
        <v>311</v>
      </c>
      <c r="K1" s="60" t="s">
        <v>254</v>
      </c>
      <c r="L1" s="61" t="s">
        <v>255</v>
      </c>
      <c r="M1" s="61" t="s">
        <v>256</v>
      </c>
      <c r="N1" s="61" t="s">
        <v>257</v>
      </c>
      <c r="O1" s="61" t="s">
        <v>282</v>
      </c>
      <c r="P1" s="61" t="s">
        <v>275</v>
      </c>
      <c r="Q1" s="69"/>
      <c r="R1" s="69"/>
      <c r="S1" s="69"/>
      <c r="T1" s="69"/>
      <c r="U1" s="69"/>
      <c r="V1" s="61" t="s">
        <v>276</v>
      </c>
      <c r="W1" s="61" t="s">
        <v>277</v>
      </c>
      <c r="X1" s="61" t="s">
        <v>278</v>
      </c>
      <c r="Y1" s="61" t="s">
        <v>279</v>
      </c>
      <c r="Z1" s="61" t="s">
        <v>31</v>
      </c>
      <c r="AA1" s="12" t="s">
        <v>283</v>
      </c>
      <c r="AB1" s="1"/>
      <c r="AC1" s="6" t="s">
        <v>33</v>
      </c>
      <c r="AD1" s="6" t="s">
        <v>34</v>
      </c>
      <c r="AE1" s="6" t="s">
        <v>35</v>
      </c>
      <c r="AF1" s="6" t="s">
        <v>36</v>
      </c>
      <c r="AG1" s="6" t="s">
        <v>37</v>
      </c>
      <c r="AH1" s="6" t="s">
        <v>38</v>
      </c>
      <c r="AI1" s="12" t="s">
        <v>39</v>
      </c>
      <c r="AJ1" s="12" t="s">
        <v>40</v>
      </c>
      <c r="AK1" s="12" t="s">
        <v>41</v>
      </c>
      <c r="AM1" s="12" t="s">
        <v>351</v>
      </c>
      <c r="AN1" s="12" t="s">
        <v>350</v>
      </c>
      <c r="AV1" s="6" t="s">
        <v>320</v>
      </c>
      <c r="AW1" s="86" t="s">
        <v>321</v>
      </c>
      <c r="AX1" s="86" t="s">
        <v>322</v>
      </c>
      <c r="AY1" s="6" t="s">
        <v>322</v>
      </c>
    </row>
    <row r="2" spans="1:52" ht="15" thickBot="1" x14ac:dyDescent="0.4">
      <c r="A2" s="1">
        <v>1</v>
      </c>
      <c r="B2" s="62">
        <v>1079.529030351737</v>
      </c>
      <c r="C2" s="62">
        <v>2</v>
      </c>
      <c r="D2" s="62">
        <v>3494.71</v>
      </c>
      <c r="E2" s="62">
        <v>1079.53</v>
      </c>
      <c r="F2" s="62">
        <v>1395.84</v>
      </c>
      <c r="G2" s="62">
        <v>139.60599999999999</v>
      </c>
      <c r="H2" s="62">
        <v>1682.91</v>
      </c>
      <c r="I2" s="62">
        <v>473.57100000000003</v>
      </c>
      <c r="J2" s="62">
        <v>556.52700000000004</v>
      </c>
      <c r="K2" s="62">
        <v>5</v>
      </c>
      <c r="L2" s="62">
        <v>1.2</v>
      </c>
      <c r="M2" s="62">
        <f>(C2*$S$18*1000)+S29</f>
        <v>7240</v>
      </c>
      <c r="N2" s="62">
        <f>$S$38*C2</f>
        <v>71.2</v>
      </c>
      <c r="O2" s="56">
        <f>N2/D2</f>
        <v>2.0373650460267088E-2</v>
      </c>
      <c r="P2" s="56">
        <f t="shared" ref="P2:P46" si="0">N2*25</f>
        <v>1780</v>
      </c>
      <c r="Q2" s="56"/>
      <c r="R2" s="56"/>
      <c r="S2" s="56"/>
      <c r="T2" s="56"/>
      <c r="U2" s="56"/>
      <c r="V2" s="1">
        <f>G2+(H2*$S$4)+(I2*$S$4)+(J2*$S$4)</f>
        <v>560.12223999999992</v>
      </c>
      <c r="W2" s="1">
        <f>V2-M2</f>
        <v>-6679.8777600000003</v>
      </c>
      <c r="X2" s="1">
        <f t="shared" ref="X2:X33" si="1">V2*$S$47</f>
        <v>14003.055999999999</v>
      </c>
      <c r="Y2" s="1">
        <f>X2-M2</f>
        <v>6763.0559999999987</v>
      </c>
      <c r="Z2" s="1">
        <f t="shared" ref="Z2:Z33" si="2">(M2/($S$47*B2))+O2</f>
        <v>0.28863878447490421</v>
      </c>
      <c r="AA2" s="1">
        <f t="shared" ref="AA2:AA33" si="3">(M2/($S$50*B2))+O2</f>
        <v>0.51955652152622989</v>
      </c>
      <c r="AB2" s="1" t="s">
        <v>327</v>
      </c>
      <c r="AC2" s="1" t="s">
        <v>284</v>
      </c>
      <c r="AD2" s="1">
        <v>0</v>
      </c>
      <c r="AE2">
        <f>-AC5</f>
        <v>-567703</v>
      </c>
      <c r="AF2">
        <f>AE2</f>
        <v>-567703</v>
      </c>
      <c r="AH2">
        <f>AE2</f>
        <v>-567703</v>
      </c>
      <c r="AI2">
        <f>AE2</f>
        <v>-567703</v>
      </c>
      <c r="AK2">
        <f>AE2</f>
        <v>-567703</v>
      </c>
      <c r="AV2" s="1">
        <f>AK27+AK63</f>
        <v>332520.14864579623</v>
      </c>
      <c r="AW2">
        <f>B2/$B$102</f>
        <v>2.6692481992770093E-3</v>
      </c>
      <c r="AX2">
        <f>AW2*$AV$2</f>
        <v>887.57880799611507</v>
      </c>
      <c r="AY2">
        <f>(AW2*$AV$2)*1.1</f>
        <v>976.33668879572667</v>
      </c>
      <c r="AZ2">
        <f>AY2-AX2</f>
        <v>88.757880799611598</v>
      </c>
    </row>
    <row r="3" spans="1:52" x14ac:dyDescent="0.35">
      <c r="A3" s="1">
        <v>2</v>
      </c>
      <c r="B3" s="62">
        <v>3886.3217817133332</v>
      </c>
      <c r="C3" s="62">
        <v>4</v>
      </c>
      <c r="D3" s="62">
        <v>6989.42</v>
      </c>
      <c r="E3" s="62">
        <v>3886.32</v>
      </c>
      <c r="F3" s="62">
        <v>2567.4899999999998</v>
      </c>
      <c r="G3" s="62">
        <v>253.81899999999999</v>
      </c>
      <c r="H3" s="62">
        <v>3085.9</v>
      </c>
      <c r="I3" s="62">
        <v>1442.46</v>
      </c>
      <c r="J3" s="62">
        <v>2007.51</v>
      </c>
      <c r="K3" s="62">
        <v>10</v>
      </c>
      <c r="L3" s="62">
        <v>3.3</v>
      </c>
      <c r="M3" s="62">
        <f>(C3*$S$18*1000)+S31</f>
        <v>14096</v>
      </c>
      <c r="N3" s="62">
        <f>$S$38*C3</f>
        <v>142.4</v>
      </c>
      <c r="O3" s="56">
        <f t="shared" ref="O3:O46" si="4">N3/D3</f>
        <v>2.0373650460267088E-2</v>
      </c>
      <c r="P3" s="56">
        <f t="shared" si="0"/>
        <v>3560</v>
      </c>
      <c r="Q3" s="56"/>
      <c r="R3" s="80" t="s">
        <v>267</v>
      </c>
      <c r="S3" s="81"/>
      <c r="T3" s="82"/>
      <c r="U3" s="56"/>
      <c r="V3" s="1">
        <f t="shared" ref="V3:V46" si="5">G3+(H3*$S$4)+(I3*$S$4)+(J3*$S$4)</f>
        <v>1266.8788500000001</v>
      </c>
      <c r="W3" s="1">
        <f t="shared" ref="W3:W66" si="6">V3-M3</f>
        <v>-12829.121149999999</v>
      </c>
      <c r="X3" s="1">
        <f t="shared" si="1"/>
        <v>31671.971250000002</v>
      </c>
      <c r="Y3" s="1">
        <f t="shared" ref="Y3:Y66" si="7">X3-M3</f>
        <v>17575.971250000002</v>
      </c>
      <c r="Z3" s="1">
        <f t="shared" si="2"/>
        <v>0.16545685037775415</v>
      </c>
      <c r="AA3" s="1">
        <f t="shared" si="3"/>
        <v>0.29034182408918408</v>
      </c>
      <c r="AB3" s="1">
        <f>SUM(AA2:AA46)/45</f>
        <v>0.31865353451977457</v>
      </c>
      <c r="AC3" s="1"/>
      <c r="AD3" s="1">
        <v>1</v>
      </c>
      <c r="AE3">
        <f>AC8</f>
        <v>50976.439844999986</v>
      </c>
      <c r="AF3">
        <f>AF2+AE3</f>
        <v>-516726.56015500001</v>
      </c>
      <c r="AG3">
        <f t="shared" ref="AG3:AG27" si="8">AE3/(1+$S$20)^AD3</f>
        <v>48045.654896324209</v>
      </c>
      <c r="AH3">
        <f>AH2+AG3</f>
        <v>-519657.34510367579</v>
      </c>
      <c r="AI3">
        <f t="shared" ref="AI3:AI27" si="9">$AC$8*((1+$S$44)^AD3)</f>
        <v>52250.850841124979</v>
      </c>
      <c r="AJ3">
        <f t="shared" ref="AJ3:AJ27" si="10">AI3/(1+$S$20)^AD3</f>
        <v>49246.796268732309</v>
      </c>
      <c r="AK3">
        <f>AK2+AJ3</f>
        <v>-518456.20373126771</v>
      </c>
      <c r="AM3" s="1">
        <f>$AC$12*((1+$S$44)^AD3)</f>
        <v>9562.2728674999998</v>
      </c>
      <c r="AN3">
        <f>AM3/(1+$S$20)^AD3</f>
        <v>9012.5097714420353</v>
      </c>
      <c r="AV3" s="1"/>
      <c r="AW3">
        <f t="shared" ref="AW3:AW66" si="11">B3/$B$102</f>
        <v>9.6093362253253847E-3</v>
      </c>
      <c r="AX3">
        <f t="shared" ref="AX3:AX66" si="12">AW3*$AV$2</f>
        <v>3195.2979100326315</v>
      </c>
      <c r="AY3">
        <f>(AW3*$AV$2)*1.1</f>
        <v>3514.8277010358952</v>
      </c>
      <c r="AZ3">
        <f t="shared" ref="AZ3:AZ46" si="13">AY3-AX3</f>
        <v>319.52979100326365</v>
      </c>
    </row>
    <row r="4" spans="1:52" ht="29" x14ac:dyDescent="0.35">
      <c r="A4" s="1">
        <v>3</v>
      </c>
      <c r="B4" s="1">
        <v>3457.332910813851</v>
      </c>
      <c r="C4" s="1">
        <v>2</v>
      </c>
      <c r="D4" s="1">
        <v>3494.71</v>
      </c>
      <c r="E4" s="1">
        <v>3457.33</v>
      </c>
      <c r="F4" s="1">
        <v>613.53200000000004</v>
      </c>
      <c r="G4" s="1">
        <v>54.761099999999999</v>
      </c>
      <c r="H4" s="1">
        <v>1498.2</v>
      </c>
      <c r="I4" s="1">
        <v>1382.98</v>
      </c>
      <c r="J4" s="1">
        <v>2074.35</v>
      </c>
      <c r="K4" s="1">
        <v>5</v>
      </c>
      <c r="L4" s="1">
        <v>0</v>
      </c>
      <c r="M4" s="1">
        <f>C4*$S$18*1000</f>
        <v>5200</v>
      </c>
      <c r="N4" s="1">
        <f>$S$19*C4</f>
        <v>53</v>
      </c>
      <c r="O4" s="4">
        <f t="shared" si="4"/>
        <v>1.5165779134749377E-2</v>
      </c>
      <c r="P4" s="4">
        <f t="shared" si="0"/>
        <v>1325</v>
      </c>
      <c r="Q4" s="4"/>
      <c r="R4" s="63" t="s">
        <v>302</v>
      </c>
      <c r="S4" s="4">
        <v>0.155</v>
      </c>
      <c r="T4" s="30"/>
      <c r="U4" s="4"/>
      <c r="V4" s="1">
        <f t="shared" si="5"/>
        <v>822.86824999999999</v>
      </c>
      <c r="W4" s="1">
        <f t="shared" si="6"/>
        <v>-4377.1317500000005</v>
      </c>
      <c r="X4" s="1">
        <f t="shared" si="1"/>
        <v>20571.706249999999</v>
      </c>
      <c r="Y4" s="1">
        <f t="shared" si="7"/>
        <v>15371.706249999999</v>
      </c>
      <c r="Z4" s="1">
        <f t="shared" si="2"/>
        <v>7.5327761033980797E-2</v>
      </c>
      <c r="AA4" s="1">
        <f t="shared" si="3"/>
        <v>0.12711409833689449</v>
      </c>
      <c r="AB4" s="1"/>
      <c r="AC4" s="73" t="s">
        <v>285</v>
      </c>
      <c r="AD4" s="1">
        <f>AD3+1</f>
        <v>2</v>
      </c>
      <c r="AE4">
        <f>AE3</f>
        <v>50976.439844999986</v>
      </c>
      <c r="AF4">
        <f>AF3+AE4</f>
        <v>-465750.12031000003</v>
      </c>
      <c r="AG4">
        <f t="shared" si="8"/>
        <v>45283.369365055805</v>
      </c>
      <c r="AH4">
        <f t="shared" ref="AH4:AH27" si="14">AH3+AG4</f>
        <v>-474373.97573861998</v>
      </c>
      <c r="AI4">
        <f t="shared" si="9"/>
        <v>53557.122112153105</v>
      </c>
      <c r="AJ4">
        <f t="shared" si="10"/>
        <v>47575.839939161749</v>
      </c>
      <c r="AK4">
        <f t="shared" ref="AK4:AK27" si="15">AK3+AJ4</f>
        <v>-470880.36379210599</v>
      </c>
      <c r="AM4" s="1">
        <f t="shared" ref="AM4:AM27" si="16">$AC$12*((1+$S$44)^AD4)</f>
        <v>9801.3296891874998</v>
      </c>
      <c r="AN4">
        <f t="shared" ref="AN4:AN27" si="17">AM4/(1+$S$20)^AD4</f>
        <v>8706.713021421383</v>
      </c>
      <c r="AV4" s="1"/>
      <c r="AW4">
        <f t="shared" si="11"/>
        <v>8.5486164679463485E-3</v>
      </c>
      <c r="AX4">
        <f t="shared" si="12"/>
        <v>2842.5872186374213</v>
      </c>
      <c r="AY4">
        <f t="shared" ref="AY4:AY46" si="18">(AW4*$AV$2)*1.1</f>
        <v>3126.8459405011636</v>
      </c>
      <c r="AZ4">
        <f t="shared" si="13"/>
        <v>284.25872186374227</v>
      </c>
    </row>
    <row r="5" spans="1:52" x14ac:dyDescent="0.35">
      <c r="A5" s="1">
        <v>4</v>
      </c>
      <c r="B5" s="62">
        <v>1453.8912212817379</v>
      </c>
      <c r="C5" s="62">
        <v>2</v>
      </c>
      <c r="D5" s="62">
        <v>3494.71</v>
      </c>
      <c r="E5" s="62">
        <v>1453.89</v>
      </c>
      <c r="F5" s="62">
        <v>1292.6199999999999</v>
      </c>
      <c r="G5" s="62">
        <v>127.47</v>
      </c>
      <c r="H5" s="62">
        <v>1638.92</v>
      </c>
      <c r="I5" s="62">
        <v>615.08299999999997</v>
      </c>
      <c r="J5" s="62">
        <v>724.553</v>
      </c>
      <c r="K5" s="62">
        <v>5</v>
      </c>
      <c r="L5" s="62">
        <v>1.2</v>
      </c>
      <c r="M5" s="62">
        <f>(C5*$S$18*1000)+S29</f>
        <v>7240</v>
      </c>
      <c r="N5" s="62">
        <f>$S$38*C5</f>
        <v>71.2</v>
      </c>
      <c r="O5" s="56">
        <f t="shared" si="4"/>
        <v>2.0373650460267088E-2</v>
      </c>
      <c r="P5" s="56">
        <f t="shared" si="0"/>
        <v>1780</v>
      </c>
      <c r="Q5" s="56"/>
      <c r="R5" s="83" t="s">
        <v>303</v>
      </c>
      <c r="S5" s="56">
        <v>0.129</v>
      </c>
      <c r="T5" s="46" t="s">
        <v>6</v>
      </c>
      <c r="U5" s="56"/>
      <c r="V5" s="1">
        <f t="shared" si="5"/>
        <v>589.14617999999996</v>
      </c>
      <c r="W5" s="1">
        <f t="shared" si="6"/>
        <v>-6650.8538200000003</v>
      </c>
      <c r="X5" s="1">
        <f t="shared" si="1"/>
        <v>14728.654499999999</v>
      </c>
      <c r="Y5" s="1">
        <f t="shared" si="7"/>
        <v>7488.6544999999987</v>
      </c>
      <c r="Z5" s="1">
        <f t="shared" si="2"/>
        <v>0.2195632430246208</v>
      </c>
      <c r="AA5" s="1">
        <f t="shared" si="3"/>
        <v>0.39102201320019814</v>
      </c>
      <c r="AB5" s="1"/>
      <c r="AC5" s="1">
        <f>SUM(M2:M46) + (T10*45/99)+T39+T40+T11+T12</f>
        <v>567703</v>
      </c>
      <c r="AD5" s="1">
        <f t="shared" ref="AD5:AD27" si="19">AD4+1</f>
        <v>3</v>
      </c>
      <c r="AE5">
        <f t="shared" ref="AE5:AE27" si="20">AE4</f>
        <v>50976.439844999986</v>
      </c>
      <c r="AF5">
        <f t="shared" ref="AF5:AF27" si="21">AF4+AE5</f>
        <v>-414773.68046500004</v>
      </c>
      <c r="AG5">
        <f t="shared" si="8"/>
        <v>42679.895725783048</v>
      </c>
      <c r="AH5">
        <f t="shared" si="14"/>
        <v>-431694.08001283696</v>
      </c>
      <c r="AI5">
        <f t="shared" si="9"/>
        <v>54896.050164956934</v>
      </c>
      <c r="AJ5">
        <f t="shared" si="10"/>
        <v>45961.579583073333</v>
      </c>
      <c r="AK5">
        <f t="shared" si="15"/>
        <v>-424918.78420903266</v>
      </c>
      <c r="AM5" s="1">
        <f t="shared" si="16"/>
        <v>10046.362931417187</v>
      </c>
      <c r="AN5">
        <f t="shared" si="17"/>
        <v>8411.2920329471417</v>
      </c>
      <c r="AV5" s="2" t="s">
        <v>324</v>
      </c>
      <c r="AW5">
        <f t="shared" si="11"/>
        <v>3.5948977889797666E-3</v>
      </c>
      <c r="AX5">
        <f t="shared" si="12"/>
        <v>1195.3759471579963</v>
      </c>
      <c r="AY5">
        <f t="shared" si="18"/>
        <v>1314.913541873796</v>
      </c>
      <c r="AZ5">
        <f t="shared" si="13"/>
        <v>119.53759471579974</v>
      </c>
    </row>
    <row r="6" spans="1:52" x14ac:dyDescent="0.35">
      <c r="A6" s="1">
        <v>5</v>
      </c>
      <c r="B6" s="1">
        <v>3955.020115733626</v>
      </c>
      <c r="C6" s="1">
        <v>4</v>
      </c>
      <c r="D6" s="1">
        <v>6989.42</v>
      </c>
      <c r="E6" s="1">
        <v>3955.02</v>
      </c>
      <c r="F6" s="1">
        <v>1833.18</v>
      </c>
      <c r="G6" s="1">
        <v>168.476</v>
      </c>
      <c r="H6" s="1">
        <v>3471.67</v>
      </c>
      <c r="I6" s="1">
        <v>1684.57</v>
      </c>
      <c r="J6" s="1">
        <v>2270.4499999999998</v>
      </c>
      <c r="K6" s="1">
        <v>10</v>
      </c>
      <c r="L6" s="1">
        <v>0</v>
      </c>
      <c r="M6" s="1">
        <f>C6*$S$18*1000</f>
        <v>10400</v>
      </c>
      <c r="N6" s="1">
        <f>$S$19*C6</f>
        <v>106</v>
      </c>
      <c r="O6" s="4">
        <f t="shared" si="4"/>
        <v>1.5165779134749377E-2</v>
      </c>
      <c r="P6" s="4">
        <f t="shared" si="0"/>
        <v>2650</v>
      </c>
      <c r="Q6" s="4"/>
      <c r="R6" s="63"/>
      <c r="S6" s="1"/>
      <c r="T6" s="78">
        <f>(T10*45/99)</f>
        <v>13050</v>
      </c>
      <c r="U6" s="4"/>
      <c r="V6" s="1">
        <f t="shared" si="5"/>
        <v>1319.61295</v>
      </c>
      <c r="W6" s="1">
        <f t="shared" si="6"/>
        <v>-9080.3870499999994</v>
      </c>
      <c r="X6" s="1">
        <f t="shared" si="1"/>
        <v>32990.323749999996</v>
      </c>
      <c r="Y6" s="1">
        <f t="shared" si="7"/>
        <v>22590.323749999996</v>
      </c>
      <c r="Z6" s="1">
        <f t="shared" si="2"/>
        <v>0.12034855642204902</v>
      </c>
      <c r="AA6" s="1">
        <f t="shared" si="3"/>
        <v>0.21088797369358894</v>
      </c>
      <c r="AB6" s="1"/>
      <c r="AC6" s="1"/>
      <c r="AD6" s="1">
        <f t="shared" si="19"/>
        <v>4</v>
      </c>
      <c r="AE6">
        <f t="shared" si="20"/>
        <v>50976.439844999986</v>
      </c>
      <c r="AF6">
        <f t="shared" si="21"/>
        <v>-363797.24062000006</v>
      </c>
      <c r="AG6">
        <f t="shared" si="8"/>
        <v>40226.103417326151</v>
      </c>
      <c r="AH6">
        <f t="shared" si="14"/>
        <v>-391467.97659551079</v>
      </c>
      <c r="AI6">
        <f t="shared" si="9"/>
        <v>56268.451419080848</v>
      </c>
      <c r="AJ6">
        <f t="shared" si="10"/>
        <v>44402.091491658954</v>
      </c>
      <c r="AK6">
        <f t="shared" si="15"/>
        <v>-380516.69271737372</v>
      </c>
      <c r="AM6" s="1">
        <f t="shared" si="16"/>
        <v>10297.522004702616</v>
      </c>
      <c r="AN6">
        <f t="shared" si="17"/>
        <v>8125.8947537896511</v>
      </c>
      <c r="AV6" s="1">
        <f>SUM(AY2:AY46)</f>
        <v>152532.77841664662</v>
      </c>
      <c r="AW6">
        <f t="shared" si="11"/>
        <v>9.7792000263176096E-3</v>
      </c>
      <c r="AX6">
        <f t="shared" si="12"/>
        <v>3251.781046388106</v>
      </c>
      <c r="AY6">
        <f t="shared" si="18"/>
        <v>3576.959151026917</v>
      </c>
      <c r="AZ6">
        <f t="shared" si="13"/>
        <v>325.17810463881096</v>
      </c>
    </row>
    <row r="7" spans="1:52" ht="29" x14ac:dyDescent="0.35">
      <c r="A7" s="1">
        <v>6</v>
      </c>
      <c r="B7" s="62">
        <v>2105.0165005377999</v>
      </c>
      <c r="C7" s="62">
        <v>2</v>
      </c>
      <c r="D7" s="62">
        <v>3494.71</v>
      </c>
      <c r="E7" s="62">
        <v>2105.02</v>
      </c>
      <c r="F7" s="62">
        <v>1453.58</v>
      </c>
      <c r="G7" s="62">
        <v>145.85</v>
      </c>
      <c r="H7" s="62">
        <v>1123.08</v>
      </c>
      <c r="I7" s="62">
        <v>912.81600000000003</v>
      </c>
      <c r="J7" s="62">
        <v>775.86</v>
      </c>
      <c r="K7" s="62">
        <v>5</v>
      </c>
      <c r="L7" s="62">
        <v>4.2</v>
      </c>
      <c r="M7" s="62">
        <f>(C7*$S$18*1000)+S32</f>
        <v>9904</v>
      </c>
      <c r="N7" s="62">
        <f>$S$38*C7</f>
        <v>71.2</v>
      </c>
      <c r="O7" s="56">
        <f t="shared" si="4"/>
        <v>2.0373650460267088E-2</v>
      </c>
      <c r="P7" s="56">
        <f t="shared" si="0"/>
        <v>1780</v>
      </c>
      <c r="Q7" s="56"/>
      <c r="R7" s="84"/>
      <c r="S7" s="62"/>
      <c r="T7" s="85"/>
      <c r="U7" s="56"/>
      <c r="V7" s="1">
        <f t="shared" si="5"/>
        <v>581.67217999999991</v>
      </c>
      <c r="W7" s="1">
        <f t="shared" si="6"/>
        <v>-9322.3278200000004</v>
      </c>
      <c r="X7" s="1">
        <f t="shared" si="1"/>
        <v>14541.804499999998</v>
      </c>
      <c r="Y7" s="1">
        <f t="shared" si="7"/>
        <v>4637.8044999999984</v>
      </c>
      <c r="Z7" s="1">
        <f t="shared" si="2"/>
        <v>0.20857170016618964</v>
      </c>
      <c r="AA7" s="1">
        <f t="shared" si="3"/>
        <v>0.37056915061829859</v>
      </c>
      <c r="AB7" s="1"/>
      <c r="AC7" s="73" t="s">
        <v>286</v>
      </c>
      <c r="AD7" s="1">
        <f t="shared" si="19"/>
        <v>5</v>
      </c>
      <c r="AE7">
        <f t="shared" si="20"/>
        <v>50976.439844999986</v>
      </c>
      <c r="AF7">
        <f t="shared" si="21"/>
        <v>-312820.80077500007</v>
      </c>
      <c r="AG7">
        <f t="shared" si="8"/>
        <v>37913.386821231055</v>
      </c>
      <c r="AH7">
        <f t="shared" si="14"/>
        <v>-353554.58977427974</v>
      </c>
      <c r="AI7">
        <f t="shared" si="9"/>
        <v>57675.162704557864</v>
      </c>
      <c r="AJ7">
        <f t="shared" si="10"/>
        <v>42895.517228039986</v>
      </c>
      <c r="AK7">
        <f t="shared" si="15"/>
        <v>-337621.17548933375</v>
      </c>
      <c r="AM7" s="1">
        <f t="shared" si="16"/>
        <v>10554.96005482018</v>
      </c>
      <c r="AN7">
        <f t="shared" si="17"/>
        <v>7850.1810769409913</v>
      </c>
      <c r="AV7" s="1"/>
      <c r="AW7">
        <f t="shared" si="11"/>
        <v>5.2048730006623049E-3</v>
      </c>
      <c r="AX7">
        <f t="shared" si="12"/>
        <v>1730.7251438627211</v>
      </c>
      <c r="AY7">
        <f t="shared" si="18"/>
        <v>1903.7976582489935</v>
      </c>
      <c r="AZ7">
        <f t="shared" si="13"/>
        <v>173.07251438627236</v>
      </c>
    </row>
    <row r="8" spans="1:52" x14ac:dyDescent="0.35">
      <c r="A8" s="1">
        <v>7</v>
      </c>
      <c r="B8" s="1">
        <v>1617.7934488334181</v>
      </c>
      <c r="C8" s="1">
        <v>2</v>
      </c>
      <c r="D8" s="1">
        <v>3494.71</v>
      </c>
      <c r="E8" s="1">
        <v>1617.79</v>
      </c>
      <c r="F8" s="1">
        <v>1038.05</v>
      </c>
      <c r="G8" s="1">
        <v>96.850499999999997</v>
      </c>
      <c r="H8" s="1">
        <v>1831.46</v>
      </c>
      <c r="I8" s="1">
        <v>625.19600000000003</v>
      </c>
      <c r="J8" s="1">
        <v>992.59699999999998</v>
      </c>
      <c r="K8" s="1">
        <v>5</v>
      </c>
      <c r="L8" s="1">
        <v>0</v>
      </c>
      <c r="M8" s="1">
        <f>C8*$S$18*1000</f>
        <v>5200</v>
      </c>
      <c r="N8" s="1">
        <f>$S$19*C8</f>
        <v>53</v>
      </c>
      <c r="O8" s="4">
        <f t="shared" si="4"/>
        <v>1.5165779134749377E-2</v>
      </c>
      <c r="P8" s="4">
        <f t="shared" si="0"/>
        <v>1325</v>
      </c>
      <c r="Q8" s="4"/>
      <c r="R8" s="65"/>
      <c r="S8" s="1"/>
      <c r="T8" s="78">
        <v>25</v>
      </c>
      <c r="U8" s="4"/>
      <c r="V8" s="1">
        <f t="shared" si="5"/>
        <v>631.48471500000005</v>
      </c>
      <c r="W8" s="1">
        <f t="shared" si="6"/>
        <v>-4568.5152849999995</v>
      </c>
      <c r="X8" s="1">
        <f t="shared" si="1"/>
        <v>15787.117875000002</v>
      </c>
      <c r="Y8" s="1">
        <f t="shared" si="7"/>
        <v>10587.117875000002</v>
      </c>
      <c r="Z8" s="1">
        <f t="shared" si="2"/>
        <v>0.14373596227524091</v>
      </c>
      <c r="AA8" s="1">
        <f t="shared" si="3"/>
        <v>0.25440683216717741</v>
      </c>
      <c r="AB8" s="1"/>
      <c r="AC8" s="1">
        <f>SUM(V2:V46)</f>
        <v>50976.439844999986</v>
      </c>
      <c r="AD8" s="1">
        <f t="shared" si="19"/>
        <v>6</v>
      </c>
      <c r="AE8">
        <f t="shared" si="20"/>
        <v>50976.439844999986</v>
      </c>
      <c r="AF8">
        <f t="shared" si="21"/>
        <v>-261844.36093000008</v>
      </c>
      <c r="AG8">
        <f t="shared" si="8"/>
        <v>35733.63508127338</v>
      </c>
      <c r="AH8">
        <f t="shared" si="14"/>
        <v>-317820.95469300635</v>
      </c>
      <c r="AI8">
        <f t="shared" si="9"/>
        <v>59117.041772171811</v>
      </c>
      <c r="AJ8">
        <f t="shared" si="10"/>
        <v>41440.061412573974</v>
      </c>
      <c r="AK8">
        <f t="shared" si="15"/>
        <v>-296181.11407675978</v>
      </c>
      <c r="AM8" s="1">
        <f t="shared" si="16"/>
        <v>10818.834056190684</v>
      </c>
      <c r="AN8">
        <f t="shared" si="17"/>
        <v>7583.8224353105707</v>
      </c>
      <c r="AV8" s="1"/>
      <c r="AW8">
        <f t="shared" si="11"/>
        <v>4.0001631532722544E-3</v>
      </c>
      <c r="AX8">
        <f t="shared" si="12"/>
        <v>1330.1348463335271</v>
      </c>
      <c r="AY8">
        <f t="shared" si="18"/>
        <v>1463.1483309668799</v>
      </c>
      <c r="AZ8">
        <f t="shared" si="13"/>
        <v>133.01348463335285</v>
      </c>
    </row>
    <row r="9" spans="1:52" x14ac:dyDescent="0.35">
      <c r="A9" s="1">
        <v>8</v>
      </c>
      <c r="B9" s="62">
        <v>10161.74794678937</v>
      </c>
      <c r="C9" s="62">
        <v>10</v>
      </c>
      <c r="D9" s="62">
        <v>17473.5</v>
      </c>
      <c r="E9" s="62">
        <v>10161.700000000001</v>
      </c>
      <c r="F9" s="62">
        <v>6690.31</v>
      </c>
      <c r="G9" s="62">
        <v>666.70799999999997</v>
      </c>
      <c r="H9" s="62">
        <v>7473.12</v>
      </c>
      <c r="I9" s="62">
        <v>3557.92</v>
      </c>
      <c r="J9" s="62">
        <v>5438.81</v>
      </c>
      <c r="K9" s="62">
        <v>25</v>
      </c>
      <c r="L9" s="62">
        <v>9.6999999999999993</v>
      </c>
      <c r="M9" s="62">
        <f>(C9*$S$18*1000)+S35</f>
        <v>34000</v>
      </c>
      <c r="N9" s="62">
        <f>$S$38*C9</f>
        <v>356</v>
      </c>
      <c r="O9" s="56">
        <f t="shared" si="4"/>
        <v>2.0373708758977881E-2</v>
      </c>
      <c r="P9" s="56">
        <f t="shared" si="0"/>
        <v>8900</v>
      </c>
      <c r="Q9" s="56"/>
      <c r="R9" s="65"/>
      <c r="S9" s="1" t="s">
        <v>314</v>
      </c>
      <c r="T9" s="78" t="s">
        <v>315</v>
      </c>
      <c r="U9" s="56"/>
      <c r="V9" s="1">
        <f t="shared" si="5"/>
        <v>3219.5347500000003</v>
      </c>
      <c r="W9" s="1">
        <f t="shared" si="6"/>
        <v>-30780.465250000001</v>
      </c>
      <c r="X9" s="1">
        <f t="shared" si="1"/>
        <v>80488.368750000009</v>
      </c>
      <c r="Y9" s="1">
        <f t="shared" si="7"/>
        <v>46488.368750000009</v>
      </c>
      <c r="Z9" s="1">
        <f t="shared" si="2"/>
        <v>0.15420895119182088</v>
      </c>
      <c r="AA9" s="1">
        <f t="shared" si="3"/>
        <v>0.26941188814381944</v>
      </c>
      <c r="AB9" s="1"/>
      <c r="AC9" s="1"/>
      <c r="AD9" s="1">
        <f t="shared" si="19"/>
        <v>7</v>
      </c>
      <c r="AE9">
        <f t="shared" si="20"/>
        <v>50976.439844999986</v>
      </c>
      <c r="AF9">
        <f t="shared" si="21"/>
        <v>-210867.9210850001</v>
      </c>
      <c r="AG9">
        <f t="shared" si="8"/>
        <v>33679.203658127604</v>
      </c>
      <c r="AH9">
        <f t="shared" si="14"/>
        <v>-284141.75103487878</v>
      </c>
      <c r="AI9">
        <f t="shared" si="9"/>
        <v>60594.967816476106</v>
      </c>
      <c r="AJ9">
        <f t="shared" si="10"/>
        <v>40033.989583306626</v>
      </c>
      <c r="AK9">
        <f t="shared" si="15"/>
        <v>-256147.12449345316</v>
      </c>
      <c r="AM9" s="1">
        <f t="shared" si="16"/>
        <v>11089.304907595451</v>
      </c>
      <c r="AN9">
        <f t="shared" si="17"/>
        <v>7326.5014101727957</v>
      </c>
      <c r="AV9" s="6" t="s">
        <v>323</v>
      </c>
      <c r="AW9">
        <f t="shared" si="11"/>
        <v>2.512598239218878E-2</v>
      </c>
      <c r="AX9">
        <f t="shared" si="12"/>
        <v>8354.8953999222722</v>
      </c>
      <c r="AY9">
        <f t="shared" si="18"/>
        <v>9190.3849399145001</v>
      </c>
      <c r="AZ9">
        <f t="shared" si="13"/>
        <v>835.48953999222795</v>
      </c>
    </row>
    <row r="10" spans="1:52" x14ac:dyDescent="0.35">
      <c r="A10" s="1">
        <v>9</v>
      </c>
      <c r="B10" s="62">
        <v>5057.043251595851</v>
      </c>
      <c r="C10" s="62">
        <v>4</v>
      </c>
      <c r="D10" s="62">
        <v>6989.42</v>
      </c>
      <c r="E10" s="62">
        <v>5057.04</v>
      </c>
      <c r="F10" s="62">
        <v>2433.36</v>
      </c>
      <c r="G10" s="62">
        <v>235.053</v>
      </c>
      <c r="H10" s="62">
        <v>2459.33</v>
      </c>
      <c r="I10" s="62">
        <v>2123.7399999999998</v>
      </c>
      <c r="J10" s="62">
        <v>1740.61</v>
      </c>
      <c r="K10" s="62">
        <v>10</v>
      </c>
      <c r="L10" s="62">
        <v>6</v>
      </c>
      <c r="M10" s="62">
        <f>(C10*$S$18*1000)+S34</f>
        <v>14600</v>
      </c>
      <c r="N10" s="62">
        <f>$S$38*C10</f>
        <v>142.4</v>
      </c>
      <c r="O10" s="56">
        <f t="shared" si="4"/>
        <v>2.0373650460267088E-2</v>
      </c>
      <c r="P10" s="56">
        <f t="shared" si="0"/>
        <v>3560</v>
      </c>
      <c r="Q10" s="56"/>
      <c r="R10" s="50" t="s">
        <v>319</v>
      </c>
      <c r="S10" s="1">
        <f>200+90</f>
        <v>290</v>
      </c>
      <c r="T10" s="78">
        <f>S10*99</f>
        <v>28710</v>
      </c>
      <c r="U10" s="56"/>
      <c r="V10" s="1">
        <f t="shared" si="5"/>
        <v>1215.2233999999999</v>
      </c>
      <c r="W10" s="1">
        <f t="shared" si="6"/>
        <v>-13384.776600000001</v>
      </c>
      <c r="X10" s="1">
        <f t="shared" si="1"/>
        <v>30380.584999999995</v>
      </c>
      <c r="Y10" s="1">
        <f t="shared" si="7"/>
        <v>15780.584999999995</v>
      </c>
      <c r="Z10" s="1">
        <f t="shared" si="2"/>
        <v>0.1358561509936978</v>
      </c>
      <c r="AA10" s="1">
        <f t="shared" si="3"/>
        <v>0.23526138227788448</v>
      </c>
      <c r="AB10" s="1"/>
      <c r="AC10" s="1"/>
      <c r="AD10" s="1">
        <f t="shared" si="19"/>
        <v>8</v>
      </c>
      <c r="AE10">
        <f t="shared" si="20"/>
        <v>50976.439844999986</v>
      </c>
      <c r="AF10">
        <f t="shared" si="21"/>
        <v>-159891.48124000011</v>
      </c>
      <c r="AG10">
        <f t="shared" si="8"/>
        <v>31742.887519441661</v>
      </c>
      <c r="AH10">
        <f t="shared" si="14"/>
        <v>-252398.86351543711</v>
      </c>
      <c r="AI10">
        <f t="shared" si="9"/>
        <v>62109.842011888002</v>
      </c>
      <c r="AJ10">
        <f t="shared" si="10"/>
        <v>38675.626129019125</v>
      </c>
      <c r="AK10">
        <f t="shared" si="15"/>
        <v>-217471.49836443402</v>
      </c>
      <c r="AM10" s="1">
        <f t="shared" si="16"/>
        <v>11366.537530285337</v>
      </c>
      <c r="AN10">
        <f t="shared" si="17"/>
        <v>7077.9113529002025</v>
      </c>
      <c r="AV10" s="1">
        <f>AV2-AV6</f>
        <v>179987.37022914962</v>
      </c>
      <c r="AW10">
        <f t="shared" si="11"/>
        <v>1.2504067249205919E-2</v>
      </c>
      <c r="AX10">
        <f t="shared" si="12"/>
        <v>4157.8543003829845</v>
      </c>
      <c r="AY10">
        <f t="shared" si="18"/>
        <v>4573.6397304212833</v>
      </c>
      <c r="AZ10">
        <f t="shared" si="13"/>
        <v>415.78543003829873</v>
      </c>
    </row>
    <row r="11" spans="1:52" ht="43.5" x14ac:dyDescent="0.35">
      <c r="A11" s="1">
        <v>10</v>
      </c>
      <c r="B11" s="1">
        <v>507.10444675644749</v>
      </c>
      <c r="C11" s="1">
        <v>2</v>
      </c>
      <c r="D11" s="1">
        <v>3494.71</v>
      </c>
      <c r="E11" s="1">
        <v>507.10399999999998</v>
      </c>
      <c r="F11" s="1">
        <v>1300.33</v>
      </c>
      <c r="G11" s="1">
        <v>126.497</v>
      </c>
      <c r="H11" s="1">
        <v>1951.2</v>
      </c>
      <c r="I11" s="1">
        <v>243.18299999999999</v>
      </c>
      <c r="J11" s="1">
        <v>263.92099999999999</v>
      </c>
      <c r="K11" s="1">
        <v>5</v>
      </c>
      <c r="L11" s="1">
        <v>0</v>
      </c>
      <c r="M11" s="1">
        <f>C11*$S$18*1000</f>
        <v>5200</v>
      </c>
      <c r="N11" s="1">
        <f>$S$19*C11</f>
        <v>53</v>
      </c>
      <c r="O11" s="4">
        <f t="shared" si="4"/>
        <v>1.5165779134749377E-2</v>
      </c>
      <c r="P11" s="4">
        <f t="shared" si="0"/>
        <v>1325</v>
      </c>
      <c r="Q11" s="4"/>
      <c r="R11" s="65" t="s">
        <v>316</v>
      </c>
      <c r="S11" s="1"/>
      <c r="T11" s="78">
        <v>0</v>
      </c>
      <c r="U11" s="4"/>
      <c r="V11" s="1">
        <f t="shared" si="5"/>
        <v>507.53411999999997</v>
      </c>
      <c r="W11" s="1">
        <f t="shared" si="6"/>
        <v>-4692.4658799999997</v>
      </c>
      <c r="X11" s="1">
        <f t="shared" si="1"/>
        <v>12688.352999999999</v>
      </c>
      <c r="Y11" s="1">
        <f t="shared" si="7"/>
        <v>7488.3529999999992</v>
      </c>
      <c r="Z11" s="1">
        <f t="shared" si="2"/>
        <v>0.42533769012944511</v>
      </c>
      <c r="AA11" s="1">
        <f t="shared" si="3"/>
        <v>0.7784061939318998</v>
      </c>
      <c r="AB11" s="1"/>
      <c r="AC11" s="73" t="s">
        <v>352</v>
      </c>
      <c r="AD11" s="1">
        <f t="shared" si="19"/>
        <v>9</v>
      </c>
      <c r="AE11">
        <f t="shared" si="20"/>
        <v>50976.439844999986</v>
      </c>
      <c r="AF11">
        <f t="shared" si="21"/>
        <v>-108915.04139500012</v>
      </c>
      <c r="AG11">
        <f t="shared" si="8"/>
        <v>29917.8958712928</v>
      </c>
      <c r="AH11">
        <f t="shared" si="14"/>
        <v>-222480.96764414432</v>
      </c>
      <c r="AI11">
        <f t="shared" si="9"/>
        <v>63662.58806218519</v>
      </c>
      <c r="AJ11">
        <f t="shared" si="10"/>
        <v>37363.352292407726</v>
      </c>
      <c r="AK11">
        <f t="shared" si="15"/>
        <v>-180108.14607202628</v>
      </c>
      <c r="AM11" s="1">
        <f t="shared" si="16"/>
        <v>11650.700968542469</v>
      </c>
      <c r="AN11">
        <f t="shared" si="17"/>
        <v>6837.7560195312981</v>
      </c>
      <c r="AV11" s="1" t="s">
        <v>6</v>
      </c>
      <c r="AW11">
        <f t="shared" si="11"/>
        <v>1.2538686717011949E-3</v>
      </c>
      <c r="AX11">
        <f t="shared" si="12"/>
        <v>416.93659709638837</v>
      </c>
      <c r="AY11">
        <f t="shared" si="18"/>
        <v>458.63025680602726</v>
      </c>
      <c r="AZ11">
        <f t="shared" si="13"/>
        <v>41.693659709638894</v>
      </c>
    </row>
    <row r="12" spans="1:52" x14ac:dyDescent="0.35">
      <c r="A12" s="1">
        <v>11</v>
      </c>
      <c r="B12" s="1">
        <v>480.82648360578531</v>
      </c>
      <c r="C12" s="1">
        <v>2</v>
      </c>
      <c r="D12" s="1">
        <v>3494.71</v>
      </c>
      <c r="E12" s="1">
        <v>480.82600000000002</v>
      </c>
      <c r="F12" s="1">
        <v>1315.33</v>
      </c>
      <c r="G12" s="1">
        <v>128.179</v>
      </c>
      <c r="H12" s="1">
        <v>1959.92</v>
      </c>
      <c r="I12" s="1">
        <v>219.46199999999999</v>
      </c>
      <c r="J12" s="1">
        <v>261.36500000000001</v>
      </c>
      <c r="K12" s="1">
        <v>5</v>
      </c>
      <c r="L12" s="1">
        <v>0</v>
      </c>
      <c r="M12" s="1">
        <f>C12*$S$18*1000</f>
        <v>5200</v>
      </c>
      <c r="N12" s="1">
        <f>$S$19*C12</f>
        <v>53</v>
      </c>
      <c r="O12" s="4">
        <f t="shared" si="4"/>
        <v>1.5165779134749377E-2</v>
      </c>
      <c r="P12" s="4">
        <f t="shared" si="0"/>
        <v>1325</v>
      </c>
      <c r="Q12" s="4"/>
      <c r="R12" s="65" t="s">
        <v>317</v>
      </c>
      <c r="S12" s="1"/>
      <c r="T12" s="78">
        <v>0</v>
      </c>
      <c r="U12" s="4"/>
      <c r="V12" s="1">
        <f t="shared" si="5"/>
        <v>506.49478499999998</v>
      </c>
      <c r="W12" s="1">
        <f t="shared" si="6"/>
        <v>-4693.5052150000001</v>
      </c>
      <c r="X12" s="1">
        <f t="shared" si="1"/>
        <v>12662.369624999999</v>
      </c>
      <c r="Y12" s="1">
        <f t="shared" si="7"/>
        <v>7462.3696249999994</v>
      </c>
      <c r="Z12" s="1">
        <f t="shared" si="2"/>
        <v>0.44775426394569157</v>
      </c>
      <c r="AA12" s="1">
        <f t="shared" si="3"/>
        <v>0.82011854584881139</v>
      </c>
      <c r="AB12" s="1"/>
      <c r="AC12" s="1">
        <f>SUM(G2:G46)</f>
        <v>9329.0467000000008</v>
      </c>
      <c r="AD12" s="1">
        <f t="shared" si="19"/>
        <v>10</v>
      </c>
      <c r="AE12">
        <f t="shared" si="20"/>
        <v>50976.439844999986</v>
      </c>
      <c r="AF12">
        <f t="shared" si="21"/>
        <v>-57938.601550000138</v>
      </c>
      <c r="AG12">
        <f t="shared" si="8"/>
        <v>28197.828342406032</v>
      </c>
      <c r="AH12">
        <f t="shared" si="14"/>
        <v>-194283.13930173829</v>
      </c>
      <c r="AI12">
        <f t="shared" si="9"/>
        <v>65254.152763739825</v>
      </c>
      <c r="AJ12">
        <f t="shared" si="10"/>
        <v>36095.604241015943</v>
      </c>
      <c r="AK12">
        <f t="shared" si="15"/>
        <v>-144012.54183101034</v>
      </c>
      <c r="AM12" s="1">
        <f t="shared" si="16"/>
        <v>11941.96849275603</v>
      </c>
      <c r="AN12">
        <f t="shared" si="17"/>
        <v>6605.7492177375871</v>
      </c>
      <c r="AV12" s="1"/>
      <c r="AW12">
        <f t="shared" si="11"/>
        <v>1.1888936651488298E-3</v>
      </c>
      <c r="AX12">
        <f t="shared" si="12"/>
        <v>395.3310982593344</v>
      </c>
      <c r="AY12">
        <f t="shared" si="18"/>
        <v>434.86420808526788</v>
      </c>
      <c r="AZ12">
        <f t="shared" si="13"/>
        <v>39.533109825933479</v>
      </c>
    </row>
    <row r="13" spans="1:52" x14ac:dyDescent="0.35">
      <c r="A13" s="1">
        <v>12</v>
      </c>
      <c r="B13" s="1">
        <v>569.06841271947087</v>
      </c>
      <c r="C13" s="1">
        <v>2</v>
      </c>
      <c r="D13" s="1">
        <v>3497.79</v>
      </c>
      <c r="E13" s="1">
        <v>569.06799999999998</v>
      </c>
      <c r="F13" s="1">
        <v>1277.03</v>
      </c>
      <c r="G13" s="1">
        <v>123.822</v>
      </c>
      <c r="H13" s="1">
        <v>1953.43</v>
      </c>
      <c r="I13" s="1">
        <v>267.33100000000002</v>
      </c>
      <c r="J13" s="1">
        <v>301.738</v>
      </c>
      <c r="K13" s="1">
        <v>5</v>
      </c>
      <c r="L13" s="1">
        <v>0</v>
      </c>
      <c r="M13" s="1">
        <f>C13*$S$18*1000</f>
        <v>5200</v>
      </c>
      <c r="N13" s="1">
        <f>$S$19*C13</f>
        <v>53</v>
      </c>
      <c r="O13" s="4">
        <f t="shared" si="4"/>
        <v>1.5152424816812901E-2</v>
      </c>
      <c r="P13" s="4">
        <f t="shared" si="0"/>
        <v>1325</v>
      </c>
      <c r="Q13" s="4"/>
      <c r="R13" s="65" t="s">
        <v>318</v>
      </c>
      <c r="T13" s="78">
        <v>0</v>
      </c>
      <c r="U13" s="4"/>
      <c r="V13" s="1">
        <f t="shared" si="5"/>
        <v>514.80934500000001</v>
      </c>
      <c r="W13" s="1">
        <f t="shared" si="6"/>
        <v>-4685.1906550000003</v>
      </c>
      <c r="X13" s="1">
        <f t="shared" si="1"/>
        <v>12870.233625000001</v>
      </c>
      <c r="Y13" s="1">
        <f t="shared" si="7"/>
        <v>7670.2336250000008</v>
      </c>
      <c r="Z13" s="1">
        <f t="shared" si="2"/>
        <v>0.38066208121472672</v>
      </c>
      <c r="AA13" s="1">
        <f t="shared" si="3"/>
        <v>0.69528613042571619</v>
      </c>
      <c r="AB13" s="1"/>
      <c r="AC13" s="1"/>
      <c r="AD13" s="1">
        <f t="shared" si="19"/>
        <v>11</v>
      </c>
      <c r="AE13">
        <f t="shared" si="20"/>
        <v>50976.439844999986</v>
      </c>
      <c r="AF13">
        <f t="shared" si="21"/>
        <v>-6962.1617050001514</v>
      </c>
      <c r="AG13">
        <f t="shared" si="8"/>
        <v>26576.652537611721</v>
      </c>
      <c r="AH13">
        <f t="shared" si="14"/>
        <v>-167706.48676412657</v>
      </c>
      <c r="AI13">
        <f t="shared" si="9"/>
        <v>66885.506582833317</v>
      </c>
      <c r="AJ13">
        <f t="shared" si="10"/>
        <v>34870.871203620496</v>
      </c>
      <c r="AK13">
        <f t="shared" si="15"/>
        <v>-109141.67062738985</v>
      </c>
      <c r="AM13" s="1">
        <f t="shared" si="16"/>
        <v>12240.51770507493</v>
      </c>
      <c r="AN13">
        <f t="shared" si="17"/>
        <v>6381.614465769112</v>
      </c>
      <c r="AV13" s="2" t="s">
        <v>325</v>
      </c>
      <c r="AW13">
        <f t="shared" si="11"/>
        <v>1.4070810447977958E-3</v>
      </c>
      <c r="AX13">
        <f t="shared" si="12"/>
        <v>467.88279817284536</v>
      </c>
      <c r="AY13">
        <f t="shared" si="18"/>
        <v>514.6710779901299</v>
      </c>
      <c r="AZ13">
        <f t="shared" si="13"/>
        <v>46.788279817284547</v>
      </c>
    </row>
    <row r="14" spans="1:52" x14ac:dyDescent="0.35">
      <c r="A14" s="1">
        <v>13</v>
      </c>
      <c r="B14" s="62">
        <v>4563.0069277860366</v>
      </c>
      <c r="C14" s="62">
        <v>6</v>
      </c>
      <c r="D14" s="62">
        <v>10493.4</v>
      </c>
      <c r="E14" s="62">
        <v>4563.01</v>
      </c>
      <c r="F14" s="62">
        <v>4058.52</v>
      </c>
      <c r="G14" s="62">
        <v>405.589</v>
      </c>
      <c r="H14" s="62">
        <v>4703.5600000000004</v>
      </c>
      <c r="I14" s="62">
        <v>1886.93</v>
      </c>
      <c r="J14" s="62">
        <v>2197.59</v>
      </c>
      <c r="K14" s="62">
        <v>15</v>
      </c>
      <c r="L14" s="62">
        <v>5</v>
      </c>
      <c r="M14" s="62">
        <f>(C14*$S$18*1000)+S33</f>
        <v>19100</v>
      </c>
      <c r="N14" s="62">
        <f>$S$38*C14</f>
        <v>213.60000000000002</v>
      </c>
      <c r="O14" s="56">
        <f t="shared" si="4"/>
        <v>2.0355652124192353E-2</v>
      </c>
      <c r="P14" s="56">
        <f t="shared" si="0"/>
        <v>5340.0000000000009</v>
      </c>
      <c r="Q14" s="56"/>
      <c r="R14" s="65"/>
      <c r="S14" s="1"/>
      <c r="T14" s="78"/>
      <c r="U14" s="56"/>
      <c r="V14" s="1">
        <f t="shared" si="5"/>
        <v>1767.7414000000001</v>
      </c>
      <c r="W14" s="1">
        <f t="shared" si="6"/>
        <v>-17332.258600000001</v>
      </c>
      <c r="X14" s="1">
        <f t="shared" si="1"/>
        <v>44193.535000000003</v>
      </c>
      <c r="Y14" s="1">
        <f t="shared" si="7"/>
        <v>25093.535000000003</v>
      </c>
      <c r="Z14" s="1">
        <f t="shared" si="2"/>
        <v>0.18778910381318453</v>
      </c>
      <c r="AA14" s="1">
        <f t="shared" si="3"/>
        <v>0.33191276681817639</v>
      </c>
      <c r="AB14" s="1"/>
      <c r="AC14" s="1"/>
      <c r="AD14" s="1">
        <f t="shared" si="19"/>
        <v>12</v>
      </c>
      <c r="AE14">
        <f t="shared" si="20"/>
        <v>50976.439844999986</v>
      </c>
      <c r="AF14">
        <f t="shared" si="21"/>
        <v>44014.278139999835</v>
      </c>
      <c r="AG14">
        <f t="shared" si="8"/>
        <v>25048.68288182066</v>
      </c>
      <c r="AH14">
        <f t="shared" si="14"/>
        <v>-142657.80388230592</v>
      </c>
      <c r="AI14">
        <f t="shared" si="9"/>
        <v>68557.64424740414</v>
      </c>
      <c r="AJ14">
        <f t="shared" si="10"/>
        <v>33687.693669850145</v>
      </c>
      <c r="AK14">
        <f t="shared" si="15"/>
        <v>-75453.976957539708</v>
      </c>
      <c r="AM14" s="1">
        <f t="shared" si="16"/>
        <v>12546.530647701802</v>
      </c>
      <c r="AN14">
        <f t="shared" si="17"/>
        <v>6165.0846629720445</v>
      </c>
      <c r="AV14" s="1">
        <f>AV6/45</f>
        <v>3389.6172981477025</v>
      </c>
      <c r="AW14">
        <f t="shared" si="11"/>
        <v>1.1282510875425851E-2</v>
      </c>
      <c r="AX14">
        <f t="shared" si="12"/>
        <v>3751.6621933944166</v>
      </c>
      <c r="AY14">
        <f t="shared" si="18"/>
        <v>4126.8284127338584</v>
      </c>
      <c r="AZ14">
        <f t="shared" si="13"/>
        <v>375.1662193394418</v>
      </c>
    </row>
    <row r="15" spans="1:52" x14ac:dyDescent="0.35">
      <c r="A15" s="1">
        <v>14</v>
      </c>
      <c r="B15" s="62">
        <v>2172.7675547581462</v>
      </c>
      <c r="C15" s="62">
        <v>2</v>
      </c>
      <c r="D15" s="62">
        <v>3497.79</v>
      </c>
      <c r="E15" s="62">
        <v>2172.77</v>
      </c>
      <c r="F15" s="62">
        <v>1243.8900000000001</v>
      </c>
      <c r="G15" s="62">
        <v>122.795</v>
      </c>
      <c r="H15" s="62">
        <v>1461.09</v>
      </c>
      <c r="I15" s="62">
        <v>834.95399999999995</v>
      </c>
      <c r="J15" s="62">
        <v>850.149</v>
      </c>
      <c r="K15" s="62">
        <v>5</v>
      </c>
      <c r="L15" s="62">
        <v>2</v>
      </c>
      <c r="M15" s="62">
        <f>(C15*$S$18*1000)+S30</f>
        <v>8600</v>
      </c>
      <c r="N15" s="62">
        <f>$S$38*C15</f>
        <v>71.2</v>
      </c>
      <c r="O15" s="56">
        <f t="shared" si="4"/>
        <v>2.0355710319944882E-2</v>
      </c>
      <c r="P15" s="56">
        <f t="shared" si="0"/>
        <v>1780</v>
      </c>
      <c r="Q15" s="56"/>
      <c r="R15" s="63" t="s">
        <v>313</v>
      </c>
      <c r="S15" s="4">
        <v>45</v>
      </c>
      <c r="T15" s="46"/>
      <c r="U15" s="56"/>
      <c r="V15" s="1">
        <f t="shared" si="5"/>
        <v>610.45491500000003</v>
      </c>
      <c r="W15" s="1">
        <f t="shared" si="6"/>
        <v>-7989.5450849999997</v>
      </c>
      <c r="X15" s="1">
        <f t="shared" si="1"/>
        <v>15261.372875000001</v>
      </c>
      <c r="Y15" s="1">
        <f t="shared" si="7"/>
        <v>6661.3728750000009</v>
      </c>
      <c r="Z15" s="1">
        <f t="shared" si="2"/>
        <v>0.1786791348605378</v>
      </c>
      <c r="AA15" s="1">
        <f t="shared" si="3"/>
        <v>0.31496105256638202</v>
      </c>
      <c r="AB15" s="1"/>
      <c r="AC15" s="1"/>
      <c r="AD15" s="1">
        <f t="shared" si="19"/>
        <v>13</v>
      </c>
      <c r="AE15">
        <f t="shared" si="20"/>
        <v>50976.439844999986</v>
      </c>
      <c r="AF15">
        <f t="shared" si="21"/>
        <v>94990.717984999821</v>
      </c>
      <c r="AG15">
        <f t="shared" si="8"/>
        <v>23608.560680321072</v>
      </c>
      <c r="AH15">
        <f t="shared" si="14"/>
        <v>-119049.24320198485</v>
      </c>
      <c r="AI15">
        <f t="shared" si="9"/>
        <v>70271.585353589238</v>
      </c>
      <c r="AJ15">
        <f t="shared" si="10"/>
        <v>32544.661650891983</v>
      </c>
      <c r="AK15">
        <f t="shared" si="15"/>
        <v>-42909.315306647724</v>
      </c>
      <c r="AM15" s="1">
        <f t="shared" si="16"/>
        <v>12860.193913894347</v>
      </c>
      <c r="AN15">
        <f t="shared" si="17"/>
        <v>5955.9017714857155</v>
      </c>
      <c r="AV15" s="1"/>
      <c r="AW15">
        <f t="shared" si="11"/>
        <v>5.3723945534804394E-3</v>
      </c>
      <c r="AX15">
        <f t="shared" si="12"/>
        <v>1786.4294355071818</v>
      </c>
      <c r="AY15">
        <f t="shared" si="18"/>
        <v>1965.0723790579002</v>
      </c>
      <c r="AZ15">
        <f t="shared" si="13"/>
        <v>178.64294355071843</v>
      </c>
    </row>
    <row r="16" spans="1:52" x14ac:dyDescent="0.35">
      <c r="A16" s="1">
        <v>15</v>
      </c>
      <c r="B16" s="62">
        <v>4548.2349752288228</v>
      </c>
      <c r="C16" s="62">
        <v>4</v>
      </c>
      <c r="D16" s="62">
        <v>6995.57</v>
      </c>
      <c r="E16" s="62">
        <v>4548.2299999999996</v>
      </c>
      <c r="F16" s="62">
        <v>2204.15</v>
      </c>
      <c r="G16" s="62">
        <v>210.84200000000001</v>
      </c>
      <c r="H16" s="62">
        <v>2953.48</v>
      </c>
      <c r="I16" s="62">
        <v>1935.56</v>
      </c>
      <c r="J16" s="62">
        <v>1638.43</v>
      </c>
      <c r="K16" s="62">
        <v>10</v>
      </c>
      <c r="L16" s="62">
        <v>3.3</v>
      </c>
      <c r="M16" s="62">
        <f>(C16*$S$18*1000)+S31</f>
        <v>14096</v>
      </c>
      <c r="N16" s="62">
        <f>$S$38*C16</f>
        <v>142.4</v>
      </c>
      <c r="O16" s="56">
        <f t="shared" si="4"/>
        <v>2.0355739417945929E-2</v>
      </c>
      <c r="P16" s="56">
        <f t="shared" si="0"/>
        <v>3560</v>
      </c>
      <c r="Q16" s="56"/>
      <c r="R16" s="106" t="s">
        <v>258</v>
      </c>
      <c r="S16" s="107"/>
      <c r="T16" s="46" t="s">
        <v>299</v>
      </c>
      <c r="U16" s="56"/>
      <c r="V16" s="1">
        <f t="shared" si="5"/>
        <v>1222.5998500000001</v>
      </c>
      <c r="W16" s="1">
        <f t="shared" si="6"/>
        <v>-12873.400149999999</v>
      </c>
      <c r="X16" s="1">
        <f t="shared" si="1"/>
        <v>30564.99625</v>
      </c>
      <c r="Y16" s="1">
        <f t="shared" si="7"/>
        <v>16468.99625</v>
      </c>
      <c r="Z16" s="1">
        <f t="shared" si="2"/>
        <v>0.14432470827528449</v>
      </c>
      <c r="AA16" s="1">
        <f t="shared" si="3"/>
        <v>0.25103493678959066</v>
      </c>
      <c r="AB16" s="1"/>
      <c r="AC16" s="1"/>
      <c r="AD16" s="1">
        <f t="shared" si="19"/>
        <v>14</v>
      </c>
      <c r="AE16">
        <f t="shared" si="20"/>
        <v>50976.439844999986</v>
      </c>
      <c r="AF16">
        <f t="shared" si="21"/>
        <v>145967.15782999981</v>
      </c>
      <c r="AG16">
        <f t="shared" si="8"/>
        <v>22251.235325467555</v>
      </c>
      <c r="AH16">
        <f t="shared" si="14"/>
        <v>-96798.007876517295</v>
      </c>
      <c r="AI16">
        <f t="shared" si="9"/>
        <v>72028.374987428964</v>
      </c>
      <c r="AJ16">
        <f t="shared" si="10"/>
        <v>31440.412999212331</v>
      </c>
      <c r="AK16">
        <f t="shared" si="15"/>
        <v>-11468.902307435394</v>
      </c>
      <c r="AM16" s="1">
        <f t="shared" si="16"/>
        <v>13181.698761741705</v>
      </c>
      <c r="AN16">
        <f t="shared" si="17"/>
        <v>5753.8165087397347</v>
      </c>
      <c r="AV16" s="2" t="s">
        <v>326</v>
      </c>
      <c r="AW16">
        <f t="shared" si="11"/>
        <v>1.1245985680961834E-2</v>
      </c>
      <c r="AX16">
        <f t="shared" si="12"/>
        <v>3739.516830301925</v>
      </c>
      <c r="AY16">
        <f t="shared" si="18"/>
        <v>4113.4685133321182</v>
      </c>
      <c r="AZ16">
        <f t="shared" si="13"/>
        <v>373.95168303019318</v>
      </c>
    </row>
    <row r="17" spans="1:53" x14ac:dyDescent="0.35">
      <c r="A17" s="1">
        <v>16</v>
      </c>
      <c r="B17" s="1">
        <v>5476.90270703035</v>
      </c>
      <c r="C17" s="1">
        <v>4</v>
      </c>
      <c r="D17" s="1">
        <v>6995.57</v>
      </c>
      <c r="E17" s="1">
        <v>5476.9</v>
      </c>
      <c r="F17" s="1">
        <v>1485.71</v>
      </c>
      <c r="G17" s="1">
        <v>133.98400000000001</v>
      </c>
      <c r="H17" s="1">
        <v>3239.46</v>
      </c>
      <c r="I17" s="1">
        <v>2270.4</v>
      </c>
      <c r="J17" s="1">
        <v>3206.5</v>
      </c>
      <c r="K17" s="1">
        <v>10</v>
      </c>
      <c r="L17" s="1">
        <v>0</v>
      </c>
      <c r="M17" s="1">
        <f>C17*$S$18*1000</f>
        <v>10400</v>
      </c>
      <c r="N17" s="1">
        <f>$S$19*C17</f>
        <v>106</v>
      </c>
      <c r="O17" s="4">
        <f t="shared" si="4"/>
        <v>1.5152446476841773E-2</v>
      </c>
      <c r="P17" s="4">
        <f t="shared" si="0"/>
        <v>2650</v>
      </c>
      <c r="Q17" s="4"/>
      <c r="R17" s="50" t="s">
        <v>245</v>
      </c>
      <c r="S17" s="2" t="s">
        <v>246</v>
      </c>
      <c r="T17" s="46">
        <v>1700</v>
      </c>
      <c r="U17" s="4"/>
      <c r="V17" s="1">
        <f t="shared" si="5"/>
        <v>1485.0198</v>
      </c>
      <c r="W17" s="1">
        <f t="shared" si="6"/>
        <v>-8914.9802</v>
      </c>
      <c r="X17" s="1">
        <f t="shared" si="1"/>
        <v>37125.495000000003</v>
      </c>
      <c r="Y17" s="1">
        <f t="shared" si="7"/>
        <v>26725.495000000003</v>
      </c>
      <c r="Z17" s="1">
        <f t="shared" si="2"/>
        <v>9.1107785151382653E-2</v>
      </c>
      <c r="AA17" s="1">
        <f t="shared" si="3"/>
        <v>0.15648875606329785</v>
      </c>
      <c r="AB17" s="1"/>
      <c r="AC17" s="1"/>
      <c r="AD17" s="1">
        <f t="shared" si="19"/>
        <v>15</v>
      </c>
      <c r="AE17">
        <f t="shared" si="20"/>
        <v>50976.439844999986</v>
      </c>
      <c r="AF17">
        <f t="shared" si="21"/>
        <v>196943.59767499979</v>
      </c>
      <c r="AG17">
        <f t="shared" si="8"/>
        <v>20971.94658385255</v>
      </c>
      <c r="AH17">
        <f t="shared" si="14"/>
        <v>-75826.061292664745</v>
      </c>
      <c r="AI17">
        <f t="shared" si="9"/>
        <v>73829.084362114707</v>
      </c>
      <c r="AJ17">
        <f t="shared" si="10"/>
        <v>30373.631785289959</v>
      </c>
      <c r="AK17">
        <f t="shared" si="15"/>
        <v>18904.729477854566</v>
      </c>
      <c r="AM17" s="1">
        <f t="shared" si="16"/>
        <v>13511.24123078525</v>
      </c>
      <c r="AN17">
        <f t="shared" si="17"/>
        <v>5558.5880503847593</v>
      </c>
      <c r="AV17" s="1">
        <f>AV10/55</f>
        <v>3272.4976405299931</v>
      </c>
      <c r="AW17">
        <f t="shared" si="11"/>
        <v>1.3542213573999803E-2</v>
      </c>
      <c r="AX17">
        <f t="shared" si="12"/>
        <v>4503.058870619534</v>
      </c>
      <c r="AY17">
        <f t="shared" si="18"/>
        <v>4953.3647576814874</v>
      </c>
      <c r="AZ17">
        <f t="shared" si="13"/>
        <v>450.3058870619534</v>
      </c>
    </row>
    <row r="18" spans="1:53" x14ac:dyDescent="0.35">
      <c r="A18" s="1">
        <v>17</v>
      </c>
      <c r="B18" s="62">
        <v>2180.0429312531028</v>
      </c>
      <c r="C18" s="62">
        <v>2</v>
      </c>
      <c r="D18" s="62">
        <v>3497.79</v>
      </c>
      <c r="E18" s="62">
        <v>2180.04</v>
      </c>
      <c r="F18" s="62">
        <v>1266.75</v>
      </c>
      <c r="G18" s="62">
        <v>125.211</v>
      </c>
      <c r="H18" s="62">
        <v>1479.9</v>
      </c>
      <c r="I18" s="62">
        <v>802.71100000000001</v>
      </c>
      <c r="J18" s="62">
        <v>951.178</v>
      </c>
      <c r="K18" s="62">
        <v>5</v>
      </c>
      <c r="L18" s="62">
        <v>2</v>
      </c>
      <c r="M18" s="62">
        <f>(C18*$S$18*1000)+S30</f>
        <v>8600</v>
      </c>
      <c r="N18" s="62">
        <f>$S$38*C18</f>
        <v>71.2</v>
      </c>
      <c r="O18" s="56">
        <f t="shared" si="4"/>
        <v>2.0355710319944882E-2</v>
      </c>
      <c r="P18" s="56">
        <f t="shared" si="0"/>
        <v>1780</v>
      </c>
      <c r="Q18" s="56"/>
      <c r="R18" s="65" t="s">
        <v>247</v>
      </c>
      <c r="S18" s="1">
        <v>2.6</v>
      </c>
      <c r="T18" s="46">
        <v>1120</v>
      </c>
      <c r="U18" s="56"/>
      <c r="V18" s="1">
        <f t="shared" si="5"/>
        <v>626.44829500000003</v>
      </c>
      <c r="W18" s="1">
        <f t="shared" si="6"/>
        <v>-7973.5517049999999</v>
      </c>
      <c r="X18" s="1">
        <f t="shared" si="1"/>
        <v>15661.207375</v>
      </c>
      <c r="Y18" s="1">
        <f t="shared" si="7"/>
        <v>7061.207375</v>
      </c>
      <c r="Z18" s="1">
        <f t="shared" si="2"/>
        <v>0.17815076796234947</v>
      </c>
      <c r="AA18" s="1">
        <f t="shared" si="3"/>
        <v>0.31397787707403685</v>
      </c>
      <c r="AB18" s="1"/>
      <c r="AC18" s="1"/>
      <c r="AD18" s="1">
        <f t="shared" si="19"/>
        <v>16</v>
      </c>
      <c r="AE18">
        <f t="shared" si="20"/>
        <v>50976.439844999986</v>
      </c>
      <c r="AF18">
        <f t="shared" si="21"/>
        <v>247920.03751999978</v>
      </c>
      <c r="AG18">
        <f t="shared" si="8"/>
        <v>19766.207901840291</v>
      </c>
      <c r="AH18">
        <f t="shared" si="14"/>
        <v>-56059.853390824457</v>
      </c>
      <c r="AI18">
        <f t="shared" si="9"/>
        <v>75674.811471167559</v>
      </c>
      <c r="AJ18">
        <f t="shared" si="10"/>
        <v>29343.046729427148</v>
      </c>
      <c r="AK18">
        <f t="shared" si="15"/>
        <v>48247.776207281713</v>
      </c>
      <c r="AM18" s="1">
        <f t="shared" si="16"/>
        <v>13849.022261554879</v>
      </c>
      <c r="AN18">
        <f t="shared" si="17"/>
        <v>5369.9837433029006</v>
      </c>
      <c r="AQ18" t="s">
        <v>6</v>
      </c>
      <c r="AT18" t="s">
        <v>6</v>
      </c>
      <c r="AW18">
        <f t="shared" si="11"/>
        <v>5.3903836812039408E-3</v>
      </c>
      <c r="AX18">
        <f t="shared" si="12"/>
        <v>1792.4111829318088</v>
      </c>
      <c r="AY18">
        <f t="shared" si="18"/>
        <v>1971.6523012249897</v>
      </c>
      <c r="AZ18">
        <f t="shared" si="13"/>
        <v>179.24111829318099</v>
      </c>
    </row>
    <row r="19" spans="1:53" x14ac:dyDescent="0.35">
      <c r="A19" s="1">
        <v>18</v>
      </c>
      <c r="B19" s="62">
        <v>5524.0028847571884</v>
      </c>
      <c r="C19" s="62">
        <v>4</v>
      </c>
      <c r="D19" s="62">
        <v>6995.57</v>
      </c>
      <c r="E19" s="62">
        <v>5524</v>
      </c>
      <c r="F19" s="62">
        <v>2468.4299999999998</v>
      </c>
      <c r="G19" s="62">
        <v>237.523</v>
      </c>
      <c r="H19" s="62">
        <v>2577.7199999999998</v>
      </c>
      <c r="I19" s="62">
        <v>1982.7</v>
      </c>
      <c r="J19" s="62">
        <v>2035.42</v>
      </c>
      <c r="K19" s="62">
        <v>10</v>
      </c>
      <c r="L19" s="62">
        <v>6</v>
      </c>
      <c r="M19" s="62">
        <f>(C19*$S$18*1000)+S34</f>
        <v>14600</v>
      </c>
      <c r="N19" s="62">
        <f>$S$38*C19</f>
        <v>142.4</v>
      </c>
      <c r="O19" s="56">
        <f t="shared" si="4"/>
        <v>2.0355739417945929E-2</v>
      </c>
      <c r="P19" s="56">
        <f t="shared" si="0"/>
        <v>3560</v>
      </c>
      <c r="Q19" s="56"/>
      <c r="R19" s="65" t="s">
        <v>248</v>
      </c>
      <c r="S19" s="1">
        <v>26.5</v>
      </c>
      <c r="T19" s="46">
        <v>700</v>
      </c>
      <c r="U19" s="56"/>
      <c r="V19" s="1">
        <f t="shared" si="5"/>
        <v>1259.8781999999999</v>
      </c>
      <c r="W19" s="1">
        <f t="shared" si="6"/>
        <v>-13340.121800000001</v>
      </c>
      <c r="X19" s="1">
        <f t="shared" si="1"/>
        <v>31496.954999999998</v>
      </c>
      <c r="Y19" s="1">
        <f t="shared" si="7"/>
        <v>16896.954999999998</v>
      </c>
      <c r="Z19" s="1">
        <f t="shared" si="2"/>
        <v>0.12607617660516696</v>
      </c>
      <c r="AA19" s="1">
        <f t="shared" si="3"/>
        <v>0.21707840171734977</v>
      </c>
      <c r="AB19" s="1"/>
      <c r="AC19" s="1"/>
      <c r="AD19" s="1">
        <f t="shared" si="19"/>
        <v>17</v>
      </c>
      <c r="AE19">
        <f t="shared" si="20"/>
        <v>50976.439844999986</v>
      </c>
      <c r="AF19">
        <f t="shared" si="21"/>
        <v>298896.47736499977</v>
      </c>
      <c r="AG19">
        <f t="shared" si="8"/>
        <v>18629.79067091451</v>
      </c>
      <c r="AH19">
        <f t="shared" si="14"/>
        <v>-37430.062719909947</v>
      </c>
      <c r="AI19">
        <f t="shared" si="9"/>
        <v>77566.681757946746</v>
      </c>
      <c r="AJ19">
        <f t="shared" si="10"/>
        <v>28347.429686769869</v>
      </c>
      <c r="AK19">
        <f t="shared" si="15"/>
        <v>76595.205894051585</v>
      </c>
      <c r="AM19" s="1">
        <f t="shared" si="16"/>
        <v>14195.247818093749</v>
      </c>
      <c r="AN19">
        <f t="shared" si="17"/>
        <v>5187.7788283557711</v>
      </c>
      <c r="AW19">
        <f t="shared" si="11"/>
        <v>1.3658673679331133E-2</v>
      </c>
      <c r="AX19">
        <f t="shared" si="12"/>
        <v>4541.7842021556125</v>
      </c>
      <c r="AY19">
        <f t="shared" si="18"/>
        <v>4995.9626223711739</v>
      </c>
      <c r="AZ19">
        <f t="shared" si="13"/>
        <v>454.17842021556135</v>
      </c>
    </row>
    <row r="20" spans="1:53" x14ac:dyDescent="0.35">
      <c r="A20" s="1">
        <v>19</v>
      </c>
      <c r="B20" s="1">
        <v>6393.5501464958952</v>
      </c>
      <c r="C20" s="1">
        <v>4</v>
      </c>
      <c r="D20" s="1">
        <v>6995.57</v>
      </c>
      <c r="E20" s="1">
        <v>6393.55</v>
      </c>
      <c r="F20" s="1">
        <v>1450.97</v>
      </c>
      <c r="G20" s="1">
        <v>130.24100000000001</v>
      </c>
      <c r="H20" s="1">
        <v>3311.12</v>
      </c>
      <c r="I20" s="1">
        <v>2233.48</v>
      </c>
      <c r="J20" s="1">
        <v>4160.07</v>
      </c>
      <c r="K20" s="1">
        <v>10</v>
      </c>
      <c r="L20" s="1">
        <v>0</v>
      </c>
      <c r="M20" s="1">
        <f>C20*$S$18*1000</f>
        <v>10400</v>
      </c>
      <c r="N20" s="1">
        <f>$S$19*C20</f>
        <v>106</v>
      </c>
      <c r="O20" s="4">
        <f t="shared" si="4"/>
        <v>1.5152446476841773E-2</v>
      </c>
      <c r="P20" s="4">
        <f t="shared" si="0"/>
        <v>2650</v>
      </c>
      <c r="Q20" s="4"/>
      <c r="R20" s="65" t="s">
        <v>250</v>
      </c>
      <c r="S20" s="1">
        <v>6.0999999999999999E-2</v>
      </c>
      <c r="T20" s="30" t="s">
        <v>300</v>
      </c>
      <c r="U20" s="4"/>
      <c r="V20" s="1">
        <f t="shared" si="5"/>
        <v>1634.4648499999998</v>
      </c>
      <c r="W20" s="1">
        <f t="shared" si="6"/>
        <v>-8765.5351499999997</v>
      </c>
      <c r="X20" s="1">
        <f t="shared" si="1"/>
        <v>40861.621249999997</v>
      </c>
      <c r="Y20" s="1">
        <f t="shared" si="7"/>
        <v>30461.621249999997</v>
      </c>
      <c r="Z20" s="1">
        <f t="shared" si="2"/>
        <v>8.0218018884684161E-2</v>
      </c>
      <c r="AA20" s="1">
        <f t="shared" si="3"/>
        <v>0.13622527750796973</v>
      </c>
      <c r="AB20" s="1"/>
      <c r="AC20" s="1"/>
      <c r="AD20" s="1">
        <f>AD19+1</f>
        <v>18</v>
      </c>
      <c r="AE20">
        <f t="shared" si="20"/>
        <v>50976.439844999986</v>
      </c>
      <c r="AF20">
        <f t="shared" si="21"/>
        <v>349872.91720999975</v>
      </c>
      <c r="AG20">
        <f t="shared" si="8"/>
        <v>17558.709397657407</v>
      </c>
      <c r="AH20">
        <f t="shared" si="14"/>
        <v>-19871.35332225254</v>
      </c>
      <c r="AI20">
        <f t="shared" si="9"/>
        <v>79505.848801895409</v>
      </c>
      <c r="AJ20">
        <f t="shared" si="10"/>
        <v>27385.594183731489</v>
      </c>
      <c r="AK20">
        <f t="shared" si="15"/>
        <v>103980.80007778307</v>
      </c>
      <c r="AM20" s="1">
        <f t="shared" si="16"/>
        <v>14550.129013546093</v>
      </c>
      <c r="AN20">
        <f t="shared" si="17"/>
        <v>5011.7561725397409</v>
      </c>
      <c r="AW20">
        <f t="shared" si="11"/>
        <v>1.5808720039664811E-2</v>
      </c>
      <c r="AX20">
        <f t="shared" si="12"/>
        <v>5256.7179374891211</v>
      </c>
      <c r="AY20">
        <f t="shared" si="18"/>
        <v>5782.3897312380341</v>
      </c>
      <c r="AZ20">
        <f t="shared" si="13"/>
        <v>525.67179374891293</v>
      </c>
    </row>
    <row r="21" spans="1:53" x14ac:dyDescent="0.35">
      <c r="A21" s="1">
        <v>20</v>
      </c>
      <c r="B21" s="62">
        <v>6287.6864400653858</v>
      </c>
      <c r="C21" s="62">
        <v>10</v>
      </c>
      <c r="D21" s="62">
        <v>17488.900000000001</v>
      </c>
      <c r="E21" s="62">
        <v>6287.69</v>
      </c>
      <c r="F21" s="62">
        <v>8120.34</v>
      </c>
      <c r="G21" s="62">
        <v>841.88900000000001</v>
      </c>
      <c r="H21" s="62">
        <v>7131.35</v>
      </c>
      <c r="I21" s="62">
        <v>2494.35</v>
      </c>
      <c r="J21" s="62">
        <v>3382.63</v>
      </c>
      <c r="K21" s="62">
        <v>25</v>
      </c>
      <c r="L21" s="62">
        <v>13.5</v>
      </c>
      <c r="M21" s="62">
        <f>(C21*$S$18*1000)+S36</f>
        <v>33300</v>
      </c>
      <c r="N21" s="62">
        <f>$S$38*C21</f>
        <v>356</v>
      </c>
      <c r="O21" s="56">
        <f t="shared" si="4"/>
        <v>2.0355768516030166E-2</v>
      </c>
      <c r="P21" s="56">
        <f t="shared" si="0"/>
        <v>8900</v>
      </c>
      <c r="Q21" s="56"/>
      <c r="R21" s="65" t="s">
        <v>251</v>
      </c>
      <c r="S21" s="1" t="s">
        <v>252</v>
      </c>
      <c r="T21" s="46">
        <v>1.2</v>
      </c>
      <c r="U21" s="56"/>
      <c r="V21" s="1">
        <f t="shared" si="5"/>
        <v>2858.1801500000001</v>
      </c>
      <c r="W21" s="1">
        <f t="shared" si="6"/>
        <v>-30441.81985</v>
      </c>
      <c r="X21" s="1">
        <f t="shared" si="1"/>
        <v>71454.503750000003</v>
      </c>
      <c r="Y21" s="1">
        <f t="shared" si="7"/>
        <v>38154.503750000003</v>
      </c>
      <c r="Z21" s="1">
        <f t="shared" si="2"/>
        <v>0.23219839341418722</v>
      </c>
      <c r="AA21" s="1">
        <f t="shared" si="3"/>
        <v>0.41454866316570171</v>
      </c>
      <c r="AB21" s="1"/>
      <c r="AC21" s="1"/>
      <c r="AD21" s="1">
        <f t="shared" si="19"/>
        <v>19</v>
      </c>
      <c r="AE21">
        <f t="shared" si="20"/>
        <v>50976.439844999986</v>
      </c>
      <c r="AF21">
        <f t="shared" si="21"/>
        <v>400849.35705499974</v>
      </c>
      <c r="AG21">
        <f t="shared" si="8"/>
        <v>16549.207726350054</v>
      </c>
      <c r="AH21">
        <f t="shared" si="14"/>
        <v>-3322.1455959024861</v>
      </c>
      <c r="AI21">
        <f t="shared" si="9"/>
        <v>81493.495021942799</v>
      </c>
      <c r="AJ21">
        <f t="shared" si="10"/>
        <v>26456.394004076137</v>
      </c>
      <c r="AK21">
        <f t="shared" si="15"/>
        <v>130437.19408185921</v>
      </c>
      <c r="AM21" s="1">
        <f t="shared" si="16"/>
        <v>14913.882238884746</v>
      </c>
      <c r="AN21">
        <f t="shared" si="17"/>
        <v>4841.7060102292508</v>
      </c>
      <c r="AW21">
        <f t="shared" si="11"/>
        <v>1.5546960976394084E-2</v>
      </c>
      <c r="AX21">
        <f t="shared" si="12"/>
        <v>5169.6777748609538</v>
      </c>
      <c r="AY21">
        <f t="shared" si="18"/>
        <v>5686.6455523470495</v>
      </c>
      <c r="AZ21">
        <f t="shared" si="13"/>
        <v>516.96777748609566</v>
      </c>
    </row>
    <row r="22" spans="1:53" x14ac:dyDescent="0.35">
      <c r="A22" s="1">
        <v>21</v>
      </c>
      <c r="B22" s="62">
        <v>1195.617299383852</v>
      </c>
      <c r="C22" s="62">
        <v>2</v>
      </c>
      <c r="D22" s="62">
        <v>3497.79</v>
      </c>
      <c r="E22" s="62">
        <v>1195.6199999999999</v>
      </c>
      <c r="F22" s="62">
        <v>1334.89</v>
      </c>
      <c r="G22" s="62">
        <v>132.762</v>
      </c>
      <c r="H22" s="62">
        <v>1658.19</v>
      </c>
      <c r="I22" s="62">
        <v>558.10699999999997</v>
      </c>
      <c r="J22" s="62">
        <v>464.2</v>
      </c>
      <c r="K22" s="62">
        <v>5</v>
      </c>
      <c r="L22" s="62">
        <v>1.2</v>
      </c>
      <c r="M22" s="62">
        <f>(C22*$S$18*1000)+S29</f>
        <v>7240</v>
      </c>
      <c r="N22" s="62">
        <f>$S$38*C22</f>
        <v>71.2</v>
      </c>
      <c r="O22" s="56">
        <f t="shared" si="4"/>
        <v>2.0355710319944882E-2</v>
      </c>
      <c r="P22" s="56">
        <f t="shared" si="0"/>
        <v>1780</v>
      </c>
      <c r="Q22" s="56"/>
      <c r="R22" s="65" t="s">
        <v>262</v>
      </c>
      <c r="S22" s="1">
        <v>7.0000000000000007E-2</v>
      </c>
      <c r="T22" s="46">
        <v>2</v>
      </c>
      <c r="U22" s="56"/>
      <c r="V22" s="1">
        <f t="shared" si="5"/>
        <v>548.23903500000006</v>
      </c>
      <c r="W22" s="1">
        <f t="shared" si="6"/>
        <v>-6691.7609649999995</v>
      </c>
      <c r="X22" s="1">
        <f t="shared" si="1"/>
        <v>13705.975875000002</v>
      </c>
      <c r="Y22" s="1">
        <f t="shared" si="7"/>
        <v>6465.9758750000019</v>
      </c>
      <c r="Z22" s="1">
        <f t="shared" si="2"/>
        <v>0.2625736843733833</v>
      </c>
      <c r="AA22" s="1">
        <f t="shared" si="3"/>
        <v>0.47107050095382247</v>
      </c>
      <c r="AB22" s="1"/>
      <c r="AC22" s="1"/>
      <c r="AD22" s="1">
        <f t="shared" si="19"/>
        <v>20</v>
      </c>
      <c r="AE22">
        <f t="shared" si="20"/>
        <v>50976.439844999986</v>
      </c>
      <c r="AF22">
        <f t="shared" si="21"/>
        <v>451825.79689999972</v>
      </c>
      <c r="AG22">
        <f t="shared" si="8"/>
        <v>15597.745265174415</v>
      </c>
      <c r="AH22">
        <f t="shared" si="14"/>
        <v>12275.599669271929</v>
      </c>
      <c r="AI22">
        <f t="shared" si="9"/>
        <v>83530.832397491366</v>
      </c>
      <c r="AJ22">
        <f t="shared" si="10"/>
        <v>25558.721822976473</v>
      </c>
      <c r="AK22">
        <f t="shared" si="15"/>
        <v>155995.91590483568</v>
      </c>
      <c r="AM22" s="1">
        <f t="shared" si="16"/>
        <v>15286.729294856863</v>
      </c>
      <c r="AN22">
        <f t="shared" si="17"/>
        <v>4677.4256931997943</v>
      </c>
      <c r="AW22">
        <f t="shared" si="11"/>
        <v>2.9562885607299989E-3</v>
      </c>
      <c r="AX22">
        <f t="shared" si="12"/>
        <v>983.02551165380623</v>
      </c>
      <c r="AY22">
        <f t="shared" si="18"/>
        <v>1081.3280628191869</v>
      </c>
      <c r="AZ22">
        <f t="shared" si="13"/>
        <v>98.302551165380692</v>
      </c>
    </row>
    <row r="23" spans="1:53" x14ac:dyDescent="0.35">
      <c r="A23" s="1">
        <v>22</v>
      </c>
      <c r="B23" s="1">
        <v>4102.942217502793</v>
      </c>
      <c r="C23" s="1">
        <v>4</v>
      </c>
      <c r="D23" s="1">
        <v>6995.57</v>
      </c>
      <c r="E23" s="1">
        <v>4102.9399999999996</v>
      </c>
      <c r="F23" s="1">
        <v>1869.19</v>
      </c>
      <c r="G23" s="1">
        <v>171.71799999999999</v>
      </c>
      <c r="H23" s="1">
        <v>3587.24</v>
      </c>
      <c r="I23" s="1">
        <v>1539.14</v>
      </c>
      <c r="J23" s="1">
        <v>2563.8000000000002</v>
      </c>
      <c r="K23" s="1">
        <v>10</v>
      </c>
      <c r="L23" s="1">
        <v>0</v>
      </c>
      <c r="M23" s="1">
        <f>C23*$S$18*1000</f>
        <v>10400</v>
      </c>
      <c r="N23" s="1">
        <f>$S$19*C23</f>
        <v>106</v>
      </c>
      <c r="O23" s="4">
        <f t="shared" si="4"/>
        <v>1.5152446476841773E-2</v>
      </c>
      <c r="P23" s="4">
        <f t="shared" si="0"/>
        <v>2650</v>
      </c>
      <c r="Q23" s="4"/>
      <c r="R23" s="65" t="s">
        <v>263</v>
      </c>
      <c r="S23" s="1">
        <v>2.5000000000000001E-2</v>
      </c>
      <c r="T23" s="46">
        <v>3.3</v>
      </c>
      <c r="U23" s="4"/>
      <c r="V23" s="1">
        <f t="shared" si="5"/>
        <v>1363.6959000000002</v>
      </c>
      <c r="W23" s="1">
        <f t="shared" si="6"/>
        <v>-9036.3040999999994</v>
      </c>
      <c r="X23" s="1">
        <f t="shared" si="1"/>
        <v>34092.397500000006</v>
      </c>
      <c r="Y23" s="1">
        <f t="shared" si="7"/>
        <v>23692.397500000006</v>
      </c>
      <c r="Z23" s="1">
        <f t="shared" si="2"/>
        <v>0.1165431017547495</v>
      </c>
      <c r="AA23" s="1">
        <f t="shared" si="3"/>
        <v>0.20381832952865786</v>
      </c>
      <c r="AB23" s="1"/>
      <c r="AC23" s="1"/>
      <c r="AD23" s="1">
        <f t="shared" si="19"/>
        <v>21</v>
      </c>
      <c r="AE23">
        <f t="shared" si="20"/>
        <v>50976.439844999986</v>
      </c>
      <c r="AF23">
        <f t="shared" si="21"/>
        <v>502802.23674499971</v>
      </c>
      <c r="AG23">
        <f t="shared" si="8"/>
        <v>14700.985169815662</v>
      </c>
      <c r="AH23">
        <f t="shared" si="14"/>
        <v>26976.584839087591</v>
      </c>
      <c r="AI23">
        <f t="shared" si="9"/>
        <v>85619.103207428634</v>
      </c>
      <c r="AJ23">
        <f t="shared" si="10"/>
        <v>24691.507887418364</v>
      </c>
      <c r="AK23">
        <f t="shared" si="15"/>
        <v>180687.42379225403</v>
      </c>
      <c r="AM23" s="1">
        <f t="shared" si="16"/>
        <v>15668.897527228282</v>
      </c>
      <c r="AN23">
        <f t="shared" si="17"/>
        <v>4518.7194491326945</v>
      </c>
      <c r="AW23">
        <f t="shared" si="11"/>
        <v>1.0144952861748048E-2</v>
      </c>
      <c r="AX23">
        <f t="shared" si="12"/>
        <v>3373.401233593057</v>
      </c>
      <c r="AY23">
        <f t="shared" si="18"/>
        <v>3710.7413569523628</v>
      </c>
      <c r="AZ23">
        <f t="shared" si="13"/>
        <v>337.34012335930584</v>
      </c>
    </row>
    <row r="24" spans="1:53" x14ac:dyDescent="0.35">
      <c r="A24" s="1">
        <v>23</v>
      </c>
      <c r="B24" s="62">
        <v>2916.9354826987528</v>
      </c>
      <c r="C24" s="62">
        <v>2</v>
      </c>
      <c r="D24" s="62">
        <v>3465.23</v>
      </c>
      <c r="E24" s="62">
        <v>2916.94</v>
      </c>
      <c r="F24" s="62">
        <v>1050.31</v>
      </c>
      <c r="G24" s="62">
        <v>98.870500000000007</v>
      </c>
      <c r="H24" s="62">
        <v>1426.38</v>
      </c>
      <c r="I24" s="62">
        <v>1031.08</v>
      </c>
      <c r="J24" s="62">
        <v>949.72299999999996</v>
      </c>
      <c r="K24" s="62">
        <v>5</v>
      </c>
      <c r="L24" s="62">
        <v>2</v>
      </c>
      <c r="M24" s="62">
        <f>(C24*$S$18*1000)+S30</f>
        <v>8600</v>
      </c>
      <c r="N24" s="62">
        <f>$S$38*C24</f>
        <v>71.2</v>
      </c>
      <c r="O24" s="56">
        <f t="shared" si="4"/>
        <v>2.0546976679758633E-2</v>
      </c>
      <c r="P24" s="56">
        <f t="shared" si="0"/>
        <v>1780</v>
      </c>
      <c r="Q24" s="56"/>
      <c r="R24" s="63"/>
      <c r="S24" s="4"/>
      <c r="T24" s="46">
        <v>4.2</v>
      </c>
      <c r="U24" s="56"/>
      <c r="V24" s="1">
        <f t="shared" si="5"/>
        <v>626.98386499999992</v>
      </c>
      <c r="W24" s="1">
        <f t="shared" si="6"/>
        <v>-7973.0161349999998</v>
      </c>
      <c r="X24" s="1">
        <f t="shared" si="1"/>
        <v>15674.596624999998</v>
      </c>
      <c r="Y24" s="1">
        <f t="shared" si="7"/>
        <v>7074.5966249999983</v>
      </c>
      <c r="Z24" s="1">
        <f t="shared" si="2"/>
        <v>0.13847896456237396</v>
      </c>
      <c r="AA24" s="1">
        <f t="shared" si="3"/>
        <v>0.23999266990409021</v>
      </c>
      <c r="AB24" s="1"/>
      <c r="AC24" s="1"/>
      <c r="AD24" s="1">
        <f t="shared" si="19"/>
        <v>22</v>
      </c>
      <c r="AE24">
        <f t="shared" si="20"/>
        <v>50976.439844999986</v>
      </c>
      <c r="AF24">
        <f t="shared" si="21"/>
        <v>553778.6765899997</v>
      </c>
      <c r="AG24">
        <f t="shared" si="8"/>
        <v>13855.782440919565</v>
      </c>
      <c r="AH24">
        <f t="shared" si="14"/>
        <v>40832.367280007158</v>
      </c>
      <c r="AI24">
        <f t="shared" si="9"/>
        <v>87759.580787614352</v>
      </c>
      <c r="AJ24">
        <f t="shared" si="10"/>
        <v>23853.71874137966</v>
      </c>
      <c r="AK24">
        <f t="shared" si="15"/>
        <v>204541.14253363368</v>
      </c>
      <c r="AM24" s="1">
        <f t="shared" si="16"/>
        <v>16060.619965408989</v>
      </c>
      <c r="AN24">
        <f t="shared" si="17"/>
        <v>4365.398148313865</v>
      </c>
      <c r="AW24">
        <f t="shared" si="11"/>
        <v>7.2124274250077204E-3</v>
      </c>
      <c r="AX24">
        <f t="shared" si="12"/>
        <v>2398.2774394605844</v>
      </c>
      <c r="AY24">
        <f t="shared" si="18"/>
        <v>2638.1051834066429</v>
      </c>
      <c r="AZ24">
        <f t="shared" si="13"/>
        <v>239.82774394605849</v>
      </c>
    </row>
    <row r="25" spans="1:53" x14ac:dyDescent="0.35">
      <c r="A25" s="1">
        <v>24</v>
      </c>
      <c r="B25" s="62">
        <v>4395.7178346280416</v>
      </c>
      <c r="C25" s="62">
        <v>4</v>
      </c>
      <c r="D25" s="62">
        <v>6930.46</v>
      </c>
      <c r="E25" s="62">
        <v>4395.72</v>
      </c>
      <c r="F25" s="62">
        <v>2268.81</v>
      </c>
      <c r="G25" s="62">
        <v>218.07400000000001</v>
      </c>
      <c r="H25" s="62">
        <v>2973.31</v>
      </c>
      <c r="I25" s="62">
        <v>1797.8</v>
      </c>
      <c r="J25" s="62">
        <v>1736.79</v>
      </c>
      <c r="K25" s="62">
        <v>10</v>
      </c>
      <c r="L25" s="62">
        <v>3.3</v>
      </c>
      <c r="M25" s="62">
        <f>(C25*$S$18*1000)+S31</f>
        <v>14096</v>
      </c>
      <c r="N25" s="62">
        <f>$S$38*C25</f>
        <v>142.4</v>
      </c>
      <c r="O25" s="56">
        <f t="shared" si="4"/>
        <v>2.0546976679758633E-2</v>
      </c>
      <c r="P25" s="56">
        <f t="shared" si="0"/>
        <v>3560</v>
      </c>
      <c r="Q25" s="56"/>
      <c r="R25" s="63"/>
      <c r="S25" s="4"/>
      <c r="T25" s="46">
        <v>5</v>
      </c>
      <c r="U25" s="56"/>
      <c r="V25" s="1">
        <f t="shared" si="5"/>
        <v>1226.7984999999999</v>
      </c>
      <c r="W25" s="1">
        <f t="shared" si="6"/>
        <v>-12869.201499999999</v>
      </c>
      <c r="X25" s="1">
        <f t="shared" si="1"/>
        <v>30669.962499999998</v>
      </c>
      <c r="Y25" s="1">
        <f t="shared" si="7"/>
        <v>16573.962499999998</v>
      </c>
      <c r="Z25" s="1">
        <f t="shared" si="2"/>
        <v>0.14881726635992215</v>
      </c>
      <c r="AA25" s="1">
        <f t="shared" si="3"/>
        <v>0.25922999342808173</v>
      </c>
      <c r="AB25" s="1"/>
      <c r="AC25" s="1"/>
      <c r="AD25" s="1">
        <f t="shared" si="19"/>
        <v>23</v>
      </c>
      <c r="AE25">
        <f t="shared" si="20"/>
        <v>50976.439844999986</v>
      </c>
      <c r="AF25">
        <f t="shared" si="21"/>
        <v>604755.11643499974</v>
      </c>
      <c r="AG25">
        <f t="shared" si="8"/>
        <v>13059.172894363401</v>
      </c>
      <c r="AH25">
        <f t="shared" si="14"/>
        <v>53891.540174370559</v>
      </c>
      <c r="AI25">
        <f t="shared" si="9"/>
        <v>89953.570307304704</v>
      </c>
      <c r="AJ25">
        <f t="shared" si="10"/>
        <v>23044.35599426405</v>
      </c>
      <c r="AK25">
        <f t="shared" si="15"/>
        <v>227585.49852789773</v>
      </c>
      <c r="AM25" s="1">
        <f t="shared" si="16"/>
        <v>16462.135464544215</v>
      </c>
      <c r="AN25">
        <f t="shared" si="17"/>
        <v>4217.2790782485517</v>
      </c>
      <c r="AW25">
        <f t="shared" si="11"/>
        <v>1.0868871132430546E-2</v>
      </c>
      <c r="AX25">
        <f t="shared" si="12"/>
        <v>3614.1186445678086</v>
      </c>
      <c r="AY25">
        <f t="shared" si="18"/>
        <v>3975.5305090245897</v>
      </c>
      <c r="AZ25">
        <f t="shared" si="13"/>
        <v>361.41186445678113</v>
      </c>
    </row>
    <row r="26" spans="1:53" x14ac:dyDescent="0.35">
      <c r="A26" s="1">
        <v>25</v>
      </c>
      <c r="B26" s="1">
        <v>3480.4540913845358</v>
      </c>
      <c r="C26" s="1">
        <v>2</v>
      </c>
      <c r="D26" s="1">
        <v>3465.23</v>
      </c>
      <c r="E26" s="1">
        <v>3480.45</v>
      </c>
      <c r="F26" s="1">
        <v>621.553</v>
      </c>
      <c r="G26" s="1">
        <v>55.542900000000003</v>
      </c>
      <c r="H26" s="1">
        <v>1519.54</v>
      </c>
      <c r="I26" s="1">
        <v>1324.14</v>
      </c>
      <c r="J26" s="1">
        <v>2156.31</v>
      </c>
      <c r="K26" s="1">
        <v>5</v>
      </c>
      <c r="L26" s="1">
        <v>0</v>
      </c>
      <c r="M26" s="1">
        <f>C26*$S$18*1000</f>
        <v>5200</v>
      </c>
      <c r="N26" s="1">
        <f>$S$19*C26</f>
        <v>53</v>
      </c>
      <c r="O26" s="4">
        <f t="shared" si="4"/>
        <v>1.5294800056561902E-2</v>
      </c>
      <c r="P26" s="4">
        <f t="shared" si="0"/>
        <v>1325</v>
      </c>
      <c r="Q26" s="4"/>
      <c r="R26" s="63" t="s">
        <v>298</v>
      </c>
      <c r="S26" s="4">
        <v>1</v>
      </c>
      <c r="T26" s="46">
        <v>6</v>
      </c>
      <c r="U26" s="4"/>
      <c r="V26" s="1">
        <f t="shared" si="5"/>
        <v>830.54134999999997</v>
      </c>
      <c r="W26" s="1">
        <f t="shared" si="6"/>
        <v>-4369.4586500000005</v>
      </c>
      <c r="X26" s="1">
        <f t="shared" si="1"/>
        <v>20763.533749999999</v>
      </c>
      <c r="Y26" s="1">
        <f t="shared" si="7"/>
        <v>15563.533749999999</v>
      </c>
      <c r="Z26" s="1">
        <f t="shared" si="2"/>
        <v>7.505711685162611E-2</v>
      </c>
      <c r="AA26" s="1">
        <f t="shared" si="3"/>
        <v>0.12649942971852179</v>
      </c>
      <c r="AB26" s="1"/>
      <c r="AC26" s="1"/>
      <c r="AD26" s="1">
        <f>AD25+1</f>
        <v>24</v>
      </c>
      <c r="AE26">
        <f t="shared" si="20"/>
        <v>50976.439844999986</v>
      </c>
      <c r="AF26">
        <f t="shared" si="21"/>
        <v>655731.55627999967</v>
      </c>
      <c r="AG26">
        <f t="shared" si="8"/>
        <v>12308.362765658248</v>
      </c>
      <c r="AH26">
        <f t="shared" si="14"/>
        <v>66199.902940028813</v>
      </c>
      <c r="AI26">
        <f t="shared" si="9"/>
        <v>92202.40956498732</v>
      </c>
      <c r="AJ26">
        <f t="shared" si="10"/>
        <v>22262.455131122195</v>
      </c>
      <c r="AK26">
        <f t="shared" si="15"/>
        <v>249847.95365901993</v>
      </c>
      <c r="AM26" s="1">
        <f t="shared" si="16"/>
        <v>16873.688851157818</v>
      </c>
      <c r="AN26">
        <f t="shared" si="17"/>
        <v>4074.1857259234353</v>
      </c>
      <c r="AW26">
        <f t="shared" si="11"/>
        <v>8.6057860000925569E-3</v>
      </c>
      <c r="AX26">
        <f t="shared" si="12"/>
        <v>2861.5972399646894</v>
      </c>
      <c r="AY26">
        <f t="shared" si="18"/>
        <v>3147.7569639611584</v>
      </c>
      <c r="AZ26">
        <f t="shared" si="13"/>
        <v>286.15972399646898</v>
      </c>
    </row>
    <row r="27" spans="1:53" x14ac:dyDescent="0.35">
      <c r="A27" s="1">
        <v>26</v>
      </c>
      <c r="B27" s="1">
        <v>5233.1130996820621</v>
      </c>
      <c r="C27" s="1">
        <v>4</v>
      </c>
      <c r="D27" s="1">
        <v>6930.46</v>
      </c>
      <c r="E27" s="1">
        <v>5233.1099999999997</v>
      </c>
      <c r="F27" s="1">
        <v>1642.54</v>
      </c>
      <c r="G27" s="1">
        <v>148.89400000000001</v>
      </c>
      <c r="H27" s="1">
        <v>3427.61</v>
      </c>
      <c r="I27" s="1">
        <v>1860.31</v>
      </c>
      <c r="J27" s="1">
        <v>3372.81</v>
      </c>
      <c r="K27" s="1">
        <v>10</v>
      </c>
      <c r="L27" s="1">
        <v>0</v>
      </c>
      <c r="M27" s="1">
        <f>C27*$S$18*1000</f>
        <v>10400</v>
      </c>
      <c r="N27" s="1">
        <f>$S$19*C27</f>
        <v>106</v>
      </c>
      <c r="O27" s="4">
        <f t="shared" si="4"/>
        <v>1.5294800056561902E-2</v>
      </c>
      <c r="P27" s="4">
        <f t="shared" si="0"/>
        <v>2650</v>
      </c>
      <c r="Q27" s="4"/>
      <c r="R27" s="106" t="s">
        <v>259</v>
      </c>
      <c r="S27" s="107"/>
      <c r="T27" s="46"/>
      <c r="U27" s="4"/>
      <c r="V27" s="1">
        <f t="shared" si="5"/>
        <v>1491.3071500000001</v>
      </c>
      <c r="W27" s="1">
        <f t="shared" si="6"/>
        <v>-8908.6928499999995</v>
      </c>
      <c r="X27" s="1">
        <f t="shared" si="1"/>
        <v>37282.678749999999</v>
      </c>
      <c r="Y27" s="1">
        <f t="shared" si="7"/>
        <v>26882.678749999999</v>
      </c>
      <c r="Z27" s="1">
        <f t="shared" si="2"/>
        <v>9.4788591242782216E-2</v>
      </c>
      <c r="AA27" s="1">
        <f t="shared" si="3"/>
        <v>0.1632153975729371</v>
      </c>
      <c r="AB27" s="1"/>
      <c r="AC27" s="1"/>
      <c r="AD27" s="1">
        <f t="shared" si="19"/>
        <v>25</v>
      </c>
      <c r="AE27">
        <f t="shared" si="20"/>
        <v>50976.439844999986</v>
      </c>
      <c r="AF27">
        <f t="shared" si="21"/>
        <v>706707.9961249996</v>
      </c>
      <c r="AG27">
        <f t="shared" si="8"/>
        <v>11600.718912024739</v>
      </c>
      <c r="AH27">
        <f t="shared" si="14"/>
        <v>77800.621852053548</v>
      </c>
      <c r="AI27">
        <f t="shared" si="9"/>
        <v>94507.469804111985</v>
      </c>
      <c r="AJ27">
        <f t="shared" si="10"/>
        <v>21507.084363242455</v>
      </c>
      <c r="AK27">
        <f t="shared" si="15"/>
        <v>271355.03802226239</v>
      </c>
      <c r="AM27" s="1">
        <f t="shared" si="16"/>
        <v>17295.531072436763</v>
      </c>
      <c r="AN27">
        <f t="shared" si="17"/>
        <v>3935.9475674566643</v>
      </c>
      <c r="AW27">
        <f t="shared" si="11"/>
        <v>1.2939418325219101E-2</v>
      </c>
      <c r="AX27">
        <f t="shared" si="12"/>
        <v>4302.6173048919954</v>
      </c>
      <c r="AY27">
        <f t="shared" si="18"/>
        <v>4732.8790353811955</v>
      </c>
      <c r="AZ27">
        <f t="shared" si="13"/>
        <v>430.26173048920009</v>
      </c>
    </row>
    <row r="28" spans="1:53" x14ac:dyDescent="0.35">
      <c r="A28" s="1">
        <v>27</v>
      </c>
      <c r="B28" s="1">
        <v>6696.2920887280334</v>
      </c>
      <c r="C28" s="1">
        <v>4</v>
      </c>
      <c r="D28" s="1">
        <v>6930.46</v>
      </c>
      <c r="E28" s="1">
        <v>6696.29</v>
      </c>
      <c r="F28" s="1">
        <v>1385.43</v>
      </c>
      <c r="G28" s="1">
        <v>124.053</v>
      </c>
      <c r="H28" s="1">
        <v>3240.4</v>
      </c>
      <c r="I28" s="1">
        <v>2304.63</v>
      </c>
      <c r="J28" s="1">
        <v>4391.67</v>
      </c>
      <c r="K28" s="1">
        <v>10</v>
      </c>
      <c r="L28" s="1">
        <v>0</v>
      </c>
      <c r="M28" s="1">
        <f>C28*$S$18*1000</f>
        <v>10400</v>
      </c>
      <c r="N28" s="1">
        <f>$S$19*C28</f>
        <v>106</v>
      </c>
      <c r="O28" s="4">
        <f t="shared" si="4"/>
        <v>1.5294800056561902E-2</v>
      </c>
      <c r="P28" s="4">
        <f t="shared" si="0"/>
        <v>2650</v>
      </c>
      <c r="Q28" s="4"/>
      <c r="R28" s="50" t="s">
        <v>245</v>
      </c>
      <c r="S28" s="2" t="s">
        <v>246</v>
      </c>
      <c r="T28" s="46"/>
      <c r="U28" s="4"/>
      <c r="V28" s="1">
        <f t="shared" si="5"/>
        <v>1664.2415000000001</v>
      </c>
      <c r="W28" s="1">
        <f t="shared" si="6"/>
        <v>-8735.7584999999999</v>
      </c>
      <c r="X28" s="1">
        <f t="shared" si="1"/>
        <v>41606.037500000006</v>
      </c>
      <c r="Y28" s="1">
        <f t="shared" si="7"/>
        <v>31206.037500000006</v>
      </c>
      <c r="Z28" s="1">
        <f t="shared" si="2"/>
        <v>7.7418732896985462E-2</v>
      </c>
      <c r="AA28" s="1">
        <f t="shared" si="3"/>
        <v>0.13089388180491782</v>
      </c>
      <c r="AB28" s="1"/>
      <c r="AD28" s="1"/>
      <c r="AM28" s="1"/>
      <c r="AW28">
        <f t="shared" si="11"/>
        <v>1.6557281089371333E-2</v>
      </c>
      <c r="AX28">
        <f t="shared" si="12"/>
        <v>5505.6295690079869</v>
      </c>
      <c r="AY28">
        <f t="shared" si="18"/>
        <v>6056.1925259087857</v>
      </c>
      <c r="AZ28">
        <f t="shared" si="13"/>
        <v>550.56295690079878</v>
      </c>
    </row>
    <row r="29" spans="1:53" x14ac:dyDescent="0.35">
      <c r="A29" s="1">
        <v>28</v>
      </c>
      <c r="B29" s="62">
        <v>8230.4847304692612</v>
      </c>
      <c r="C29" s="62">
        <v>6</v>
      </c>
      <c r="D29" s="62">
        <v>10395.700000000001</v>
      </c>
      <c r="E29" s="62">
        <v>8230.48</v>
      </c>
      <c r="F29" s="62">
        <v>2928.68</v>
      </c>
      <c r="G29" s="62">
        <v>274</v>
      </c>
      <c r="H29" s="62">
        <v>4210.74</v>
      </c>
      <c r="I29" s="62">
        <v>3393.9</v>
      </c>
      <c r="J29" s="62">
        <v>2532.5700000000002</v>
      </c>
      <c r="K29" s="62">
        <v>15</v>
      </c>
      <c r="L29" s="62">
        <v>5</v>
      </c>
      <c r="M29" s="62">
        <f>(C29*$S$18*1000)+S33</f>
        <v>19100</v>
      </c>
      <c r="N29" s="62">
        <f>$S$38*C29</f>
        <v>213.60000000000002</v>
      </c>
      <c r="O29" s="56">
        <f t="shared" si="4"/>
        <v>2.0546956914878269E-2</v>
      </c>
      <c r="P29" s="56">
        <f t="shared" si="0"/>
        <v>5340.0000000000009</v>
      </c>
      <c r="Q29" s="56"/>
      <c r="R29" s="63" t="s">
        <v>288</v>
      </c>
      <c r="S29" s="4">
        <f>(T21*T17*$S$26)</f>
        <v>2040</v>
      </c>
      <c r="T29" s="46" t="s">
        <v>289</v>
      </c>
      <c r="U29" s="56"/>
      <c r="V29" s="1">
        <f t="shared" si="5"/>
        <v>1845.26755</v>
      </c>
      <c r="W29" s="1">
        <f t="shared" si="6"/>
        <v>-17254.73245</v>
      </c>
      <c r="X29" s="1">
        <f t="shared" si="1"/>
        <v>46131.688750000001</v>
      </c>
      <c r="Y29" s="1">
        <f t="shared" si="7"/>
        <v>27031.688750000001</v>
      </c>
      <c r="Z29" s="1">
        <f t="shared" si="2"/>
        <v>0.11337259538203578</v>
      </c>
      <c r="AA29" s="1">
        <f t="shared" si="3"/>
        <v>0.19327521282024138</v>
      </c>
      <c r="AB29" s="1"/>
      <c r="AC29" s="1"/>
      <c r="AE29" s="18" t="s">
        <v>51</v>
      </c>
      <c r="AF29" s="4"/>
      <c r="AG29" s="4"/>
      <c r="AH29" s="10"/>
      <c r="AI29" s="10"/>
      <c r="AJ29" s="10"/>
      <c r="AK29" s="10">
        <f>AD16-(AK16/AJ17)</f>
        <v>14.377594039083263</v>
      </c>
      <c r="AM29" s="1"/>
      <c r="AN29">
        <f>SUM(AN3:AN27)</f>
        <v>153553.51696824766</v>
      </c>
      <c r="AW29">
        <f t="shared" si="11"/>
        <v>2.0350732521592207E-2</v>
      </c>
      <c r="AX29">
        <f t="shared" si="12"/>
        <v>6767.0286031306805</v>
      </c>
      <c r="AY29">
        <f t="shared" si="18"/>
        <v>7443.7314634437489</v>
      </c>
      <c r="AZ29">
        <f t="shared" si="13"/>
        <v>676.70286031306841</v>
      </c>
      <c r="BA29" t="s">
        <v>6</v>
      </c>
    </row>
    <row r="30" spans="1:53" ht="15" thickBot="1" x14ac:dyDescent="0.4">
      <c r="A30" s="1">
        <v>29</v>
      </c>
      <c r="B30" s="62">
        <v>3184.1460343074909</v>
      </c>
      <c r="C30" s="62">
        <v>2</v>
      </c>
      <c r="D30" s="62">
        <v>3465.23</v>
      </c>
      <c r="E30" s="62">
        <v>3184.15</v>
      </c>
      <c r="F30" s="62">
        <v>1055.81</v>
      </c>
      <c r="G30" s="62">
        <v>98.489099999999993</v>
      </c>
      <c r="H30" s="62">
        <v>1177.54</v>
      </c>
      <c r="I30" s="62">
        <v>1255.03</v>
      </c>
      <c r="J30" s="62">
        <v>807.74400000000003</v>
      </c>
      <c r="K30" s="62">
        <v>5</v>
      </c>
      <c r="L30" s="62">
        <v>3.3</v>
      </c>
      <c r="M30" s="62">
        <f>(C30*$S$18*1000)+S31</f>
        <v>8896</v>
      </c>
      <c r="N30" s="62">
        <f>$S$38*C30</f>
        <v>71.2</v>
      </c>
      <c r="O30" s="56">
        <f t="shared" si="4"/>
        <v>2.0546976679758633E-2</v>
      </c>
      <c r="P30" s="56">
        <f t="shared" si="0"/>
        <v>1780</v>
      </c>
      <c r="Q30" s="56"/>
      <c r="R30" s="63" t="s">
        <v>288</v>
      </c>
      <c r="S30" s="4">
        <f>(T22*T17*$S$26)</f>
        <v>3400</v>
      </c>
      <c r="T30" s="46" t="s">
        <v>296</v>
      </c>
      <c r="U30" s="56"/>
      <c r="V30" s="1">
        <f t="shared" si="5"/>
        <v>600.73776999999995</v>
      </c>
      <c r="W30" s="1">
        <f t="shared" si="6"/>
        <v>-8295.2622300000003</v>
      </c>
      <c r="X30" s="1">
        <f t="shared" si="1"/>
        <v>15018.444249999999</v>
      </c>
      <c r="Y30" s="1">
        <f t="shared" si="7"/>
        <v>6122.4442499999986</v>
      </c>
      <c r="Z30" s="1">
        <f t="shared" si="2"/>
        <v>0.13230064506243078</v>
      </c>
      <c r="AA30" s="1">
        <f t="shared" si="3"/>
        <v>0.22849616560556227</v>
      </c>
      <c r="AB30" s="1"/>
      <c r="AC30" s="1"/>
      <c r="AE30" s="4"/>
      <c r="AF30" s="4"/>
      <c r="AG30" s="4"/>
      <c r="AH30" s="4"/>
      <c r="AI30" s="4"/>
      <c r="AJ30" s="4"/>
      <c r="AK30" s="4"/>
      <c r="AM30" s="1"/>
      <c r="AP30" t="s">
        <v>6</v>
      </c>
      <c r="AW30">
        <f t="shared" si="11"/>
        <v>7.8731334029442709E-3</v>
      </c>
      <c r="AX30">
        <f t="shared" si="12"/>
        <v>2617.9754894552125</v>
      </c>
      <c r="AY30">
        <f t="shared" si="18"/>
        <v>2879.7730384007341</v>
      </c>
      <c r="AZ30">
        <f t="shared" si="13"/>
        <v>261.79754894552161</v>
      </c>
    </row>
    <row r="31" spans="1:53" ht="15" customHeight="1" thickBot="1" x14ac:dyDescent="0.4">
      <c r="A31" s="1">
        <v>30</v>
      </c>
      <c r="B31" s="62">
        <v>2455.556329062375</v>
      </c>
      <c r="C31" s="62">
        <v>2</v>
      </c>
      <c r="D31" s="62">
        <v>3465.23</v>
      </c>
      <c r="E31" s="62">
        <v>2455.56</v>
      </c>
      <c r="F31" s="62">
        <v>981.01199999999994</v>
      </c>
      <c r="G31" s="62">
        <v>91.956100000000006</v>
      </c>
      <c r="H31" s="62">
        <v>1498.17</v>
      </c>
      <c r="I31" s="62">
        <v>1029.33</v>
      </c>
      <c r="J31" s="62">
        <v>829.81899999999996</v>
      </c>
      <c r="K31" s="62">
        <v>5</v>
      </c>
      <c r="L31" s="62">
        <v>1.2</v>
      </c>
      <c r="M31" s="62">
        <f>(C31*$S$18*1000)+S29</f>
        <v>7240</v>
      </c>
      <c r="N31" s="62">
        <f>$S$38*C31</f>
        <v>71.2</v>
      </c>
      <c r="O31" s="56">
        <f t="shared" si="4"/>
        <v>2.0546976679758633E-2</v>
      </c>
      <c r="P31" s="56">
        <f t="shared" si="0"/>
        <v>1780</v>
      </c>
      <c r="Q31" s="56"/>
      <c r="R31" s="63" t="s">
        <v>288</v>
      </c>
      <c r="S31" s="4">
        <f>(T23*T18*$S$26)</f>
        <v>3696</v>
      </c>
      <c r="T31" s="46" t="s">
        <v>290</v>
      </c>
      <c r="U31" s="56"/>
      <c r="V31" s="1">
        <f t="shared" si="5"/>
        <v>612.34054500000002</v>
      </c>
      <c r="W31" s="1">
        <f t="shared" si="6"/>
        <v>-6627.659455</v>
      </c>
      <c r="X31" s="1">
        <f t="shared" si="1"/>
        <v>15308.513625</v>
      </c>
      <c r="Y31" s="1">
        <f t="shared" si="7"/>
        <v>8068.5136249999996</v>
      </c>
      <c r="Z31" s="1">
        <f t="shared" si="2"/>
        <v>0.13848359111310798</v>
      </c>
      <c r="AA31" s="1">
        <f t="shared" si="3"/>
        <v>0.24000127890535689</v>
      </c>
      <c r="AB31" s="1"/>
      <c r="AE31" s="4" t="s">
        <v>53</v>
      </c>
      <c r="AF31" s="9"/>
      <c r="AG31" s="4"/>
      <c r="AH31" s="100" t="s">
        <v>54</v>
      </c>
      <c r="AI31" s="101"/>
      <c r="AJ31" s="101"/>
      <c r="AK31" s="102"/>
      <c r="AM31" s="1"/>
      <c r="AW31">
        <f t="shared" si="11"/>
        <v>6.0716193129492719E-3</v>
      </c>
      <c r="AX31">
        <f t="shared" si="12"/>
        <v>2018.9357564625791</v>
      </c>
      <c r="AY31">
        <f t="shared" si="18"/>
        <v>2220.8293321088372</v>
      </c>
      <c r="AZ31">
        <f t="shared" si="13"/>
        <v>201.89357564625811</v>
      </c>
    </row>
    <row r="32" spans="1:53" ht="15" thickBot="1" x14ac:dyDescent="0.4">
      <c r="A32" s="1">
        <v>31</v>
      </c>
      <c r="B32" s="1">
        <v>1553.515228702383</v>
      </c>
      <c r="C32" s="1">
        <v>2</v>
      </c>
      <c r="D32" s="1">
        <v>3465.23</v>
      </c>
      <c r="E32" s="1">
        <v>1553.52</v>
      </c>
      <c r="F32" s="1">
        <v>992.22699999999998</v>
      </c>
      <c r="G32" s="1">
        <v>92.273499999999999</v>
      </c>
      <c r="H32" s="1">
        <v>1784.82</v>
      </c>
      <c r="I32" s="1">
        <v>688.178</v>
      </c>
      <c r="J32" s="1">
        <v>865.33699999999999</v>
      </c>
      <c r="K32" s="1">
        <v>5</v>
      </c>
      <c r="L32" s="1">
        <v>0</v>
      </c>
      <c r="M32" s="1">
        <f>C32*$S$18*1000</f>
        <v>5200</v>
      </c>
      <c r="N32" s="1">
        <f>$S$19*C32</f>
        <v>53</v>
      </c>
      <c r="O32" s="4">
        <f t="shared" si="4"/>
        <v>1.5294800056561902E-2</v>
      </c>
      <c r="P32" s="4">
        <f t="shared" si="0"/>
        <v>1325</v>
      </c>
      <c r="Q32" s="4"/>
      <c r="R32" s="63" t="s">
        <v>288</v>
      </c>
      <c r="S32" s="4">
        <f>(T24*T18*$S$26)</f>
        <v>4704</v>
      </c>
      <c r="T32" s="46" t="s">
        <v>291</v>
      </c>
      <c r="U32" s="4"/>
      <c r="V32" s="1">
        <f t="shared" si="5"/>
        <v>609.71542499999998</v>
      </c>
      <c r="W32" s="1">
        <f t="shared" si="6"/>
        <v>-4590.2845749999997</v>
      </c>
      <c r="X32" s="1">
        <f t="shared" si="1"/>
        <v>15242.885624999999</v>
      </c>
      <c r="Y32" s="1">
        <f t="shared" si="7"/>
        <v>10042.885624999999</v>
      </c>
      <c r="Z32" s="1">
        <f t="shared" si="2"/>
        <v>0.1491847009452309</v>
      </c>
      <c r="AA32" s="1">
        <f t="shared" si="3"/>
        <v>0.26443468689961436</v>
      </c>
      <c r="AB32" s="1"/>
      <c r="AE32" s="4"/>
      <c r="AF32" s="8"/>
      <c r="AG32" s="4"/>
      <c r="AH32" s="103"/>
      <c r="AI32" s="104"/>
      <c r="AJ32" s="104"/>
      <c r="AK32" s="105"/>
      <c r="AM32" s="1"/>
      <c r="AW32">
        <f t="shared" si="11"/>
        <v>3.841228545203777E-3</v>
      </c>
      <c r="AX32">
        <f t="shared" si="12"/>
        <v>1277.2858868336355</v>
      </c>
      <c r="AY32">
        <f t="shared" si="18"/>
        <v>1405.014475516999</v>
      </c>
      <c r="AZ32">
        <f t="shared" si="13"/>
        <v>127.72858868336357</v>
      </c>
    </row>
    <row r="33" spans="1:53" x14ac:dyDescent="0.35">
      <c r="A33" s="1">
        <v>32</v>
      </c>
      <c r="B33" s="62">
        <v>14627.53150971361</v>
      </c>
      <c r="C33" s="62">
        <v>10</v>
      </c>
      <c r="D33" s="62">
        <v>17326.099999999999</v>
      </c>
      <c r="E33" s="62">
        <v>14627.5</v>
      </c>
      <c r="F33" s="62">
        <v>6319.47</v>
      </c>
      <c r="G33" s="62">
        <v>606.04600000000005</v>
      </c>
      <c r="H33" s="62">
        <v>5835.93</v>
      </c>
      <c r="I33" s="62">
        <v>5167.72</v>
      </c>
      <c r="J33" s="62">
        <v>4764.6000000000004</v>
      </c>
      <c r="K33" s="62">
        <v>25</v>
      </c>
      <c r="L33" s="62">
        <f>19.4</f>
        <v>19.399999999999999</v>
      </c>
      <c r="M33" s="62">
        <f>(C33*$S$18*1000)+S37</f>
        <v>42000</v>
      </c>
      <c r="N33" s="62">
        <f>$S$38*C33</f>
        <v>356</v>
      </c>
      <c r="O33" s="56">
        <f t="shared" si="4"/>
        <v>2.0547035974627877E-2</v>
      </c>
      <c r="P33" s="56">
        <f t="shared" si="0"/>
        <v>8900</v>
      </c>
      <c r="Q33" s="56"/>
      <c r="R33" s="63" t="s">
        <v>288</v>
      </c>
      <c r="S33" s="4">
        <f>(T25*T19*$S$26)</f>
        <v>3500</v>
      </c>
      <c r="T33" s="46" t="s">
        <v>293</v>
      </c>
      <c r="U33" s="56"/>
      <c r="V33" s="1">
        <f t="shared" si="5"/>
        <v>3050.1247499999999</v>
      </c>
      <c r="W33" s="1">
        <f t="shared" si="6"/>
        <v>-38949.875249999997</v>
      </c>
      <c r="X33" s="1">
        <f t="shared" si="1"/>
        <v>76253.118749999994</v>
      </c>
      <c r="Y33" s="1">
        <f t="shared" si="7"/>
        <v>34253.118749999994</v>
      </c>
      <c r="Z33" s="1">
        <f t="shared" si="2"/>
        <v>0.13539895059086871</v>
      </c>
      <c r="AA33" s="1">
        <f t="shared" si="3"/>
        <v>0.23426138501273194</v>
      </c>
      <c r="AB33" s="1"/>
      <c r="AW33">
        <f t="shared" si="11"/>
        <v>3.6168098350675297E-2</v>
      </c>
      <c r="AX33">
        <f t="shared" si="12"/>
        <v>12026.621439802328</v>
      </c>
      <c r="AY33">
        <f t="shared" si="18"/>
        <v>13229.283583782561</v>
      </c>
      <c r="AZ33">
        <f t="shared" si="13"/>
        <v>1202.6621439802329</v>
      </c>
    </row>
    <row r="34" spans="1:53" x14ac:dyDescent="0.35">
      <c r="A34" s="1">
        <v>33</v>
      </c>
      <c r="B34" s="62">
        <v>4264.5516094210579</v>
      </c>
      <c r="C34" s="62">
        <v>4</v>
      </c>
      <c r="D34" s="62">
        <v>6930.46</v>
      </c>
      <c r="E34" s="62">
        <v>4264.55</v>
      </c>
      <c r="F34" s="62">
        <v>2602.7800000000002</v>
      </c>
      <c r="G34" s="62">
        <v>255.268</v>
      </c>
      <c r="H34" s="62">
        <v>2529.48</v>
      </c>
      <c r="I34" s="62">
        <v>1820.92</v>
      </c>
      <c r="J34" s="62">
        <v>1578.24</v>
      </c>
      <c r="K34" s="62">
        <v>10</v>
      </c>
      <c r="L34" s="62">
        <v>6</v>
      </c>
      <c r="M34" s="62">
        <f>(C34*$S$18*1000)+S34</f>
        <v>14600</v>
      </c>
      <c r="N34" s="62">
        <f>$S$38*C34</f>
        <v>142.4</v>
      </c>
      <c r="O34" s="56">
        <f t="shared" si="4"/>
        <v>2.0546976679758633E-2</v>
      </c>
      <c r="P34" s="56">
        <f t="shared" si="0"/>
        <v>3560</v>
      </c>
      <c r="Q34" s="56"/>
      <c r="R34" s="63" t="s">
        <v>288</v>
      </c>
      <c r="S34" s="4">
        <f>(T26*T19*$S$26)</f>
        <v>4200</v>
      </c>
      <c r="T34" s="46" t="s">
        <v>292</v>
      </c>
      <c r="U34" s="56"/>
      <c r="V34" s="1">
        <f t="shared" si="5"/>
        <v>1174.2071999999998</v>
      </c>
      <c r="W34" s="1">
        <f t="shared" si="6"/>
        <v>-13425.792799999999</v>
      </c>
      <c r="X34" s="1">
        <f t="shared" ref="X34:X65" si="22">V34*$S$47</f>
        <v>29355.179999999997</v>
      </c>
      <c r="Y34" s="1">
        <f t="shared" si="7"/>
        <v>14755.179999999997</v>
      </c>
      <c r="Z34" s="1">
        <f t="shared" ref="Z34:Z65" si="23">(M34/($S$47*B34))+O34</f>
        <v>0.15748986153308134</v>
      </c>
      <c r="AA34" s="1">
        <f t="shared" ref="AA34:AA65" si="24">(M34/($S$50*B34))+O34</f>
        <v>0.27536780043021791</v>
      </c>
      <c r="AB34" s="1"/>
      <c r="AW34">
        <f t="shared" si="11"/>
        <v>1.0544548950630927E-2</v>
      </c>
      <c r="AX34">
        <f t="shared" si="12"/>
        <v>3506.2749844666705</v>
      </c>
      <c r="AY34">
        <f t="shared" si="18"/>
        <v>3856.9024829133377</v>
      </c>
      <c r="AZ34">
        <f t="shared" si="13"/>
        <v>350.62749844666723</v>
      </c>
    </row>
    <row r="35" spans="1:53" x14ac:dyDescent="0.35">
      <c r="A35" s="1">
        <v>34</v>
      </c>
      <c r="B35" s="1">
        <v>5041.8344142687847</v>
      </c>
      <c r="C35" s="1">
        <v>4</v>
      </c>
      <c r="D35" s="1">
        <v>7106.6</v>
      </c>
      <c r="E35" s="1">
        <v>5041.83</v>
      </c>
      <c r="F35" s="1">
        <v>1667.85</v>
      </c>
      <c r="G35" s="1">
        <v>152.785</v>
      </c>
      <c r="H35" s="1">
        <v>3300.83</v>
      </c>
      <c r="I35" s="1">
        <v>2137.92</v>
      </c>
      <c r="J35" s="1">
        <v>2903.92</v>
      </c>
      <c r="K35" s="1">
        <v>10</v>
      </c>
      <c r="L35" s="1">
        <v>0</v>
      </c>
      <c r="M35" s="1">
        <f>C35*$S$18*1000</f>
        <v>10400</v>
      </c>
      <c r="N35" s="1">
        <f>$S$19*C35</f>
        <v>106</v>
      </c>
      <c r="O35" s="4">
        <f t="shared" si="4"/>
        <v>1.4915712154898262E-2</v>
      </c>
      <c r="P35" s="4">
        <f t="shared" si="0"/>
        <v>2650</v>
      </c>
      <c r="Q35" s="4"/>
      <c r="R35" s="63" t="s">
        <v>288</v>
      </c>
      <c r="S35" s="4">
        <f xml:space="preserve"> 8000 *S26</f>
        <v>8000</v>
      </c>
      <c r="T35" s="46" t="s">
        <v>294</v>
      </c>
      <c r="U35" s="4"/>
      <c r="V35" s="1">
        <f t="shared" si="5"/>
        <v>1445.89885</v>
      </c>
      <c r="W35" s="1">
        <f t="shared" si="6"/>
        <v>-8954.1011500000004</v>
      </c>
      <c r="X35" s="1">
        <f t="shared" si="22"/>
        <v>36147.471250000002</v>
      </c>
      <c r="Y35" s="1">
        <f t="shared" si="7"/>
        <v>25747.471250000002</v>
      </c>
      <c r="Z35" s="1">
        <f t="shared" si="23"/>
        <v>9.7425363567226989E-2</v>
      </c>
      <c r="AA35" s="1">
        <f t="shared" si="24"/>
        <v>0.1684481674027381</v>
      </c>
      <c r="AB35" s="1"/>
      <c r="AW35">
        <f t="shared" si="11"/>
        <v>1.2466461811550257E-2</v>
      </c>
      <c r="AX35">
        <f t="shared" si="12"/>
        <v>4145.3497346638342</v>
      </c>
      <c r="AY35">
        <f t="shared" si="18"/>
        <v>4559.8847081302183</v>
      </c>
      <c r="AZ35">
        <f t="shared" si="13"/>
        <v>414.53497346638414</v>
      </c>
    </row>
    <row r="36" spans="1:53" x14ac:dyDescent="0.35">
      <c r="A36" s="1">
        <v>35</v>
      </c>
      <c r="B36" s="62">
        <v>1680.154057549307</v>
      </c>
      <c r="C36" s="62">
        <v>2</v>
      </c>
      <c r="D36" s="62">
        <v>3553.3</v>
      </c>
      <c r="E36" s="62">
        <v>1680.15</v>
      </c>
      <c r="F36" s="62">
        <v>1252.81</v>
      </c>
      <c r="G36" s="62">
        <v>122.58499999999999</v>
      </c>
      <c r="H36" s="62">
        <v>1604.06</v>
      </c>
      <c r="I36" s="62">
        <v>745.89400000000001</v>
      </c>
      <c r="J36" s="62">
        <v>657.86699999999996</v>
      </c>
      <c r="K36" s="62">
        <v>5</v>
      </c>
      <c r="L36" s="62">
        <v>1.2</v>
      </c>
      <c r="M36" s="62">
        <f>(C36*$S$18*1000)+S29</f>
        <v>7240</v>
      </c>
      <c r="N36" s="62">
        <f>$S$38*C36</f>
        <v>71.2</v>
      </c>
      <c r="O36" s="56">
        <f t="shared" si="4"/>
        <v>2.0037711423184081E-2</v>
      </c>
      <c r="P36" s="56">
        <f t="shared" si="0"/>
        <v>1780</v>
      </c>
      <c r="Q36" s="56"/>
      <c r="R36" s="63" t="s">
        <v>288</v>
      </c>
      <c r="S36" s="4">
        <f>7300*S26</f>
        <v>7300</v>
      </c>
      <c r="T36" s="46" t="s">
        <v>295</v>
      </c>
      <c r="U36" s="56"/>
      <c r="V36" s="1">
        <f t="shared" si="5"/>
        <v>588.79725499999995</v>
      </c>
      <c r="W36" s="1">
        <f t="shared" si="6"/>
        <v>-6651.2027450000005</v>
      </c>
      <c r="X36" s="1">
        <f t="shared" si="22"/>
        <v>14719.931374999998</v>
      </c>
      <c r="Y36" s="1">
        <f t="shared" si="7"/>
        <v>7479.9313749999983</v>
      </c>
      <c r="Z36" s="1">
        <f t="shared" si="23"/>
        <v>0.19240285776126101</v>
      </c>
      <c r="AA36" s="1">
        <f t="shared" si="24"/>
        <v>0.34077163361842333</v>
      </c>
      <c r="AB36" s="1"/>
      <c r="AW36">
        <f t="shared" si="11"/>
        <v>4.1543562669733927E-3</v>
      </c>
      <c r="AX36">
        <f t="shared" si="12"/>
        <v>1381.4071634215877</v>
      </c>
      <c r="AY36">
        <f t="shared" si="18"/>
        <v>1519.5478797637466</v>
      </c>
      <c r="AZ36">
        <f t="shared" si="13"/>
        <v>138.14071634215884</v>
      </c>
    </row>
    <row r="37" spans="1:53" x14ac:dyDescent="0.35">
      <c r="A37" s="1">
        <v>36</v>
      </c>
      <c r="B37" s="1">
        <v>5659.8657296841702</v>
      </c>
      <c r="C37" s="1">
        <v>4</v>
      </c>
      <c r="D37" s="1">
        <v>7106.6</v>
      </c>
      <c r="E37" s="1">
        <v>5659.87</v>
      </c>
      <c r="F37" s="1">
        <v>1537.84</v>
      </c>
      <c r="G37" s="1">
        <v>139.857</v>
      </c>
      <c r="H37" s="1">
        <v>3205.84</v>
      </c>
      <c r="I37" s="1">
        <v>2362.91</v>
      </c>
      <c r="J37" s="1">
        <v>3296.95</v>
      </c>
      <c r="K37" s="1">
        <v>10</v>
      </c>
      <c r="L37" s="1">
        <v>0</v>
      </c>
      <c r="M37" s="1">
        <f>C37*$S$18*1000</f>
        <v>10400</v>
      </c>
      <c r="N37" s="1">
        <f>$S$19*C37</f>
        <v>106</v>
      </c>
      <c r="O37" s="4">
        <f t="shared" si="4"/>
        <v>1.4915712154898262E-2</v>
      </c>
      <c r="P37" s="4">
        <f t="shared" si="0"/>
        <v>2650</v>
      </c>
      <c r="Q37" s="4"/>
      <c r="R37" s="63" t="s">
        <v>288</v>
      </c>
      <c r="S37" s="4">
        <f>16000*S26</f>
        <v>16000</v>
      </c>
      <c r="T37" s="46" t="s">
        <v>297</v>
      </c>
      <c r="U37" s="4"/>
      <c r="V37" s="1">
        <f t="shared" si="5"/>
        <v>1514.0405000000001</v>
      </c>
      <c r="W37" s="1">
        <f t="shared" si="6"/>
        <v>-8885.9595000000008</v>
      </c>
      <c r="X37" s="1">
        <f t="shared" si="22"/>
        <v>37851.012500000004</v>
      </c>
      <c r="Y37" s="1">
        <f t="shared" si="7"/>
        <v>27451.012500000004</v>
      </c>
      <c r="Z37" s="1">
        <f t="shared" si="23"/>
        <v>8.841568898618847E-2</v>
      </c>
      <c r="AA37" s="1">
        <f t="shared" si="24"/>
        <v>0.15168312918317045</v>
      </c>
      <c r="AB37" s="1"/>
      <c r="AW37">
        <f t="shared" si="11"/>
        <v>1.399460874358025E-2</v>
      </c>
      <c r="AX37">
        <f t="shared" si="12"/>
        <v>4653.4893796550641</v>
      </c>
      <c r="AY37">
        <f t="shared" si="18"/>
        <v>5118.8383176205707</v>
      </c>
      <c r="AZ37">
        <f t="shared" si="13"/>
        <v>465.34893796550659</v>
      </c>
      <c r="BA37" t="s">
        <v>6</v>
      </c>
    </row>
    <row r="38" spans="1:53" x14ac:dyDescent="0.35">
      <c r="A38" s="1">
        <v>37</v>
      </c>
      <c r="B38" s="62">
        <v>7074.8321611913698</v>
      </c>
      <c r="C38" s="62">
        <v>6</v>
      </c>
      <c r="D38" s="62">
        <v>10659.9</v>
      </c>
      <c r="E38" s="62">
        <v>7074.83</v>
      </c>
      <c r="F38" s="62">
        <v>3404.59</v>
      </c>
      <c r="G38" s="62">
        <v>327.08699999999999</v>
      </c>
      <c r="H38" s="62">
        <v>4373.93</v>
      </c>
      <c r="I38" s="62">
        <v>3025.14</v>
      </c>
      <c r="J38" s="62">
        <v>2437.81</v>
      </c>
      <c r="K38" s="62">
        <v>15</v>
      </c>
      <c r="L38" s="62">
        <v>5</v>
      </c>
      <c r="M38" s="62">
        <f>(C38*$S$18*1000)+S33</f>
        <v>19100</v>
      </c>
      <c r="N38" s="62">
        <f>$S$38*C38</f>
        <v>213.60000000000002</v>
      </c>
      <c r="O38" s="56">
        <f t="shared" si="4"/>
        <v>2.0037711423184085E-2</v>
      </c>
      <c r="P38" s="56">
        <f t="shared" si="0"/>
        <v>5340.0000000000009</v>
      </c>
      <c r="Q38" s="56"/>
      <c r="R38" s="65" t="s">
        <v>248</v>
      </c>
      <c r="S38" s="1">
        <v>35.6</v>
      </c>
      <c r="T38" s="30"/>
      <c r="U38" s="56"/>
      <c r="V38" s="1">
        <f t="shared" si="5"/>
        <v>1851.8033999999998</v>
      </c>
      <c r="W38" s="1">
        <f>V38-M38</f>
        <v>-17248.196599999999</v>
      </c>
      <c r="X38" s="1">
        <f t="shared" si="22"/>
        <v>46295.084999999992</v>
      </c>
      <c r="Y38" s="1">
        <f t="shared" si="7"/>
        <v>27195.084999999992</v>
      </c>
      <c r="Z38" s="1">
        <f t="shared" si="23"/>
        <v>0.12802613893541298</v>
      </c>
      <c r="AA38" s="1">
        <f t="shared" si="24"/>
        <v>0.22098060877529327</v>
      </c>
      <c r="AB38" s="1"/>
      <c r="AC38" s="1" t="s">
        <v>287</v>
      </c>
      <c r="AD38" s="1">
        <v>0</v>
      </c>
      <c r="AE38">
        <f>-AC41</f>
        <v>-15950</v>
      </c>
      <c r="AF38">
        <f>AE38</f>
        <v>-15950</v>
      </c>
      <c r="AH38">
        <f>AE38</f>
        <v>-15950</v>
      </c>
      <c r="AI38">
        <f>AE38</f>
        <v>-15950</v>
      </c>
      <c r="AK38">
        <f>AE38</f>
        <v>-15950</v>
      </c>
      <c r="AW38">
        <f t="shared" si="11"/>
        <v>1.7493260927215738E-2</v>
      </c>
      <c r="AX38">
        <f t="shared" si="12"/>
        <v>5816.8617238174766</v>
      </c>
      <c r="AY38">
        <f t="shared" si="18"/>
        <v>6398.5478961992249</v>
      </c>
      <c r="AZ38">
        <f t="shared" si="13"/>
        <v>581.68617238174829</v>
      </c>
    </row>
    <row r="39" spans="1:53" x14ac:dyDescent="0.35">
      <c r="A39" s="1">
        <v>38</v>
      </c>
      <c r="B39" s="1">
        <v>1036.155497852058</v>
      </c>
      <c r="C39" s="1">
        <v>2</v>
      </c>
      <c r="D39" s="1">
        <v>3553.3</v>
      </c>
      <c r="E39" s="1">
        <v>1036.1600000000001</v>
      </c>
      <c r="F39" s="1">
        <v>1206.4100000000001</v>
      </c>
      <c r="G39" s="1">
        <v>115.129</v>
      </c>
      <c r="H39" s="1">
        <v>1906.9</v>
      </c>
      <c r="I39" s="1">
        <v>439.99</v>
      </c>
      <c r="J39" s="1">
        <v>596.16499999999996</v>
      </c>
      <c r="K39" s="1">
        <v>5</v>
      </c>
      <c r="L39" s="1">
        <v>0</v>
      </c>
      <c r="M39" s="1">
        <f>C39*$S$18*1000</f>
        <v>5200</v>
      </c>
      <c r="N39" s="1">
        <f>$S$19*C39</f>
        <v>53</v>
      </c>
      <c r="O39" s="4">
        <f t="shared" si="4"/>
        <v>1.4915712154898262E-2</v>
      </c>
      <c r="P39" s="4">
        <f t="shared" si="0"/>
        <v>1325</v>
      </c>
      <c r="Q39" s="4"/>
      <c r="R39" s="68" t="s">
        <v>260</v>
      </c>
      <c r="S39" s="1">
        <v>220</v>
      </c>
      <c r="T39" s="78">
        <f>S39*S15</f>
        <v>9900</v>
      </c>
      <c r="U39" s="4"/>
      <c r="V39" s="1">
        <f t="shared" si="5"/>
        <v>571.30252500000006</v>
      </c>
      <c r="W39" s="1">
        <f t="shared" si="6"/>
        <v>-4628.6974749999999</v>
      </c>
      <c r="X39" s="1">
        <f t="shared" si="22"/>
        <v>14282.563125000001</v>
      </c>
      <c r="Y39" s="1">
        <f t="shared" si="7"/>
        <v>9082.5631250000006</v>
      </c>
      <c r="Z39" s="1">
        <f t="shared" si="23"/>
        <v>0.21565778265607527</v>
      </c>
      <c r="AA39" s="1">
        <f t="shared" si="24"/>
        <v>0.38845289753895179</v>
      </c>
      <c r="AB39" s="1"/>
      <c r="AC39" s="1"/>
      <c r="AD39" s="1">
        <v>1</v>
      </c>
      <c r="AE39">
        <f>AC44</f>
        <v>4685.0797199999997</v>
      </c>
      <c r="AF39">
        <f>AF38+AE39</f>
        <v>-11264.92028</v>
      </c>
      <c r="AG39">
        <f t="shared" ref="AG39:AG63" si="25">AE39/(1+$S$20)^AD39</f>
        <v>4415.7207540056552</v>
      </c>
      <c r="AH39">
        <f>AH38+AG39</f>
        <v>-11534.279245994345</v>
      </c>
      <c r="AI39">
        <f>$AC$44*((1+$S$44)^AD39)</f>
        <v>4802.2067129999996</v>
      </c>
      <c r="AJ39">
        <f t="shared" ref="AJ39:AJ63" si="26">AI39/(1+$S$20)^AD39</f>
        <v>4526.113772855796</v>
      </c>
      <c r="AK39">
        <f>AK38+AJ39</f>
        <v>-11423.886227144205</v>
      </c>
      <c r="AW39">
        <f t="shared" si="11"/>
        <v>2.562002613224239E-3</v>
      </c>
      <c r="AX39">
        <f t="shared" si="12"/>
        <v>851.91748978024236</v>
      </c>
      <c r="AY39">
        <f t="shared" si="18"/>
        <v>937.10923875826666</v>
      </c>
      <c r="AZ39">
        <f t="shared" si="13"/>
        <v>85.191748978024293</v>
      </c>
    </row>
    <row r="40" spans="1:53" ht="29" x14ac:dyDescent="0.35">
      <c r="A40" s="1">
        <v>39</v>
      </c>
      <c r="B40" s="62">
        <v>1397.7981728371551</v>
      </c>
      <c r="C40" s="62">
        <v>2</v>
      </c>
      <c r="D40" s="62">
        <v>3553.3</v>
      </c>
      <c r="E40" s="62">
        <v>1397.8</v>
      </c>
      <c r="F40" s="62">
        <v>1337.82</v>
      </c>
      <c r="G40" s="62">
        <v>132.495</v>
      </c>
      <c r="H40" s="62">
        <v>1638.51</v>
      </c>
      <c r="I40" s="62">
        <v>629.24800000000005</v>
      </c>
      <c r="J40" s="62">
        <v>605.05899999999997</v>
      </c>
      <c r="K40" s="62">
        <v>5</v>
      </c>
      <c r="L40" s="62">
        <v>1.2</v>
      </c>
      <c r="M40" s="62">
        <f>(C40*$S$18*1000)+S29</f>
        <v>7240</v>
      </c>
      <c r="N40" s="62">
        <f>$S$38*C40</f>
        <v>71.2</v>
      </c>
      <c r="O40" s="56">
        <f t="shared" si="4"/>
        <v>2.0037711423184081E-2</v>
      </c>
      <c r="P40" s="56">
        <f t="shared" si="0"/>
        <v>1780</v>
      </c>
      <c r="Q40" s="56"/>
      <c r="R40" s="68" t="s">
        <v>261</v>
      </c>
      <c r="S40" s="1">
        <v>165</v>
      </c>
      <c r="T40" s="78">
        <f>S40*S15</f>
        <v>7425</v>
      </c>
      <c r="U40" s="56"/>
      <c r="V40" s="1">
        <f t="shared" si="5"/>
        <v>577.78163500000005</v>
      </c>
      <c r="W40" s="1">
        <f t="shared" si="6"/>
        <v>-6662.2183649999997</v>
      </c>
      <c r="X40" s="1">
        <f t="shared" si="22"/>
        <v>14444.540875000001</v>
      </c>
      <c r="Y40" s="1">
        <f t="shared" si="7"/>
        <v>7204.5408750000006</v>
      </c>
      <c r="Z40" s="1">
        <f t="shared" si="23"/>
        <v>0.22722069794275418</v>
      </c>
      <c r="AA40" s="1">
        <f t="shared" si="24"/>
        <v>0.40556003592032402</v>
      </c>
      <c r="AB40" s="1"/>
      <c r="AC40" s="73" t="s">
        <v>285</v>
      </c>
      <c r="AD40" s="1">
        <f>AD39+1</f>
        <v>2</v>
      </c>
      <c r="AE40">
        <f>AE39</f>
        <v>4685.0797199999997</v>
      </c>
      <c r="AF40">
        <f>AF39+AE40</f>
        <v>-6579.8405600000006</v>
      </c>
      <c r="AG40">
        <f t="shared" si="25"/>
        <v>4161.8480245105138</v>
      </c>
      <c r="AH40">
        <f t="shared" ref="AH40:AH63" si="27">AH39+AG40</f>
        <v>-7372.431221483831</v>
      </c>
      <c r="AI40">
        <f t="shared" ref="AI40:AI63" si="28">$AC$44*((1+$S$44)^AD40)</f>
        <v>4922.261880824999</v>
      </c>
      <c r="AJ40">
        <f t="shared" si="26"/>
        <v>4372.5415807513573</v>
      </c>
      <c r="AK40">
        <f t="shared" ref="AK40:AK63" si="29">AK39+AJ40</f>
        <v>-7051.3446463928476</v>
      </c>
      <c r="AW40">
        <f t="shared" si="11"/>
        <v>3.4562018722021732E-3</v>
      </c>
      <c r="AX40">
        <f t="shared" si="12"/>
        <v>1149.2567602945458</v>
      </c>
      <c r="AY40">
        <f t="shared" si="18"/>
        <v>1264.1824363240005</v>
      </c>
      <c r="AZ40">
        <f t="shared" si="13"/>
        <v>114.92567602945473</v>
      </c>
    </row>
    <row r="41" spans="1:53" x14ac:dyDescent="0.35">
      <c r="A41" s="1">
        <v>40</v>
      </c>
      <c r="B41" s="62">
        <v>2769.3097556877569</v>
      </c>
      <c r="C41" s="62">
        <v>2</v>
      </c>
      <c r="D41" s="62">
        <v>3553.3</v>
      </c>
      <c r="E41" s="62">
        <v>2769.31</v>
      </c>
      <c r="F41" s="62">
        <v>1224.25</v>
      </c>
      <c r="G41" s="62">
        <v>117.764</v>
      </c>
      <c r="H41" s="62">
        <v>1185.83</v>
      </c>
      <c r="I41" s="62">
        <v>1159.6300000000001</v>
      </c>
      <c r="J41" s="62">
        <v>850.86400000000003</v>
      </c>
      <c r="K41" s="62">
        <v>5</v>
      </c>
      <c r="L41" s="62">
        <v>3.3</v>
      </c>
      <c r="M41" s="62">
        <f>(C41*$S$18*1000)+S31</f>
        <v>8896</v>
      </c>
      <c r="N41" s="62">
        <f>$S$38*C41</f>
        <v>71.2</v>
      </c>
      <c r="O41" s="56">
        <f t="shared" si="4"/>
        <v>2.0037711423184081E-2</v>
      </c>
      <c r="P41" s="56">
        <f t="shared" si="0"/>
        <v>1780</v>
      </c>
      <c r="Q41" s="56"/>
      <c r="R41" s="65" t="s">
        <v>250</v>
      </c>
      <c r="S41" s="1">
        <v>3.1E-2</v>
      </c>
      <c r="T41" s="30"/>
      <c r="U41" s="56"/>
      <c r="V41" s="1">
        <f t="shared" si="5"/>
        <v>613.19421999999997</v>
      </c>
      <c r="W41" s="1">
        <f t="shared" si="6"/>
        <v>-8282.8057800000006</v>
      </c>
      <c r="X41" s="1">
        <f t="shared" si="22"/>
        <v>15329.8555</v>
      </c>
      <c r="Y41" s="1">
        <f t="shared" si="7"/>
        <v>6433.8554999999997</v>
      </c>
      <c r="Z41" s="1">
        <f t="shared" si="23"/>
        <v>0.14853182417787206</v>
      </c>
      <c r="AA41" s="1">
        <f t="shared" si="24"/>
        <v>0.25913721406842516</v>
      </c>
      <c r="AB41" s="1"/>
      <c r="AC41" s="1">
        <f>(T10*55/99)</f>
        <v>15950</v>
      </c>
      <c r="AD41" s="1">
        <f t="shared" ref="AD41:AD55" si="30">AD40+1</f>
        <v>3</v>
      </c>
      <c r="AE41">
        <f t="shared" ref="AE41:AE63" si="31">AE40</f>
        <v>4685.0797199999997</v>
      </c>
      <c r="AF41">
        <f t="shared" ref="AF41:AF63" si="32">AF40+AE41</f>
        <v>-1894.7608400000008</v>
      </c>
      <c r="AG41">
        <f t="shared" si="25"/>
        <v>3922.5711823850274</v>
      </c>
      <c r="AH41">
        <f t="shared" si="27"/>
        <v>-3449.8600390988036</v>
      </c>
      <c r="AI41">
        <f t="shared" si="28"/>
        <v>5045.3184278456238</v>
      </c>
      <c r="AJ41">
        <f t="shared" si="26"/>
        <v>4224.1801322056008</v>
      </c>
      <c r="AK41">
        <f t="shared" si="29"/>
        <v>-2827.1645141872468</v>
      </c>
      <c r="AW41">
        <f t="shared" si="11"/>
        <v>6.8474074070998467E-3</v>
      </c>
      <c r="AX41">
        <f t="shared" si="12"/>
        <v>2276.9009288471671</v>
      </c>
      <c r="AY41">
        <f t="shared" si="18"/>
        <v>2504.5910217318838</v>
      </c>
      <c r="AZ41">
        <f t="shared" si="13"/>
        <v>227.69009288471671</v>
      </c>
    </row>
    <row r="42" spans="1:53" x14ac:dyDescent="0.35">
      <c r="A42" s="1">
        <v>41</v>
      </c>
      <c r="B42" s="1">
        <v>975.76163139608616</v>
      </c>
      <c r="C42" s="1">
        <v>2</v>
      </c>
      <c r="D42" s="1">
        <v>3553.3</v>
      </c>
      <c r="E42" s="1">
        <v>975.76199999999994</v>
      </c>
      <c r="F42" s="1">
        <v>1216.8800000000001</v>
      </c>
      <c r="G42" s="1">
        <v>117.163</v>
      </c>
      <c r="H42" s="1">
        <v>1888.06</v>
      </c>
      <c r="I42" s="1">
        <v>448.36099999999999</v>
      </c>
      <c r="J42" s="1">
        <v>527.40099999999995</v>
      </c>
      <c r="K42" s="1">
        <v>5</v>
      </c>
      <c r="L42" s="1">
        <v>0</v>
      </c>
      <c r="M42" s="1">
        <f>C42*$S$18*1000</f>
        <v>5200</v>
      </c>
      <c r="N42" s="1">
        <f>$S$19*C42</f>
        <v>53</v>
      </c>
      <c r="O42" s="4">
        <f t="shared" si="4"/>
        <v>1.4915712154898262E-2</v>
      </c>
      <c r="P42" s="4">
        <f t="shared" si="0"/>
        <v>1325</v>
      </c>
      <c r="Q42" s="4"/>
      <c r="R42" s="65" t="s">
        <v>251</v>
      </c>
      <c r="S42" s="1" t="s">
        <v>252</v>
      </c>
      <c r="T42" s="30"/>
      <c r="U42" s="4"/>
      <c r="V42" s="1">
        <f t="shared" si="5"/>
        <v>561.05540999999994</v>
      </c>
      <c r="W42" s="1">
        <f t="shared" si="6"/>
        <v>-4638.9445900000001</v>
      </c>
      <c r="X42" s="1">
        <f t="shared" si="22"/>
        <v>14026.385249999999</v>
      </c>
      <c r="Y42" s="1">
        <f t="shared" si="7"/>
        <v>8826.3852499999994</v>
      </c>
      <c r="Z42" s="1">
        <f t="shared" si="23"/>
        <v>0.22808252801175949</v>
      </c>
      <c r="AA42" s="1">
        <f t="shared" si="24"/>
        <v>0.41157263720133941</v>
      </c>
      <c r="AB42" s="1"/>
      <c r="AC42" s="1"/>
      <c r="AD42" s="1">
        <f t="shared" si="30"/>
        <v>4</v>
      </c>
      <c r="AE42">
        <f t="shared" si="31"/>
        <v>4685.0797199999997</v>
      </c>
      <c r="AF42">
        <f t="shared" si="32"/>
        <v>2790.3188799999989</v>
      </c>
      <c r="AG42">
        <f t="shared" si="25"/>
        <v>3697.0510672808928</v>
      </c>
      <c r="AH42">
        <f t="shared" si="27"/>
        <v>247.19102818208921</v>
      </c>
      <c r="AI42">
        <f t="shared" si="28"/>
        <v>5171.4513885417646</v>
      </c>
      <c r="AJ42">
        <f t="shared" si="26"/>
        <v>4080.8526253635632</v>
      </c>
      <c r="AK42">
        <f t="shared" si="29"/>
        <v>1253.6881111763164</v>
      </c>
      <c r="AW42">
        <f t="shared" si="11"/>
        <v>2.412672475031981E-3</v>
      </c>
      <c r="AX42">
        <f t="shared" si="12"/>
        <v>802.26221003125545</v>
      </c>
      <c r="AY42">
        <f t="shared" si="18"/>
        <v>882.48843103438105</v>
      </c>
      <c r="AZ42">
        <f t="shared" si="13"/>
        <v>80.226221003125602</v>
      </c>
    </row>
    <row r="43" spans="1:53" ht="29" x14ac:dyDescent="0.35">
      <c r="A43" s="1">
        <v>42</v>
      </c>
      <c r="B43" s="62">
        <v>1220.838737866377</v>
      </c>
      <c r="C43" s="62">
        <v>2</v>
      </c>
      <c r="D43" s="62">
        <v>3553.3</v>
      </c>
      <c r="E43" s="62">
        <v>1220.8399999999999</v>
      </c>
      <c r="F43" s="62">
        <v>1565.05</v>
      </c>
      <c r="G43" s="62">
        <v>159.86699999999999</v>
      </c>
      <c r="H43" s="62">
        <v>1546.75</v>
      </c>
      <c r="I43" s="62">
        <v>497.50700000000001</v>
      </c>
      <c r="J43" s="62">
        <v>659.64099999999996</v>
      </c>
      <c r="K43" s="62">
        <v>5</v>
      </c>
      <c r="L43" s="62">
        <v>2</v>
      </c>
      <c r="M43" s="62">
        <f>(C43*$S$18*1000)+S30</f>
        <v>8600</v>
      </c>
      <c r="N43" s="62">
        <f>$S$38*C43</f>
        <v>71.2</v>
      </c>
      <c r="O43" s="56">
        <f t="shared" si="4"/>
        <v>2.0037711423184081E-2</v>
      </c>
      <c r="P43" s="56">
        <f t="shared" si="0"/>
        <v>1780</v>
      </c>
      <c r="Q43" s="56"/>
      <c r="R43" s="65" t="s">
        <v>262</v>
      </c>
      <c r="S43" s="1">
        <v>7.0000000000000007E-2</v>
      </c>
      <c r="T43" s="30"/>
      <c r="U43" s="56"/>
      <c r="V43" s="1">
        <f t="shared" si="5"/>
        <v>578.97118999999998</v>
      </c>
      <c r="W43" s="1">
        <f t="shared" si="6"/>
        <v>-8021.0288099999998</v>
      </c>
      <c r="X43" s="1">
        <f t="shared" si="22"/>
        <v>14474.27975</v>
      </c>
      <c r="Y43" s="1">
        <f t="shared" si="7"/>
        <v>5874.2797499999997</v>
      </c>
      <c r="Z43" s="1">
        <f t="shared" si="23"/>
        <v>0.30181120806140382</v>
      </c>
      <c r="AA43" s="1">
        <f t="shared" si="24"/>
        <v>0.54435669740996329</v>
      </c>
      <c r="AB43" s="1"/>
      <c r="AC43" s="73" t="s">
        <v>286</v>
      </c>
      <c r="AD43" s="1">
        <f t="shared" si="30"/>
        <v>5</v>
      </c>
      <c r="AE43">
        <f t="shared" si="31"/>
        <v>4685.0797199999997</v>
      </c>
      <c r="AF43">
        <f t="shared" si="32"/>
        <v>7475.3985999999986</v>
      </c>
      <c r="AG43">
        <f t="shared" si="25"/>
        <v>3484.4967646379764</v>
      </c>
      <c r="AH43">
        <f t="shared" si="27"/>
        <v>3731.6877928200656</v>
      </c>
      <c r="AI43">
        <f t="shared" si="28"/>
        <v>5300.7376732553075</v>
      </c>
      <c r="AJ43">
        <f t="shared" si="26"/>
        <v>3942.3882573022161</v>
      </c>
      <c r="AK43">
        <f t="shared" si="29"/>
        <v>5196.0763684785325</v>
      </c>
      <c r="AW43">
        <f t="shared" si="11"/>
        <v>3.018651199769655E-3</v>
      </c>
      <c r="AX43">
        <f t="shared" si="12"/>
        <v>1003.7623456572169</v>
      </c>
      <c r="AY43">
        <f t="shared" si="18"/>
        <v>1104.1385802229386</v>
      </c>
      <c r="AZ43">
        <f t="shared" si="13"/>
        <v>100.37623456572169</v>
      </c>
    </row>
    <row r="44" spans="1:53" x14ac:dyDescent="0.35">
      <c r="A44" s="1">
        <v>43</v>
      </c>
      <c r="B44" s="62">
        <v>3438.0361146713012</v>
      </c>
      <c r="C44" s="62">
        <v>10</v>
      </c>
      <c r="D44" s="62">
        <v>17766.5</v>
      </c>
      <c r="E44" s="62">
        <v>3438.04</v>
      </c>
      <c r="F44" s="62">
        <v>8491</v>
      </c>
      <c r="G44" s="62">
        <v>881.13699999999994</v>
      </c>
      <c r="H44" s="62">
        <v>7948</v>
      </c>
      <c r="I44" s="62">
        <v>1634.71</v>
      </c>
      <c r="J44" s="62">
        <v>1636.63</v>
      </c>
      <c r="K44" s="62">
        <v>25</v>
      </c>
      <c r="L44" s="62">
        <v>9.6999999999999993</v>
      </c>
      <c r="M44" s="62">
        <f>(C44*$S$18*1000)+S35</f>
        <v>34000</v>
      </c>
      <c r="N44" s="62">
        <f>$S$38*C44</f>
        <v>356</v>
      </c>
      <c r="O44" s="56">
        <f t="shared" si="4"/>
        <v>2.0037711423184081E-2</v>
      </c>
      <c r="P44" s="56">
        <f t="shared" si="0"/>
        <v>8900</v>
      </c>
      <c r="Q44" s="56"/>
      <c r="R44" s="65" t="s">
        <v>263</v>
      </c>
      <c r="S44" s="1">
        <v>2.5000000000000001E-2</v>
      </c>
      <c r="T44" s="46"/>
      <c r="U44" s="56"/>
      <c r="V44" s="1">
        <f t="shared" si="5"/>
        <v>2620.1347000000005</v>
      </c>
      <c r="W44" s="1">
        <f t="shared" si="6"/>
        <v>-31379.865299999998</v>
      </c>
      <c r="X44" s="1">
        <f t="shared" si="22"/>
        <v>65503.367500000015</v>
      </c>
      <c r="Y44" s="1">
        <f t="shared" si="7"/>
        <v>31503.367500000015</v>
      </c>
      <c r="Z44" s="1">
        <f t="shared" si="23"/>
        <v>0.41561238098421771</v>
      </c>
      <c r="AA44" s="1">
        <f t="shared" si="24"/>
        <v>0.75611584545931365</v>
      </c>
      <c r="AB44" s="1"/>
      <c r="AC44" s="1">
        <f>SUM(V47:V100)</f>
        <v>4685.0797199999997</v>
      </c>
      <c r="AD44" s="1">
        <f t="shared" si="30"/>
        <v>6</v>
      </c>
      <c r="AE44">
        <f t="shared" si="31"/>
        <v>4685.0797199999997</v>
      </c>
      <c r="AF44">
        <f t="shared" si="32"/>
        <v>12160.478319999998</v>
      </c>
      <c r="AG44">
        <f t="shared" si="25"/>
        <v>3284.1628318925318</v>
      </c>
      <c r="AH44">
        <f t="shared" si="27"/>
        <v>7015.850624712597</v>
      </c>
      <c r="AI44">
        <f t="shared" si="28"/>
        <v>5433.2561150866904</v>
      </c>
      <c r="AJ44">
        <f t="shared" si="26"/>
        <v>3808.6220204851757</v>
      </c>
      <c r="AK44">
        <f t="shared" si="29"/>
        <v>9004.6983889637086</v>
      </c>
      <c r="AW44">
        <f t="shared" si="11"/>
        <v>8.5009031254542674E-3</v>
      </c>
      <c r="AX44">
        <f t="shared" si="12"/>
        <v>2826.7215708995668</v>
      </c>
      <c r="AY44">
        <f t="shared" si="18"/>
        <v>3109.3937279895235</v>
      </c>
      <c r="AZ44">
        <f t="shared" si="13"/>
        <v>282.67215708995673</v>
      </c>
    </row>
    <row r="45" spans="1:53" x14ac:dyDescent="0.35">
      <c r="A45" s="1">
        <v>44</v>
      </c>
      <c r="B45" s="1">
        <v>1279.200878938675</v>
      </c>
      <c r="C45" s="1">
        <v>2</v>
      </c>
      <c r="D45" s="1">
        <v>3553.3</v>
      </c>
      <c r="E45" s="1">
        <v>1279.2</v>
      </c>
      <c r="F45" s="1">
        <v>1135.29</v>
      </c>
      <c r="G45" s="1">
        <v>107.304</v>
      </c>
      <c r="H45" s="1">
        <v>1864.24</v>
      </c>
      <c r="I45" s="1">
        <v>553.76199999999994</v>
      </c>
      <c r="J45" s="1">
        <v>725.43899999999996</v>
      </c>
      <c r="K45" s="1">
        <v>5</v>
      </c>
      <c r="L45" s="1">
        <v>0</v>
      </c>
      <c r="M45" s="1">
        <f>C45*$S$18*1000</f>
        <v>5200</v>
      </c>
      <c r="N45" s="1">
        <f>$S$19*C45</f>
        <v>53</v>
      </c>
      <c r="O45" s="4">
        <f t="shared" si="4"/>
        <v>1.4915712154898262E-2</v>
      </c>
      <c r="P45" s="4">
        <f t="shared" si="0"/>
        <v>1325</v>
      </c>
      <c r="Q45" s="4"/>
      <c r="R45" s="63"/>
      <c r="S45" s="4"/>
      <c r="T45" s="30"/>
      <c r="U45" s="4"/>
      <c r="V45" s="1">
        <f t="shared" si="5"/>
        <v>594.53735500000005</v>
      </c>
      <c r="W45" s="1">
        <f t="shared" si="6"/>
        <v>-4605.4626449999996</v>
      </c>
      <c r="X45" s="1">
        <f t="shared" si="22"/>
        <v>14863.433875000001</v>
      </c>
      <c r="Y45" s="1">
        <f>X45-M45</f>
        <v>9663.4338750000006</v>
      </c>
      <c r="Z45" s="1">
        <f t="shared" si="23"/>
        <v>0.17751722644761284</v>
      </c>
      <c r="AA45" s="1">
        <f t="shared" si="24"/>
        <v>0.31748164582513722</v>
      </c>
      <c r="AB45" s="1"/>
      <c r="AC45" s="1"/>
      <c r="AD45" s="1">
        <f t="shared" si="30"/>
        <v>7</v>
      </c>
      <c r="AE45">
        <f t="shared" si="31"/>
        <v>4685.0797199999997</v>
      </c>
      <c r="AF45">
        <f t="shared" si="32"/>
        <v>16845.558039999996</v>
      </c>
      <c r="AG45">
        <f t="shared" si="25"/>
        <v>3095.3466841588429</v>
      </c>
      <c r="AH45">
        <f t="shared" si="27"/>
        <v>10111.19730887144</v>
      </c>
      <c r="AI45">
        <f t="shared" si="28"/>
        <v>5569.0875179638579</v>
      </c>
      <c r="AJ45">
        <f t="shared" si="26"/>
        <v>3679.3945061237569</v>
      </c>
      <c r="AK45">
        <f t="shared" si="29"/>
        <v>12684.092895087466</v>
      </c>
      <c r="AW45">
        <f t="shared" si="11"/>
        <v>3.1629576848971781E-3</v>
      </c>
      <c r="AX45">
        <f t="shared" si="12"/>
        <v>1051.7471595423731</v>
      </c>
      <c r="AY45">
        <f t="shared" si="18"/>
        <v>1156.9218754966105</v>
      </c>
      <c r="AZ45">
        <f t="shared" si="13"/>
        <v>105.1747159542374</v>
      </c>
    </row>
    <row r="46" spans="1:53" x14ac:dyDescent="0.35">
      <c r="A46" s="62">
        <v>45</v>
      </c>
      <c r="B46" s="62">
        <v>3266.9511427123548</v>
      </c>
      <c r="C46" s="62">
        <v>2</v>
      </c>
      <c r="D46" s="62">
        <v>3553.3</v>
      </c>
      <c r="E46" s="62">
        <v>3266.95</v>
      </c>
      <c r="F46" s="62">
        <v>1185.51</v>
      </c>
      <c r="G46" s="62">
        <v>112.761</v>
      </c>
      <c r="H46" s="62">
        <v>1014.2</v>
      </c>
      <c r="I46" s="62">
        <v>1335.02</v>
      </c>
      <c r="J46" s="62">
        <v>888.14800000000002</v>
      </c>
      <c r="K46" s="62">
        <v>5</v>
      </c>
      <c r="L46" s="62">
        <v>4.2</v>
      </c>
      <c r="M46" s="62">
        <f>(C46*$S$18*1000)+S32</f>
        <v>9904</v>
      </c>
      <c r="N46" s="62">
        <f>$S$38*C46</f>
        <v>71.2</v>
      </c>
      <c r="O46" s="56">
        <f t="shared" si="4"/>
        <v>2.0037711423184081E-2</v>
      </c>
      <c r="P46" s="56">
        <f t="shared" si="0"/>
        <v>1780</v>
      </c>
      <c r="Q46" s="4"/>
      <c r="R46" s="63"/>
      <c r="S46" s="4"/>
      <c r="T46" s="30"/>
      <c r="U46" s="56"/>
      <c r="V46" s="1">
        <f t="shared" si="5"/>
        <v>614.55304000000001</v>
      </c>
      <c r="W46" s="1">
        <f t="shared" si="6"/>
        <v>-9289.4469599999993</v>
      </c>
      <c r="X46" s="1">
        <f t="shared" si="22"/>
        <v>15363.826000000001</v>
      </c>
      <c r="Y46" s="1">
        <f t="shared" si="7"/>
        <v>5459.8260000000009</v>
      </c>
      <c r="Z46" s="1">
        <f t="shared" si="23"/>
        <v>0.14130062069065846</v>
      </c>
      <c r="AA46" s="1">
        <f t="shared" si="24"/>
        <v>0.24568152243981223</v>
      </c>
      <c r="AB46" s="1"/>
      <c r="AC46" s="1"/>
      <c r="AD46" s="1">
        <f t="shared" si="30"/>
        <v>8</v>
      </c>
      <c r="AE46">
        <f t="shared" si="31"/>
        <v>4685.0797199999997</v>
      </c>
      <c r="AF46">
        <f t="shared" si="32"/>
        <v>21530.637759999998</v>
      </c>
      <c r="AG46">
        <f t="shared" si="25"/>
        <v>2917.3861302156861</v>
      </c>
      <c r="AH46">
        <f t="shared" si="27"/>
        <v>13028.583439087126</v>
      </c>
      <c r="AI46">
        <f t="shared" si="28"/>
        <v>5708.3147059129533</v>
      </c>
      <c r="AJ46">
        <f t="shared" si="26"/>
        <v>3554.551714210038</v>
      </c>
      <c r="AK46">
        <f t="shared" si="29"/>
        <v>16238.644609297504</v>
      </c>
      <c r="AW46" s="79">
        <f t="shared" si="11"/>
        <v>8.0778776759432135E-3</v>
      </c>
      <c r="AX46" s="79">
        <f t="shared" si="12"/>
        <v>2686.0570855471965</v>
      </c>
      <c r="AY46" s="79">
        <f t="shared" si="18"/>
        <v>2954.6627941019165</v>
      </c>
      <c r="AZ46" s="79">
        <f t="shared" si="13"/>
        <v>268.60570855471997</v>
      </c>
    </row>
    <row r="47" spans="1:53" x14ac:dyDescent="0.35">
      <c r="A47" s="70">
        <v>46</v>
      </c>
      <c r="B47" s="70">
        <v>1763.99702425654</v>
      </c>
      <c r="C47" s="70">
        <v>0</v>
      </c>
      <c r="D47" s="70"/>
      <c r="E47" s="70">
        <v>1764</v>
      </c>
      <c r="F47" s="70"/>
      <c r="G47" s="70"/>
      <c r="H47" s="70"/>
      <c r="I47" s="70"/>
      <c r="J47" s="70"/>
      <c r="K47" s="70">
        <v>0</v>
      </c>
      <c r="L47" s="70">
        <v>0</v>
      </c>
      <c r="M47" s="71">
        <f t="shared" ref="M47:M78" si="33">$S$18*C47*1000</f>
        <v>0</v>
      </c>
      <c r="N47" s="71">
        <f t="shared" ref="N47:N78" si="34">$S$19*C47</f>
        <v>0</v>
      </c>
      <c r="O47" s="71">
        <f t="shared" ref="O47:O78" si="35">$S$19*D47</f>
        <v>0</v>
      </c>
      <c r="P47" s="71">
        <f t="shared" ref="P47:P78" si="36">$S$19*K47</f>
        <v>0</v>
      </c>
      <c r="Q47" s="71"/>
      <c r="R47" s="50" t="s">
        <v>49</v>
      </c>
      <c r="S47" s="4">
        <v>25</v>
      </c>
      <c r="T47" s="30"/>
      <c r="U47" s="71"/>
      <c r="V47" s="70">
        <v>36.3322</v>
      </c>
      <c r="W47" s="70">
        <f t="shared" si="6"/>
        <v>36.3322</v>
      </c>
      <c r="X47" s="70">
        <f t="shared" si="22"/>
        <v>908.30500000000006</v>
      </c>
      <c r="Y47" s="70">
        <f t="shared" si="7"/>
        <v>908.30500000000006</v>
      </c>
      <c r="Z47" s="70">
        <f t="shared" si="23"/>
        <v>0</v>
      </c>
      <c r="AA47" s="70">
        <f t="shared" si="24"/>
        <v>0</v>
      </c>
      <c r="AB47" s="4"/>
      <c r="AC47" s="1"/>
      <c r="AD47" s="1">
        <f t="shared" si="30"/>
        <v>9</v>
      </c>
      <c r="AE47">
        <f t="shared" si="31"/>
        <v>4685.0797199999997</v>
      </c>
      <c r="AF47">
        <f t="shared" si="32"/>
        <v>26215.717479999999</v>
      </c>
      <c r="AG47">
        <f t="shared" si="25"/>
        <v>2749.6570501561605</v>
      </c>
      <c r="AH47">
        <f t="shared" si="27"/>
        <v>15778.240489243286</v>
      </c>
      <c r="AI47">
        <f t="shared" si="28"/>
        <v>5851.0225735607764</v>
      </c>
      <c r="AJ47">
        <f t="shared" si="26"/>
        <v>3433.9448699955592</v>
      </c>
      <c r="AK47">
        <f t="shared" si="29"/>
        <v>19672.589479293063</v>
      </c>
      <c r="AW47">
        <f t="shared" si="11"/>
        <v>4.3616667529474519E-3</v>
      </c>
      <c r="AX47">
        <f>AW47*$AV$2</f>
        <v>1450.3420770335142</v>
      </c>
      <c r="AY47">
        <f t="shared" ref="AY47:AY78" si="37">AW47*$AV$10</f>
        <v>785.04492867892588</v>
      </c>
      <c r="AZ47">
        <f>AX47-AY47</f>
        <v>665.29714835458833</v>
      </c>
    </row>
    <row r="48" spans="1:53" x14ac:dyDescent="0.35">
      <c r="A48" s="1">
        <v>47</v>
      </c>
      <c r="B48" s="1">
        <v>2322.9032263370332</v>
      </c>
      <c r="C48" s="1">
        <v>0</v>
      </c>
      <c r="D48" s="1"/>
      <c r="E48" s="1">
        <v>2322.9</v>
      </c>
      <c r="F48" s="1"/>
      <c r="G48" s="1"/>
      <c r="H48" s="1"/>
      <c r="I48" s="1"/>
      <c r="J48" s="1"/>
      <c r="K48" s="1">
        <v>0</v>
      </c>
      <c r="L48" s="1">
        <v>0</v>
      </c>
      <c r="M48" s="4">
        <f t="shared" si="33"/>
        <v>0</v>
      </c>
      <c r="N48" s="4">
        <f t="shared" si="34"/>
        <v>0</v>
      </c>
      <c r="O48" s="4">
        <f t="shared" si="35"/>
        <v>0</v>
      </c>
      <c r="P48" s="4">
        <f t="shared" si="36"/>
        <v>0</v>
      </c>
      <c r="Q48" s="4"/>
      <c r="R48" s="65"/>
      <c r="S48" s="4"/>
      <c r="T48" s="46"/>
      <c r="U48" s="4"/>
      <c r="V48" s="1">
        <v>48.805199999999999</v>
      </c>
      <c r="W48" s="1">
        <f>V48-M48</f>
        <v>48.805199999999999</v>
      </c>
      <c r="X48" s="1">
        <f t="shared" si="22"/>
        <v>1220.1299999999999</v>
      </c>
      <c r="Y48" s="1">
        <f t="shared" si="7"/>
        <v>1220.1299999999999</v>
      </c>
      <c r="Z48" s="1">
        <f t="shared" si="23"/>
        <v>0</v>
      </c>
      <c r="AA48" s="1">
        <f t="shared" si="24"/>
        <v>0</v>
      </c>
      <c r="AB48" s="4"/>
      <c r="AC48" s="1"/>
      <c r="AD48" s="1">
        <f t="shared" si="30"/>
        <v>10</v>
      </c>
      <c r="AE48">
        <f t="shared" si="31"/>
        <v>4685.0797199999997</v>
      </c>
      <c r="AF48">
        <f t="shared" si="32"/>
        <v>30900.797200000001</v>
      </c>
      <c r="AG48">
        <f t="shared" si="25"/>
        <v>2591.5712065562302</v>
      </c>
      <c r="AH48">
        <f t="shared" si="27"/>
        <v>18369.811695799515</v>
      </c>
      <c r="AI48">
        <f t="shared" si="28"/>
        <v>5997.2981378997956</v>
      </c>
      <c r="AJ48">
        <f t="shared" si="26"/>
        <v>3317.4302466969348</v>
      </c>
      <c r="AK48">
        <f t="shared" si="29"/>
        <v>22990.019725989998</v>
      </c>
      <c r="AW48">
        <f t="shared" si="11"/>
        <v>5.7436206712983317E-3</v>
      </c>
      <c r="AX48">
        <f t="shared" si="12"/>
        <v>1909.8695993851891</v>
      </c>
      <c r="AY48">
        <f t="shared" si="37"/>
        <v>1033.7791802207696</v>
      </c>
      <c r="AZ48">
        <f t="shared" ref="AZ48:AZ102" si="38">AX48-AY48</f>
        <v>876.09041916441947</v>
      </c>
    </row>
    <row r="49" spans="1:52" x14ac:dyDescent="0.35">
      <c r="A49" s="1">
        <v>48</v>
      </c>
      <c r="B49" s="1">
        <v>1052.7350255677291</v>
      </c>
      <c r="C49" s="1">
        <v>0</v>
      </c>
      <c r="D49" s="1"/>
      <c r="E49" s="1">
        <v>1052.74</v>
      </c>
      <c r="F49" s="1"/>
      <c r="G49" s="1"/>
      <c r="H49" s="1"/>
      <c r="I49" s="1"/>
      <c r="J49" s="1"/>
      <c r="K49" s="1">
        <v>0</v>
      </c>
      <c r="L49" s="1">
        <v>0</v>
      </c>
      <c r="M49" s="4">
        <f t="shared" si="33"/>
        <v>0</v>
      </c>
      <c r="N49" s="4">
        <f t="shared" si="34"/>
        <v>0</v>
      </c>
      <c r="O49" s="4">
        <f t="shared" si="35"/>
        <v>0</v>
      </c>
      <c r="P49" s="4">
        <f t="shared" si="36"/>
        <v>0</v>
      </c>
      <c r="Q49" s="4"/>
      <c r="R49" s="63"/>
      <c r="S49" s="4"/>
      <c r="T49" s="46"/>
      <c r="U49" s="4"/>
      <c r="V49" s="1">
        <v>22.118400000000001</v>
      </c>
      <c r="W49" s="1">
        <f t="shared" si="6"/>
        <v>22.118400000000001</v>
      </c>
      <c r="X49" s="1">
        <f t="shared" si="22"/>
        <v>552.96</v>
      </c>
      <c r="Y49" s="1">
        <f t="shared" si="7"/>
        <v>552.96</v>
      </c>
      <c r="Z49" s="1">
        <f t="shared" si="23"/>
        <v>0</v>
      </c>
      <c r="AA49" s="1">
        <f t="shared" si="24"/>
        <v>0</v>
      </c>
      <c r="AB49" s="4"/>
      <c r="AC49" s="1"/>
      <c r="AD49" s="1">
        <f t="shared" si="30"/>
        <v>11</v>
      </c>
      <c r="AE49">
        <f t="shared" si="31"/>
        <v>4685.0797199999997</v>
      </c>
      <c r="AF49">
        <f t="shared" si="32"/>
        <v>35585.876920000002</v>
      </c>
      <c r="AG49">
        <f t="shared" si="25"/>
        <v>2442.5741814856087</v>
      </c>
      <c r="AH49">
        <f t="shared" si="27"/>
        <v>20812.385877285124</v>
      </c>
      <c r="AI49">
        <f t="shared" si="28"/>
        <v>6147.230591347291</v>
      </c>
      <c r="AJ49">
        <f t="shared" si="26"/>
        <v>3204.8689942171154</v>
      </c>
      <c r="AK49">
        <f t="shared" si="29"/>
        <v>26194.888720207113</v>
      </c>
      <c r="AW49">
        <f t="shared" si="11"/>
        <v>2.602997225926316E-3</v>
      </c>
      <c r="AX49">
        <f t="shared" si="12"/>
        <v>865.54902448961377</v>
      </c>
      <c r="AY49">
        <f t="shared" si="37"/>
        <v>468.50662540824925</v>
      </c>
      <c r="AZ49">
        <f t="shared" si="38"/>
        <v>397.04239908136452</v>
      </c>
    </row>
    <row r="50" spans="1:52" x14ac:dyDescent="0.35">
      <c r="A50" s="1">
        <v>49</v>
      </c>
      <c r="B50" s="1">
        <v>2650.8063291642311</v>
      </c>
      <c r="C50" s="1">
        <v>0</v>
      </c>
      <c r="D50" s="1"/>
      <c r="E50" s="1">
        <v>2650.81</v>
      </c>
      <c r="F50" s="1"/>
      <c r="G50" s="1"/>
      <c r="H50" s="1"/>
      <c r="I50" s="1"/>
      <c r="J50" s="1"/>
      <c r="K50" s="1">
        <v>0</v>
      </c>
      <c r="L50" s="1">
        <v>0</v>
      </c>
      <c r="M50" s="4">
        <f t="shared" si="33"/>
        <v>0</v>
      </c>
      <c r="N50" s="4">
        <f t="shared" si="34"/>
        <v>0</v>
      </c>
      <c r="O50" s="4">
        <f t="shared" si="35"/>
        <v>0</v>
      </c>
      <c r="P50" s="4">
        <f t="shared" si="36"/>
        <v>0</v>
      </c>
      <c r="Q50" s="4"/>
      <c r="R50" s="50" t="s">
        <v>280</v>
      </c>
      <c r="S50" s="1">
        <f>1+((1-(1+$S$20)^(1-$S$47))/$S$20)</f>
        <v>13.43521330378282</v>
      </c>
      <c r="T50" s="46"/>
      <c r="U50" s="4"/>
      <c r="V50" s="4">
        <v>53.152200000000001</v>
      </c>
      <c r="W50" s="1">
        <f t="shared" si="6"/>
        <v>53.152200000000001</v>
      </c>
      <c r="X50" s="1">
        <f t="shared" si="22"/>
        <v>1328.8050000000001</v>
      </c>
      <c r="Y50" s="1">
        <f t="shared" si="7"/>
        <v>1328.8050000000001</v>
      </c>
      <c r="Z50" s="1">
        <f t="shared" si="23"/>
        <v>0</v>
      </c>
      <c r="AA50" s="1">
        <f t="shared" si="24"/>
        <v>0</v>
      </c>
      <c r="AB50" s="4"/>
      <c r="AC50" s="1"/>
      <c r="AD50" s="1">
        <f t="shared" si="30"/>
        <v>12</v>
      </c>
      <c r="AE50">
        <f t="shared" si="31"/>
        <v>4685.0797199999997</v>
      </c>
      <c r="AF50">
        <f t="shared" si="32"/>
        <v>40270.956640000004</v>
      </c>
      <c r="AG50">
        <f t="shared" si="25"/>
        <v>2302.1434321259271</v>
      </c>
      <c r="AH50">
        <f t="shared" si="27"/>
        <v>23114.529309411049</v>
      </c>
      <c r="AI50">
        <f t="shared" si="28"/>
        <v>6300.9113561309723</v>
      </c>
      <c r="AJ50">
        <f t="shared" si="26"/>
        <v>3096.1269736781742</v>
      </c>
      <c r="AK50">
        <f t="shared" si="29"/>
        <v>29291.015693885289</v>
      </c>
      <c r="AW50">
        <f t="shared" si="11"/>
        <v>6.554395316676476E-3</v>
      </c>
      <c r="AX50">
        <f t="shared" si="12"/>
        <v>2179.4685049845725</v>
      </c>
      <c r="AY50">
        <f t="shared" si="37"/>
        <v>1179.7083764908532</v>
      </c>
      <c r="AZ50">
        <f t="shared" si="38"/>
        <v>999.76012849371932</v>
      </c>
    </row>
    <row r="51" spans="1:52" x14ac:dyDescent="0.35">
      <c r="A51" s="1">
        <v>50</v>
      </c>
      <c r="B51" s="1">
        <v>2336.365059758562</v>
      </c>
      <c r="C51" s="1">
        <v>0</v>
      </c>
      <c r="D51" s="1"/>
      <c r="E51" s="1">
        <v>2336.37</v>
      </c>
      <c r="F51" s="1"/>
      <c r="G51" s="1"/>
      <c r="H51" s="1"/>
      <c r="I51" s="1"/>
      <c r="J51" s="1"/>
      <c r="K51" s="1">
        <v>0</v>
      </c>
      <c r="L51" s="1">
        <v>0</v>
      </c>
      <c r="M51" s="4">
        <f t="shared" si="33"/>
        <v>0</v>
      </c>
      <c r="N51" s="4">
        <f t="shared" si="34"/>
        <v>0</v>
      </c>
      <c r="O51" s="4">
        <f t="shared" si="35"/>
        <v>0</v>
      </c>
      <c r="P51" s="4">
        <f t="shared" si="36"/>
        <v>0</v>
      </c>
      <c r="Q51" s="4"/>
      <c r="R51" s="63"/>
      <c r="S51" s="4"/>
      <c r="T51" s="46"/>
      <c r="U51" s="4"/>
      <c r="V51" s="4">
        <v>49.088000000000001</v>
      </c>
      <c r="W51" s="1">
        <f t="shared" si="6"/>
        <v>49.088000000000001</v>
      </c>
      <c r="X51" s="1">
        <f t="shared" si="22"/>
        <v>1227.2</v>
      </c>
      <c r="Y51" s="1">
        <f t="shared" si="7"/>
        <v>1227.2</v>
      </c>
      <c r="Z51" s="1">
        <f t="shared" si="23"/>
        <v>0</v>
      </c>
      <c r="AA51" s="1">
        <f t="shared" si="24"/>
        <v>0</v>
      </c>
      <c r="AB51" s="4"/>
      <c r="AC51" s="1"/>
      <c r="AD51" s="1">
        <f t="shared" si="30"/>
        <v>13</v>
      </c>
      <c r="AE51">
        <f t="shared" si="31"/>
        <v>4685.0797199999997</v>
      </c>
      <c r="AF51">
        <f t="shared" si="32"/>
        <v>44956.036360000006</v>
      </c>
      <c r="AG51">
        <f t="shared" si="25"/>
        <v>2169.7864581771223</v>
      </c>
      <c r="AH51">
        <f t="shared" si="27"/>
        <v>25284.31576758817</v>
      </c>
      <c r="AI51">
        <f t="shared" si="28"/>
        <v>6458.4341400342464</v>
      </c>
      <c r="AJ51">
        <f t="shared" si="26"/>
        <v>2991.0745975684522</v>
      </c>
      <c r="AK51">
        <f t="shared" si="29"/>
        <v>32282.09029145374</v>
      </c>
      <c r="AW51">
        <f t="shared" si="11"/>
        <v>5.7769064594606701E-3</v>
      </c>
      <c r="AX51">
        <f t="shared" si="12"/>
        <v>1920.9377946127224</v>
      </c>
      <c r="AY51">
        <f t="shared" si="37"/>
        <v>1039.7702016981136</v>
      </c>
      <c r="AZ51">
        <f t="shared" si="38"/>
        <v>881.1675929146088</v>
      </c>
    </row>
    <row r="52" spans="1:52" x14ac:dyDescent="0.35">
      <c r="A52" s="1">
        <v>51</v>
      </c>
      <c r="B52" s="1">
        <v>586.05584352134008</v>
      </c>
      <c r="C52" s="1">
        <v>0</v>
      </c>
      <c r="D52" s="1"/>
      <c r="E52" s="1">
        <v>586.05600000000004</v>
      </c>
      <c r="F52" s="1"/>
      <c r="G52" s="1"/>
      <c r="H52" s="1"/>
      <c r="I52" s="1"/>
      <c r="J52" s="1"/>
      <c r="K52" s="1">
        <v>0</v>
      </c>
      <c r="L52" s="1">
        <v>0</v>
      </c>
      <c r="M52" s="4">
        <f t="shared" si="33"/>
        <v>0</v>
      </c>
      <c r="N52" s="4">
        <f t="shared" si="34"/>
        <v>0</v>
      </c>
      <c r="O52" s="4">
        <f t="shared" si="35"/>
        <v>0</v>
      </c>
      <c r="P52" s="4">
        <f t="shared" si="36"/>
        <v>0</v>
      </c>
      <c r="Q52" s="4"/>
      <c r="R52" s="63"/>
      <c r="S52" s="4"/>
      <c r="T52" s="46"/>
      <c r="U52" s="4"/>
      <c r="V52" s="4">
        <v>11.751200000000001</v>
      </c>
      <c r="W52" s="1">
        <f t="shared" si="6"/>
        <v>11.751200000000001</v>
      </c>
      <c r="X52" s="1">
        <f t="shared" si="22"/>
        <v>293.78000000000003</v>
      </c>
      <c r="Y52" s="1">
        <f t="shared" si="7"/>
        <v>293.78000000000003</v>
      </c>
      <c r="Z52" s="1">
        <f t="shared" si="23"/>
        <v>0</v>
      </c>
      <c r="AA52" s="1">
        <f t="shared" si="24"/>
        <v>0</v>
      </c>
      <c r="AB52" s="4"/>
      <c r="AC52" s="1"/>
      <c r="AD52" s="1">
        <f t="shared" si="30"/>
        <v>14</v>
      </c>
      <c r="AE52">
        <f t="shared" si="31"/>
        <v>4685.0797199999997</v>
      </c>
      <c r="AF52">
        <f t="shared" si="32"/>
        <v>49641.116080000007</v>
      </c>
      <c r="AG52">
        <f t="shared" si="25"/>
        <v>2045.0390746249975</v>
      </c>
      <c r="AH52">
        <f t="shared" si="27"/>
        <v>27329.354842213168</v>
      </c>
      <c r="AI52">
        <f t="shared" si="28"/>
        <v>6619.894993535102</v>
      </c>
      <c r="AJ52">
        <f t="shared" si="26"/>
        <v>2889.5866753135379</v>
      </c>
      <c r="AK52">
        <f t="shared" si="29"/>
        <v>35171.676966767278</v>
      </c>
      <c r="AW52">
        <f t="shared" si="11"/>
        <v>1.4490842404538294E-3</v>
      </c>
      <c r="AX52">
        <f t="shared" si="12"/>
        <v>481.84970703598805</v>
      </c>
      <c r="AY52">
        <f t="shared" si="37"/>
        <v>260.81686167978944</v>
      </c>
      <c r="AZ52">
        <f t="shared" si="38"/>
        <v>221.03284535619861</v>
      </c>
    </row>
    <row r="53" spans="1:52" ht="15" thickBot="1" x14ac:dyDescent="0.4">
      <c r="A53" s="1">
        <v>52</v>
      </c>
      <c r="B53" s="1">
        <v>5329.6971333659421</v>
      </c>
      <c r="C53" s="1">
        <v>0</v>
      </c>
      <c r="D53" s="1"/>
      <c r="E53" s="1">
        <v>5329.7</v>
      </c>
      <c r="F53" s="1"/>
      <c r="G53" s="1"/>
      <c r="H53" s="1"/>
      <c r="I53" s="1"/>
      <c r="J53" s="1"/>
      <c r="K53" s="1">
        <v>0</v>
      </c>
      <c r="L53" s="1">
        <v>0</v>
      </c>
      <c r="M53" s="4">
        <f t="shared" si="33"/>
        <v>0</v>
      </c>
      <c r="N53" s="4">
        <f t="shared" si="34"/>
        <v>0</v>
      </c>
      <c r="O53" s="4">
        <f t="shared" si="35"/>
        <v>0</v>
      </c>
      <c r="P53" s="4">
        <f t="shared" si="36"/>
        <v>0</v>
      </c>
      <c r="Q53" s="4"/>
      <c r="R53" s="66"/>
      <c r="S53" s="52"/>
      <c r="T53" s="53"/>
      <c r="U53" s="4"/>
      <c r="V53" s="4">
        <v>110.047</v>
      </c>
      <c r="W53" s="1">
        <f t="shared" si="6"/>
        <v>110.047</v>
      </c>
      <c r="X53" s="1">
        <f t="shared" si="22"/>
        <v>2751.1749999999997</v>
      </c>
      <c r="Y53" s="1">
        <f t="shared" si="7"/>
        <v>2751.1749999999997</v>
      </c>
      <c r="Z53" s="1">
        <f t="shared" si="23"/>
        <v>0</v>
      </c>
      <c r="AA53" s="1">
        <f t="shared" si="24"/>
        <v>0</v>
      </c>
      <c r="AB53" s="4"/>
      <c r="AC53" s="1"/>
      <c r="AD53" s="1">
        <f t="shared" si="30"/>
        <v>15</v>
      </c>
      <c r="AE53">
        <f t="shared" si="31"/>
        <v>4685.0797199999997</v>
      </c>
      <c r="AF53">
        <f t="shared" si="32"/>
        <v>54326.195800000009</v>
      </c>
      <c r="AG53">
        <f t="shared" si="25"/>
        <v>1927.4637838124388</v>
      </c>
      <c r="AH53">
        <f t="shared" si="27"/>
        <v>29256.818626025608</v>
      </c>
      <c r="AI53">
        <f t="shared" si="28"/>
        <v>6785.3923683734802</v>
      </c>
      <c r="AJ53">
        <f t="shared" si="26"/>
        <v>2791.5422640870656</v>
      </c>
      <c r="AK53">
        <f t="shared" si="29"/>
        <v>37963.219230854345</v>
      </c>
      <c r="AW53">
        <f t="shared" si="11"/>
        <v>1.3178232429093275E-2</v>
      </c>
      <c r="AX53">
        <f t="shared" si="12"/>
        <v>4382.0278062109483</v>
      </c>
      <c r="AY53">
        <f t="shared" si="37"/>
        <v>2371.9153991809967</v>
      </c>
      <c r="AZ53">
        <f t="shared" si="38"/>
        <v>2010.1124070299516</v>
      </c>
    </row>
    <row r="54" spans="1:52" x14ac:dyDescent="0.35">
      <c r="A54" s="1">
        <v>53</v>
      </c>
      <c r="B54" s="1">
        <v>5328.3833046167756</v>
      </c>
      <c r="C54" s="1">
        <v>0</v>
      </c>
      <c r="D54" s="1"/>
      <c r="E54" s="1">
        <v>5328.38</v>
      </c>
      <c r="F54" s="1"/>
      <c r="G54" s="1"/>
      <c r="H54" s="1"/>
      <c r="I54" s="1"/>
      <c r="J54" s="1"/>
      <c r="K54" s="1">
        <v>0</v>
      </c>
      <c r="L54" s="1">
        <v>0</v>
      </c>
      <c r="M54" s="4">
        <f t="shared" si="33"/>
        <v>0</v>
      </c>
      <c r="N54" s="4">
        <f t="shared" si="34"/>
        <v>0</v>
      </c>
      <c r="O54" s="4">
        <f t="shared" si="35"/>
        <v>0</v>
      </c>
      <c r="P54" s="4">
        <f t="shared" si="36"/>
        <v>0</v>
      </c>
      <c r="Q54" s="4"/>
      <c r="R54" s="4"/>
      <c r="S54" s="4"/>
      <c r="T54" s="4"/>
      <c r="U54" s="4"/>
      <c r="V54" s="4">
        <v>104.018</v>
      </c>
      <c r="W54" s="1">
        <f t="shared" si="6"/>
        <v>104.018</v>
      </c>
      <c r="X54" s="1">
        <f t="shared" si="22"/>
        <v>2600.4499999999998</v>
      </c>
      <c r="Y54" s="1">
        <f t="shared" si="7"/>
        <v>2600.4499999999998</v>
      </c>
      <c r="Z54" s="1">
        <f t="shared" si="23"/>
        <v>0</v>
      </c>
      <c r="AA54" s="1">
        <f t="shared" si="24"/>
        <v>0</v>
      </c>
      <c r="AB54" s="4"/>
      <c r="AC54" s="1"/>
      <c r="AD54" s="1">
        <f t="shared" si="30"/>
        <v>16</v>
      </c>
      <c r="AE54">
        <f t="shared" si="31"/>
        <v>4685.0797199999997</v>
      </c>
      <c r="AF54">
        <f t="shared" si="32"/>
        <v>59011.27552000001</v>
      </c>
      <c r="AG54">
        <f t="shared" si="25"/>
        <v>1816.648241105032</v>
      </c>
      <c r="AH54">
        <f t="shared" si="27"/>
        <v>31073.466867130639</v>
      </c>
      <c r="AI54">
        <f t="shared" si="28"/>
        <v>6955.0271775828169</v>
      </c>
      <c r="AJ54">
        <f t="shared" si="26"/>
        <v>2696.8245246835459</v>
      </c>
      <c r="AK54">
        <f t="shared" si="29"/>
        <v>40660.043755537889</v>
      </c>
      <c r="AW54">
        <f t="shared" si="11"/>
        <v>1.3174983850385086E-2</v>
      </c>
      <c r="AX54">
        <f t="shared" si="12"/>
        <v>4380.9475883360137</v>
      </c>
      <c r="AY54">
        <f t="shared" si="37"/>
        <v>2371.3306960423279</v>
      </c>
      <c r="AZ54">
        <f t="shared" si="38"/>
        <v>2009.6168922936859</v>
      </c>
    </row>
    <row r="55" spans="1:52" x14ac:dyDescent="0.35">
      <c r="A55" s="1">
        <v>54</v>
      </c>
      <c r="B55" s="1">
        <v>1132.850191183687</v>
      </c>
      <c r="C55" s="1">
        <v>0</v>
      </c>
      <c r="D55" s="1"/>
      <c r="E55" s="1">
        <v>1132.8499999999999</v>
      </c>
      <c r="F55" s="1"/>
      <c r="G55" s="1"/>
      <c r="H55" s="1"/>
      <c r="I55" s="1"/>
      <c r="J55" s="1"/>
      <c r="K55" s="1">
        <v>0</v>
      </c>
      <c r="L55" s="1">
        <v>0</v>
      </c>
      <c r="M55" s="4">
        <f t="shared" si="33"/>
        <v>0</v>
      </c>
      <c r="N55" s="4">
        <f t="shared" si="34"/>
        <v>0</v>
      </c>
      <c r="O55" s="4">
        <f t="shared" si="35"/>
        <v>0</v>
      </c>
      <c r="P55" s="4">
        <f t="shared" si="36"/>
        <v>0</v>
      </c>
      <c r="Q55" s="4"/>
      <c r="R55" s="4"/>
      <c r="S55" s="4"/>
      <c r="T55" s="4"/>
      <c r="U55" s="4"/>
      <c r="V55" s="4">
        <v>23.8017</v>
      </c>
      <c r="W55" s="1">
        <f t="shared" si="6"/>
        <v>23.8017</v>
      </c>
      <c r="X55" s="1">
        <f t="shared" si="22"/>
        <v>595.04250000000002</v>
      </c>
      <c r="Y55" s="1">
        <f t="shared" si="7"/>
        <v>595.04250000000002</v>
      </c>
      <c r="Z55" s="1">
        <f t="shared" si="23"/>
        <v>0</v>
      </c>
      <c r="AA55" s="1">
        <f t="shared" si="24"/>
        <v>0</v>
      </c>
      <c r="AB55" s="4"/>
      <c r="AC55" s="1"/>
      <c r="AD55" s="1">
        <f t="shared" si="30"/>
        <v>17</v>
      </c>
      <c r="AE55">
        <f t="shared" si="31"/>
        <v>4685.0797199999997</v>
      </c>
      <c r="AF55">
        <f t="shared" si="32"/>
        <v>63696.355240000012</v>
      </c>
      <c r="AG55">
        <f t="shared" si="25"/>
        <v>1712.2038087700587</v>
      </c>
      <c r="AH55">
        <f t="shared" si="27"/>
        <v>32785.670675900699</v>
      </c>
      <c r="AI55">
        <f t="shared" si="28"/>
        <v>7128.9028570223863</v>
      </c>
      <c r="AJ55">
        <f t="shared" si="26"/>
        <v>2605.3205822814652</v>
      </c>
      <c r="AK55">
        <f t="shared" si="29"/>
        <v>43265.364337819352</v>
      </c>
      <c r="AW55">
        <f t="shared" si="11"/>
        <v>2.8010903346271524E-3</v>
      </c>
      <c r="AX55">
        <f t="shared" si="12"/>
        <v>931.41897444052381</v>
      </c>
      <c r="AY55">
        <f t="shared" si="37"/>
        <v>504.16088310382986</v>
      </c>
      <c r="AZ55">
        <f t="shared" si="38"/>
        <v>427.25809133669395</v>
      </c>
    </row>
    <row r="56" spans="1:52" x14ac:dyDescent="0.35">
      <c r="A56" s="1">
        <v>55</v>
      </c>
      <c r="B56" s="1">
        <v>1734.337401732017</v>
      </c>
      <c r="C56" s="1">
        <v>0</v>
      </c>
      <c r="D56" s="1"/>
      <c r="E56" s="1">
        <v>1734.34</v>
      </c>
      <c r="F56" s="1"/>
      <c r="G56" s="1"/>
      <c r="H56" s="1"/>
      <c r="I56" s="1"/>
      <c r="J56" s="1"/>
      <c r="K56" s="1">
        <v>0</v>
      </c>
      <c r="L56" s="1">
        <v>0</v>
      </c>
      <c r="M56" s="4">
        <f t="shared" si="33"/>
        <v>0</v>
      </c>
      <c r="N56" s="4">
        <f t="shared" si="34"/>
        <v>0</v>
      </c>
      <c r="O56" s="4">
        <f t="shared" si="35"/>
        <v>0</v>
      </c>
      <c r="P56" s="4">
        <f t="shared" si="36"/>
        <v>0</v>
      </c>
      <c r="Q56" s="4"/>
      <c r="R56" s="4"/>
      <c r="S56" s="4"/>
      <c r="T56" s="4"/>
      <c r="U56" s="4"/>
      <c r="V56" s="4">
        <v>36.4392</v>
      </c>
      <c r="W56" s="1">
        <f t="shared" si="6"/>
        <v>36.4392</v>
      </c>
      <c r="X56" s="1">
        <f t="shared" si="22"/>
        <v>910.98</v>
      </c>
      <c r="Y56" s="1">
        <f t="shared" si="7"/>
        <v>910.98</v>
      </c>
      <c r="Z56" s="1">
        <f t="shared" si="23"/>
        <v>0</v>
      </c>
      <c r="AA56" s="1">
        <f t="shared" si="24"/>
        <v>0</v>
      </c>
      <c r="AB56" s="4"/>
      <c r="AC56" s="1"/>
      <c r="AD56" s="1">
        <f>AD55+1</f>
        <v>18</v>
      </c>
      <c r="AE56">
        <f t="shared" si="31"/>
        <v>4685.0797199999997</v>
      </c>
      <c r="AF56">
        <f t="shared" si="32"/>
        <v>68381.434960000013</v>
      </c>
      <c r="AG56">
        <f t="shared" si="25"/>
        <v>1613.7641929972278</v>
      </c>
      <c r="AH56">
        <f t="shared" si="27"/>
        <v>34399.43486889793</v>
      </c>
      <c r="AI56">
        <f t="shared" si="28"/>
        <v>7307.1254284479464</v>
      </c>
      <c r="AJ56">
        <f t="shared" si="26"/>
        <v>2516.9213919307276</v>
      </c>
      <c r="AK56">
        <f t="shared" si="29"/>
        <v>45782.285729750081</v>
      </c>
      <c r="AW56">
        <f t="shared" si="11"/>
        <v>4.2883302406453942E-3</v>
      </c>
      <c r="AX56">
        <f t="shared" si="12"/>
        <v>1425.9562090616696</v>
      </c>
      <c r="AY56">
        <f t="shared" si="37"/>
        <v>771.84528268790086</v>
      </c>
      <c r="AZ56">
        <f t="shared" si="38"/>
        <v>654.11092637376873</v>
      </c>
    </row>
    <row r="57" spans="1:52" x14ac:dyDescent="0.35">
      <c r="A57" s="1">
        <v>56</v>
      </c>
      <c r="B57" s="1">
        <v>1696.5437943175671</v>
      </c>
      <c r="C57" s="1">
        <v>0</v>
      </c>
      <c r="D57" s="1"/>
      <c r="E57" s="1">
        <v>1696.54</v>
      </c>
      <c r="F57" s="1"/>
      <c r="G57" s="1"/>
      <c r="H57" s="1"/>
      <c r="I57" s="1"/>
      <c r="J57" s="1"/>
      <c r="K57" s="1">
        <v>0</v>
      </c>
      <c r="L57" s="1">
        <v>0</v>
      </c>
      <c r="M57" s="4">
        <f t="shared" si="33"/>
        <v>0</v>
      </c>
      <c r="N57" s="4">
        <f t="shared" si="34"/>
        <v>0</v>
      </c>
      <c r="O57" s="4">
        <f t="shared" si="35"/>
        <v>0</v>
      </c>
      <c r="P57" s="4">
        <f t="shared" si="36"/>
        <v>0</v>
      </c>
      <c r="Q57" s="4"/>
      <c r="R57" s="4"/>
      <c r="S57" s="4"/>
      <c r="T57" s="4"/>
      <c r="U57" s="4"/>
      <c r="V57" s="4">
        <v>33.6798</v>
      </c>
      <c r="W57" s="1">
        <f t="shared" si="6"/>
        <v>33.6798</v>
      </c>
      <c r="X57" s="1">
        <f t="shared" si="22"/>
        <v>841.995</v>
      </c>
      <c r="Y57" s="1">
        <f t="shared" si="7"/>
        <v>841.995</v>
      </c>
      <c r="Z57" s="1">
        <f t="shared" si="23"/>
        <v>0</v>
      </c>
      <c r="AA57" s="1">
        <f t="shared" si="24"/>
        <v>0</v>
      </c>
      <c r="AB57" s="4"/>
      <c r="AC57" s="1"/>
      <c r="AD57" s="1">
        <f t="shared" ref="AD57:AD61" si="39">AD56+1</f>
        <v>19</v>
      </c>
      <c r="AE57">
        <f t="shared" si="31"/>
        <v>4685.0797199999997</v>
      </c>
      <c r="AF57">
        <f t="shared" si="32"/>
        <v>73066.514680000008</v>
      </c>
      <c r="AG57">
        <f t="shared" si="25"/>
        <v>1520.9841592810819</v>
      </c>
      <c r="AH57">
        <f t="shared" si="27"/>
        <v>35920.419028179014</v>
      </c>
      <c r="AI57">
        <f t="shared" si="28"/>
        <v>7489.803564159145</v>
      </c>
      <c r="AJ57">
        <f t="shared" si="26"/>
        <v>2431.5216086041432</v>
      </c>
      <c r="AK57">
        <f t="shared" si="29"/>
        <v>48213.807338354221</v>
      </c>
      <c r="AW57">
        <f t="shared" si="11"/>
        <v>4.1948816017492885E-3</v>
      </c>
      <c r="AX57">
        <f t="shared" si="12"/>
        <v>1394.8826537651892</v>
      </c>
      <c r="AY57">
        <f t="shared" si="37"/>
        <v>755.02570792149731</v>
      </c>
      <c r="AZ57">
        <f t="shared" si="38"/>
        <v>639.85694584369185</v>
      </c>
    </row>
    <row r="58" spans="1:52" x14ac:dyDescent="0.35">
      <c r="A58" s="1">
        <v>57</v>
      </c>
      <c r="B58" s="1">
        <v>2227.6855671211929</v>
      </c>
      <c r="C58" s="1">
        <v>0</v>
      </c>
      <c r="D58" s="1"/>
      <c r="E58" s="1">
        <v>2227.69</v>
      </c>
      <c r="F58" s="1"/>
      <c r="G58" s="1"/>
      <c r="H58" s="1"/>
      <c r="I58" s="1"/>
      <c r="J58" s="1"/>
      <c r="K58" s="1">
        <v>0</v>
      </c>
      <c r="L58" s="1">
        <v>0</v>
      </c>
      <c r="M58" s="4">
        <f t="shared" si="33"/>
        <v>0</v>
      </c>
      <c r="N58" s="4">
        <f t="shared" si="34"/>
        <v>0</v>
      </c>
      <c r="O58" s="4">
        <f t="shared" si="35"/>
        <v>0</v>
      </c>
      <c r="P58" s="4">
        <f t="shared" si="36"/>
        <v>0</v>
      </c>
      <c r="Q58" s="4"/>
      <c r="R58" s="4"/>
      <c r="S58" s="4"/>
      <c r="T58" s="4"/>
      <c r="U58" s="4"/>
      <c r="V58" s="4">
        <v>43.985100000000003</v>
      </c>
      <c r="W58" s="1">
        <f t="shared" si="6"/>
        <v>43.985100000000003</v>
      </c>
      <c r="X58" s="1">
        <f t="shared" si="22"/>
        <v>1099.6275000000001</v>
      </c>
      <c r="Y58" s="1">
        <f t="shared" si="7"/>
        <v>1099.6275000000001</v>
      </c>
      <c r="Z58" s="1">
        <f t="shared" si="23"/>
        <v>0</v>
      </c>
      <c r="AA58" s="1">
        <f t="shared" si="24"/>
        <v>0</v>
      </c>
      <c r="AB58" s="4"/>
      <c r="AC58" s="1"/>
      <c r="AD58" s="1">
        <f t="shared" si="39"/>
        <v>20</v>
      </c>
      <c r="AE58">
        <f t="shared" si="31"/>
        <v>4685.0797199999997</v>
      </c>
      <c r="AF58">
        <f t="shared" si="32"/>
        <v>77751.594400000002</v>
      </c>
      <c r="AG58">
        <f t="shared" si="25"/>
        <v>1433.538321659832</v>
      </c>
      <c r="AH58">
        <f t="shared" si="27"/>
        <v>37353.957349838849</v>
      </c>
      <c r="AI58">
        <f t="shared" si="28"/>
        <v>7677.048653263123</v>
      </c>
      <c r="AJ58">
        <f t="shared" si="26"/>
        <v>2349.019461658102</v>
      </c>
      <c r="AK58">
        <f t="shared" si="29"/>
        <v>50562.826800012321</v>
      </c>
      <c r="AW58">
        <f t="shared" si="11"/>
        <v>5.5081850709065181E-3</v>
      </c>
      <c r="AX58">
        <f t="shared" si="12"/>
        <v>1831.5825185463912</v>
      </c>
      <c r="AY58">
        <f t="shared" si="37"/>
        <v>991.40374564792626</v>
      </c>
      <c r="AZ58">
        <f t="shared" si="38"/>
        <v>840.1787728984649</v>
      </c>
    </row>
    <row r="59" spans="1:52" x14ac:dyDescent="0.35">
      <c r="A59" s="1">
        <v>58</v>
      </c>
      <c r="B59" s="1">
        <v>404.30530639696019</v>
      </c>
      <c r="C59" s="1">
        <v>0</v>
      </c>
      <c r="D59" s="1"/>
      <c r="E59" s="1">
        <v>404.30500000000001</v>
      </c>
      <c r="F59" s="1"/>
      <c r="G59" s="1"/>
      <c r="H59" s="1"/>
      <c r="I59" s="1"/>
      <c r="J59" s="1"/>
      <c r="K59" s="1">
        <v>0</v>
      </c>
      <c r="L59" s="1">
        <v>0</v>
      </c>
      <c r="M59" s="4">
        <f t="shared" si="33"/>
        <v>0</v>
      </c>
      <c r="N59" s="4">
        <f t="shared" si="34"/>
        <v>0</v>
      </c>
      <c r="O59" s="4">
        <f t="shared" si="35"/>
        <v>0</v>
      </c>
      <c r="P59" s="4">
        <f t="shared" si="36"/>
        <v>0</v>
      </c>
      <c r="Q59" s="4"/>
      <c r="R59" s="4"/>
      <c r="S59" s="4"/>
      <c r="T59" s="4"/>
      <c r="U59" s="4"/>
      <c r="V59" s="4">
        <v>7.2637200000000002</v>
      </c>
      <c r="W59" s="1">
        <f t="shared" si="6"/>
        <v>7.2637200000000002</v>
      </c>
      <c r="X59" s="1">
        <f t="shared" si="22"/>
        <v>181.59300000000002</v>
      </c>
      <c r="Y59" s="1">
        <f t="shared" si="7"/>
        <v>181.59300000000002</v>
      </c>
      <c r="Z59" s="1">
        <f t="shared" si="23"/>
        <v>0</v>
      </c>
      <c r="AA59" s="1">
        <f t="shared" si="24"/>
        <v>0</v>
      </c>
      <c r="AB59" s="4"/>
      <c r="AC59" s="1"/>
      <c r="AD59" s="1">
        <f t="shared" si="39"/>
        <v>21</v>
      </c>
      <c r="AE59">
        <f t="shared" si="31"/>
        <v>4685.0797199999997</v>
      </c>
      <c r="AF59">
        <f t="shared" si="32"/>
        <v>82436.674119999996</v>
      </c>
      <c r="AG59">
        <f t="shared" si="25"/>
        <v>1351.1200015644035</v>
      </c>
      <c r="AH59">
        <f t="shared" si="27"/>
        <v>38705.077351403255</v>
      </c>
      <c r="AI59">
        <f t="shared" si="28"/>
        <v>7868.9748695947001</v>
      </c>
      <c r="AJ59">
        <f t="shared" si="26"/>
        <v>2269.3166335528317</v>
      </c>
      <c r="AK59">
        <f t="shared" si="29"/>
        <v>52832.14343356515</v>
      </c>
      <c r="AW59">
        <f t="shared" si="11"/>
        <v>9.9968706789348551E-4</v>
      </c>
      <c r="AX59">
        <f t="shared" si="12"/>
        <v>332.41609241522201</v>
      </c>
      <c r="AY59">
        <f t="shared" si="37"/>
        <v>179.9310464022378</v>
      </c>
      <c r="AZ59">
        <f t="shared" si="38"/>
        <v>152.48504601298421</v>
      </c>
    </row>
    <row r="60" spans="1:52" x14ac:dyDescent="0.35">
      <c r="A60" s="1">
        <v>59</v>
      </c>
      <c r="B60" s="1">
        <v>3141.552121160008</v>
      </c>
      <c r="C60" s="1">
        <v>0</v>
      </c>
      <c r="D60" s="1"/>
      <c r="E60" s="1">
        <v>3141.55</v>
      </c>
      <c r="F60" s="1"/>
      <c r="G60" s="1"/>
      <c r="H60" s="1"/>
      <c r="I60" s="1"/>
      <c r="J60" s="1"/>
      <c r="K60" s="1">
        <v>0</v>
      </c>
      <c r="L60" s="1">
        <v>0</v>
      </c>
      <c r="M60" s="4">
        <f t="shared" si="33"/>
        <v>0</v>
      </c>
      <c r="N60" s="4">
        <f t="shared" si="34"/>
        <v>0</v>
      </c>
      <c r="O60" s="4">
        <f t="shared" si="35"/>
        <v>0</v>
      </c>
      <c r="P60" s="4">
        <f t="shared" si="36"/>
        <v>0</v>
      </c>
      <c r="Q60" s="4"/>
      <c r="R60" s="4"/>
      <c r="S60" s="4"/>
      <c r="T60" s="4"/>
      <c r="U60" s="4"/>
      <c r="V60" s="4">
        <v>63.6265</v>
      </c>
      <c r="W60" s="1">
        <f t="shared" si="6"/>
        <v>63.6265</v>
      </c>
      <c r="X60" s="1">
        <f t="shared" si="22"/>
        <v>1590.6624999999999</v>
      </c>
      <c r="Y60" s="1">
        <f t="shared" si="7"/>
        <v>1590.6624999999999</v>
      </c>
      <c r="Z60" s="1">
        <f t="shared" si="23"/>
        <v>0</v>
      </c>
      <c r="AA60" s="1">
        <f t="shared" si="24"/>
        <v>0</v>
      </c>
      <c r="AB60" s="4"/>
      <c r="AC60" s="1"/>
      <c r="AD60" s="1">
        <f t="shared" si="39"/>
        <v>22</v>
      </c>
      <c r="AE60">
        <f t="shared" si="31"/>
        <v>4685.0797199999997</v>
      </c>
      <c r="AF60">
        <f t="shared" si="32"/>
        <v>87121.75383999999</v>
      </c>
      <c r="AG60">
        <f t="shared" si="25"/>
        <v>1273.4401522755923</v>
      </c>
      <c r="AH60">
        <f t="shared" si="27"/>
        <v>39978.51750367885</v>
      </c>
      <c r="AI60">
        <f t="shared" si="28"/>
        <v>8065.699241334567</v>
      </c>
      <c r="AJ60">
        <f t="shared" si="26"/>
        <v>2192.3181426877022</v>
      </c>
      <c r="AK60">
        <f t="shared" si="29"/>
        <v>55024.461576252856</v>
      </c>
      <c r="AW60">
        <f t="shared" si="11"/>
        <v>7.7678155071096069E-3</v>
      </c>
      <c r="AX60">
        <f t="shared" si="12"/>
        <v>2582.9551670772075</v>
      </c>
      <c r="AY60">
        <f t="shared" si="37"/>
        <v>1398.1086855498663</v>
      </c>
      <c r="AZ60">
        <f t="shared" si="38"/>
        <v>1184.8464815273412</v>
      </c>
    </row>
    <row r="61" spans="1:52" x14ac:dyDescent="0.35">
      <c r="A61" s="1">
        <v>60</v>
      </c>
      <c r="B61" s="1">
        <v>2862.8042339526478</v>
      </c>
      <c r="C61" s="1">
        <v>0</v>
      </c>
      <c r="D61" s="1"/>
      <c r="E61" s="1">
        <v>2862.8</v>
      </c>
      <c r="F61" s="1"/>
      <c r="G61" s="1"/>
      <c r="H61" s="1"/>
      <c r="I61" s="1"/>
      <c r="J61" s="1"/>
      <c r="K61" s="1">
        <v>0</v>
      </c>
      <c r="L61" s="1">
        <v>0</v>
      </c>
      <c r="M61" s="4">
        <f t="shared" si="33"/>
        <v>0</v>
      </c>
      <c r="N61" s="4">
        <f t="shared" si="34"/>
        <v>0</v>
      </c>
      <c r="O61" s="4">
        <f t="shared" si="35"/>
        <v>0</v>
      </c>
      <c r="P61" s="4">
        <f t="shared" si="36"/>
        <v>0</v>
      </c>
      <c r="Q61" s="4"/>
      <c r="R61" s="4"/>
      <c r="S61" s="4"/>
      <c r="T61" s="4"/>
      <c r="U61" s="4"/>
      <c r="V61" s="4">
        <v>59.825899999999997</v>
      </c>
      <c r="W61" s="1">
        <f t="shared" si="6"/>
        <v>59.825899999999997</v>
      </c>
      <c r="X61" s="1">
        <f t="shared" si="22"/>
        <v>1495.6475</v>
      </c>
      <c r="Y61" s="1">
        <f t="shared" si="7"/>
        <v>1495.6475</v>
      </c>
      <c r="Z61" s="1">
        <f t="shared" si="23"/>
        <v>0</v>
      </c>
      <c r="AA61" s="1">
        <f t="shared" si="24"/>
        <v>0</v>
      </c>
      <c r="AB61" s="4"/>
      <c r="AC61" s="1"/>
      <c r="AD61" s="1">
        <f t="shared" si="39"/>
        <v>23</v>
      </c>
      <c r="AE61">
        <f t="shared" si="31"/>
        <v>4685.0797199999997</v>
      </c>
      <c r="AF61">
        <f t="shared" si="32"/>
        <v>91806.833559999985</v>
      </c>
      <c r="AG61">
        <f t="shared" si="25"/>
        <v>1200.2263452173352</v>
      </c>
      <c r="AH61">
        <f t="shared" si="27"/>
        <v>41178.743848896185</v>
      </c>
      <c r="AI61">
        <f t="shared" si="28"/>
        <v>8267.3417223679317</v>
      </c>
      <c r="AJ61">
        <f t="shared" si="26"/>
        <v>2117.9322302119658</v>
      </c>
      <c r="AK61">
        <f t="shared" si="29"/>
        <v>57142.393806464825</v>
      </c>
      <c r="AW61">
        <f t="shared" si="11"/>
        <v>7.0785822627399868E-3</v>
      </c>
      <c r="AX61">
        <f t="shared" si="12"/>
        <v>2353.7712262077971</v>
      </c>
      <c r="AY61">
        <f t="shared" si="37"/>
        <v>1274.0554064212736</v>
      </c>
      <c r="AZ61">
        <f t="shared" si="38"/>
        <v>1079.7158197865235</v>
      </c>
    </row>
    <row r="62" spans="1:52" x14ac:dyDescent="0.35">
      <c r="A62" s="1">
        <v>61</v>
      </c>
      <c r="B62" s="1">
        <v>2954.0094942934988</v>
      </c>
      <c r="C62" s="1">
        <v>0</v>
      </c>
      <c r="D62" s="1"/>
      <c r="E62" s="1">
        <v>2954.01</v>
      </c>
      <c r="F62" s="1"/>
      <c r="G62" s="1"/>
      <c r="H62" s="1"/>
      <c r="I62" s="1"/>
      <c r="J62" s="1"/>
      <c r="K62" s="1">
        <v>0</v>
      </c>
      <c r="L62" s="1">
        <v>0</v>
      </c>
      <c r="M62" s="4">
        <f t="shared" si="33"/>
        <v>0</v>
      </c>
      <c r="N62" s="4">
        <f t="shared" si="34"/>
        <v>0</v>
      </c>
      <c r="O62" s="4">
        <f t="shared" si="35"/>
        <v>0</v>
      </c>
      <c r="P62" s="4">
        <f t="shared" si="36"/>
        <v>0</v>
      </c>
      <c r="Q62" s="4"/>
      <c r="R62" s="4"/>
      <c r="S62" s="4"/>
      <c r="T62" s="4"/>
      <c r="U62" s="4"/>
      <c r="V62" s="4">
        <v>64.215500000000006</v>
      </c>
      <c r="W62" s="1">
        <f t="shared" si="6"/>
        <v>64.215500000000006</v>
      </c>
      <c r="X62" s="1">
        <f t="shared" si="22"/>
        <v>1605.3875</v>
      </c>
      <c r="Y62" s="1">
        <f t="shared" si="7"/>
        <v>1605.3875</v>
      </c>
      <c r="Z62" s="1">
        <f t="shared" si="23"/>
        <v>0</v>
      </c>
      <c r="AA62" s="1">
        <f t="shared" si="24"/>
        <v>0</v>
      </c>
      <c r="AB62" s="4"/>
      <c r="AC62" s="1"/>
      <c r="AD62" s="1">
        <f>AD61+1</f>
        <v>24</v>
      </c>
      <c r="AE62">
        <f t="shared" si="31"/>
        <v>4685.0797199999997</v>
      </c>
      <c r="AF62">
        <f t="shared" si="32"/>
        <v>96491.913279999979</v>
      </c>
      <c r="AG62">
        <f t="shared" si="25"/>
        <v>1131.2218145309473</v>
      </c>
      <c r="AH62">
        <f t="shared" si="27"/>
        <v>42309.96566342713</v>
      </c>
      <c r="AI62">
        <f t="shared" si="28"/>
        <v>8474.0252654271299</v>
      </c>
      <c r="AJ62">
        <f t="shared" si="26"/>
        <v>2046.0702506760272</v>
      </c>
      <c r="AK62">
        <f t="shared" si="29"/>
        <v>59188.464057140853</v>
      </c>
      <c r="AW62">
        <f t="shared" si="11"/>
        <v>7.3040967881345346E-3</v>
      </c>
      <c r="AX62">
        <f t="shared" si="12"/>
        <v>2428.7593497137782</v>
      </c>
      <c r="AY62">
        <f t="shared" si="37"/>
        <v>1314.645172795513</v>
      </c>
      <c r="AZ62">
        <f t="shared" si="38"/>
        <v>1114.1141769182652</v>
      </c>
    </row>
    <row r="63" spans="1:52" x14ac:dyDescent="0.35">
      <c r="A63" s="1">
        <v>62</v>
      </c>
      <c r="B63" s="1">
        <v>1204.0745303370161</v>
      </c>
      <c r="C63" s="1">
        <v>0</v>
      </c>
      <c r="D63" s="1"/>
      <c r="E63" s="1">
        <v>1204.07</v>
      </c>
      <c r="F63" s="1"/>
      <c r="G63" s="1"/>
      <c r="H63" s="1"/>
      <c r="I63" s="1"/>
      <c r="J63" s="1"/>
      <c r="K63" s="1">
        <v>0</v>
      </c>
      <c r="L63" s="1">
        <v>0</v>
      </c>
      <c r="M63" s="4">
        <f t="shared" si="33"/>
        <v>0</v>
      </c>
      <c r="N63" s="4">
        <f t="shared" si="34"/>
        <v>0</v>
      </c>
      <c r="O63" s="4">
        <f t="shared" si="35"/>
        <v>0</v>
      </c>
      <c r="P63" s="4">
        <f t="shared" si="36"/>
        <v>0</v>
      </c>
      <c r="Q63" s="4"/>
      <c r="R63" s="4"/>
      <c r="S63" s="4"/>
      <c r="T63" s="4"/>
      <c r="U63" s="4"/>
      <c r="V63" s="4">
        <v>25.6633</v>
      </c>
      <c r="W63" s="1">
        <f t="shared" si="6"/>
        <v>25.6633</v>
      </c>
      <c r="X63" s="1">
        <f t="shared" si="22"/>
        <v>641.58249999999998</v>
      </c>
      <c r="Y63" s="1">
        <f>X63-M63</f>
        <v>641.58249999999998</v>
      </c>
      <c r="Z63" s="1">
        <f t="shared" si="23"/>
        <v>0</v>
      </c>
      <c r="AA63" s="1">
        <f t="shared" si="24"/>
        <v>0</v>
      </c>
      <c r="AB63" s="4"/>
      <c r="AC63" s="1"/>
      <c r="AD63" s="1">
        <f t="shared" ref="AD63" si="40">AD62+1</f>
        <v>25</v>
      </c>
      <c r="AE63">
        <f t="shared" si="31"/>
        <v>4685.0797199999997</v>
      </c>
      <c r="AF63">
        <f t="shared" si="32"/>
        <v>101176.99299999997</v>
      </c>
      <c r="AG63">
        <f t="shared" si="25"/>
        <v>1066.1845565795923</v>
      </c>
      <c r="AH63">
        <f t="shared" si="27"/>
        <v>43376.150220006726</v>
      </c>
      <c r="AI63">
        <f t="shared" si="28"/>
        <v>8685.875897062806</v>
      </c>
      <c r="AJ63">
        <f t="shared" si="26"/>
        <v>1976.6465663929569</v>
      </c>
      <c r="AK63">
        <f t="shared" si="29"/>
        <v>61165.110623533808</v>
      </c>
      <c r="AW63">
        <f t="shared" si="11"/>
        <v>2.9771999469529777E-3</v>
      </c>
      <c r="AX63">
        <f t="shared" si="12"/>
        <v>989.97896890906077</v>
      </c>
      <c r="AY63">
        <f t="shared" si="37"/>
        <v>535.85838909843017</v>
      </c>
      <c r="AZ63">
        <f t="shared" si="38"/>
        <v>454.1205798106306</v>
      </c>
    </row>
    <row r="64" spans="1:52" x14ac:dyDescent="0.35">
      <c r="A64" s="1">
        <v>63</v>
      </c>
      <c r="B64" s="1">
        <v>13474.18710799874</v>
      </c>
      <c r="C64" s="1">
        <v>0</v>
      </c>
      <c r="D64" s="1"/>
      <c r="E64" s="1">
        <v>13474.2</v>
      </c>
      <c r="F64" s="1"/>
      <c r="G64" s="1"/>
      <c r="H64" s="1"/>
      <c r="I64" s="1"/>
      <c r="J64" s="1"/>
      <c r="K64" s="1">
        <v>0</v>
      </c>
      <c r="L64" s="1">
        <v>0</v>
      </c>
      <c r="M64" s="4">
        <f t="shared" si="33"/>
        <v>0</v>
      </c>
      <c r="N64" s="4">
        <f t="shared" si="34"/>
        <v>0</v>
      </c>
      <c r="O64" s="4">
        <f t="shared" si="35"/>
        <v>0</v>
      </c>
      <c r="P64" s="4">
        <f t="shared" si="36"/>
        <v>0</v>
      </c>
      <c r="Q64" s="4"/>
      <c r="R64" s="4"/>
      <c r="S64" s="4"/>
      <c r="T64" s="4"/>
      <c r="U64" s="4"/>
      <c r="V64" s="4">
        <v>279.54399999999998</v>
      </c>
      <c r="W64" s="1">
        <f t="shared" si="6"/>
        <v>279.54399999999998</v>
      </c>
      <c r="X64" s="1">
        <f t="shared" si="22"/>
        <v>6988.5999999999995</v>
      </c>
      <c r="Y64" s="1">
        <f t="shared" si="7"/>
        <v>6988.5999999999995</v>
      </c>
      <c r="Z64" s="1">
        <f t="shared" si="23"/>
        <v>0</v>
      </c>
      <c r="AA64" s="1">
        <f t="shared" si="24"/>
        <v>0</v>
      </c>
      <c r="AB64" s="4"/>
      <c r="AW64">
        <f t="shared" si="11"/>
        <v>3.33163339415046E-2</v>
      </c>
      <c r="AX64">
        <f t="shared" si="12"/>
        <v>11078.352314562097</v>
      </c>
      <c r="AY64">
        <f t="shared" si="37"/>
        <v>5996.5193318075717</v>
      </c>
      <c r="AZ64">
        <f t="shared" si="38"/>
        <v>5081.8329827545249</v>
      </c>
    </row>
    <row r="65" spans="1:52" x14ac:dyDescent="0.35">
      <c r="A65" s="1">
        <v>64</v>
      </c>
      <c r="B65" s="1">
        <v>3713.6923624805509</v>
      </c>
      <c r="C65" s="1">
        <v>0</v>
      </c>
      <c r="D65" s="1"/>
      <c r="E65" s="1">
        <v>3713.69</v>
      </c>
      <c r="F65" s="1"/>
      <c r="G65" s="1"/>
      <c r="H65" s="1"/>
      <c r="I65" s="1"/>
      <c r="J65" s="1"/>
      <c r="K65" s="1">
        <v>0</v>
      </c>
      <c r="L65" s="1">
        <v>0</v>
      </c>
      <c r="M65" s="4">
        <f t="shared" si="33"/>
        <v>0</v>
      </c>
      <c r="N65" s="4">
        <f t="shared" si="34"/>
        <v>0</v>
      </c>
      <c r="O65" s="4">
        <f t="shared" si="35"/>
        <v>0</v>
      </c>
      <c r="P65" s="4">
        <f t="shared" si="36"/>
        <v>0</v>
      </c>
      <c r="Q65" s="4"/>
      <c r="R65" s="4"/>
      <c r="S65" s="4"/>
      <c r="T65" s="4"/>
      <c r="U65" s="4"/>
      <c r="V65" s="4">
        <v>78.026300000000006</v>
      </c>
      <c r="W65" s="1">
        <f t="shared" si="6"/>
        <v>78.026300000000006</v>
      </c>
      <c r="X65" s="1">
        <f t="shared" si="22"/>
        <v>1950.6575000000003</v>
      </c>
      <c r="Y65" s="1">
        <f t="shared" si="7"/>
        <v>1950.6575000000003</v>
      </c>
      <c r="Z65" s="1">
        <f t="shared" si="23"/>
        <v>0</v>
      </c>
      <c r="AA65" s="1">
        <f t="shared" si="24"/>
        <v>0</v>
      </c>
      <c r="AB65" s="4"/>
      <c r="AW65">
        <f t="shared" si="11"/>
        <v>9.1824919687339673E-3</v>
      </c>
      <c r="AX65">
        <f t="shared" si="12"/>
        <v>3053.3635943822487</v>
      </c>
      <c r="AY65">
        <f t="shared" si="37"/>
        <v>1652.7325816027135</v>
      </c>
      <c r="AZ65">
        <f t="shared" si="38"/>
        <v>1400.6310127795352</v>
      </c>
    </row>
    <row r="66" spans="1:52" x14ac:dyDescent="0.35">
      <c r="A66" s="1">
        <v>65</v>
      </c>
      <c r="B66" s="1">
        <v>1118.1009256975681</v>
      </c>
      <c r="C66" s="1">
        <v>0</v>
      </c>
      <c r="D66" s="1"/>
      <c r="E66" s="1">
        <v>1118.0999999999999</v>
      </c>
      <c r="F66" s="1"/>
      <c r="G66" s="1"/>
      <c r="H66" s="1"/>
      <c r="I66" s="1"/>
      <c r="J66" s="1"/>
      <c r="K66" s="1">
        <v>0</v>
      </c>
      <c r="L66" s="1">
        <v>0</v>
      </c>
      <c r="M66" s="4">
        <f t="shared" si="33"/>
        <v>0</v>
      </c>
      <c r="N66" s="4">
        <f t="shared" si="34"/>
        <v>0</v>
      </c>
      <c r="O66" s="4">
        <f t="shared" si="35"/>
        <v>0</v>
      </c>
      <c r="P66" s="4">
        <f t="shared" si="36"/>
        <v>0</v>
      </c>
      <c r="Q66" s="4"/>
      <c r="R66" s="4"/>
      <c r="S66" s="4"/>
      <c r="T66" s="4"/>
      <c r="U66" s="4"/>
      <c r="V66" s="4">
        <v>23.491800000000001</v>
      </c>
      <c r="W66" s="1">
        <f t="shared" si="6"/>
        <v>23.491800000000001</v>
      </c>
      <c r="X66" s="1">
        <f t="shared" ref="X66:X100" si="41">V66*$S$47</f>
        <v>587.29500000000007</v>
      </c>
      <c r="Y66" s="1">
        <f t="shared" si="7"/>
        <v>587.29500000000007</v>
      </c>
      <c r="Z66" s="1">
        <f t="shared" ref="Z66:Z100" si="42">(M66/($S$47*B66))+O66</f>
        <v>0</v>
      </c>
      <c r="AA66" s="1">
        <f t="shared" ref="AA66:AA100" si="43">(M66/($S$50*B66))+O66</f>
        <v>0</v>
      </c>
      <c r="AB66" s="4"/>
      <c r="AE66" s="18" t="s">
        <v>51</v>
      </c>
      <c r="AF66" s="4"/>
      <c r="AG66" s="4"/>
      <c r="AH66" s="10"/>
      <c r="AI66" s="10"/>
      <c r="AJ66" s="10"/>
      <c r="AK66" s="10">
        <f>AD41-(AK41/AJ42)</f>
        <v>3.6927877024070122</v>
      </c>
      <c r="AW66">
        <f t="shared" si="11"/>
        <v>2.7646212363142946E-3</v>
      </c>
      <c r="AX66">
        <f t="shared" si="12"/>
        <v>919.29226444855419</v>
      </c>
      <c r="AY66">
        <f t="shared" si="37"/>
        <v>497.59690600387029</v>
      </c>
      <c r="AZ66">
        <f t="shared" si="38"/>
        <v>421.6953584446839</v>
      </c>
    </row>
    <row r="67" spans="1:52" ht="15" thickBot="1" x14ac:dyDescent="0.4">
      <c r="A67" s="1">
        <v>66</v>
      </c>
      <c r="B67" s="1">
        <v>789.18834550043005</v>
      </c>
      <c r="C67" s="1">
        <v>0</v>
      </c>
      <c r="D67" s="1"/>
      <c r="E67" s="1">
        <v>789.18799999999999</v>
      </c>
      <c r="F67" s="1"/>
      <c r="G67" s="1"/>
      <c r="H67" s="1"/>
      <c r="I67" s="1"/>
      <c r="J67" s="1"/>
      <c r="K67" s="1">
        <v>0</v>
      </c>
      <c r="L67" s="1">
        <v>0</v>
      </c>
      <c r="M67" s="4">
        <f t="shared" si="33"/>
        <v>0</v>
      </c>
      <c r="N67" s="4">
        <f t="shared" si="34"/>
        <v>0</v>
      </c>
      <c r="O67" s="4">
        <f t="shared" si="35"/>
        <v>0</v>
      </c>
      <c r="P67" s="4">
        <f t="shared" si="36"/>
        <v>0</v>
      </c>
      <c r="Q67" s="4"/>
      <c r="R67" s="1" t="s">
        <v>247</v>
      </c>
      <c r="S67" s="1">
        <v>24000</v>
      </c>
      <c r="T67" s="4" t="s">
        <v>268</v>
      </c>
      <c r="U67" s="4"/>
      <c r="V67" s="4">
        <v>16.784199999999998</v>
      </c>
      <c r="W67" s="1">
        <f t="shared" ref="W67:W100" si="44">V67-M67</f>
        <v>16.784199999999998</v>
      </c>
      <c r="X67" s="1">
        <f t="shared" si="41"/>
        <v>419.60499999999996</v>
      </c>
      <c r="Y67" s="1">
        <f t="shared" ref="Y67:Y80" si="45">X67-M67</f>
        <v>419.60499999999996</v>
      </c>
      <c r="Z67" s="1">
        <f t="shared" si="42"/>
        <v>0</v>
      </c>
      <c r="AA67" s="1">
        <f t="shared" si="43"/>
        <v>0</v>
      </c>
      <c r="AB67" s="4"/>
      <c r="AE67" s="4"/>
      <c r="AF67" s="4"/>
      <c r="AG67" s="4"/>
      <c r="AH67" s="4"/>
      <c r="AI67" s="4"/>
      <c r="AJ67" s="4"/>
      <c r="AK67" s="4"/>
      <c r="AW67">
        <f t="shared" ref="AW67:AW104" si="46">B67/$B$102</f>
        <v>1.9513505527786158E-3</v>
      </c>
      <c r="AX67">
        <f t="shared" ref="AX67:AX104" si="47">AW67*$AV$2</f>
        <v>648.86337587000196</v>
      </c>
      <c r="AY67">
        <f t="shared" si="37"/>
        <v>351.21845438982047</v>
      </c>
      <c r="AZ67">
        <f t="shared" si="38"/>
        <v>297.64492148018149</v>
      </c>
    </row>
    <row r="68" spans="1:52" ht="15" thickBot="1" x14ac:dyDescent="0.4">
      <c r="A68" s="1">
        <v>67</v>
      </c>
      <c r="B68" s="1">
        <v>1631.3808757786551</v>
      </c>
      <c r="C68" s="1">
        <v>0</v>
      </c>
      <c r="D68" s="1"/>
      <c r="E68" s="1">
        <v>1631.38</v>
      </c>
      <c r="F68" s="1"/>
      <c r="G68" s="1"/>
      <c r="H68" s="1"/>
      <c r="I68" s="1"/>
      <c r="J68" s="1"/>
      <c r="K68" s="1">
        <v>0</v>
      </c>
      <c r="L68" s="1">
        <v>0</v>
      </c>
      <c r="M68" s="4">
        <f t="shared" si="33"/>
        <v>0</v>
      </c>
      <c r="N68" s="4">
        <f t="shared" si="34"/>
        <v>0</v>
      </c>
      <c r="O68" s="4">
        <f t="shared" si="35"/>
        <v>0</v>
      </c>
      <c r="P68" s="4">
        <f t="shared" si="36"/>
        <v>0</v>
      </c>
      <c r="Q68" s="4"/>
      <c r="R68" s="4" t="s">
        <v>247</v>
      </c>
      <c r="S68" s="4">
        <v>26000</v>
      </c>
      <c r="T68" s="4" t="s">
        <v>264</v>
      </c>
      <c r="U68" s="4"/>
      <c r="V68" s="4">
        <v>31.626000000000001</v>
      </c>
      <c r="W68" s="1">
        <f t="shared" si="44"/>
        <v>31.626000000000001</v>
      </c>
      <c r="X68" s="1">
        <f t="shared" si="41"/>
        <v>790.65</v>
      </c>
      <c r="Y68" s="1">
        <f t="shared" si="45"/>
        <v>790.65</v>
      </c>
      <c r="Z68" s="1">
        <f t="shared" si="42"/>
        <v>0</v>
      </c>
      <c r="AA68" s="1">
        <f t="shared" si="43"/>
        <v>0</v>
      </c>
      <c r="AB68" s="4"/>
      <c r="AE68" s="4"/>
      <c r="AF68" s="9"/>
      <c r="AG68" s="4"/>
      <c r="AH68" s="100" t="s">
        <v>54</v>
      </c>
      <c r="AI68" s="101"/>
      <c r="AJ68" s="101"/>
      <c r="AK68" s="102"/>
      <c r="AW68">
        <f t="shared" si="46"/>
        <v>4.0337594845303078E-3</v>
      </c>
      <c r="AX68">
        <f t="shared" si="47"/>
        <v>1341.3063033974083</v>
      </c>
      <c r="AY68">
        <f t="shared" si="37"/>
        <v>726.02576175750028</v>
      </c>
      <c r="AZ68">
        <f t="shared" si="38"/>
        <v>615.28054163990805</v>
      </c>
    </row>
    <row r="69" spans="1:52" ht="15" thickBot="1" x14ac:dyDescent="0.4">
      <c r="A69" s="1">
        <v>68</v>
      </c>
      <c r="B69" s="1">
        <v>4258.9353884654111</v>
      </c>
      <c r="C69" s="1">
        <v>0</v>
      </c>
      <c r="D69" s="1"/>
      <c r="E69" s="1">
        <v>4258.9399999999996</v>
      </c>
      <c r="F69" s="1"/>
      <c r="G69" s="1"/>
      <c r="H69" s="1"/>
      <c r="I69" s="1"/>
      <c r="J69" s="1"/>
      <c r="K69" s="1">
        <v>0</v>
      </c>
      <c r="L69" s="1">
        <v>0</v>
      </c>
      <c r="M69" s="4">
        <f t="shared" si="33"/>
        <v>0</v>
      </c>
      <c r="N69" s="4">
        <f t="shared" si="34"/>
        <v>0</v>
      </c>
      <c r="O69" s="4">
        <f t="shared" si="35"/>
        <v>0</v>
      </c>
      <c r="P69" s="4">
        <f t="shared" si="36"/>
        <v>0</v>
      </c>
      <c r="Q69" s="4"/>
      <c r="R69" s="4" t="s">
        <v>247</v>
      </c>
      <c r="S69" s="4">
        <v>32500</v>
      </c>
      <c r="T69" s="4" t="s">
        <v>265</v>
      </c>
      <c r="U69" s="4"/>
      <c r="V69" s="4">
        <v>86.851900000000001</v>
      </c>
      <c r="W69" s="1">
        <f t="shared" si="44"/>
        <v>86.851900000000001</v>
      </c>
      <c r="X69" s="1">
        <f t="shared" si="41"/>
        <v>2171.2975000000001</v>
      </c>
      <c r="Y69" s="1">
        <f t="shared" si="45"/>
        <v>2171.2975000000001</v>
      </c>
      <c r="Z69" s="1">
        <f t="shared" si="42"/>
        <v>0</v>
      </c>
      <c r="AA69" s="1">
        <f t="shared" si="43"/>
        <v>0</v>
      </c>
      <c r="AB69" s="4"/>
      <c r="AE69" s="4"/>
      <c r="AF69" s="8"/>
      <c r="AG69" s="4"/>
      <c r="AH69" s="103"/>
      <c r="AI69" s="104"/>
      <c r="AJ69" s="104"/>
      <c r="AK69" s="105"/>
      <c r="AW69">
        <f t="shared" si="46"/>
        <v>1.053066225814641E-2</v>
      </c>
      <c r="AX69">
        <f t="shared" si="47"/>
        <v>3501.6573794175206</v>
      </c>
      <c r="AY69">
        <f t="shared" si="37"/>
        <v>1895.3862066151307</v>
      </c>
      <c r="AZ69">
        <f t="shared" si="38"/>
        <v>1606.2711728023899</v>
      </c>
    </row>
    <row r="70" spans="1:52" x14ac:dyDescent="0.35">
      <c r="A70" s="1">
        <v>69</v>
      </c>
      <c r="B70" s="1">
        <v>4490.8701254733214</v>
      </c>
      <c r="C70" s="1">
        <v>0</v>
      </c>
      <c r="D70" s="1"/>
      <c r="E70" s="1">
        <v>4490.87</v>
      </c>
      <c r="F70" s="1"/>
      <c r="G70" s="1"/>
      <c r="H70" s="1"/>
      <c r="I70" s="1"/>
      <c r="J70" s="1"/>
      <c r="K70" s="1">
        <v>0</v>
      </c>
      <c r="L70" s="1">
        <v>0</v>
      </c>
      <c r="M70" s="4">
        <f t="shared" si="33"/>
        <v>0</v>
      </c>
      <c r="N70" s="4">
        <f t="shared" si="34"/>
        <v>0</v>
      </c>
      <c r="O70" s="4">
        <f t="shared" si="35"/>
        <v>0</v>
      </c>
      <c r="P70" s="4">
        <f t="shared" si="36"/>
        <v>0</v>
      </c>
      <c r="Q70" s="4"/>
      <c r="R70" s="4" t="s">
        <v>247</v>
      </c>
      <c r="S70" s="4">
        <v>34600</v>
      </c>
      <c r="T70" s="4" t="s">
        <v>266</v>
      </c>
      <c r="U70" s="4"/>
      <c r="V70" s="4">
        <v>90.9893</v>
      </c>
      <c r="W70" s="1">
        <f t="shared" si="44"/>
        <v>90.9893</v>
      </c>
      <c r="X70" s="1">
        <f t="shared" si="41"/>
        <v>2274.7325000000001</v>
      </c>
      <c r="Y70" s="1">
        <f t="shared" si="45"/>
        <v>2274.7325000000001</v>
      </c>
      <c r="Z70" s="1">
        <f t="shared" si="42"/>
        <v>0</v>
      </c>
      <c r="AA70" s="1">
        <f t="shared" si="43"/>
        <v>0</v>
      </c>
      <c r="AB70" s="4"/>
      <c r="AW70">
        <f t="shared" si="46"/>
        <v>1.1104145102703576E-2</v>
      </c>
      <c r="AX70">
        <f t="shared" si="47"/>
        <v>3692.3519801354832</v>
      </c>
      <c r="AY70">
        <f t="shared" si="37"/>
        <v>1998.6058756785071</v>
      </c>
      <c r="AZ70">
        <f t="shared" si="38"/>
        <v>1693.7461044569761</v>
      </c>
    </row>
    <row r="71" spans="1:52" x14ac:dyDescent="0.35">
      <c r="A71" s="1">
        <v>70</v>
      </c>
      <c r="B71" s="1">
        <v>6097.7538980173758</v>
      </c>
      <c r="C71" s="1">
        <v>0</v>
      </c>
      <c r="D71" s="1"/>
      <c r="E71" s="1">
        <v>6097.75</v>
      </c>
      <c r="F71" s="1"/>
      <c r="G71" s="1"/>
      <c r="H71" s="1"/>
      <c r="I71" s="1"/>
      <c r="J71" s="1"/>
      <c r="K71" s="1">
        <v>0</v>
      </c>
      <c r="L71" s="1">
        <v>0</v>
      </c>
      <c r="M71" s="4">
        <f t="shared" si="33"/>
        <v>0</v>
      </c>
      <c r="N71" s="4">
        <f t="shared" si="34"/>
        <v>0</v>
      </c>
      <c r="O71" s="4">
        <f t="shared" si="35"/>
        <v>0</v>
      </c>
      <c r="P71" s="4">
        <f t="shared" si="36"/>
        <v>0</v>
      </c>
      <c r="Q71" s="4"/>
      <c r="R71" s="4"/>
      <c r="S71" s="4"/>
      <c r="T71" s="4"/>
      <c r="U71" s="4"/>
      <c r="V71" s="4">
        <v>124.14400000000001</v>
      </c>
      <c r="W71" s="1">
        <f t="shared" si="44"/>
        <v>124.14400000000001</v>
      </c>
      <c r="X71" s="1">
        <f t="shared" si="41"/>
        <v>3103.6000000000004</v>
      </c>
      <c r="Y71" s="1">
        <f t="shared" si="45"/>
        <v>3103.6000000000004</v>
      </c>
      <c r="Z71" s="1">
        <f t="shared" si="42"/>
        <v>0</v>
      </c>
      <c r="AA71" s="1">
        <f t="shared" si="43"/>
        <v>0</v>
      </c>
      <c r="AB71" s="4"/>
      <c r="AW71">
        <f t="shared" si="46"/>
        <v>1.5077332942694453E-2</v>
      </c>
      <c r="AX71">
        <f t="shared" si="47"/>
        <v>5013.5169912869196</v>
      </c>
      <c r="AY71">
        <f t="shared" si="37"/>
        <v>2713.7295064249001</v>
      </c>
      <c r="AZ71">
        <f t="shared" si="38"/>
        <v>2299.7874848620195</v>
      </c>
    </row>
    <row r="72" spans="1:52" x14ac:dyDescent="0.35">
      <c r="A72" s="1">
        <v>71</v>
      </c>
      <c r="B72" s="1">
        <v>4593.5313049109664</v>
      </c>
      <c r="C72" s="1">
        <v>0</v>
      </c>
      <c r="D72" s="1"/>
      <c r="E72" s="1">
        <v>4593.53</v>
      </c>
      <c r="F72" s="1"/>
      <c r="G72" s="1"/>
      <c r="H72" s="1"/>
      <c r="I72" s="1"/>
      <c r="J72" s="1"/>
      <c r="K72" s="1">
        <v>0</v>
      </c>
      <c r="L72" s="1">
        <v>0</v>
      </c>
      <c r="M72" s="4">
        <f t="shared" si="33"/>
        <v>0</v>
      </c>
      <c r="N72" s="4">
        <f t="shared" si="34"/>
        <v>0</v>
      </c>
      <c r="O72" s="4">
        <f t="shared" si="35"/>
        <v>0</v>
      </c>
      <c r="P72" s="4">
        <f t="shared" si="36"/>
        <v>0</v>
      </c>
      <c r="Q72" s="4"/>
      <c r="R72" s="4"/>
      <c r="S72" s="4"/>
      <c r="T72" s="4"/>
      <c r="U72" s="4"/>
      <c r="V72" s="4">
        <v>96.512100000000004</v>
      </c>
      <c r="W72" s="1">
        <f t="shared" si="44"/>
        <v>96.512100000000004</v>
      </c>
      <c r="X72" s="1">
        <f t="shared" si="41"/>
        <v>2412.8025000000002</v>
      </c>
      <c r="Y72" s="1">
        <f t="shared" si="45"/>
        <v>2412.8025000000002</v>
      </c>
      <c r="Z72" s="1">
        <f t="shared" si="42"/>
        <v>0</v>
      </c>
      <c r="AA72" s="1">
        <f t="shared" si="43"/>
        <v>0</v>
      </c>
      <c r="AB72" s="4"/>
      <c r="AW72">
        <f t="shared" si="46"/>
        <v>1.1357985583732882E-2</v>
      </c>
      <c r="AX72">
        <f t="shared" si="47"/>
        <v>3776.7590546196689</v>
      </c>
      <c r="AY72">
        <f t="shared" si="37"/>
        <v>2044.2939563166744</v>
      </c>
      <c r="AZ72">
        <f t="shared" si="38"/>
        <v>1732.4650983029944</v>
      </c>
    </row>
    <row r="73" spans="1:52" x14ac:dyDescent="0.35">
      <c r="A73" s="1">
        <v>72</v>
      </c>
      <c r="B73" s="1">
        <v>8062.2213477933838</v>
      </c>
      <c r="C73" s="1">
        <v>0</v>
      </c>
      <c r="D73" s="1"/>
      <c r="E73" s="1">
        <v>8062.22</v>
      </c>
      <c r="F73" s="1"/>
      <c r="G73" s="1"/>
      <c r="H73" s="1"/>
      <c r="I73" s="1"/>
      <c r="J73" s="1"/>
      <c r="K73" s="1">
        <v>0</v>
      </c>
      <c r="L73" s="1">
        <v>0</v>
      </c>
      <c r="M73" s="4">
        <f t="shared" si="33"/>
        <v>0</v>
      </c>
      <c r="N73" s="4">
        <f t="shared" si="34"/>
        <v>0</v>
      </c>
      <c r="O73" s="4">
        <f t="shared" si="35"/>
        <v>0</v>
      </c>
      <c r="P73" s="4">
        <f t="shared" si="36"/>
        <v>0</v>
      </c>
      <c r="Q73" s="4"/>
      <c r="R73" s="4"/>
      <c r="S73" s="4"/>
      <c r="T73" s="4"/>
      <c r="U73" s="4"/>
      <c r="V73" s="4">
        <v>174.48599999999999</v>
      </c>
      <c r="W73" s="1">
        <f t="shared" si="44"/>
        <v>174.48599999999999</v>
      </c>
      <c r="X73" s="1">
        <f t="shared" si="41"/>
        <v>4362.1499999999996</v>
      </c>
      <c r="Y73" s="1">
        <f t="shared" si="45"/>
        <v>4362.1499999999996</v>
      </c>
      <c r="Z73" s="1">
        <f t="shared" si="42"/>
        <v>0</v>
      </c>
      <c r="AA73" s="1">
        <f t="shared" si="43"/>
        <v>0</v>
      </c>
      <c r="AB73" s="4"/>
      <c r="AW73">
        <f t="shared" si="46"/>
        <v>1.9934683746076182E-2</v>
      </c>
      <c r="AX73">
        <f t="shared" si="47"/>
        <v>6628.6840024521898</v>
      </c>
      <c r="AY73">
        <f t="shared" si="37"/>
        <v>3587.9913038060249</v>
      </c>
      <c r="AZ73">
        <f t="shared" si="38"/>
        <v>3040.6926986461649</v>
      </c>
    </row>
    <row r="74" spans="1:52" x14ac:dyDescent="0.35">
      <c r="A74" s="1">
        <v>73</v>
      </c>
      <c r="B74" s="1">
        <v>4657.9117518025187</v>
      </c>
      <c r="C74" s="1">
        <v>0</v>
      </c>
      <c r="D74" s="1"/>
      <c r="E74" s="1">
        <v>4657.91</v>
      </c>
      <c r="F74" s="1"/>
      <c r="G74" s="1"/>
      <c r="H74" s="1"/>
      <c r="I74" s="1"/>
      <c r="J74" s="1"/>
      <c r="K74" s="1">
        <v>0</v>
      </c>
      <c r="L74" s="1">
        <v>0</v>
      </c>
      <c r="M74" s="4">
        <f t="shared" si="33"/>
        <v>0</v>
      </c>
      <c r="N74" s="4">
        <f t="shared" si="34"/>
        <v>0</v>
      </c>
      <c r="O74" s="4">
        <f t="shared" si="35"/>
        <v>0</v>
      </c>
      <c r="P74" s="4">
        <f t="shared" si="36"/>
        <v>0</v>
      </c>
      <c r="Q74" s="4"/>
      <c r="R74" s="4"/>
      <c r="S74" s="4"/>
      <c r="T74" s="4"/>
      <c r="U74" s="4"/>
      <c r="V74" s="4">
        <v>98.659400000000005</v>
      </c>
      <c r="W74" s="1">
        <f t="shared" si="44"/>
        <v>98.659400000000005</v>
      </c>
      <c r="X74" s="1">
        <f t="shared" si="41"/>
        <v>2466.4850000000001</v>
      </c>
      <c r="Y74" s="1">
        <f t="shared" si="45"/>
        <v>2466.4850000000001</v>
      </c>
      <c r="Z74" s="1">
        <f t="shared" si="42"/>
        <v>0</v>
      </c>
      <c r="AA74" s="1">
        <f t="shared" si="43"/>
        <v>0</v>
      </c>
      <c r="AB74" s="4"/>
      <c r="AW74">
        <f t="shared" si="46"/>
        <v>1.1517172958136269E-2</v>
      </c>
      <c r="AX74">
        <f t="shared" si="47"/>
        <v>3829.6920640188168</v>
      </c>
      <c r="AY74">
        <f t="shared" si="37"/>
        <v>2072.9456732092231</v>
      </c>
      <c r="AZ74">
        <f t="shared" si="38"/>
        <v>1756.7463908095938</v>
      </c>
    </row>
    <row r="75" spans="1:52" x14ac:dyDescent="0.35">
      <c r="A75" s="1">
        <v>74</v>
      </c>
      <c r="B75" s="1">
        <v>4129.0607113934348</v>
      </c>
      <c r="C75" s="1">
        <v>0</v>
      </c>
      <c r="D75" s="1"/>
      <c r="E75" s="1">
        <v>4129.0600000000004</v>
      </c>
      <c r="F75" s="1"/>
      <c r="G75" s="1"/>
      <c r="H75" s="1"/>
      <c r="I75" s="1"/>
      <c r="J75" s="1"/>
      <c r="K75" s="1">
        <v>0</v>
      </c>
      <c r="L75" s="1">
        <v>0</v>
      </c>
      <c r="M75" s="4">
        <f t="shared" si="33"/>
        <v>0</v>
      </c>
      <c r="N75" s="4">
        <f t="shared" si="34"/>
        <v>0</v>
      </c>
      <c r="O75" s="4">
        <f t="shared" si="35"/>
        <v>0</v>
      </c>
      <c r="P75" s="4">
        <f t="shared" si="36"/>
        <v>0</v>
      </c>
      <c r="Q75" s="4"/>
      <c r="R75" s="4"/>
      <c r="S75" s="4"/>
      <c r="T75" s="4"/>
      <c r="U75" s="4"/>
      <c r="V75" s="4">
        <v>86.753399999999999</v>
      </c>
      <c r="W75" s="1">
        <f t="shared" si="44"/>
        <v>86.753399999999999</v>
      </c>
      <c r="X75" s="1">
        <f t="shared" si="41"/>
        <v>2168.835</v>
      </c>
      <c r="Y75" s="1">
        <f t="shared" si="45"/>
        <v>2168.835</v>
      </c>
      <c r="Z75" s="1">
        <f t="shared" si="42"/>
        <v>0</v>
      </c>
      <c r="AA75" s="1">
        <f t="shared" si="43"/>
        <v>0</v>
      </c>
      <c r="AB75" s="4"/>
      <c r="AW75">
        <f t="shared" si="46"/>
        <v>1.0209533563911015E-2</v>
      </c>
      <c r="AX75">
        <f t="shared" si="47"/>
        <v>3394.8756182759366</v>
      </c>
      <c r="AY75">
        <f t="shared" si="37"/>
        <v>1837.5870974345812</v>
      </c>
      <c r="AZ75">
        <f t="shared" si="38"/>
        <v>1557.2885208413554</v>
      </c>
    </row>
    <row r="76" spans="1:52" x14ac:dyDescent="0.35">
      <c r="A76" s="1">
        <v>75</v>
      </c>
      <c r="B76" s="1">
        <v>14350.316193396229</v>
      </c>
      <c r="C76" s="1">
        <v>0</v>
      </c>
      <c r="D76" s="1"/>
      <c r="E76" s="1">
        <v>14350.3</v>
      </c>
      <c r="F76" s="1"/>
      <c r="G76" s="1"/>
      <c r="H76" s="1"/>
      <c r="I76" s="1"/>
      <c r="J76" s="1"/>
      <c r="K76" s="1">
        <v>0</v>
      </c>
      <c r="L76" s="1">
        <v>0</v>
      </c>
      <c r="M76" s="4">
        <f t="shared" si="33"/>
        <v>0</v>
      </c>
      <c r="N76" s="4">
        <f t="shared" si="34"/>
        <v>0</v>
      </c>
      <c r="O76" s="4">
        <f t="shared" si="35"/>
        <v>0</v>
      </c>
      <c r="P76" s="4">
        <f t="shared" si="36"/>
        <v>0</v>
      </c>
      <c r="Q76" s="4"/>
      <c r="R76" s="4"/>
      <c r="S76" s="4"/>
      <c r="T76" s="4"/>
      <c r="U76" s="4"/>
      <c r="V76" s="4">
        <v>250.209</v>
      </c>
      <c r="W76" s="1">
        <f t="shared" si="44"/>
        <v>250.209</v>
      </c>
      <c r="X76" s="1">
        <f t="shared" si="41"/>
        <v>6255.2250000000004</v>
      </c>
      <c r="Y76" s="1">
        <f t="shared" si="45"/>
        <v>6255.2250000000004</v>
      </c>
      <c r="Z76" s="1">
        <f t="shared" si="42"/>
        <v>0</v>
      </c>
      <c r="AA76" s="1">
        <f t="shared" si="43"/>
        <v>0</v>
      </c>
      <c r="AB76" s="4"/>
      <c r="AW76">
        <f t="shared" si="46"/>
        <v>3.5482654547787408E-2</v>
      </c>
      <c r="AX76">
        <f t="shared" si="47"/>
        <v>11798.697564577707</v>
      </c>
      <c r="AY76">
        <f t="shared" si="37"/>
        <v>6386.4296808056315</v>
      </c>
      <c r="AZ76">
        <f t="shared" si="38"/>
        <v>5412.2678837720759</v>
      </c>
    </row>
    <row r="77" spans="1:52" x14ac:dyDescent="0.35">
      <c r="A77" s="1">
        <v>76</v>
      </c>
      <c r="B77" s="1">
        <v>5149.4780654648821</v>
      </c>
      <c r="C77" s="1">
        <v>0</v>
      </c>
      <c r="D77" s="1"/>
      <c r="E77" s="1">
        <v>5149.4799999999996</v>
      </c>
      <c r="F77" s="1"/>
      <c r="G77" s="1"/>
      <c r="H77" s="1"/>
      <c r="I77" s="1"/>
      <c r="J77" s="1"/>
      <c r="K77" s="1">
        <v>0</v>
      </c>
      <c r="L77" s="1">
        <v>0</v>
      </c>
      <c r="M77" s="4">
        <f t="shared" si="33"/>
        <v>0</v>
      </c>
      <c r="N77" s="4">
        <f t="shared" si="34"/>
        <v>0</v>
      </c>
      <c r="O77" s="4">
        <f t="shared" si="35"/>
        <v>0</v>
      </c>
      <c r="P77" s="4">
        <f t="shared" si="36"/>
        <v>0</v>
      </c>
      <c r="Q77" s="4"/>
      <c r="R77" s="4"/>
      <c r="S77" s="4"/>
      <c r="T77" s="4"/>
      <c r="U77" s="4"/>
      <c r="V77" s="4">
        <v>108.91500000000001</v>
      </c>
      <c r="W77" s="1">
        <f t="shared" si="44"/>
        <v>108.91500000000001</v>
      </c>
      <c r="X77" s="1">
        <f t="shared" si="41"/>
        <v>2722.875</v>
      </c>
      <c r="Y77" s="1">
        <f t="shared" si="45"/>
        <v>2722.875</v>
      </c>
      <c r="Z77" s="1">
        <f t="shared" si="42"/>
        <v>0</v>
      </c>
      <c r="AA77" s="1">
        <f t="shared" si="43"/>
        <v>0</v>
      </c>
      <c r="AB77" s="4"/>
      <c r="AW77">
        <f t="shared" si="46"/>
        <v>1.2732621974028859E-2</v>
      </c>
      <c r="AX77">
        <f t="shared" si="47"/>
        <v>4233.8533514548071</v>
      </c>
      <c r="AY77">
        <f t="shared" si="37"/>
        <v>2291.711145227338</v>
      </c>
      <c r="AZ77">
        <f t="shared" si="38"/>
        <v>1942.1422062274692</v>
      </c>
    </row>
    <row r="78" spans="1:52" x14ac:dyDescent="0.35">
      <c r="A78" s="1">
        <v>77</v>
      </c>
      <c r="B78" s="1">
        <v>4612.9275296437472</v>
      </c>
      <c r="C78" s="1">
        <v>0</v>
      </c>
      <c r="D78" s="1"/>
      <c r="E78" s="1">
        <v>4612.93</v>
      </c>
      <c r="F78" s="1"/>
      <c r="G78" s="1"/>
      <c r="H78" s="1"/>
      <c r="I78" s="1"/>
      <c r="J78" s="1"/>
      <c r="K78" s="1">
        <v>0</v>
      </c>
      <c r="L78" s="1">
        <v>0</v>
      </c>
      <c r="M78" s="4">
        <f t="shared" si="33"/>
        <v>0</v>
      </c>
      <c r="N78" s="4">
        <f t="shared" si="34"/>
        <v>0</v>
      </c>
      <c r="O78" s="4">
        <f t="shared" si="35"/>
        <v>0</v>
      </c>
      <c r="P78" s="4">
        <f t="shared" si="36"/>
        <v>0</v>
      </c>
      <c r="Q78" s="4"/>
      <c r="R78" s="4"/>
      <c r="S78" s="4"/>
      <c r="T78" s="4"/>
      <c r="U78" s="4"/>
      <c r="V78" s="4">
        <v>98.416499999999999</v>
      </c>
      <c r="W78" s="1">
        <f t="shared" si="44"/>
        <v>98.416499999999999</v>
      </c>
      <c r="X78" s="1">
        <f t="shared" si="41"/>
        <v>2460.4124999999999</v>
      </c>
      <c r="Y78" s="1">
        <f t="shared" si="45"/>
        <v>2460.4124999999999</v>
      </c>
      <c r="Z78" s="1">
        <f t="shared" si="42"/>
        <v>0</v>
      </c>
      <c r="AA78" s="1">
        <f t="shared" si="43"/>
        <v>0</v>
      </c>
      <c r="AB78" s="4"/>
      <c r="AW78">
        <f t="shared" si="46"/>
        <v>1.1405944773791791E-2</v>
      </c>
      <c r="AX78">
        <f t="shared" si="47"/>
        <v>3792.7064516269888</v>
      </c>
      <c r="AY78">
        <f t="shared" si="37"/>
        <v>2052.9260048136971</v>
      </c>
      <c r="AZ78">
        <f t="shared" si="38"/>
        <v>1739.7804468132917</v>
      </c>
    </row>
    <row r="79" spans="1:52" x14ac:dyDescent="0.35">
      <c r="A79" s="1">
        <v>78</v>
      </c>
      <c r="B79" s="1">
        <v>4299.5858542619962</v>
      </c>
      <c r="C79" s="1">
        <v>0</v>
      </c>
      <c r="D79" s="1"/>
      <c r="E79" s="1">
        <v>4299.59</v>
      </c>
      <c r="F79" s="1"/>
      <c r="G79" s="1"/>
      <c r="H79" s="1"/>
      <c r="I79" s="1"/>
      <c r="J79" s="1"/>
      <c r="K79" s="1">
        <v>0</v>
      </c>
      <c r="L79" s="1">
        <v>0</v>
      </c>
      <c r="M79" s="4">
        <f t="shared" ref="M79:M100" si="48">$S$18*C79*1000</f>
        <v>0</v>
      </c>
      <c r="N79" s="4">
        <f t="shared" ref="N79:N100" si="49">$S$19*C79</f>
        <v>0</v>
      </c>
      <c r="O79" s="4">
        <f t="shared" ref="O79:O100" si="50">$S$19*D79</f>
        <v>0</v>
      </c>
      <c r="P79" s="4">
        <f t="shared" ref="P79:P100" si="51">$S$19*K79</f>
        <v>0</v>
      </c>
      <c r="Q79" s="4"/>
      <c r="R79" s="4"/>
      <c r="S79" s="4"/>
      <c r="T79" s="4"/>
      <c r="U79" s="4"/>
      <c r="V79" s="4">
        <v>78.811800000000005</v>
      </c>
      <c r="W79" s="1">
        <f t="shared" si="44"/>
        <v>78.811800000000005</v>
      </c>
      <c r="X79" s="1">
        <f t="shared" si="41"/>
        <v>1970.2950000000001</v>
      </c>
      <c r="Y79" s="1">
        <f t="shared" si="45"/>
        <v>1970.2950000000001</v>
      </c>
      <c r="Z79" s="1">
        <f t="shared" si="42"/>
        <v>0</v>
      </c>
      <c r="AA79" s="1">
        <f t="shared" si="43"/>
        <v>0</v>
      </c>
      <c r="AB79" s="4"/>
      <c r="AW79">
        <f t="shared" si="46"/>
        <v>1.0631174777566062E-2</v>
      </c>
      <c r="AX79">
        <f t="shared" si="47"/>
        <v>3535.0798173157068</v>
      </c>
      <c r="AY79">
        <f t="shared" ref="AY79:AY104" si="52">AW79*$AV$10</f>
        <v>1913.4771906605802</v>
      </c>
      <c r="AZ79">
        <f t="shared" si="38"/>
        <v>1621.6026266551266</v>
      </c>
    </row>
    <row r="80" spans="1:52" x14ac:dyDescent="0.35">
      <c r="A80" s="1">
        <v>79</v>
      </c>
      <c r="B80" s="1">
        <v>3153.09355833985</v>
      </c>
      <c r="C80" s="1">
        <v>0</v>
      </c>
      <c r="D80" s="1"/>
      <c r="E80" s="1">
        <v>3153.09</v>
      </c>
      <c r="F80" s="1"/>
      <c r="G80" s="1"/>
      <c r="H80" s="1"/>
      <c r="I80" s="1"/>
      <c r="J80" s="1"/>
      <c r="K80" s="1">
        <v>0</v>
      </c>
      <c r="L80" s="1">
        <v>0</v>
      </c>
      <c r="M80" s="4">
        <f t="shared" si="48"/>
        <v>0</v>
      </c>
      <c r="N80" s="4">
        <f t="shared" si="49"/>
        <v>0</v>
      </c>
      <c r="O80" s="4">
        <f t="shared" si="50"/>
        <v>0</v>
      </c>
      <c r="P80" s="4">
        <f t="shared" si="51"/>
        <v>0</v>
      </c>
      <c r="Q80" s="4"/>
      <c r="R80" s="4"/>
      <c r="S80" s="4"/>
      <c r="T80" s="4"/>
      <c r="U80" s="4"/>
      <c r="V80" s="4">
        <v>66.247900000000001</v>
      </c>
      <c r="W80" s="1">
        <f t="shared" si="44"/>
        <v>66.247900000000001</v>
      </c>
      <c r="X80" s="1">
        <f t="shared" si="41"/>
        <v>1656.1975</v>
      </c>
      <c r="Y80" s="1">
        <f t="shared" si="45"/>
        <v>1656.1975</v>
      </c>
      <c r="Z80" s="1">
        <f t="shared" si="42"/>
        <v>0</v>
      </c>
      <c r="AA80" s="1">
        <f t="shared" si="43"/>
        <v>0</v>
      </c>
      <c r="AB80" s="4"/>
      <c r="AW80">
        <f t="shared" si="46"/>
        <v>7.7963529151303286E-3</v>
      </c>
      <c r="AX80">
        <f t="shared" si="47"/>
        <v>2592.4444302342235</v>
      </c>
      <c r="AY80">
        <f t="shared" si="52"/>
        <v>1403.2450585726724</v>
      </c>
      <c r="AZ80">
        <f t="shared" si="38"/>
        <v>1189.1993716615511</v>
      </c>
    </row>
    <row r="81" spans="1:52" x14ac:dyDescent="0.35">
      <c r="A81" s="1">
        <v>80</v>
      </c>
      <c r="B81" s="1">
        <v>4296.4999200900902</v>
      </c>
      <c r="C81" s="1">
        <v>0</v>
      </c>
      <c r="D81" s="1"/>
      <c r="E81" s="1">
        <v>4296.5</v>
      </c>
      <c r="F81" s="1"/>
      <c r="G81" s="1"/>
      <c r="H81" s="1"/>
      <c r="I81" s="1"/>
      <c r="J81" s="1"/>
      <c r="K81" s="1">
        <v>0</v>
      </c>
      <c r="L81" s="1">
        <v>0</v>
      </c>
      <c r="M81" s="4">
        <f t="shared" si="48"/>
        <v>0</v>
      </c>
      <c r="N81" s="4">
        <f t="shared" si="49"/>
        <v>0</v>
      </c>
      <c r="O81" s="4">
        <f t="shared" si="50"/>
        <v>0</v>
      </c>
      <c r="P81" s="4">
        <f t="shared" si="51"/>
        <v>0</v>
      </c>
      <c r="Q81" s="4"/>
      <c r="R81" s="4"/>
      <c r="S81" s="4"/>
      <c r="T81" s="4"/>
      <c r="U81" s="4"/>
      <c r="V81" s="4">
        <v>89.923500000000004</v>
      </c>
      <c r="W81" s="1">
        <f t="shared" si="44"/>
        <v>89.923500000000004</v>
      </c>
      <c r="X81" s="1">
        <f t="shared" si="41"/>
        <v>2248.0875000000001</v>
      </c>
      <c r="Y81" s="1">
        <f>X81-M81</f>
        <v>2248.0875000000001</v>
      </c>
      <c r="Z81" s="1">
        <f t="shared" si="42"/>
        <v>0</v>
      </c>
      <c r="AA81" s="1">
        <f t="shared" si="43"/>
        <v>0</v>
      </c>
      <c r="AB81" s="4"/>
      <c r="AW81">
        <f t="shared" si="46"/>
        <v>1.0623544483243395E-2</v>
      </c>
      <c r="AX81">
        <f t="shared" si="47"/>
        <v>3532.5425907133222</v>
      </c>
      <c r="AY81">
        <f t="shared" si="52"/>
        <v>1912.1038340513689</v>
      </c>
      <c r="AZ81">
        <f t="shared" si="38"/>
        <v>1620.4387566619532</v>
      </c>
    </row>
    <row r="82" spans="1:52" x14ac:dyDescent="0.35">
      <c r="A82" s="1">
        <v>81</v>
      </c>
      <c r="B82" s="1">
        <v>1722.7511821559251</v>
      </c>
      <c r="C82" s="1">
        <v>0</v>
      </c>
      <c r="D82" s="1"/>
      <c r="E82" s="1">
        <v>1722.75</v>
      </c>
      <c r="F82" s="1"/>
      <c r="G82" s="1"/>
      <c r="H82" s="1"/>
      <c r="I82" s="1"/>
      <c r="J82" s="1"/>
      <c r="K82" s="1">
        <v>0</v>
      </c>
      <c r="L82" s="1">
        <v>0</v>
      </c>
      <c r="M82" s="4">
        <f t="shared" si="48"/>
        <v>0</v>
      </c>
      <c r="N82" s="4">
        <f t="shared" si="49"/>
        <v>0</v>
      </c>
      <c r="O82" s="4">
        <f t="shared" si="50"/>
        <v>0</v>
      </c>
      <c r="P82" s="4">
        <f t="shared" si="51"/>
        <v>0</v>
      </c>
      <c r="Q82" s="4"/>
      <c r="R82" s="4"/>
      <c r="S82" s="4"/>
      <c r="T82" s="4"/>
      <c r="U82" s="4"/>
      <c r="V82" s="4">
        <v>30.037500000000001</v>
      </c>
      <c r="W82" s="1">
        <f t="shared" si="44"/>
        <v>30.037500000000001</v>
      </c>
      <c r="X82" s="1">
        <f t="shared" si="41"/>
        <v>750.9375</v>
      </c>
      <c r="Y82" s="1">
        <f t="shared" ref="Y82:Y96" si="53">X82-M82</f>
        <v>750.9375</v>
      </c>
      <c r="Z82" s="1">
        <f t="shared" si="42"/>
        <v>0</v>
      </c>
      <c r="AA82" s="1">
        <f t="shared" si="43"/>
        <v>0</v>
      </c>
      <c r="AB82" s="4"/>
      <c r="AW82">
        <f t="shared" si="46"/>
        <v>4.2596821034759516E-3</v>
      </c>
      <c r="AX82">
        <f t="shared" si="47"/>
        <v>1416.4301262316615</v>
      </c>
      <c r="AY82">
        <f t="shared" si="52"/>
        <v>766.68897981680891</v>
      </c>
      <c r="AZ82">
        <f t="shared" si="38"/>
        <v>649.74114641485255</v>
      </c>
    </row>
    <row r="83" spans="1:52" x14ac:dyDescent="0.35">
      <c r="A83" s="1">
        <v>82</v>
      </c>
      <c r="B83" s="1">
        <v>8378.7212496204556</v>
      </c>
      <c r="C83" s="1">
        <v>0</v>
      </c>
      <c r="D83" s="1"/>
      <c r="E83" s="1">
        <v>8378.7199999999993</v>
      </c>
      <c r="F83" s="1"/>
      <c r="G83" s="1"/>
      <c r="H83" s="1"/>
      <c r="I83" s="1"/>
      <c r="J83" s="1"/>
      <c r="K83" s="1">
        <v>0</v>
      </c>
      <c r="L83" s="1">
        <v>0</v>
      </c>
      <c r="M83" s="4">
        <f t="shared" si="48"/>
        <v>0</v>
      </c>
      <c r="N83" s="4">
        <f t="shared" si="49"/>
        <v>0</v>
      </c>
      <c r="O83" s="4">
        <f t="shared" si="50"/>
        <v>0</v>
      </c>
      <c r="P83" s="4">
        <f t="shared" si="51"/>
        <v>0</v>
      </c>
      <c r="Q83" s="4"/>
      <c r="R83" s="4"/>
      <c r="S83" s="4"/>
      <c r="T83" s="4"/>
      <c r="U83" s="4"/>
      <c r="V83" s="4">
        <v>122.405</v>
      </c>
      <c r="W83" s="1">
        <f t="shared" si="44"/>
        <v>122.405</v>
      </c>
      <c r="X83" s="1">
        <f t="shared" si="41"/>
        <v>3060.125</v>
      </c>
      <c r="Y83" s="1">
        <f t="shared" si="53"/>
        <v>3060.125</v>
      </c>
      <c r="Z83" s="1">
        <f t="shared" si="42"/>
        <v>0</v>
      </c>
      <c r="AA83" s="1">
        <f t="shared" si="43"/>
        <v>0</v>
      </c>
      <c r="AB83" s="4"/>
      <c r="AW83">
        <f t="shared" si="46"/>
        <v>2.0717262786815824E-2</v>
      </c>
      <c r="AX83">
        <f t="shared" si="47"/>
        <v>6888.9073014060205</v>
      </c>
      <c r="AY83">
        <f t="shared" si="52"/>
        <v>3728.8456473452038</v>
      </c>
      <c r="AZ83">
        <f t="shared" si="38"/>
        <v>3160.0616540608166</v>
      </c>
    </row>
    <row r="84" spans="1:52" x14ac:dyDescent="0.35">
      <c r="A84" s="1">
        <v>83</v>
      </c>
      <c r="B84" s="1">
        <v>4180.060549855245</v>
      </c>
      <c r="C84" s="1">
        <v>0</v>
      </c>
      <c r="D84" s="1"/>
      <c r="E84" s="1">
        <v>4180.0600000000004</v>
      </c>
      <c r="F84" s="1"/>
      <c r="G84" s="1"/>
      <c r="H84" s="1"/>
      <c r="I84" s="1"/>
      <c r="J84" s="1"/>
      <c r="K84" s="1">
        <v>0</v>
      </c>
      <c r="L84" s="1">
        <v>0</v>
      </c>
      <c r="M84" s="4">
        <f t="shared" si="48"/>
        <v>0</v>
      </c>
      <c r="N84" s="4">
        <f t="shared" si="49"/>
        <v>0</v>
      </c>
      <c r="O84" s="4">
        <f t="shared" si="50"/>
        <v>0</v>
      </c>
      <c r="P84" s="4">
        <f t="shared" si="51"/>
        <v>0</v>
      </c>
      <c r="Q84" s="4"/>
      <c r="R84" s="4"/>
      <c r="S84" s="4"/>
      <c r="T84" s="4"/>
      <c r="U84" s="4"/>
      <c r="V84" s="4">
        <v>92.304299999999998</v>
      </c>
      <c r="W84" s="1">
        <f t="shared" si="44"/>
        <v>92.304299999999998</v>
      </c>
      <c r="X84" s="1">
        <f t="shared" si="41"/>
        <v>2307.6075000000001</v>
      </c>
      <c r="Y84" s="1">
        <f t="shared" si="53"/>
        <v>2307.6075000000001</v>
      </c>
      <c r="Z84" s="1">
        <f t="shared" si="42"/>
        <v>0</v>
      </c>
      <c r="AA84" s="1">
        <f t="shared" si="43"/>
        <v>0</v>
      </c>
      <c r="AB84" s="4"/>
      <c r="AW84">
        <f t="shared" si="46"/>
        <v>1.0335635987421803E-2</v>
      </c>
      <c r="AX84">
        <f t="shared" si="47"/>
        <v>3436.8072148863389</v>
      </c>
      <c r="AY84">
        <f t="shared" si="52"/>
        <v>1860.2839410218105</v>
      </c>
      <c r="AZ84">
        <f t="shared" si="38"/>
        <v>1576.5232738645284</v>
      </c>
    </row>
    <row r="85" spans="1:52" x14ac:dyDescent="0.35">
      <c r="A85" s="1">
        <v>84</v>
      </c>
      <c r="B85" s="1">
        <v>3330.950005722922</v>
      </c>
      <c r="C85" s="1">
        <v>0</v>
      </c>
      <c r="D85" s="1"/>
      <c r="E85" s="1">
        <v>3330.95</v>
      </c>
      <c r="F85" s="1"/>
      <c r="G85" s="1"/>
      <c r="H85" s="1"/>
      <c r="I85" s="1"/>
      <c r="J85" s="1"/>
      <c r="K85" s="1">
        <v>0</v>
      </c>
      <c r="L85" s="1">
        <v>0</v>
      </c>
      <c r="M85" s="4">
        <f t="shared" si="48"/>
        <v>0</v>
      </c>
      <c r="N85" s="4">
        <f t="shared" si="49"/>
        <v>0</v>
      </c>
      <c r="O85" s="4">
        <f t="shared" si="50"/>
        <v>0</v>
      </c>
      <c r="P85" s="4">
        <f t="shared" si="51"/>
        <v>0</v>
      </c>
      <c r="Q85" s="4"/>
      <c r="R85" s="4"/>
      <c r="S85" s="4"/>
      <c r="T85" s="4"/>
      <c r="U85" s="4"/>
      <c r="V85" s="4">
        <v>57.065800000000003</v>
      </c>
      <c r="W85" s="1">
        <f t="shared" si="44"/>
        <v>57.065800000000003</v>
      </c>
      <c r="X85" s="1">
        <f t="shared" si="41"/>
        <v>1426.645</v>
      </c>
      <c r="Y85" s="1">
        <f t="shared" si="53"/>
        <v>1426.645</v>
      </c>
      <c r="Z85" s="1">
        <f t="shared" si="42"/>
        <v>0</v>
      </c>
      <c r="AA85" s="1">
        <f t="shared" si="43"/>
        <v>0</v>
      </c>
      <c r="AB85" s="4"/>
      <c r="AW85">
        <f t="shared" si="46"/>
        <v>8.2361215443744976E-3</v>
      </c>
      <c r="AX85">
        <f t="shared" si="47"/>
        <v>2738.6763602002529</v>
      </c>
      <c r="AY85">
        <f t="shared" si="52"/>
        <v>1482.3978576596082</v>
      </c>
      <c r="AZ85">
        <f t="shared" si="38"/>
        <v>1256.2785025406447</v>
      </c>
    </row>
    <row r="86" spans="1:52" x14ac:dyDescent="0.35">
      <c r="A86" s="1">
        <v>85</v>
      </c>
      <c r="B86" s="1">
        <v>2875.5642031497382</v>
      </c>
      <c r="C86" s="1">
        <v>0</v>
      </c>
      <c r="D86" s="1"/>
      <c r="E86" s="1">
        <v>2875.56</v>
      </c>
      <c r="F86" s="1"/>
      <c r="G86" s="1"/>
      <c r="H86" s="1"/>
      <c r="I86" s="1"/>
      <c r="J86" s="1"/>
      <c r="K86" s="1">
        <v>0</v>
      </c>
      <c r="L86" s="1">
        <v>0</v>
      </c>
      <c r="M86" s="4">
        <f t="shared" si="48"/>
        <v>0</v>
      </c>
      <c r="N86" s="4">
        <f t="shared" si="49"/>
        <v>0</v>
      </c>
      <c r="O86" s="4">
        <f t="shared" si="50"/>
        <v>0</v>
      </c>
      <c r="P86" s="4">
        <f t="shared" si="51"/>
        <v>0</v>
      </c>
      <c r="Q86" s="4"/>
      <c r="R86" s="4"/>
      <c r="S86" s="4"/>
      <c r="T86" s="4"/>
      <c r="U86" s="4"/>
      <c r="V86" s="4">
        <v>62.269399999999997</v>
      </c>
      <c r="W86" s="1">
        <f t="shared" si="44"/>
        <v>62.269399999999997</v>
      </c>
      <c r="X86" s="1">
        <f t="shared" si="41"/>
        <v>1556.7349999999999</v>
      </c>
      <c r="Y86" s="1">
        <f t="shared" si="53"/>
        <v>1556.7349999999999</v>
      </c>
      <c r="Z86" s="1">
        <f t="shared" si="42"/>
        <v>0</v>
      </c>
      <c r="AA86" s="1">
        <f t="shared" si="43"/>
        <v>0</v>
      </c>
      <c r="AB86" s="4"/>
      <c r="AW86">
        <f t="shared" si="46"/>
        <v>7.1101326183529955E-3</v>
      </c>
      <c r="AX86">
        <f t="shared" si="47"/>
        <v>2364.2623551460624</v>
      </c>
      <c r="AY86">
        <f t="shared" si="52"/>
        <v>1279.7340719578535</v>
      </c>
      <c r="AZ86">
        <f t="shared" si="38"/>
        <v>1084.5282831882089</v>
      </c>
    </row>
    <row r="87" spans="1:52" x14ac:dyDescent="0.35">
      <c r="A87" s="1">
        <v>86</v>
      </c>
      <c r="B87" s="1">
        <v>2673.7959050516761</v>
      </c>
      <c r="C87" s="1">
        <v>0</v>
      </c>
      <c r="D87" s="1"/>
      <c r="E87" s="1">
        <v>2673.8</v>
      </c>
      <c r="F87" s="1"/>
      <c r="G87" s="1"/>
      <c r="H87" s="1"/>
      <c r="I87" s="1"/>
      <c r="J87" s="1"/>
      <c r="K87" s="1">
        <v>0</v>
      </c>
      <c r="L87" s="1">
        <v>0</v>
      </c>
      <c r="M87" s="4">
        <f t="shared" si="48"/>
        <v>0</v>
      </c>
      <c r="N87" s="4">
        <f t="shared" si="49"/>
        <v>0</v>
      </c>
      <c r="O87" s="4">
        <f t="shared" si="50"/>
        <v>0</v>
      </c>
      <c r="P87" s="4">
        <f t="shared" si="51"/>
        <v>0</v>
      </c>
      <c r="Q87" s="4"/>
      <c r="R87" s="4"/>
      <c r="S87" s="4"/>
      <c r="T87" s="4"/>
      <c r="U87" s="4"/>
      <c r="V87" s="4">
        <v>54.038899999999998</v>
      </c>
      <c r="W87" s="1">
        <f t="shared" si="44"/>
        <v>54.038899999999998</v>
      </c>
      <c r="X87" s="1">
        <f t="shared" si="41"/>
        <v>1350.9724999999999</v>
      </c>
      <c r="Y87" s="1">
        <f t="shared" si="53"/>
        <v>1350.9724999999999</v>
      </c>
      <c r="Z87" s="1">
        <f t="shared" si="42"/>
        <v>0</v>
      </c>
      <c r="AA87" s="1">
        <f t="shared" si="43"/>
        <v>0</v>
      </c>
      <c r="AB87" s="4"/>
      <c r="AW87">
        <f t="shared" si="46"/>
        <v>6.611239442507637E-3</v>
      </c>
      <c r="AX87">
        <f t="shared" si="47"/>
        <v>2198.3703221555907</v>
      </c>
      <c r="AY87">
        <f t="shared" si="52"/>
        <v>1189.9396012121788</v>
      </c>
      <c r="AZ87">
        <f t="shared" si="38"/>
        <v>1008.4307209434119</v>
      </c>
    </row>
    <row r="88" spans="1:52" x14ac:dyDescent="0.35">
      <c r="A88" s="1">
        <v>87</v>
      </c>
      <c r="B88" s="1">
        <v>19513.44492845656</v>
      </c>
      <c r="C88" s="1">
        <v>0</v>
      </c>
      <c r="D88" s="1"/>
      <c r="E88" s="1">
        <v>19513.400000000001</v>
      </c>
      <c r="F88" s="1"/>
      <c r="G88" s="1"/>
      <c r="H88" s="1"/>
      <c r="I88" s="1"/>
      <c r="J88" s="1"/>
      <c r="K88" s="1">
        <v>0</v>
      </c>
      <c r="L88" s="1">
        <v>0</v>
      </c>
      <c r="M88" s="4">
        <f t="shared" si="48"/>
        <v>0</v>
      </c>
      <c r="N88" s="4">
        <f t="shared" si="49"/>
        <v>0</v>
      </c>
      <c r="O88" s="4">
        <f t="shared" si="50"/>
        <v>0</v>
      </c>
      <c r="P88" s="4">
        <f t="shared" si="51"/>
        <v>0</v>
      </c>
      <c r="Q88" s="4"/>
      <c r="R88" s="4"/>
      <c r="S88" s="4"/>
      <c r="T88" s="4"/>
      <c r="U88" s="4"/>
      <c r="V88" s="4">
        <v>382.77600000000001</v>
      </c>
      <c r="W88" s="1">
        <f t="shared" si="44"/>
        <v>382.77600000000001</v>
      </c>
      <c r="X88" s="1">
        <f t="shared" si="41"/>
        <v>9569.4</v>
      </c>
      <c r="Y88" s="1">
        <f t="shared" si="53"/>
        <v>9569.4</v>
      </c>
      <c r="Z88" s="1">
        <f t="shared" si="42"/>
        <v>0</v>
      </c>
      <c r="AA88" s="1">
        <f t="shared" si="43"/>
        <v>0</v>
      </c>
      <c r="AB88" s="4"/>
      <c r="AW88">
        <f t="shared" si="46"/>
        <v>4.8249029227127677E-2</v>
      </c>
      <c r="AX88">
        <f t="shared" si="47"/>
        <v>16043.774370619862</v>
      </c>
      <c r="AY88">
        <f t="shared" si="52"/>
        <v>8684.215886700089</v>
      </c>
      <c r="AZ88">
        <f t="shared" si="38"/>
        <v>7359.5584839197727</v>
      </c>
    </row>
    <row r="89" spans="1:52" x14ac:dyDescent="0.35">
      <c r="A89" s="1">
        <v>88</v>
      </c>
      <c r="B89" s="1">
        <v>5533.3813285011611</v>
      </c>
      <c r="C89" s="1">
        <v>0</v>
      </c>
      <c r="D89" s="1"/>
      <c r="E89" s="1">
        <v>5533.38</v>
      </c>
      <c r="F89" s="1"/>
      <c r="G89" s="1"/>
      <c r="H89" s="1"/>
      <c r="I89" s="1"/>
      <c r="J89" s="1"/>
      <c r="K89" s="1">
        <v>0</v>
      </c>
      <c r="L89" s="1">
        <v>0</v>
      </c>
      <c r="M89" s="4">
        <f t="shared" si="48"/>
        <v>0</v>
      </c>
      <c r="N89" s="4">
        <f t="shared" si="49"/>
        <v>0</v>
      </c>
      <c r="O89" s="4">
        <f t="shared" si="50"/>
        <v>0</v>
      </c>
      <c r="P89" s="4">
        <f t="shared" si="51"/>
        <v>0</v>
      </c>
      <c r="Q89" s="4"/>
      <c r="R89" s="4"/>
      <c r="S89" s="4"/>
      <c r="T89" s="4"/>
      <c r="U89" s="4"/>
      <c r="V89" s="4">
        <v>110.304</v>
      </c>
      <c r="W89" s="1">
        <f t="shared" si="44"/>
        <v>110.304</v>
      </c>
      <c r="X89" s="1">
        <f t="shared" si="41"/>
        <v>2757.6</v>
      </c>
      <c r="Y89" s="1">
        <f t="shared" si="53"/>
        <v>2757.6</v>
      </c>
      <c r="Z89" s="1">
        <f t="shared" si="42"/>
        <v>0</v>
      </c>
      <c r="AA89" s="1">
        <f t="shared" si="43"/>
        <v>0</v>
      </c>
      <c r="AB89" s="4"/>
      <c r="AW89">
        <f t="shared" si="46"/>
        <v>1.3681862860327463E-2</v>
      </c>
      <c r="AX89">
        <f t="shared" si="47"/>
        <v>4549.4950720674869</v>
      </c>
      <c r="AY89">
        <f t="shared" si="52"/>
        <v>2462.5625160662112</v>
      </c>
      <c r="AZ89">
        <f t="shared" si="38"/>
        <v>2086.9325560012758</v>
      </c>
    </row>
    <row r="90" spans="1:52" x14ac:dyDescent="0.35">
      <c r="A90" s="1">
        <v>89</v>
      </c>
      <c r="B90" s="1">
        <v>7532.7075080212007</v>
      </c>
      <c r="C90" s="1">
        <v>0</v>
      </c>
      <c r="D90" s="1"/>
      <c r="E90" s="1">
        <v>7532.71</v>
      </c>
      <c r="F90" s="1"/>
      <c r="G90" s="1"/>
      <c r="H90" s="1"/>
      <c r="I90" s="1"/>
      <c r="J90" s="1"/>
      <c r="K90" s="1">
        <v>0</v>
      </c>
      <c r="L90" s="1">
        <v>0</v>
      </c>
      <c r="M90" s="4">
        <f t="shared" si="48"/>
        <v>0</v>
      </c>
      <c r="N90" s="4">
        <f t="shared" si="49"/>
        <v>0</v>
      </c>
      <c r="O90" s="4">
        <f t="shared" si="50"/>
        <v>0</v>
      </c>
      <c r="P90" s="4">
        <f t="shared" si="51"/>
        <v>0</v>
      </c>
      <c r="Q90" s="4"/>
      <c r="R90" s="4"/>
      <c r="S90" s="4"/>
      <c r="T90" s="4"/>
      <c r="U90" s="4"/>
      <c r="V90" s="4">
        <v>158.81</v>
      </c>
      <c r="W90" s="1">
        <f t="shared" si="44"/>
        <v>158.81</v>
      </c>
      <c r="X90" s="1">
        <f t="shared" si="41"/>
        <v>3970.25</v>
      </c>
      <c r="Y90" s="1">
        <f t="shared" si="53"/>
        <v>3970.25</v>
      </c>
      <c r="Z90" s="1">
        <f t="shared" si="42"/>
        <v>0</v>
      </c>
      <c r="AA90" s="1">
        <f t="shared" si="43"/>
        <v>0</v>
      </c>
      <c r="AB90" s="4"/>
      <c r="AW90">
        <f t="shared" si="46"/>
        <v>1.8625405511248506E-2</v>
      </c>
      <c r="AX90">
        <f t="shared" si="47"/>
        <v>6193.3226091885854</v>
      </c>
      <c r="AY90">
        <f t="shared" si="52"/>
        <v>3352.3377574211286</v>
      </c>
      <c r="AZ90">
        <f t="shared" si="38"/>
        <v>2840.9848517674568</v>
      </c>
    </row>
    <row r="91" spans="1:52" x14ac:dyDescent="0.35">
      <c r="A91" s="1">
        <v>90</v>
      </c>
      <c r="B91" s="1">
        <v>4797.2959806436729</v>
      </c>
      <c r="C91" s="1">
        <v>0</v>
      </c>
      <c r="D91" s="1"/>
      <c r="E91" s="1">
        <v>4797.3</v>
      </c>
      <c r="F91" s="1"/>
      <c r="G91" s="1"/>
      <c r="H91" s="1"/>
      <c r="I91" s="1"/>
      <c r="J91" s="1"/>
      <c r="K91" s="1">
        <v>0</v>
      </c>
      <c r="L91" s="1">
        <v>0</v>
      </c>
      <c r="M91" s="4">
        <f t="shared" si="48"/>
        <v>0</v>
      </c>
      <c r="N91" s="4">
        <f t="shared" si="49"/>
        <v>0</v>
      </c>
      <c r="O91" s="4">
        <f t="shared" si="50"/>
        <v>0</v>
      </c>
      <c r="P91" s="4">
        <f t="shared" si="51"/>
        <v>0</v>
      </c>
      <c r="Q91" s="4"/>
      <c r="R91" s="4"/>
      <c r="S91" s="4"/>
      <c r="T91" s="4"/>
      <c r="U91" s="4"/>
      <c r="V91" s="4">
        <v>100.91</v>
      </c>
      <c r="W91" s="1">
        <f t="shared" si="44"/>
        <v>100.91</v>
      </c>
      <c r="X91" s="1">
        <f t="shared" si="41"/>
        <v>2522.75</v>
      </c>
      <c r="Y91" s="1">
        <f t="shared" si="53"/>
        <v>2522.75</v>
      </c>
      <c r="Z91" s="1">
        <f t="shared" si="42"/>
        <v>0</v>
      </c>
      <c r="AA91" s="1">
        <f t="shared" si="43"/>
        <v>0</v>
      </c>
      <c r="AB91" s="4"/>
      <c r="AW91">
        <f t="shared" si="46"/>
        <v>1.1861815011644215E-2</v>
      </c>
      <c r="AX91">
        <f t="shared" si="47"/>
        <v>3944.2924908808714</v>
      </c>
      <c r="AY91">
        <f t="shared" si="52"/>
        <v>2134.9768900904919</v>
      </c>
      <c r="AZ91">
        <f t="shared" si="38"/>
        <v>1809.3156007903794</v>
      </c>
    </row>
    <row r="92" spans="1:52" x14ac:dyDescent="0.35">
      <c r="A92" s="1">
        <v>91</v>
      </c>
      <c r="B92" s="1">
        <v>5147.5629031179114</v>
      </c>
      <c r="C92" s="1">
        <v>0</v>
      </c>
      <c r="D92" s="1"/>
      <c r="E92" s="1">
        <v>5147.5600000000004</v>
      </c>
      <c r="F92" s="1"/>
      <c r="G92" s="1"/>
      <c r="H92" s="1"/>
      <c r="I92" s="1"/>
      <c r="J92" s="1"/>
      <c r="K92" s="1">
        <v>0</v>
      </c>
      <c r="L92" s="1">
        <v>0</v>
      </c>
      <c r="M92" s="4">
        <f t="shared" si="48"/>
        <v>0</v>
      </c>
      <c r="N92" s="4">
        <f t="shared" si="49"/>
        <v>0</v>
      </c>
      <c r="O92" s="4">
        <f t="shared" si="50"/>
        <v>0</v>
      </c>
      <c r="P92" s="4">
        <f t="shared" si="51"/>
        <v>0</v>
      </c>
      <c r="Q92" s="4"/>
      <c r="R92" s="4"/>
      <c r="S92" s="4"/>
      <c r="T92" s="4" t="s">
        <v>6</v>
      </c>
      <c r="U92" s="4"/>
      <c r="V92" s="4">
        <v>83.866</v>
      </c>
      <c r="W92" s="1">
        <f t="shared" si="44"/>
        <v>83.866</v>
      </c>
      <c r="X92" s="1">
        <f t="shared" si="41"/>
        <v>2096.65</v>
      </c>
      <c r="Y92" s="1">
        <f t="shared" si="53"/>
        <v>2096.65</v>
      </c>
      <c r="Z92" s="1">
        <f t="shared" si="42"/>
        <v>0</v>
      </c>
      <c r="AA92" s="1">
        <f t="shared" si="43"/>
        <v>0</v>
      </c>
      <c r="AB92" s="4"/>
      <c r="AW92">
        <f t="shared" si="46"/>
        <v>1.2727886535238195E-2</v>
      </c>
      <c r="AX92">
        <f t="shared" si="47"/>
        <v>4232.2787226442333</v>
      </c>
      <c r="AY92">
        <f t="shared" si="52"/>
        <v>2290.8588260525253</v>
      </c>
      <c r="AZ92">
        <f t="shared" si="38"/>
        <v>1941.419896591708</v>
      </c>
    </row>
    <row r="93" spans="1:52" x14ac:dyDescent="0.35">
      <c r="A93" s="1">
        <v>92</v>
      </c>
      <c r="B93" s="1">
        <v>2534.563494353717</v>
      </c>
      <c r="C93" s="1">
        <v>0</v>
      </c>
      <c r="D93" s="1"/>
      <c r="E93" s="1">
        <v>2534.56</v>
      </c>
      <c r="F93" s="1"/>
      <c r="G93" s="1"/>
      <c r="H93" s="1"/>
      <c r="I93" s="1"/>
      <c r="J93" s="1"/>
      <c r="K93" s="1">
        <v>0</v>
      </c>
      <c r="L93" s="1">
        <v>0</v>
      </c>
      <c r="M93" s="4">
        <f t="shared" si="48"/>
        <v>0</v>
      </c>
      <c r="N93" s="4">
        <f t="shared" si="49"/>
        <v>0</v>
      </c>
      <c r="O93" s="4">
        <f t="shared" si="50"/>
        <v>0</v>
      </c>
      <c r="P93" s="4">
        <f t="shared" si="51"/>
        <v>0</v>
      </c>
      <c r="Q93" s="4"/>
      <c r="R93" s="4"/>
      <c r="S93" s="4"/>
      <c r="T93" s="4"/>
      <c r="U93" s="4"/>
      <c r="V93" s="4">
        <v>53.252299999999998</v>
      </c>
      <c r="W93" s="1">
        <f t="shared" si="44"/>
        <v>53.252299999999998</v>
      </c>
      <c r="X93" s="1">
        <f t="shared" si="41"/>
        <v>1331.3074999999999</v>
      </c>
      <c r="Y93" s="1">
        <f t="shared" si="53"/>
        <v>1331.3074999999999</v>
      </c>
      <c r="Z93" s="1">
        <f t="shared" si="42"/>
        <v>0</v>
      </c>
      <c r="AA93" s="1">
        <f t="shared" si="43"/>
        <v>0</v>
      </c>
      <c r="AB93" s="4"/>
      <c r="AW93">
        <f t="shared" si="46"/>
        <v>6.2669727752041804E-3</v>
      </c>
      <c r="AX93">
        <f t="shared" si="47"/>
        <v>2083.8947187700524</v>
      </c>
      <c r="AY93">
        <f t="shared" si="52"/>
        <v>1127.9759491066761</v>
      </c>
      <c r="AZ93">
        <f t="shared" si="38"/>
        <v>955.91876966337622</v>
      </c>
    </row>
    <row r="94" spans="1:52" x14ac:dyDescent="0.35">
      <c r="A94" s="1">
        <v>93</v>
      </c>
      <c r="B94" s="1">
        <v>5159.4345472126533</v>
      </c>
      <c r="C94" s="1">
        <v>0</v>
      </c>
      <c r="D94" s="1"/>
      <c r="E94" s="1">
        <v>5159.43</v>
      </c>
      <c r="F94" s="1"/>
      <c r="G94" s="1"/>
      <c r="H94" s="1"/>
      <c r="I94" s="1"/>
      <c r="J94" s="1"/>
      <c r="K94" s="1">
        <v>0</v>
      </c>
      <c r="L94" s="1">
        <v>0</v>
      </c>
      <c r="M94" s="4">
        <f t="shared" si="48"/>
        <v>0</v>
      </c>
      <c r="N94" s="4">
        <f t="shared" si="49"/>
        <v>0</v>
      </c>
      <c r="O94" s="4">
        <f t="shared" si="50"/>
        <v>0</v>
      </c>
      <c r="P94" s="4">
        <f t="shared" si="51"/>
        <v>0</v>
      </c>
      <c r="Q94" s="4"/>
      <c r="R94" s="4"/>
      <c r="S94" s="4"/>
      <c r="T94" s="4"/>
      <c r="U94" s="4"/>
      <c r="V94" s="4">
        <v>109.45699999999999</v>
      </c>
      <c r="W94" s="1">
        <f t="shared" si="44"/>
        <v>109.45699999999999</v>
      </c>
      <c r="X94" s="1">
        <f t="shared" si="41"/>
        <v>2736.4249999999997</v>
      </c>
      <c r="Y94" s="1">
        <f t="shared" si="53"/>
        <v>2736.4249999999997</v>
      </c>
      <c r="Z94" s="1">
        <f t="shared" si="42"/>
        <v>0</v>
      </c>
      <c r="AA94" s="1">
        <f t="shared" si="43"/>
        <v>0</v>
      </c>
      <c r="AB94" s="4"/>
      <c r="AW94">
        <f t="shared" si="46"/>
        <v>1.2757240414320097E-2</v>
      </c>
      <c r="AX94">
        <f t="shared" si="47"/>
        <v>4242.0394788798776</v>
      </c>
      <c r="AY94">
        <f t="shared" si="52"/>
        <v>2296.1421535545014</v>
      </c>
      <c r="AZ94">
        <f t="shared" si="38"/>
        <v>1945.8973253253762</v>
      </c>
    </row>
    <row r="95" spans="1:52" x14ac:dyDescent="0.35">
      <c r="A95" s="1">
        <v>94</v>
      </c>
      <c r="B95" s="1">
        <v>4317.7330751348463</v>
      </c>
      <c r="C95" s="1">
        <v>0</v>
      </c>
      <c r="D95" s="1"/>
      <c r="E95" s="1">
        <v>4317.7299999999996</v>
      </c>
      <c r="F95" s="1"/>
      <c r="G95" s="1"/>
      <c r="H95" s="1"/>
      <c r="I95" s="1"/>
      <c r="J95" s="1"/>
      <c r="K95" s="1">
        <v>0</v>
      </c>
      <c r="L95" s="1">
        <v>0</v>
      </c>
      <c r="M95" s="4">
        <f t="shared" si="48"/>
        <v>0</v>
      </c>
      <c r="N95" s="4">
        <f t="shared" si="49"/>
        <v>0</v>
      </c>
      <c r="O95" s="4">
        <f t="shared" si="50"/>
        <v>0</v>
      </c>
      <c r="P95" s="4">
        <f t="shared" si="51"/>
        <v>0</v>
      </c>
      <c r="Q95" s="4"/>
      <c r="R95" s="4"/>
      <c r="S95" s="4"/>
      <c r="T95" s="4"/>
      <c r="U95" s="4"/>
      <c r="V95" s="4">
        <v>97.187200000000004</v>
      </c>
      <c r="W95" s="1">
        <f t="shared" si="44"/>
        <v>97.187200000000004</v>
      </c>
      <c r="X95" s="1">
        <f t="shared" si="41"/>
        <v>2429.6800000000003</v>
      </c>
      <c r="Y95" s="1">
        <f t="shared" si="53"/>
        <v>2429.6800000000003</v>
      </c>
      <c r="Z95" s="1">
        <f t="shared" si="42"/>
        <v>0</v>
      </c>
      <c r="AA95" s="1">
        <f t="shared" si="43"/>
        <v>0</v>
      </c>
      <c r="AB95" s="4"/>
      <c r="AW95">
        <f t="shared" si="46"/>
        <v>1.067604567522127E-2</v>
      </c>
      <c r="AX95">
        <f t="shared" si="47"/>
        <v>3550.0002948738866</v>
      </c>
      <c r="AY95">
        <f t="shared" si="52"/>
        <v>1921.5533855293622</v>
      </c>
      <c r="AZ95">
        <f t="shared" si="38"/>
        <v>1628.4469093445243</v>
      </c>
    </row>
    <row r="96" spans="1:52" x14ac:dyDescent="0.35">
      <c r="A96" s="1">
        <v>95</v>
      </c>
      <c r="B96" s="1">
        <v>6988.6643510423764</v>
      </c>
      <c r="C96" s="1">
        <v>0</v>
      </c>
      <c r="D96" s="1"/>
      <c r="E96" s="1">
        <v>6988.66</v>
      </c>
      <c r="F96" s="1"/>
      <c r="G96" s="1"/>
      <c r="H96" s="1"/>
      <c r="I96" s="1"/>
      <c r="J96" s="1"/>
      <c r="K96" s="1">
        <v>0</v>
      </c>
      <c r="L96" s="1">
        <v>0</v>
      </c>
      <c r="M96" s="4">
        <f t="shared" si="48"/>
        <v>0</v>
      </c>
      <c r="N96" s="4">
        <f t="shared" si="49"/>
        <v>0</v>
      </c>
      <c r="O96" s="4">
        <f t="shared" si="50"/>
        <v>0</v>
      </c>
      <c r="P96" s="4">
        <f t="shared" si="51"/>
        <v>0</v>
      </c>
      <c r="Q96" s="4"/>
      <c r="R96" s="4"/>
      <c r="S96" s="4"/>
      <c r="T96" s="4"/>
      <c r="U96" s="4"/>
      <c r="V96" s="4">
        <v>114.952</v>
      </c>
      <c r="W96" s="1">
        <f t="shared" si="44"/>
        <v>114.952</v>
      </c>
      <c r="X96" s="1">
        <f t="shared" si="41"/>
        <v>2873.8</v>
      </c>
      <c r="Y96" s="1">
        <f t="shared" si="53"/>
        <v>2873.8</v>
      </c>
      <c r="Z96" s="1">
        <f t="shared" si="42"/>
        <v>0</v>
      </c>
      <c r="AA96" s="1">
        <f t="shared" si="43"/>
        <v>0</v>
      </c>
      <c r="AB96" s="4"/>
      <c r="AW96">
        <f t="shared" si="46"/>
        <v>1.7280202023185243E-2</v>
      </c>
      <c r="AX96">
        <f t="shared" si="47"/>
        <v>5746.0153453789462</v>
      </c>
      <c r="AY96">
        <f t="shared" si="52"/>
        <v>3110.2181191815425</v>
      </c>
      <c r="AZ96">
        <f t="shared" si="38"/>
        <v>2635.7972261974037</v>
      </c>
    </row>
    <row r="97" spans="1:52" x14ac:dyDescent="0.35">
      <c r="A97" s="1">
        <v>96</v>
      </c>
      <c r="B97" s="1">
        <v>2938.8092172996649</v>
      </c>
      <c r="C97" s="1">
        <v>0</v>
      </c>
      <c r="D97" s="1"/>
      <c r="E97" s="1">
        <v>2938.81</v>
      </c>
      <c r="F97" s="1"/>
      <c r="G97" s="1"/>
      <c r="H97" s="1"/>
      <c r="I97" s="1"/>
      <c r="J97" s="1"/>
      <c r="K97" s="1">
        <v>0</v>
      </c>
      <c r="L97" s="1">
        <v>0</v>
      </c>
      <c r="M97" s="4">
        <f t="shared" si="48"/>
        <v>0</v>
      </c>
      <c r="N97" s="4">
        <f t="shared" si="49"/>
        <v>0</v>
      </c>
      <c r="O97" s="4">
        <f t="shared" si="50"/>
        <v>0</v>
      </c>
      <c r="P97" s="4">
        <f t="shared" si="51"/>
        <v>0</v>
      </c>
      <c r="Q97" s="4"/>
      <c r="R97" s="4"/>
      <c r="S97" s="4"/>
      <c r="T97" s="4"/>
      <c r="U97" s="4"/>
      <c r="V97" s="4">
        <v>61.982599999999998</v>
      </c>
      <c r="W97" s="1">
        <f t="shared" si="44"/>
        <v>61.982599999999998</v>
      </c>
      <c r="X97" s="1">
        <f t="shared" si="41"/>
        <v>1549.5650000000001</v>
      </c>
      <c r="Y97" s="1">
        <f>X97-M97</f>
        <v>1549.5650000000001</v>
      </c>
      <c r="Z97" s="1">
        <f t="shared" si="42"/>
        <v>0</v>
      </c>
      <c r="AA97" s="1">
        <f t="shared" si="43"/>
        <v>0</v>
      </c>
      <c r="AB97" s="4"/>
      <c r="AW97">
        <f t="shared" si="46"/>
        <v>7.2665125167962422E-3</v>
      </c>
      <c r="AX97">
        <f t="shared" si="47"/>
        <v>2416.2618222216252</v>
      </c>
      <c r="AY97">
        <f t="shared" si="52"/>
        <v>1307.8804786353551</v>
      </c>
      <c r="AZ97">
        <f t="shared" si="38"/>
        <v>1108.3813435862701</v>
      </c>
    </row>
    <row r="98" spans="1:52" x14ac:dyDescent="0.35">
      <c r="A98" s="1">
        <v>97</v>
      </c>
      <c r="B98" s="1">
        <v>6184.3427862351964</v>
      </c>
      <c r="C98" s="1">
        <v>0</v>
      </c>
      <c r="D98" s="1"/>
      <c r="E98" s="1">
        <v>6184.34</v>
      </c>
      <c r="F98" s="1"/>
      <c r="G98" s="1"/>
      <c r="H98" s="1"/>
      <c r="I98" s="1"/>
      <c r="J98" s="1"/>
      <c r="K98" s="1">
        <v>0</v>
      </c>
      <c r="L98" s="1">
        <v>0</v>
      </c>
      <c r="M98" s="4">
        <f t="shared" si="48"/>
        <v>0</v>
      </c>
      <c r="N98" s="4">
        <f t="shared" si="49"/>
        <v>0</v>
      </c>
      <c r="O98" s="4">
        <f t="shared" si="50"/>
        <v>0</v>
      </c>
      <c r="P98" s="4">
        <f t="shared" si="51"/>
        <v>0</v>
      </c>
      <c r="Q98" s="4"/>
      <c r="R98" s="4"/>
      <c r="S98" s="4"/>
      <c r="T98" s="4"/>
      <c r="U98" s="4"/>
      <c r="V98" s="4">
        <v>129.93600000000001</v>
      </c>
      <c r="W98" s="1">
        <f t="shared" si="44"/>
        <v>129.93600000000001</v>
      </c>
      <c r="X98" s="1">
        <f t="shared" si="41"/>
        <v>3248.4</v>
      </c>
      <c r="Y98" s="1">
        <f t="shared" ref="Y98:Y100" si="54">X98-M98</f>
        <v>3248.4</v>
      </c>
      <c r="Z98" s="1">
        <f t="shared" si="42"/>
        <v>0</v>
      </c>
      <c r="AA98" s="1">
        <f t="shared" si="43"/>
        <v>0</v>
      </c>
      <c r="AB98" s="4"/>
      <c r="AW98">
        <f t="shared" si="46"/>
        <v>1.5291433006198544E-2</v>
      </c>
      <c r="AX98">
        <f t="shared" si="47"/>
        <v>5084.7095762283743</v>
      </c>
      <c r="AY98">
        <f t="shared" si="52"/>
        <v>2752.2648138208956</v>
      </c>
      <c r="AZ98">
        <f t="shared" si="38"/>
        <v>2332.4447624074787</v>
      </c>
    </row>
    <row r="99" spans="1:52" x14ac:dyDescent="0.35">
      <c r="A99" s="1">
        <v>98</v>
      </c>
      <c r="B99" s="1">
        <v>3973.5840486666689</v>
      </c>
      <c r="C99" s="1">
        <v>0</v>
      </c>
      <c r="D99" s="1"/>
      <c r="E99" s="1">
        <v>3973.58</v>
      </c>
      <c r="F99" s="1"/>
      <c r="G99" s="1"/>
      <c r="H99" s="1"/>
      <c r="I99" s="1"/>
      <c r="J99" s="1"/>
      <c r="K99" s="1">
        <v>0</v>
      </c>
      <c r="L99" s="1">
        <v>0</v>
      </c>
      <c r="M99" s="4">
        <f t="shared" si="48"/>
        <v>0</v>
      </c>
      <c r="N99" s="4">
        <f t="shared" si="49"/>
        <v>0</v>
      </c>
      <c r="O99" s="4">
        <f t="shared" si="50"/>
        <v>0</v>
      </c>
      <c r="P99" s="4">
        <f t="shared" si="51"/>
        <v>0</v>
      </c>
      <c r="Q99" s="4"/>
      <c r="R99" s="4"/>
      <c r="S99" s="4"/>
      <c r="T99" s="4"/>
      <c r="U99" s="4"/>
      <c r="V99" s="4">
        <v>82.931700000000006</v>
      </c>
      <c r="W99" s="1">
        <f t="shared" si="44"/>
        <v>82.931700000000006</v>
      </c>
      <c r="X99" s="1">
        <f t="shared" si="41"/>
        <v>2073.2925</v>
      </c>
      <c r="Y99" s="1">
        <f t="shared" si="54"/>
        <v>2073.2925</v>
      </c>
      <c r="Z99" s="1">
        <f t="shared" si="42"/>
        <v>0</v>
      </c>
      <c r="AA99" s="1">
        <f t="shared" si="43"/>
        <v>0</v>
      </c>
      <c r="AB99" s="4"/>
      <c r="AW99">
        <f t="shared" si="46"/>
        <v>9.8251012880343769E-3</v>
      </c>
      <c r="AX99">
        <f t="shared" si="47"/>
        <v>3267.0441407571952</v>
      </c>
      <c r="AY99">
        <f t="shared" si="52"/>
        <v>1768.3941430683381</v>
      </c>
      <c r="AZ99">
        <f t="shared" si="38"/>
        <v>1498.6499976888572</v>
      </c>
    </row>
    <row r="100" spans="1:52" x14ac:dyDescent="0.35">
      <c r="A100" s="1">
        <v>99</v>
      </c>
      <c r="B100" s="1">
        <v>6386.1720264839241</v>
      </c>
      <c r="C100" s="1">
        <v>0</v>
      </c>
      <c r="D100" s="1"/>
      <c r="E100" s="1">
        <v>6386.17</v>
      </c>
      <c r="F100" s="1"/>
      <c r="G100" s="1"/>
      <c r="H100" s="1"/>
      <c r="I100" s="1"/>
      <c r="J100" s="1"/>
      <c r="K100" s="1">
        <v>0</v>
      </c>
      <c r="L100" s="1">
        <v>0</v>
      </c>
      <c r="M100" s="4">
        <f t="shared" si="48"/>
        <v>0</v>
      </c>
      <c r="N100" s="4">
        <f t="shared" si="49"/>
        <v>0</v>
      </c>
      <c r="O100" s="4">
        <f t="shared" si="50"/>
        <v>0</v>
      </c>
      <c r="P100" s="4">
        <f t="shared" si="51"/>
        <v>0</v>
      </c>
      <c r="Q100" s="4"/>
      <c r="R100" s="4"/>
      <c r="S100" s="4"/>
      <c r="T100" s="4"/>
      <c r="U100" s="4"/>
      <c r="V100" s="4">
        <v>106.389</v>
      </c>
      <c r="W100" s="1">
        <f t="shared" si="44"/>
        <v>106.389</v>
      </c>
      <c r="X100" s="1">
        <f t="shared" si="41"/>
        <v>2659.7249999999999</v>
      </c>
      <c r="Y100" s="1">
        <f t="shared" si="54"/>
        <v>2659.7249999999999</v>
      </c>
      <c r="Z100" s="1">
        <f t="shared" si="42"/>
        <v>0</v>
      </c>
      <c r="AA100" s="1">
        <f t="shared" si="43"/>
        <v>0</v>
      </c>
      <c r="AB100" s="4"/>
      <c r="AW100">
        <f t="shared" si="46"/>
        <v>1.5790476867872029E-2</v>
      </c>
      <c r="AX100">
        <f t="shared" si="47"/>
        <v>5250.6517152928136</v>
      </c>
      <c r="AY100">
        <f t="shared" si="52"/>
        <v>2842.0864061125058</v>
      </c>
      <c r="AZ100">
        <f t="shared" si="38"/>
        <v>2408.5653091803078</v>
      </c>
    </row>
    <row r="101" spans="1:52" x14ac:dyDescent="0.35">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W101">
        <f t="shared" si="46"/>
        <v>0</v>
      </c>
      <c r="AX101">
        <f t="shared" si="47"/>
        <v>0</v>
      </c>
      <c r="AY101">
        <f t="shared" si="52"/>
        <v>0</v>
      </c>
      <c r="AZ101">
        <f t="shared" si="38"/>
        <v>0</v>
      </c>
    </row>
    <row r="102" spans="1:52" x14ac:dyDescent="0.35">
      <c r="A102" s="1" t="s">
        <v>57</v>
      </c>
      <c r="B102" s="1">
        <f>SUM(B2:B100)</f>
        <v>404431.86611276446</v>
      </c>
      <c r="C102" s="1">
        <f t="shared" ref="C102:Y102" si="55">SUM(C2:C100)</f>
        <v>162</v>
      </c>
      <c r="D102" s="1">
        <f t="shared" si="55"/>
        <v>283691.82999999996</v>
      </c>
      <c r="E102" s="1">
        <f t="shared" si="55"/>
        <v>404431.70899999997</v>
      </c>
      <c r="F102" s="1">
        <f t="shared" si="55"/>
        <v>95787.414000000004</v>
      </c>
      <c r="G102" s="1">
        <f t="shared" si="55"/>
        <v>9329.0467000000008</v>
      </c>
      <c r="H102" s="1">
        <f t="shared" si="55"/>
        <v>123333.31999999998</v>
      </c>
      <c r="I102" s="1">
        <f t="shared" si="55"/>
        <v>66729.77399999999</v>
      </c>
      <c r="J102" s="1">
        <f t="shared" si="55"/>
        <v>78629.764999999985</v>
      </c>
      <c r="K102" s="1">
        <f t="shared" si="55"/>
        <v>405</v>
      </c>
      <c r="L102" s="1">
        <f t="shared" si="55"/>
        <v>125.40000000000002</v>
      </c>
      <c r="M102" s="1">
        <f t="shared" si="55"/>
        <v>537328</v>
      </c>
      <c r="N102" s="1">
        <f t="shared" si="55"/>
        <v>5293.9999999999991</v>
      </c>
      <c r="O102" s="1"/>
      <c r="P102" s="1">
        <f t="shared" si="55"/>
        <v>132350</v>
      </c>
      <c r="Q102" s="1">
        <f t="shared" si="55"/>
        <v>0</v>
      </c>
      <c r="R102" s="1">
        <f t="shared" si="55"/>
        <v>0</v>
      </c>
      <c r="S102" s="1">
        <f t="shared" si="55"/>
        <v>170764.70121330378</v>
      </c>
      <c r="T102" s="1">
        <f t="shared" si="55"/>
        <v>62651.7</v>
      </c>
      <c r="U102" s="1">
        <f t="shared" si="55"/>
        <v>0</v>
      </c>
      <c r="V102" s="1">
        <f t="shared" si="55"/>
        <v>55661.519564999988</v>
      </c>
      <c r="W102" s="1">
        <f t="shared" si="55"/>
        <v>-481666.48043500015</v>
      </c>
      <c r="X102" s="1">
        <f t="shared" si="55"/>
        <v>1391537.9891249998</v>
      </c>
      <c r="Y102" s="1">
        <f t="shared" si="55"/>
        <v>854209.98912500008</v>
      </c>
      <c r="Z102" s="1"/>
      <c r="AA102" s="1"/>
      <c r="AB102" s="4"/>
      <c r="AW102">
        <f t="shared" si="46"/>
        <v>1</v>
      </c>
      <c r="AX102">
        <f t="shared" si="47"/>
        <v>332520.14864579623</v>
      </c>
      <c r="AY102">
        <f t="shared" si="52"/>
        <v>179987.37022914962</v>
      </c>
      <c r="AZ102">
        <f t="shared" si="38"/>
        <v>152532.77841664662</v>
      </c>
    </row>
    <row r="103" spans="1:52" x14ac:dyDescent="0.35">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W103">
        <f t="shared" si="46"/>
        <v>0</v>
      </c>
      <c r="AX103">
        <f t="shared" si="47"/>
        <v>0</v>
      </c>
      <c r="AY103">
        <f t="shared" si="52"/>
        <v>0</v>
      </c>
    </row>
    <row r="104" spans="1:52" x14ac:dyDescent="0.35">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W104">
        <f t="shared" si="46"/>
        <v>0</v>
      </c>
      <c r="AX104">
        <f t="shared" si="47"/>
        <v>0</v>
      </c>
      <c r="AY104">
        <f t="shared" si="52"/>
        <v>0</v>
      </c>
    </row>
    <row r="106" spans="1:52" x14ac:dyDescent="0.35">
      <c r="G106" s="13" t="s">
        <v>368</v>
      </c>
    </row>
    <row r="107" spans="1:52" x14ac:dyDescent="0.35">
      <c r="G107" s="13" t="s">
        <v>373</v>
      </c>
      <c r="H107">
        <f>SUM(D2:D46)</f>
        <v>283691.82999999996</v>
      </c>
    </row>
    <row r="108" spans="1:52" x14ac:dyDescent="0.35">
      <c r="G108" s="13" t="s">
        <v>375</v>
      </c>
      <c r="H108">
        <f>SUM(B2:B46)</f>
        <v>168654.48596844697</v>
      </c>
    </row>
    <row r="109" spans="1:52" x14ac:dyDescent="0.35">
      <c r="G109" s="13" t="s">
        <v>358</v>
      </c>
      <c r="H109">
        <f>F102</f>
        <v>95787.414000000004</v>
      </c>
    </row>
    <row r="110" spans="1:52" x14ac:dyDescent="0.35">
      <c r="G110" s="13" t="s">
        <v>306</v>
      </c>
      <c r="H110">
        <f>I102</f>
        <v>66729.77399999999</v>
      </c>
    </row>
    <row r="111" spans="1:52" x14ac:dyDescent="0.35">
      <c r="F111" s="13"/>
      <c r="G111" s="13" t="s">
        <v>382</v>
      </c>
      <c r="H111">
        <f>J102</f>
        <v>78629.764999999985</v>
      </c>
    </row>
    <row r="112" spans="1:52" x14ac:dyDescent="0.35">
      <c r="F112" s="13"/>
      <c r="G112" s="13" t="s">
        <v>381</v>
      </c>
      <c r="H112">
        <f>H102</f>
        <v>123333.31999999998</v>
      </c>
    </row>
    <row r="113" spans="7:8" x14ac:dyDescent="0.35">
      <c r="G113" s="13" t="s">
        <v>389</v>
      </c>
      <c r="H113">
        <f>H109+H110+H112</f>
        <v>285850.50799999997</v>
      </c>
    </row>
    <row r="114" spans="7:8" x14ac:dyDescent="0.35">
      <c r="G114" s="13" t="s">
        <v>390</v>
      </c>
      <c r="H114">
        <f>H110+H111</f>
        <v>145359.53899999999</v>
      </c>
    </row>
  </sheetData>
  <mergeCells count="4">
    <mergeCell ref="R16:S16"/>
    <mergeCell ref="AH31:AK32"/>
    <mergeCell ref="AH68:AK69"/>
    <mergeCell ref="R27:S2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F9F12-411C-4CB8-94F4-F1EFFE96D67D}">
  <dimension ref="A1:BA104"/>
  <sheetViews>
    <sheetView topLeftCell="O1" zoomScale="80" zoomScaleNormal="80" workbookViewId="0">
      <selection activeCell="AE102" sqref="AE102"/>
    </sheetView>
  </sheetViews>
  <sheetFormatPr defaultRowHeight="14.5" x14ac:dyDescent="0.35"/>
  <cols>
    <col min="1" max="1" width="23.26953125" style="1" bestFit="1" customWidth="1"/>
    <col min="2" max="2" width="25.54296875" style="1" bestFit="1" customWidth="1"/>
    <col min="3" max="3" width="16.7265625" bestFit="1" customWidth="1"/>
    <col min="4" max="10" width="16.7265625" customWidth="1"/>
    <col min="11" max="11" width="16.1796875" bestFit="1" customWidth="1"/>
    <col min="12" max="12" width="20.54296875" customWidth="1"/>
    <col min="13" max="14" width="12" customWidth="1"/>
    <col min="15" max="16" width="12.26953125" customWidth="1"/>
    <col min="17" max="17" width="13" customWidth="1"/>
    <col min="18" max="18" width="8.7265625" customWidth="1"/>
    <col min="19" max="19" width="28.7265625" bestFit="1" customWidth="1"/>
    <col min="20" max="20" width="12.6328125" bestFit="1" customWidth="1"/>
    <col min="21" max="21" width="21.6328125" bestFit="1" customWidth="1"/>
    <col min="23" max="23" width="12.453125" customWidth="1"/>
    <col min="25" max="25" width="14.36328125" customWidth="1"/>
    <col min="26" max="26" width="10.36328125" customWidth="1"/>
    <col min="27" max="27" width="12.453125" customWidth="1"/>
    <col min="28" max="28" width="11.1796875" customWidth="1"/>
    <col min="30" max="30" width="14" customWidth="1"/>
    <col min="32" max="32" width="23" customWidth="1"/>
    <col min="33" max="33" width="20.54296875" customWidth="1"/>
    <col min="34" max="34" width="19.81640625" customWidth="1"/>
    <col min="35" max="35" width="18.1796875" customWidth="1"/>
    <col min="36" max="36" width="16" customWidth="1"/>
    <col min="37" max="37" width="15.26953125" bestFit="1" customWidth="1"/>
    <col min="38" max="38" width="14.81640625" bestFit="1" customWidth="1"/>
    <col min="49" max="49" width="15" bestFit="1" customWidth="1"/>
    <col min="50" max="50" width="14.81640625" bestFit="1" customWidth="1"/>
    <col min="51" max="52" width="14.26953125" bestFit="1" customWidth="1"/>
  </cols>
  <sheetData>
    <row r="1" spans="1:53" ht="63" customHeight="1" x14ac:dyDescent="0.35">
      <c r="A1" s="57" t="s">
        <v>7</v>
      </c>
      <c r="B1" s="60" t="s">
        <v>8</v>
      </c>
      <c r="C1" s="60" t="s">
        <v>253</v>
      </c>
      <c r="D1" s="61" t="s">
        <v>281</v>
      </c>
      <c r="E1" s="61" t="s">
        <v>301</v>
      </c>
      <c r="F1" s="61" t="s">
        <v>308</v>
      </c>
      <c r="G1" s="61" t="s">
        <v>312</v>
      </c>
      <c r="H1" s="61" t="s">
        <v>309</v>
      </c>
      <c r="I1" s="61" t="s">
        <v>310</v>
      </c>
      <c r="J1" s="61" t="s">
        <v>311</v>
      </c>
      <c r="K1" s="60" t="s">
        <v>254</v>
      </c>
      <c r="L1" s="61" t="s">
        <v>255</v>
      </c>
      <c r="M1" s="61" t="s">
        <v>256</v>
      </c>
      <c r="N1" s="61" t="s">
        <v>340</v>
      </c>
      <c r="O1" s="61" t="s">
        <v>257</v>
      </c>
      <c r="P1" s="61" t="s">
        <v>282</v>
      </c>
      <c r="Q1" s="61" t="s">
        <v>275</v>
      </c>
      <c r="R1" s="69"/>
      <c r="S1" s="69"/>
      <c r="T1" s="69"/>
      <c r="U1" s="69"/>
      <c r="V1" s="69"/>
      <c r="W1" s="61" t="s">
        <v>276</v>
      </c>
      <c r="X1" s="61" t="s">
        <v>277</v>
      </c>
      <c r="Y1" s="61" t="s">
        <v>278</v>
      </c>
      <c r="Z1" s="61" t="s">
        <v>279</v>
      </c>
      <c r="AA1" s="61" t="s">
        <v>31</v>
      </c>
      <c r="AB1" s="12" t="s">
        <v>283</v>
      </c>
      <c r="AC1" s="1"/>
      <c r="AD1" s="6" t="s">
        <v>33</v>
      </c>
      <c r="AE1" s="6" t="s">
        <v>34</v>
      </c>
      <c r="AF1" s="6" t="s">
        <v>35</v>
      </c>
      <c r="AG1" s="6" t="s">
        <v>36</v>
      </c>
      <c r="AH1" s="6" t="s">
        <v>37</v>
      </c>
      <c r="AI1" s="6" t="s">
        <v>38</v>
      </c>
      <c r="AJ1" s="12" t="s">
        <v>39</v>
      </c>
      <c r="AK1" s="12" t="s">
        <v>40</v>
      </c>
      <c r="AL1" s="12" t="s">
        <v>41</v>
      </c>
      <c r="AW1" s="6" t="s">
        <v>320</v>
      </c>
      <c r="AX1" s="86" t="s">
        <v>321</v>
      </c>
      <c r="AY1" s="86" t="s">
        <v>322</v>
      </c>
      <c r="AZ1" s="6" t="s">
        <v>322</v>
      </c>
    </row>
    <row r="2" spans="1:53" ht="15" thickBot="1" x14ac:dyDescent="0.4">
      <c r="A2" s="1">
        <v>1</v>
      </c>
      <c r="B2" s="62">
        <v>1079.529030351737</v>
      </c>
      <c r="C2" s="62">
        <v>2</v>
      </c>
      <c r="D2" s="62">
        <v>3494.71</v>
      </c>
      <c r="E2" s="62">
        <v>1079.53</v>
      </c>
      <c r="F2" s="62">
        <v>1395.84</v>
      </c>
      <c r="G2" s="62">
        <v>139.60599999999999</v>
      </c>
      <c r="H2" s="62">
        <v>1682.91</v>
      </c>
      <c r="I2" s="62">
        <v>473.57100000000003</v>
      </c>
      <c r="J2" s="62">
        <v>556.52700000000004</v>
      </c>
      <c r="K2" s="62">
        <v>5</v>
      </c>
      <c r="L2" s="62">
        <v>1.2</v>
      </c>
      <c r="M2" s="62">
        <f>((C2*$T$18*1000)+T29)</f>
        <v>7240</v>
      </c>
      <c r="N2" s="88">
        <f>(M2*(1-$T$53))</f>
        <v>3982.0000000000005</v>
      </c>
      <c r="O2" s="62">
        <f>$T$38*C2</f>
        <v>71.2</v>
      </c>
      <c r="P2" s="56">
        <f>O2/D2</f>
        <v>2.0373650460267088E-2</v>
      </c>
      <c r="Q2" s="56">
        <f t="shared" ref="Q2:Q46" si="0">O2*25</f>
        <v>1780</v>
      </c>
      <c r="R2" s="56"/>
      <c r="S2" s="56"/>
      <c r="T2" s="56"/>
      <c r="U2" s="56"/>
      <c r="V2" s="56"/>
      <c r="W2" s="1">
        <v>273.161</v>
      </c>
      <c r="X2" s="1">
        <f>W2-N2</f>
        <v>-3708.8390000000004</v>
      </c>
      <c r="Y2" s="1">
        <f t="shared" ref="Y2:Y33" si="1">W2*$T$47</f>
        <v>6829.0249999999996</v>
      </c>
      <c r="Z2" s="1">
        <f>Y2-N2</f>
        <v>2847.0249999999992</v>
      </c>
      <c r="AA2" s="1">
        <f>(N2/($T$47*B2))+P2</f>
        <v>0.16791947416831754</v>
      </c>
      <c r="AB2" s="1">
        <f>(N2/($T$50*B2))+P2</f>
        <v>0.29492422954654668</v>
      </c>
      <c r="AC2" s="1"/>
      <c r="AD2" s="1" t="s">
        <v>284</v>
      </c>
      <c r="AE2" s="1">
        <v>0</v>
      </c>
      <c r="AF2">
        <f>-AD5</f>
        <v>-243151.40000000002</v>
      </c>
      <c r="AG2">
        <f>AF2</f>
        <v>-243151.40000000002</v>
      </c>
      <c r="AI2">
        <f>AF2</f>
        <v>-243151.40000000002</v>
      </c>
      <c r="AJ2">
        <f>AF2</f>
        <v>-243151.40000000002</v>
      </c>
      <c r="AL2">
        <f>AF2</f>
        <v>-243151.40000000002</v>
      </c>
      <c r="AW2" s="1">
        <f>AL27+AL63</f>
        <v>117918.40302090824</v>
      </c>
      <c r="AX2">
        <f>B2/$B$102</f>
        <v>2.6692481992770093E-3</v>
      </c>
      <c r="AY2">
        <f>AX2*$AW$2</f>
        <v>314.75348492517998</v>
      </c>
      <c r="AZ2">
        <f>(AY2)*1.1</f>
        <v>346.22883341769801</v>
      </c>
      <c r="BA2">
        <f>AZ2-AY2</f>
        <v>31.475348492518037</v>
      </c>
    </row>
    <row r="3" spans="1:53" x14ac:dyDescent="0.35">
      <c r="A3" s="1">
        <v>2</v>
      </c>
      <c r="B3" s="62">
        <v>3886.3217817133332</v>
      </c>
      <c r="C3" s="62">
        <v>4</v>
      </c>
      <c r="D3" s="62">
        <v>6989.42</v>
      </c>
      <c r="E3" s="62">
        <v>3886.32</v>
      </c>
      <c r="F3" s="62">
        <v>2567.4899999999998</v>
      </c>
      <c r="G3" s="62">
        <v>253.81899999999999</v>
      </c>
      <c r="H3" s="62">
        <v>3085.9</v>
      </c>
      <c r="I3" s="62">
        <v>1442.46</v>
      </c>
      <c r="J3" s="62">
        <v>2007.51</v>
      </c>
      <c r="K3" s="62">
        <v>10</v>
      </c>
      <c r="L3" s="62">
        <v>3.3</v>
      </c>
      <c r="M3" s="62">
        <f>(C3*$T$18*1000)+T31</f>
        <v>14096</v>
      </c>
      <c r="N3" s="88">
        <f t="shared" ref="N3:N12" si="2">(M3*(1-$T$53))</f>
        <v>7752.8</v>
      </c>
      <c r="O3" s="62">
        <f>$T$38*C3</f>
        <v>142.4</v>
      </c>
      <c r="P3" s="56">
        <f t="shared" ref="P3:P46" si="3">O3/D3</f>
        <v>2.0373650460267088E-2</v>
      </c>
      <c r="Q3" s="56">
        <f t="shared" si="0"/>
        <v>3560</v>
      </c>
      <c r="R3" s="56"/>
      <c r="S3" s="80" t="s">
        <v>267</v>
      </c>
      <c r="T3" s="81"/>
      <c r="U3" s="82"/>
      <c r="V3" s="56"/>
      <c r="W3" s="1">
        <v>434.72800000000001</v>
      </c>
      <c r="X3" s="1">
        <f t="shared" ref="X3:X46" si="4">W3-N3</f>
        <v>-7318.0720000000001</v>
      </c>
      <c r="Y3" s="1">
        <f t="shared" si="1"/>
        <v>10868.2</v>
      </c>
      <c r="Z3" s="1">
        <f t="shared" ref="Z3:Z46" si="5">Y3-N3</f>
        <v>3115.4000000000005</v>
      </c>
      <c r="AA3" s="1">
        <f t="shared" ref="AA3:AA46" si="6">(N3/($T$47*B3))+P3</f>
        <v>0.10016941041488497</v>
      </c>
      <c r="AB3" s="1">
        <f t="shared" ref="AB3:AB46" si="7">(N3/($T$50*B3))+P3</f>
        <v>0.16885614595617146</v>
      </c>
      <c r="AC3" s="1"/>
      <c r="AD3" s="1"/>
      <c r="AE3" s="1">
        <v>1</v>
      </c>
      <c r="AF3">
        <f>AD8</f>
        <v>18220.519700000001</v>
      </c>
      <c r="AG3">
        <f>AG2+AF3</f>
        <v>-224930.88030000002</v>
      </c>
      <c r="AH3">
        <f t="shared" ref="AH3:AH27" si="8">AF3/(1+$T$20)^AE3</f>
        <v>17172.968614514612</v>
      </c>
      <c r="AI3">
        <f>AI2+AH3</f>
        <v>-225978.4313854854</v>
      </c>
      <c r="AJ3">
        <f t="shared" ref="AJ3:AJ27" si="9">$AD$8*((1+$T$44)^AE3)</f>
        <v>18676.032692500001</v>
      </c>
      <c r="AK3">
        <f t="shared" ref="AK3:AK27" si="10">AJ3/(1+$T$20)^AE3</f>
        <v>17602.292829877475</v>
      </c>
      <c r="AL3">
        <f>AL2+AK3</f>
        <v>-225549.10717012256</v>
      </c>
      <c r="AW3" s="1"/>
      <c r="AX3">
        <f t="shared" ref="AX3:AX66" si="11">B3/$B$102</f>
        <v>9.6093362253253847E-3</v>
      </c>
      <c r="AY3">
        <f t="shared" ref="AY3:AY18" si="12">AX3*$AW$2</f>
        <v>1133.1175817813319</v>
      </c>
      <c r="AZ3">
        <f t="shared" ref="AZ3:AZ46" si="13">(AY3)*1.1</f>
        <v>1246.4293399594651</v>
      </c>
      <c r="BA3">
        <f t="shared" ref="BA3:BA46" si="14">AZ3-AY3</f>
        <v>113.31175817813323</v>
      </c>
    </row>
    <row r="4" spans="1:53" ht="29" x14ac:dyDescent="0.35">
      <c r="A4" s="1">
        <v>3</v>
      </c>
      <c r="B4" s="1">
        <v>3457.332910813851</v>
      </c>
      <c r="C4" s="1">
        <v>2</v>
      </c>
      <c r="D4" s="1">
        <v>3494.71</v>
      </c>
      <c r="E4" s="1">
        <v>3457.33</v>
      </c>
      <c r="F4" s="1">
        <v>613.53200000000004</v>
      </c>
      <c r="G4" s="1">
        <v>54.761099999999999</v>
      </c>
      <c r="H4" s="1">
        <v>1498.2</v>
      </c>
      <c r="I4" s="1">
        <v>1382.98</v>
      </c>
      <c r="J4" s="1">
        <v>2074.35</v>
      </c>
      <c r="K4" s="1">
        <v>5</v>
      </c>
      <c r="L4" s="1">
        <v>0</v>
      </c>
      <c r="M4" s="1">
        <f>C4*$T$18*1000</f>
        <v>5200</v>
      </c>
      <c r="N4" s="88">
        <f t="shared" si="2"/>
        <v>2860.0000000000005</v>
      </c>
      <c r="O4" s="1">
        <f>$T$19*C4</f>
        <v>53</v>
      </c>
      <c r="P4" s="4">
        <f t="shared" si="3"/>
        <v>1.5165779134749377E-2</v>
      </c>
      <c r="Q4" s="4">
        <f t="shared" si="0"/>
        <v>1325</v>
      </c>
      <c r="R4" s="4"/>
      <c r="S4" s="63" t="s">
        <v>302</v>
      </c>
      <c r="T4" s="4">
        <v>0.155</v>
      </c>
      <c r="U4" s="30"/>
      <c r="V4" s="4"/>
      <c r="W4" s="1">
        <v>78.388900000000007</v>
      </c>
      <c r="X4" s="1">
        <f t="shared" si="4"/>
        <v>-2781.6111000000005</v>
      </c>
      <c r="Y4" s="1">
        <f t="shared" si="1"/>
        <v>1959.7225000000001</v>
      </c>
      <c r="Z4" s="1">
        <f t="shared" si="5"/>
        <v>-900.27750000000037</v>
      </c>
      <c r="AA4" s="1">
        <f t="shared" si="6"/>
        <v>4.8254869179326663E-2</v>
      </c>
      <c r="AB4" s="1">
        <f t="shared" si="7"/>
        <v>7.6737354695929197E-2</v>
      </c>
      <c r="AC4" s="1"/>
      <c r="AD4" s="6" t="s">
        <v>285</v>
      </c>
      <c r="AE4" s="1">
        <f>AE3+1</f>
        <v>2</v>
      </c>
      <c r="AF4">
        <f>AF3</f>
        <v>18220.519700000001</v>
      </c>
      <c r="AG4">
        <f>AG3+AF4</f>
        <v>-206710.36060000001</v>
      </c>
      <c r="AH4">
        <f t="shared" si="8"/>
        <v>16185.644311512357</v>
      </c>
      <c r="AI4">
        <f t="shared" ref="AI4:AI27" si="15">AI3+AH4</f>
        <v>-209792.78707397304</v>
      </c>
      <c r="AJ4">
        <f t="shared" si="9"/>
        <v>19142.933509812498</v>
      </c>
      <c r="AK4">
        <f t="shared" si="10"/>
        <v>17005.042554782667</v>
      </c>
      <c r="AL4">
        <f t="shared" ref="AL4:AL27" si="16">AL3+AK4</f>
        <v>-208544.06461533988</v>
      </c>
      <c r="AW4" s="1"/>
      <c r="AX4">
        <f t="shared" si="11"/>
        <v>8.5486164679463485E-3</v>
      </c>
      <c r="AY4">
        <f t="shared" si="12"/>
        <v>1008.0392019384707</v>
      </c>
      <c r="AZ4">
        <f t="shared" si="13"/>
        <v>1108.8431221323178</v>
      </c>
      <c r="BA4">
        <f t="shared" si="14"/>
        <v>100.80392019384715</v>
      </c>
    </row>
    <row r="5" spans="1:53" x14ac:dyDescent="0.35">
      <c r="A5" s="1">
        <v>4</v>
      </c>
      <c r="B5" s="62">
        <v>1453.8912212817379</v>
      </c>
      <c r="C5" s="62">
        <v>2</v>
      </c>
      <c r="D5" s="62">
        <v>3494.71</v>
      </c>
      <c r="E5" s="62">
        <v>1453.89</v>
      </c>
      <c r="F5" s="62">
        <v>1292.6199999999999</v>
      </c>
      <c r="G5" s="62">
        <v>127.47</v>
      </c>
      <c r="H5" s="62">
        <v>1638.92</v>
      </c>
      <c r="I5" s="62">
        <v>615.08299999999997</v>
      </c>
      <c r="J5" s="62">
        <v>724.553</v>
      </c>
      <c r="K5" s="62">
        <v>5</v>
      </c>
      <c r="L5" s="62">
        <v>1.2</v>
      </c>
      <c r="M5" s="62">
        <f>(C5*$T$18*1000)+T29</f>
        <v>7240</v>
      </c>
      <c r="N5" s="88">
        <f t="shared" si="2"/>
        <v>3982.0000000000005</v>
      </c>
      <c r="O5" s="62">
        <f>$T$38*C5</f>
        <v>71.2</v>
      </c>
      <c r="P5" s="56">
        <f t="shared" si="3"/>
        <v>2.0373650460267088E-2</v>
      </c>
      <c r="Q5" s="56">
        <f t="shared" si="0"/>
        <v>1780</v>
      </c>
      <c r="R5" s="56"/>
      <c r="S5" s="83" t="s">
        <v>303</v>
      </c>
      <c r="T5" s="56">
        <v>0.129</v>
      </c>
      <c r="U5" s="46" t="s">
        <v>6</v>
      </c>
      <c r="V5" s="56"/>
      <c r="W5" s="1">
        <v>253.096</v>
      </c>
      <c r="X5" s="1">
        <f t="shared" si="4"/>
        <v>-3728.9040000000005</v>
      </c>
      <c r="Y5" s="1">
        <f t="shared" si="1"/>
        <v>6327.4</v>
      </c>
      <c r="Z5" s="1">
        <f t="shared" si="5"/>
        <v>2345.3999999999992</v>
      </c>
      <c r="AA5" s="1">
        <f t="shared" si="6"/>
        <v>0.12992792637066164</v>
      </c>
      <c r="AB5" s="1">
        <f t="shared" si="7"/>
        <v>0.22423024996722921</v>
      </c>
      <c r="AC5" s="1"/>
      <c r="AD5" s="1">
        <f>SUM(N2:N46) + (U10*45/99)+U39+U40+U11+U12</f>
        <v>243151.40000000002</v>
      </c>
      <c r="AE5" s="1">
        <f t="shared" ref="AE5:AE27" si="17">AE4+1</f>
        <v>3</v>
      </c>
      <c r="AF5">
        <f t="shared" ref="AF5:AF27" si="18">AF4</f>
        <v>18220.519700000001</v>
      </c>
      <c r="AG5">
        <f t="shared" ref="AG5:AG27" si="19">AG4+AF5</f>
        <v>-188489.84090000001</v>
      </c>
      <c r="AH5">
        <f t="shared" si="8"/>
        <v>15255.084176731723</v>
      </c>
      <c r="AI5">
        <f t="shared" si="15"/>
        <v>-194537.70289724131</v>
      </c>
      <c r="AJ5">
        <f t="shared" si="9"/>
        <v>19621.506847557812</v>
      </c>
      <c r="AK5">
        <f t="shared" si="10"/>
        <v>16428.057133508235</v>
      </c>
      <c r="AL5">
        <f t="shared" si="16"/>
        <v>-192116.00748183165</v>
      </c>
      <c r="AW5" s="1" t="s">
        <v>324</v>
      </c>
      <c r="AX5">
        <f t="shared" si="11"/>
        <v>3.5948977889797666E-3</v>
      </c>
      <c r="AY5">
        <f t="shared" si="12"/>
        <v>423.90460629988809</v>
      </c>
      <c r="AZ5">
        <f t="shared" si="13"/>
        <v>466.29506692987695</v>
      </c>
      <c r="BA5">
        <f t="shared" si="14"/>
        <v>42.390460629988866</v>
      </c>
    </row>
    <row r="6" spans="1:53" x14ac:dyDescent="0.35">
      <c r="A6" s="1">
        <v>5</v>
      </c>
      <c r="B6" s="1">
        <v>3955.020115733626</v>
      </c>
      <c r="C6" s="1">
        <v>4</v>
      </c>
      <c r="D6" s="1">
        <v>6989.42</v>
      </c>
      <c r="E6" s="1">
        <v>3955.02</v>
      </c>
      <c r="F6" s="1">
        <v>1833.18</v>
      </c>
      <c r="G6" s="1">
        <v>168.476</v>
      </c>
      <c r="H6" s="1">
        <v>3471.67</v>
      </c>
      <c r="I6" s="1">
        <v>1684.57</v>
      </c>
      <c r="J6" s="1">
        <v>2270.4499999999998</v>
      </c>
      <c r="K6" s="1">
        <v>10</v>
      </c>
      <c r="L6" s="1">
        <v>0</v>
      </c>
      <c r="M6" s="1">
        <f>C6*$T$18*1000</f>
        <v>10400</v>
      </c>
      <c r="N6" s="88">
        <f t="shared" si="2"/>
        <v>5720.0000000000009</v>
      </c>
      <c r="O6" s="1">
        <f>$T$19*C6</f>
        <v>106</v>
      </c>
      <c r="P6" s="4">
        <f t="shared" si="3"/>
        <v>1.5165779134749377E-2</v>
      </c>
      <c r="Q6" s="4">
        <f t="shared" si="0"/>
        <v>2650</v>
      </c>
      <c r="R6" s="4"/>
      <c r="S6" s="63"/>
      <c r="T6" s="1"/>
      <c r="U6" s="78">
        <f>(M2*(1-$T$53))</f>
        <v>3982.0000000000005</v>
      </c>
      <c r="V6" s="4"/>
      <c r="W6" s="1">
        <v>379.79399999999998</v>
      </c>
      <c r="X6" s="1">
        <f t="shared" si="4"/>
        <v>-5340.206000000001</v>
      </c>
      <c r="Y6" s="1">
        <f t="shared" si="1"/>
        <v>9494.85</v>
      </c>
      <c r="Z6" s="1">
        <f t="shared" si="5"/>
        <v>3774.8499999999995</v>
      </c>
      <c r="AA6" s="1">
        <f t="shared" si="6"/>
        <v>7.3016306642764192E-2</v>
      </c>
      <c r="AB6" s="1">
        <f t="shared" si="7"/>
        <v>0.12281298614211117</v>
      </c>
      <c r="AC6" s="1"/>
      <c r="AD6" s="1"/>
      <c r="AE6" s="1">
        <f t="shared" si="17"/>
        <v>4</v>
      </c>
      <c r="AF6">
        <f t="shared" si="18"/>
        <v>18220.519700000001</v>
      </c>
      <c r="AG6">
        <f t="shared" si="19"/>
        <v>-170269.32120000001</v>
      </c>
      <c r="AH6">
        <f t="shared" si="8"/>
        <v>14378.024671754687</v>
      </c>
      <c r="AI6">
        <f t="shared" si="15"/>
        <v>-180159.67822548663</v>
      </c>
      <c r="AJ6">
        <f t="shared" si="9"/>
        <v>20112.044518746756</v>
      </c>
      <c r="AK6">
        <f t="shared" si="10"/>
        <v>15870.648974407106</v>
      </c>
      <c r="AL6">
        <f t="shared" si="16"/>
        <v>-176245.35850742453</v>
      </c>
      <c r="AW6" s="1">
        <f>SUM(AZ2:AZ46)</f>
        <v>54091.223381450924</v>
      </c>
      <c r="AX6">
        <f t="shared" si="11"/>
        <v>9.7792000263176096E-3</v>
      </c>
      <c r="AY6">
        <f t="shared" si="12"/>
        <v>1153.1476499253963</v>
      </c>
      <c r="AZ6">
        <f t="shared" si="13"/>
        <v>1268.462414917936</v>
      </c>
      <c r="BA6">
        <f t="shared" si="14"/>
        <v>115.31476499253972</v>
      </c>
    </row>
    <row r="7" spans="1:53" ht="29" x14ac:dyDescent="0.35">
      <c r="A7" s="1">
        <v>6</v>
      </c>
      <c r="B7" s="62">
        <v>2105.0165005377999</v>
      </c>
      <c r="C7" s="62">
        <v>2</v>
      </c>
      <c r="D7" s="62">
        <v>3494.71</v>
      </c>
      <c r="E7" s="62">
        <v>2105.02</v>
      </c>
      <c r="F7" s="62">
        <v>1453.58</v>
      </c>
      <c r="G7" s="62">
        <v>145.85</v>
      </c>
      <c r="H7" s="62">
        <v>1123.08</v>
      </c>
      <c r="I7" s="62">
        <v>912.81600000000003</v>
      </c>
      <c r="J7" s="62">
        <v>775.86</v>
      </c>
      <c r="K7" s="62">
        <v>5</v>
      </c>
      <c r="L7" s="62">
        <v>4.2</v>
      </c>
      <c r="M7" s="62">
        <f>(C7*$T$18*1000)+T32</f>
        <v>9904</v>
      </c>
      <c r="N7" s="88">
        <f t="shared" si="2"/>
        <v>5447.2000000000007</v>
      </c>
      <c r="O7" s="62">
        <f>$T$38*C7</f>
        <v>71.2</v>
      </c>
      <c r="P7" s="56">
        <f t="shared" si="3"/>
        <v>2.0373650460267088E-2</v>
      </c>
      <c r="Q7" s="56">
        <f t="shared" si="0"/>
        <v>1780</v>
      </c>
      <c r="R7" s="56"/>
      <c r="S7" s="84"/>
      <c r="T7" s="62"/>
      <c r="U7" s="85"/>
      <c r="V7" s="56"/>
      <c r="W7" s="1">
        <v>264.803</v>
      </c>
      <c r="X7" s="1">
        <f t="shared" si="4"/>
        <v>-5182.3970000000008</v>
      </c>
      <c r="Y7" s="1">
        <f t="shared" si="1"/>
        <v>6620.0749999999998</v>
      </c>
      <c r="Z7" s="1">
        <f t="shared" si="5"/>
        <v>1172.8749999999991</v>
      </c>
      <c r="AA7" s="1">
        <f t="shared" si="6"/>
        <v>0.12388257779852452</v>
      </c>
      <c r="AB7" s="1">
        <f t="shared" si="7"/>
        <v>0.21298117554718446</v>
      </c>
      <c r="AC7" s="1"/>
      <c r="AD7" s="6" t="s">
        <v>286</v>
      </c>
      <c r="AE7" s="1">
        <f t="shared" si="17"/>
        <v>5</v>
      </c>
      <c r="AF7">
        <f t="shared" si="18"/>
        <v>18220.519700000001</v>
      </c>
      <c r="AG7">
        <f t="shared" si="19"/>
        <v>-152048.8015</v>
      </c>
      <c r="AH7">
        <f t="shared" si="8"/>
        <v>13551.389888552956</v>
      </c>
      <c r="AI7">
        <f t="shared" si="15"/>
        <v>-166608.28833693368</v>
      </c>
      <c r="AJ7">
        <f t="shared" si="9"/>
        <v>20614.84563171542</v>
      </c>
      <c r="AK7">
        <f t="shared" si="10"/>
        <v>15332.15381599178</v>
      </c>
      <c r="AL7">
        <f t="shared" si="16"/>
        <v>-160913.20469143277</v>
      </c>
      <c r="AW7" s="1"/>
      <c r="AX7">
        <f t="shared" si="11"/>
        <v>5.2048730006623049E-3</v>
      </c>
      <c r="AY7">
        <f t="shared" si="12"/>
        <v>613.75031216474167</v>
      </c>
      <c r="AZ7">
        <f t="shared" si="13"/>
        <v>675.12534338121588</v>
      </c>
      <c r="BA7">
        <f t="shared" si="14"/>
        <v>61.375031216474213</v>
      </c>
    </row>
    <row r="8" spans="1:53" x14ac:dyDescent="0.35">
      <c r="A8" s="1">
        <v>7</v>
      </c>
      <c r="B8" s="1">
        <v>1617.7934488334181</v>
      </c>
      <c r="C8" s="1">
        <v>2</v>
      </c>
      <c r="D8" s="1">
        <v>3494.71</v>
      </c>
      <c r="E8" s="1">
        <v>1617.79</v>
      </c>
      <c r="F8" s="1">
        <v>1038.05</v>
      </c>
      <c r="G8" s="1">
        <v>96.850499999999997</v>
      </c>
      <c r="H8" s="1">
        <v>1831.46</v>
      </c>
      <c r="I8" s="1">
        <v>625.19600000000003</v>
      </c>
      <c r="J8" s="1">
        <v>992.59699999999998</v>
      </c>
      <c r="K8" s="1">
        <v>5</v>
      </c>
      <c r="L8" s="1">
        <v>0</v>
      </c>
      <c r="M8" s="1">
        <f>C8*$T$18*1000</f>
        <v>5200</v>
      </c>
      <c r="N8" s="88">
        <f t="shared" si="2"/>
        <v>2860.0000000000005</v>
      </c>
      <c r="O8" s="1">
        <f>$T$19*C8</f>
        <v>53</v>
      </c>
      <c r="P8" s="4">
        <f t="shared" si="3"/>
        <v>1.5165779134749377E-2</v>
      </c>
      <c r="Q8" s="4">
        <f t="shared" si="0"/>
        <v>1325</v>
      </c>
      <c r="R8" s="4"/>
      <c r="S8" s="65"/>
      <c r="T8" s="1"/>
      <c r="U8" s="78">
        <v>25</v>
      </c>
      <c r="V8" s="4"/>
      <c r="W8" s="1">
        <v>199.303</v>
      </c>
      <c r="X8" s="1">
        <f t="shared" si="4"/>
        <v>-2660.6970000000006</v>
      </c>
      <c r="Y8" s="1">
        <f t="shared" si="1"/>
        <v>4982.5749999999998</v>
      </c>
      <c r="Z8" s="1">
        <f t="shared" si="5"/>
        <v>2122.5749999999994</v>
      </c>
      <c r="AA8" s="1">
        <f t="shared" si="6"/>
        <v>8.5879379862019739E-2</v>
      </c>
      <c r="AB8" s="1">
        <f t="shared" si="7"/>
        <v>0.14674835830258481</v>
      </c>
      <c r="AC8" s="1"/>
      <c r="AD8" s="1">
        <f>SUM(W2:W46)</f>
        <v>18220.519700000001</v>
      </c>
      <c r="AE8" s="1">
        <f t="shared" si="17"/>
        <v>6</v>
      </c>
      <c r="AF8">
        <f t="shared" si="18"/>
        <v>18220.519700000001</v>
      </c>
      <c r="AG8">
        <f t="shared" si="19"/>
        <v>-133828.2818</v>
      </c>
      <c r="AH8">
        <f t="shared" si="8"/>
        <v>12772.280762066875</v>
      </c>
      <c r="AI8">
        <f t="shared" si="15"/>
        <v>-153836.00757486682</v>
      </c>
      <c r="AJ8">
        <f t="shared" si="9"/>
        <v>21130.216772508305</v>
      </c>
      <c r="AK8">
        <f t="shared" si="10"/>
        <v>14811.929935336073</v>
      </c>
      <c r="AL8">
        <f t="shared" si="16"/>
        <v>-146101.27475609668</v>
      </c>
      <c r="AW8" s="1"/>
      <c r="AX8">
        <f t="shared" si="11"/>
        <v>4.0001631532722544E-3</v>
      </c>
      <c r="AY8">
        <f t="shared" si="12"/>
        <v>471.69285085694486</v>
      </c>
      <c r="AZ8">
        <f t="shared" si="13"/>
        <v>518.86213594263938</v>
      </c>
      <c r="BA8">
        <f t="shared" si="14"/>
        <v>47.169285085694526</v>
      </c>
    </row>
    <row r="9" spans="1:53" ht="29" x14ac:dyDescent="0.35">
      <c r="A9" s="1">
        <v>8</v>
      </c>
      <c r="B9" s="62">
        <v>10161.74794678937</v>
      </c>
      <c r="C9" s="62">
        <v>10</v>
      </c>
      <c r="D9" s="62">
        <v>17473.5</v>
      </c>
      <c r="E9" s="62">
        <v>10161.700000000001</v>
      </c>
      <c r="F9" s="62">
        <v>6690.31</v>
      </c>
      <c r="G9" s="62">
        <v>666.70799999999997</v>
      </c>
      <c r="H9" s="62">
        <v>7473.12</v>
      </c>
      <c r="I9" s="62">
        <v>3557.92</v>
      </c>
      <c r="J9" s="62">
        <v>5438.81</v>
      </c>
      <c r="K9" s="62">
        <v>25</v>
      </c>
      <c r="L9" s="62">
        <v>9.6999999999999993</v>
      </c>
      <c r="M9" s="62">
        <f>(C9*$T$18*1000)+T35</f>
        <v>34000</v>
      </c>
      <c r="N9" s="88">
        <f t="shared" si="2"/>
        <v>18700</v>
      </c>
      <c r="O9" s="62">
        <f>$T$38*C9</f>
        <v>356</v>
      </c>
      <c r="P9" s="56">
        <f t="shared" si="3"/>
        <v>2.0373708758977881E-2</v>
      </c>
      <c r="Q9" s="56">
        <f t="shared" si="0"/>
        <v>8900</v>
      </c>
      <c r="R9" s="56"/>
      <c r="S9" s="65"/>
      <c r="T9" s="1" t="s">
        <v>314</v>
      </c>
      <c r="U9" s="78" t="s">
        <v>315</v>
      </c>
      <c r="V9" s="56"/>
      <c r="W9" s="1">
        <v>1025.3900000000001</v>
      </c>
      <c r="X9" s="1">
        <f t="shared" si="4"/>
        <v>-17674.61</v>
      </c>
      <c r="Y9" s="1">
        <f t="shared" si="1"/>
        <v>25634.750000000004</v>
      </c>
      <c r="Z9" s="1">
        <f t="shared" si="5"/>
        <v>6934.7500000000036</v>
      </c>
      <c r="AA9" s="1">
        <f t="shared" si="6"/>
        <v>9.3983092097041546E-2</v>
      </c>
      <c r="AB9" s="1">
        <f t="shared" si="7"/>
        <v>0.15734470742064072</v>
      </c>
      <c r="AC9" s="1"/>
      <c r="AD9" s="1"/>
      <c r="AE9" s="1">
        <f t="shared" si="17"/>
        <v>7</v>
      </c>
      <c r="AF9">
        <f t="shared" si="18"/>
        <v>18220.519700000001</v>
      </c>
      <c r="AG9">
        <f t="shared" si="19"/>
        <v>-115607.76209999999</v>
      </c>
      <c r="AH9">
        <f t="shared" si="8"/>
        <v>12037.964902984806</v>
      </c>
      <c r="AI9">
        <f t="shared" si="15"/>
        <v>-141798.04267188202</v>
      </c>
      <c r="AJ9">
        <f t="shared" si="9"/>
        <v>21658.472191821013</v>
      </c>
      <c r="AK9">
        <f t="shared" si="10"/>
        <v>14309.357383335984</v>
      </c>
      <c r="AL9">
        <f t="shared" si="16"/>
        <v>-131791.91737276071</v>
      </c>
      <c r="AW9" s="73" t="s">
        <v>323</v>
      </c>
      <c r="AX9">
        <f t="shared" si="11"/>
        <v>2.512598239218878E-2</v>
      </c>
      <c r="AY9">
        <f t="shared" si="12"/>
        <v>2962.8157180183607</v>
      </c>
      <c r="AZ9">
        <f t="shared" si="13"/>
        <v>3259.0972898201971</v>
      </c>
      <c r="BA9">
        <f t="shared" si="14"/>
        <v>296.28157180183644</v>
      </c>
    </row>
    <row r="10" spans="1:53" x14ac:dyDescent="0.35">
      <c r="A10" s="1">
        <v>9</v>
      </c>
      <c r="B10" s="62">
        <v>5057.043251595851</v>
      </c>
      <c r="C10" s="62">
        <v>4</v>
      </c>
      <c r="D10" s="62">
        <v>6989.42</v>
      </c>
      <c r="E10" s="62">
        <v>5057.04</v>
      </c>
      <c r="F10" s="62">
        <v>2433.36</v>
      </c>
      <c r="G10" s="62">
        <v>235.053</v>
      </c>
      <c r="H10" s="62">
        <v>2459.33</v>
      </c>
      <c r="I10" s="62">
        <v>2123.7399999999998</v>
      </c>
      <c r="J10" s="62">
        <v>1740.61</v>
      </c>
      <c r="K10" s="62">
        <v>10</v>
      </c>
      <c r="L10" s="62">
        <v>6</v>
      </c>
      <c r="M10" s="62">
        <f>(C10*$T$18*1000)+T34</f>
        <v>14600</v>
      </c>
      <c r="N10" s="88">
        <f t="shared" si="2"/>
        <v>8030.0000000000009</v>
      </c>
      <c r="O10" s="62">
        <f>$T$38*C10</f>
        <v>142.4</v>
      </c>
      <c r="P10" s="56">
        <f t="shared" si="3"/>
        <v>2.0373650460267088E-2</v>
      </c>
      <c r="Q10" s="56">
        <f t="shared" si="0"/>
        <v>3560</v>
      </c>
      <c r="R10" s="56"/>
      <c r="S10" s="50" t="s">
        <v>319</v>
      </c>
      <c r="T10" s="1">
        <f>200+90</f>
        <v>290</v>
      </c>
      <c r="U10" s="78">
        <f>T10*99</f>
        <v>28710</v>
      </c>
      <c r="V10" s="56"/>
      <c r="W10" s="1">
        <v>508.49599999999998</v>
      </c>
      <c r="X10" s="1">
        <f t="shared" si="4"/>
        <v>-7521.5040000000008</v>
      </c>
      <c r="Y10" s="1">
        <f t="shared" si="1"/>
        <v>12712.4</v>
      </c>
      <c r="Z10" s="1">
        <f t="shared" si="5"/>
        <v>4682.3999999999987</v>
      </c>
      <c r="AA10" s="1">
        <f t="shared" si="6"/>
        <v>8.3889025753653979E-2</v>
      </c>
      <c r="AB10" s="1">
        <f t="shared" si="7"/>
        <v>0.13856190295995666</v>
      </c>
      <c r="AC10" s="1"/>
      <c r="AD10" s="1"/>
      <c r="AE10" s="1">
        <f t="shared" si="17"/>
        <v>8</v>
      </c>
      <c r="AF10">
        <f t="shared" si="18"/>
        <v>18220.519700000001</v>
      </c>
      <c r="AG10">
        <f t="shared" si="19"/>
        <v>-97387.242399999988</v>
      </c>
      <c r="AH10">
        <f t="shared" si="8"/>
        <v>11345.867015065793</v>
      </c>
      <c r="AI10">
        <f t="shared" si="15"/>
        <v>-130452.17565681622</v>
      </c>
      <c r="AJ10">
        <f t="shared" si="9"/>
        <v>22199.933996616539</v>
      </c>
      <c r="AK10">
        <f t="shared" si="10"/>
        <v>13823.837245918363</v>
      </c>
      <c r="AL10">
        <f t="shared" si="16"/>
        <v>-117968.08012684235</v>
      </c>
      <c r="AW10" s="1">
        <f>AW2-AW6</f>
        <v>63827.179639457318</v>
      </c>
      <c r="AX10">
        <f t="shared" si="11"/>
        <v>1.2504067249205919E-2</v>
      </c>
      <c r="AY10">
        <f t="shared" si="12"/>
        <v>1474.4596412924029</v>
      </c>
      <c r="AZ10">
        <f t="shared" si="13"/>
        <v>1621.9056054216433</v>
      </c>
      <c r="BA10">
        <f t="shared" si="14"/>
        <v>147.44596412924034</v>
      </c>
    </row>
    <row r="11" spans="1:53" x14ac:dyDescent="0.35">
      <c r="A11" s="1">
        <v>10</v>
      </c>
      <c r="B11" s="1">
        <v>507.10444675644749</v>
      </c>
      <c r="C11" s="1">
        <v>2</v>
      </c>
      <c r="D11" s="1">
        <v>3494.71</v>
      </c>
      <c r="E11" s="1">
        <v>507.10399999999998</v>
      </c>
      <c r="F11" s="1">
        <v>1300.33</v>
      </c>
      <c r="G11" s="1">
        <v>126.497</v>
      </c>
      <c r="H11" s="1">
        <v>1951.2</v>
      </c>
      <c r="I11" s="1">
        <v>243.18299999999999</v>
      </c>
      <c r="J11" s="1">
        <v>263.92099999999999</v>
      </c>
      <c r="K11" s="1">
        <v>5</v>
      </c>
      <c r="L11" s="1">
        <v>0</v>
      </c>
      <c r="M11" s="1">
        <f>C11*$T$18*1000</f>
        <v>5200</v>
      </c>
      <c r="N11" s="88">
        <f t="shared" si="2"/>
        <v>2860.0000000000005</v>
      </c>
      <c r="O11" s="1">
        <f>$T$19*C11</f>
        <v>53</v>
      </c>
      <c r="P11" s="4">
        <f t="shared" si="3"/>
        <v>1.5165779134749377E-2</v>
      </c>
      <c r="Q11" s="4">
        <f t="shared" si="0"/>
        <v>1325</v>
      </c>
      <c r="R11" s="4"/>
      <c r="S11" s="65" t="s">
        <v>316</v>
      </c>
      <c r="T11" s="1"/>
      <c r="U11" s="78">
        <v>0</v>
      </c>
      <c r="V11" s="4"/>
      <c r="W11" s="1">
        <v>293.03699999999998</v>
      </c>
      <c r="X11" s="1">
        <f t="shared" si="4"/>
        <v>-2566.9630000000006</v>
      </c>
      <c r="Y11" s="1">
        <f t="shared" si="1"/>
        <v>7325.9249999999993</v>
      </c>
      <c r="Z11" s="1">
        <f t="shared" si="5"/>
        <v>4465.9249999999993</v>
      </c>
      <c r="AA11" s="1">
        <f t="shared" si="6"/>
        <v>0.24076033018183204</v>
      </c>
      <c r="AB11" s="1">
        <f t="shared" si="7"/>
        <v>0.43494800727318217</v>
      </c>
      <c r="AC11" s="1"/>
      <c r="AD11" s="2" t="s">
        <v>329</v>
      </c>
      <c r="AE11" s="1">
        <f t="shared" si="17"/>
        <v>9</v>
      </c>
      <c r="AF11">
        <f t="shared" si="18"/>
        <v>18220.519700000001</v>
      </c>
      <c r="AG11">
        <f t="shared" si="19"/>
        <v>-79166.722699999984</v>
      </c>
      <c r="AH11">
        <f t="shared" si="8"/>
        <v>10693.559863398485</v>
      </c>
      <c r="AI11">
        <f t="shared" si="15"/>
        <v>-119758.61579341773</v>
      </c>
      <c r="AJ11">
        <f t="shared" si="9"/>
        <v>22754.932346531947</v>
      </c>
      <c r="AK11">
        <f t="shared" si="10"/>
        <v>13354.790930316984</v>
      </c>
      <c r="AL11">
        <f t="shared" si="16"/>
        <v>-104613.28919652537</v>
      </c>
      <c r="AW11" s="1" t="s">
        <v>6</v>
      </c>
      <c r="AX11">
        <f t="shared" si="11"/>
        <v>1.2538686717011949E-3</v>
      </c>
      <c r="AY11">
        <f t="shared" si="12"/>
        <v>147.85419136495238</v>
      </c>
      <c r="AZ11">
        <f t="shared" si="13"/>
        <v>162.63961050144763</v>
      </c>
      <c r="BA11">
        <f t="shared" si="14"/>
        <v>14.78541913649525</v>
      </c>
    </row>
    <row r="12" spans="1:53" x14ac:dyDescent="0.35">
      <c r="A12" s="1">
        <v>11</v>
      </c>
      <c r="B12" s="1">
        <v>480.82648360578531</v>
      </c>
      <c r="C12" s="1">
        <v>2</v>
      </c>
      <c r="D12" s="1">
        <v>3494.71</v>
      </c>
      <c r="E12" s="1">
        <v>480.82600000000002</v>
      </c>
      <c r="F12" s="1">
        <v>1315.33</v>
      </c>
      <c r="G12" s="1">
        <v>128.179</v>
      </c>
      <c r="H12" s="1">
        <v>1959.92</v>
      </c>
      <c r="I12" s="1">
        <v>219.46199999999999</v>
      </c>
      <c r="J12" s="1">
        <v>261.36500000000001</v>
      </c>
      <c r="K12" s="1">
        <v>5</v>
      </c>
      <c r="L12" s="1">
        <v>0</v>
      </c>
      <c r="M12" s="1">
        <f>C12*$T$18*1000</f>
        <v>5200</v>
      </c>
      <c r="N12" s="88">
        <f t="shared" si="2"/>
        <v>2860.0000000000005</v>
      </c>
      <c r="O12" s="1">
        <f>$T$19*C12</f>
        <v>53</v>
      </c>
      <c r="P12" s="4">
        <f t="shared" si="3"/>
        <v>1.5165779134749377E-2</v>
      </c>
      <c r="Q12" s="4">
        <f t="shared" si="0"/>
        <v>1325</v>
      </c>
      <c r="R12" s="4"/>
      <c r="S12" s="65" t="s">
        <v>317</v>
      </c>
      <c r="T12" s="1"/>
      <c r="U12" s="78">
        <v>0</v>
      </c>
      <c r="V12" s="4"/>
      <c r="W12" s="1">
        <v>292.19799999999998</v>
      </c>
      <c r="X12" s="1">
        <f t="shared" si="4"/>
        <v>-2567.8020000000006</v>
      </c>
      <c r="Y12" s="1">
        <f t="shared" si="1"/>
        <v>7304.95</v>
      </c>
      <c r="Z12" s="1">
        <f t="shared" si="5"/>
        <v>4444.9499999999989</v>
      </c>
      <c r="AA12" s="1">
        <f t="shared" si="6"/>
        <v>0.25308944578076764</v>
      </c>
      <c r="AB12" s="1">
        <f t="shared" si="7"/>
        <v>0.45788980082748354</v>
      </c>
      <c r="AC12" s="1"/>
      <c r="AD12" s="1">
        <f>MIN(W2:W46)</f>
        <v>59.389600000000002</v>
      </c>
      <c r="AE12" s="1">
        <f t="shared" si="17"/>
        <v>10</v>
      </c>
      <c r="AF12">
        <f t="shared" si="18"/>
        <v>18220.519700000001</v>
      </c>
      <c r="AG12">
        <f t="shared" si="19"/>
        <v>-60946.20299999998</v>
      </c>
      <c r="AH12">
        <f t="shared" si="8"/>
        <v>10078.755761921286</v>
      </c>
      <c r="AI12">
        <f t="shared" si="15"/>
        <v>-109679.86003149644</v>
      </c>
      <c r="AJ12">
        <f t="shared" si="9"/>
        <v>23323.805655195247</v>
      </c>
      <c r="AK12">
        <f t="shared" si="10"/>
        <v>12901.659475565417</v>
      </c>
      <c r="AL12">
        <f t="shared" si="16"/>
        <v>-91711.629720959943</v>
      </c>
      <c r="AW12" s="1"/>
      <c r="AX12">
        <f t="shared" si="11"/>
        <v>1.1888936651488298E-3</v>
      </c>
      <c r="AY12">
        <f t="shared" si="12"/>
        <v>140.19244235602443</v>
      </c>
      <c r="AZ12">
        <f t="shared" si="13"/>
        <v>154.21168659162689</v>
      </c>
      <c r="BA12">
        <f t="shared" si="14"/>
        <v>14.019244235602457</v>
      </c>
    </row>
    <row r="13" spans="1:53" x14ac:dyDescent="0.35">
      <c r="A13" s="1">
        <v>12</v>
      </c>
      <c r="B13" s="1">
        <v>569.06841271947087</v>
      </c>
      <c r="C13" s="1">
        <v>2</v>
      </c>
      <c r="D13" s="1">
        <v>3497.79</v>
      </c>
      <c r="E13" s="1">
        <v>569.06799999999998</v>
      </c>
      <c r="F13" s="1">
        <v>1277.03</v>
      </c>
      <c r="G13" s="1">
        <v>123.822</v>
      </c>
      <c r="H13" s="1">
        <v>1953.43</v>
      </c>
      <c r="I13" s="1">
        <v>267.33100000000002</v>
      </c>
      <c r="J13" s="1">
        <v>301.738</v>
      </c>
      <c r="K13" s="1">
        <v>5</v>
      </c>
      <c r="L13" s="1">
        <v>0</v>
      </c>
      <c r="M13" s="1">
        <f>C13*$T$18*1000</f>
        <v>5200</v>
      </c>
      <c r="N13" s="89">
        <f>(M13*(1-$T$54))</f>
        <v>2339.9999999999995</v>
      </c>
      <c r="O13" s="1">
        <f>$T$19*C13</f>
        <v>53</v>
      </c>
      <c r="P13" s="4">
        <f t="shared" si="3"/>
        <v>1.5152424816812901E-2</v>
      </c>
      <c r="Q13" s="4">
        <f t="shared" si="0"/>
        <v>1325</v>
      </c>
      <c r="R13" s="4"/>
      <c r="S13" s="65" t="s">
        <v>318</v>
      </c>
      <c r="U13" s="78">
        <v>0</v>
      </c>
      <c r="V13" s="4"/>
      <c r="W13" s="1">
        <v>288.43700000000001</v>
      </c>
      <c r="X13" s="1">
        <f t="shared" si="4"/>
        <v>-2051.5629999999996</v>
      </c>
      <c r="Y13" s="1">
        <f t="shared" si="1"/>
        <v>7210.9250000000002</v>
      </c>
      <c r="Z13" s="1">
        <f t="shared" si="5"/>
        <v>4870.9250000000011</v>
      </c>
      <c r="AA13" s="1">
        <f t="shared" si="6"/>
        <v>0.17963177019587406</v>
      </c>
      <c r="AB13" s="1">
        <f t="shared" si="7"/>
        <v>0.32121259234081928</v>
      </c>
      <c r="AC13" s="1"/>
      <c r="AD13" s="1"/>
      <c r="AE13" s="1">
        <f t="shared" si="17"/>
        <v>11</v>
      </c>
      <c r="AF13">
        <f t="shared" si="18"/>
        <v>18220.519700000001</v>
      </c>
      <c r="AG13">
        <f t="shared" si="19"/>
        <v>-42725.683299999975</v>
      </c>
      <c r="AH13">
        <f t="shared" si="8"/>
        <v>9499.2985503499422</v>
      </c>
      <c r="AI13">
        <f t="shared" si="15"/>
        <v>-100180.56148114651</v>
      </c>
      <c r="AJ13">
        <f t="shared" si="9"/>
        <v>23906.900796575126</v>
      </c>
      <c r="AK13">
        <f t="shared" si="10"/>
        <v>12463.902886385065</v>
      </c>
      <c r="AL13">
        <f t="shared" si="16"/>
        <v>-79247.726834574874</v>
      </c>
      <c r="AW13" s="1"/>
      <c r="AX13">
        <f t="shared" si="11"/>
        <v>1.4070810447977958E-3</v>
      </c>
      <c r="AY13">
        <f t="shared" si="12"/>
        <v>165.92074972354712</v>
      </c>
      <c r="AZ13">
        <f t="shared" si="13"/>
        <v>182.51282469590186</v>
      </c>
      <c r="BA13">
        <f t="shared" si="14"/>
        <v>16.592074972354737</v>
      </c>
    </row>
    <row r="14" spans="1:53" x14ac:dyDescent="0.35">
      <c r="A14" s="1">
        <v>13</v>
      </c>
      <c r="B14" s="62">
        <v>4563.0069277860366</v>
      </c>
      <c r="C14" s="62">
        <v>6</v>
      </c>
      <c r="D14" s="62">
        <v>10493.4</v>
      </c>
      <c r="E14" s="62">
        <v>4563.01</v>
      </c>
      <c r="F14" s="62">
        <v>4058.52</v>
      </c>
      <c r="G14" s="62">
        <v>405.589</v>
      </c>
      <c r="H14" s="62">
        <v>4703.5600000000004</v>
      </c>
      <c r="I14" s="62">
        <v>1886.93</v>
      </c>
      <c r="J14" s="62">
        <v>2197.59</v>
      </c>
      <c r="K14" s="62">
        <v>15</v>
      </c>
      <c r="L14" s="62">
        <v>5</v>
      </c>
      <c r="M14" s="62">
        <f>(C14*$T$18*1000)+T33</f>
        <v>19100</v>
      </c>
      <c r="N14" s="89">
        <f t="shared" ref="N14:N23" si="20">(M14*(1-$T$54))</f>
        <v>8595</v>
      </c>
      <c r="O14" s="62">
        <f>$T$38*C14</f>
        <v>213.60000000000002</v>
      </c>
      <c r="P14" s="56">
        <f t="shared" si="3"/>
        <v>2.0355652124192353E-2</v>
      </c>
      <c r="Q14" s="56">
        <f t="shared" si="0"/>
        <v>5340.0000000000009</v>
      </c>
      <c r="R14" s="56"/>
      <c r="S14" s="65"/>
      <c r="T14" s="1"/>
      <c r="U14" s="78"/>
      <c r="V14" s="56"/>
      <c r="W14" s="1">
        <v>766.77200000000005</v>
      </c>
      <c r="X14" s="1">
        <f t="shared" si="4"/>
        <v>-7828.2280000000001</v>
      </c>
      <c r="Y14" s="1">
        <f t="shared" si="1"/>
        <v>19169.300000000003</v>
      </c>
      <c r="Z14" s="1">
        <f t="shared" si="5"/>
        <v>10574.300000000003</v>
      </c>
      <c r="AA14" s="1">
        <f t="shared" si="6"/>
        <v>9.5700705384238832E-2</v>
      </c>
      <c r="AB14" s="1">
        <f t="shared" si="7"/>
        <v>0.16055635373648516</v>
      </c>
      <c r="AC14" s="1"/>
      <c r="AD14" s="2" t="s">
        <v>330</v>
      </c>
      <c r="AE14" s="1">
        <f t="shared" si="17"/>
        <v>12</v>
      </c>
      <c r="AF14">
        <f t="shared" si="18"/>
        <v>18220.519700000001</v>
      </c>
      <c r="AG14">
        <f t="shared" si="19"/>
        <v>-24505.163599999974</v>
      </c>
      <c r="AH14">
        <f t="shared" si="8"/>
        <v>8953.1560323750637</v>
      </c>
      <c r="AI14">
        <f t="shared" si="15"/>
        <v>-91227.405448771446</v>
      </c>
      <c r="AJ14">
        <f t="shared" si="9"/>
        <v>24504.573316489503</v>
      </c>
      <c r="AK14">
        <f t="shared" si="10"/>
        <v>12040.999489674545</v>
      </c>
      <c r="AL14">
        <f t="shared" si="16"/>
        <v>-67206.727344900326</v>
      </c>
      <c r="AW14" s="1"/>
      <c r="AX14">
        <f t="shared" si="11"/>
        <v>1.1282510875425851E-2</v>
      </c>
      <c r="AY14">
        <f t="shared" si="12"/>
        <v>1330.4156644962457</v>
      </c>
      <c r="AZ14">
        <f t="shared" si="13"/>
        <v>1463.4572309458704</v>
      </c>
      <c r="BA14">
        <f t="shared" si="14"/>
        <v>133.04156644962472</v>
      </c>
    </row>
    <row r="15" spans="1:53" x14ac:dyDescent="0.35">
      <c r="A15" s="1">
        <v>14</v>
      </c>
      <c r="B15" s="62">
        <v>2172.7675547581462</v>
      </c>
      <c r="C15" s="62">
        <v>2</v>
      </c>
      <c r="D15" s="62">
        <v>3497.79</v>
      </c>
      <c r="E15" s="62">
        <v>2172.77</v>
      </c>
      <c r="F15" s="62">
        <v>1243.8900000000001</v>
      </c>
      <c r="G15" s="62">
        <v>122.795</v>
      </c>
      <c r="H15" s="62">
        <v>1461.09</v>
      </c>
      <c r="I15" s="62">
        <v>834.95399999999995</v>
      </c>
      <c r="J15" s="62">
        <v>850.149</v>
      </c>
      <c r="K15" s="62">
        <v>5</v>
      </c>
      <c r="L15" s="62">
        <v>2</v>
      </c>
      <c r="M15" s="62">
        <f>(C15*$T$18*1000)+T30</f>
        <v>8600</v>
      </c>
      <c r="N15" s="89">
        <f t="shared" si="20"/>
        <v>3869.9999999999995</v>
      </c>
      <c r="O15" s="62">
        <f>$T$38*C15</f>
        <v>71.2</v>
      </c>
      <c r="P15" s="56">
        <f t="shared" si="3"/>
        <v>2.0355710319944882E-2</v>
      </c>
      <c r="Q15" s="56">
        <f t="shared" si="0"/>
        <v>1780</v>
      </c>
      <c r="R15" s="56"/>
      <c r="S15" s="63" t="s">
        <v>313</v>
      </c>
      <c r="T15" s="4">
        <v>45</v>
      </c>
      <c r="U15" s="46"/>
      <c r="V15" s="56"/>
      <c r="W15" s="1">
        <v>247.65100000000001</v>
      </c>
      <c r="X15" s="1">
        <f t="shared" si="4"/>
        <v>-3622.3489999999997</v>
      </c>
      <c r="Y15" s="1">
        <f t="shared" si="1"/>
        <v>6191.2750000000005</v>
      </c>
      <c r="Z15" s="1">
        <f t="shared" si="5"/>
        <v>2321.275000000001</v>
      </c>
      <c r="AA15" s="1">
        <f t="shared" si="6"/>
        <v>9.1601251363211705E-2</v>
      </c>
      <c r="AB15" s="1">
        <f t="shared" si="7"/>
        <v>0.15292811433084158</v>
      </c>
      <c r="AC15" s="1"/>
      <c r="AD15" s="1">
        <f>MAX(W2:W46)</f>
        <v>1572.32</v>
      </c>
      <c r="AE15" s="1">
        <f t="shared" si="17"/>
        <v>13</v>
      </c>
      <c r="AF15">
        <f t="shared" si="18"/>
        <v>18220.519700000001</v>
      </c>
      <c r="AG15">
        <f t="shared" si="19"/>
        <v>-6284.6438999999737</v>
      </c>
      <c r="AH15">
        <f t="shared" si="8"/>
        <v>8438.4128486098598</v>
      </c>
      <c r="AI15">
        <f t="shared" si="15"/>
        <v>-82788.992600161582</v>
      </c>
      <c r="AJ15">
        <f t="shared" si="9"/>
        <v>25117.187649401738</v>
      </c>
      <c r="AK15">
        <f t="shared" si="10"/>
        <v>11632.445312833559</v>
      </c>
      <c r="AL15">
        <f t="shared" si="16"/>
        <v>-55574.282032066767</v>
      </c>
      <c r="AW15" s="1"/>
      <c r="AX15">
        <f t="shared" si="11"/>
        <v>5.3723945534804394E-3</v>
      </c>
      <c r="AY15">
        <f t="shared" si="12"/>
        <v>633.50418614463888</v>
      </c>
      <c r="AZ15">
        <f t="shared" si="13"/>
        <v>696.85460475910281</v>
      </c>
      <c r="BA15">
        <f t="shared" si="14"/>
        <v>63.350418614463933</v>
      </c>
    </row>
    <row r="16" spans="1:53" x14ac:dyDescent="0.35">
      <c r="A16" s="1">
        <v>15</v>
      </c>
      <c r="B16" s="62">
        <v>4548.2349752288228</v>
      </c>
      <c r="C16" s="62">
        <v>4</v>
      </c>
      <c r="D16" s="62">
        <v>6995.57</v>
      </c>
      <c r="E16" s="62">
        <v>4548.2299999999996</v>
      </c>
      <c r="F16" s="62">
        <v>2204.15</v>
      </c>
      <c r="G16" s="62">
        <v>210.84200000000001</v>
      </c>
      <c r="H16" s="62">
        <v>2953.48</v>
      </c>
      <c r="I16" s="62">
        <v>1935.56</v>
      </c>
      <c r="J16" s="62">
        <v>1638.43</v>
      </c>
      <c r="K16" s="62">
        <v>10</v>
      </c>
      <c r="L16" s="62">
        <v>3.3</v>
      </c>
      <c r="M16" s="62">
        <f>(C16*$T$18*1000)+T31</f>
        <v>14096</v>
      </c>
      <c r="N16" s="89">
        <f t="shared" si="20"/>
        <v>6343.2</v>
      </c>
      <c r="O16" s="62">
        <f>$T$38*C16</f>
        <v>142.4</v>
      </c>
      <c r="P16" s="56">
        <f t="shared" si="3"/>
        <v>2.0355739417945929E-2</v>
      </c>
      <c r="Q16" s="56">
        <f t="shared" si="0"/>
        <v>3560</v>
      </c>
      <c r="R16" s="56"/>
      <c r="S16" s="106" t="s">
        <v>258</v>
      </c>
      <c r="T16" s="107"/>
      <c r="U16" s="46" t="s">
        <v>299</v>
      </c>
      <c r="V16" s="56"/>
      <c r="W16" s="1">
        <v>513.93200000000002</v>
      </c>
      <c r="X16" s="1">
        <f t="shared" si="4"/>
        <v>-5829.268</v>
      </c>
      <c r="Y16" s="1">
        <f t="shared" si="1"/>
        <v>12848.300000000001</v>
      </c>
      <c r="Z16" s="1">
        <f t="shared" si="5"/>
        <v>6505.1000000000013</v>
      </c>
      <c r="AA16" s="1">
        <f t="shared" si="6"/>
        <v>7.614177540374828E-2</v>
      </c>
      <c r="AB16" s="1">
        <f t="shared" si="7"/>
        <v>0.12416137823518605</v>
      </c>
      <c r="AC16" s="1"/>
      <c r="AD16" s="1"/>
      <c r="AE16" s="1">
        <f t="shared" si="17"/>
        <v>14</v>
      </c>
      <c r="AF16">
        <f t="shared" si="18"/>
        <v>18220.519700000001</v>
      </c>
      <c r="AG16">
        <f t="shared" si="19"/>
        <v>11935.875800000027</v>
      </c>
      <c r="AH16">
        <f t="shared" si="8"/>
        <v>7953.2637592929887</v>
      </c>
      <c r="AI16">
        <f t="shared" si="15"/>
        <v>-74835.7288408686</v>
      </c>
      <c r="AJ16">
        <f t="shared" si="9"/>
        <v>25745.117340636778</v>
      </c>
      <c r="AK16">
        <f t="shared" si="10"/>
        <v>11237.753483180393</v>
      </c>
      <c r="AL16">
        <f t="shared" si="16"/>
        <v>-44336.528548886374</v>
      </c>
      <c r="AW16" s="1"/>
      <c r="AX16">
        <f t="shared" si="11"/>
        <v>1.1245985680961834E-2</v>
      </c>
      <c r="AY16">
        <f t="shared" si="12"/>
        <v>1326.1086718950207</v>
      </c>
      <c r="AZ16">
        <f t="shared" si="13"/>
        <v>1458.7195390845229</v>
      </c>
      <c r="BA16">
        <f t="shared" si="14"/>
        <v>132.61086718950219</v>
      </c>
    </row>
    <row r="17" spans="1:53" x14ac:dyDescent="0.35">
      <c r="A17" s="1">
        <v>16</v>
      </c>
      <c r="B17" s="1">
        <v>5476.90270703035</v>
      </c>
      <c r="C17" s="1">
        <v>4</v>
      </c>
      <c r="D17" s="1">
        <v>6995.57</v>
      </c>
      <c r="E17" s="1">
        <v>5476.9</v>
      </c>
      <c r="F17" s="1">
        <v>1485.71</v>
      </c>
      <c r="G17" s="1">
        <v>133.98400000000001</v>
      </c>
      <c r="H17" s="1">
        <v>3239.46</v>
      </c>
      <c r="I17" s="1">
        <v>2270.4</v>
      </c>
      <c r="J17" s="1">
        <v>3206.5</v>
      </c>
      <c r="K17" s="1">
        <v>10</v>
      </c>
      <c r="L17" s="1">
        <v>0</v>
      </c>
      <c r="M17" s="1">
        <f>C17*$T$18*1000</f>
        <v>10400</v>
      </c>
      <c r="N17" s="89">
        <f t="shared" si="20"/>
        <v>4679.9999999999991</v>
      </c>
      <c r="O17" s="1">
        <f>$T$19*C17</f>
        <v>106</v>
      </c>
      <c r="P17" s="4">
        <f t="shared" si="3"/>
        <v>1.5152446476841773E-2</v>
      </c>
      <c r="Q17" s="4">
        <f t="shared" si="0"/>
        <v>2650</v>
      </c>
      <c r="R17" s="4"/>
      <c r="S17" s="50" t="s">
        <v>245</v>
      </c>
      <c r="T17" s="2" t="s">
        <v>246</v>
      </c>
      <c r="U17" s="46">
        <v>1700</v>
      </c>
      <c r="V17" s="4"/>
      <c r="W17" s="1">
        <v>271.02499999999998</v>
      </c>
      <c r="X17" s="1">
        <f t="shared" si="4"/>
        <v>-4408.9749999999995</v>
      </c>
      <c r="Y17" s="1">
        <f t="shared" si="1"/>
        <v>6775.6249999999991</v>
      </c>
      <c r="Z17" s="1">
        <f t="shared" si="5"/>
        <v>2095.625</v>
      </c>
      <c r="AA17" s="1">
        <f t="shared" si="6"/>
        <v>4.9332348880385159E-2</v>
      </c>
      <c r="AB17" s="1">
        <f t="shared" si="7"/>
        <v>7.8753785790746988E-2</v>
      </c>
      <c r="AC17" s="1"/>
      <c r="AD17" s="2" t="s">
        <v>331</v>
      </c>
      <c r="AE17" s="1">
        <f t="shared" si="17"/>
        <v>15</v>
      </c>
      <c r="AF17">
        <f t="shared" si="18"/>
        <v>18220.519700000001</v>
      </c>
      <c r="AG17">
        <f t="shared" si="19"/>
        <v>30156.395500000028</v>
      </c>
      <c r="AH17">
        <f t="shared" si="8"/>
        <v>7496.007313188491</v>
      </c>
      <c r="AI17">
        <f t="shared" si="15"/>
        <v>-67339.721527680114</v>
      </c>
      <c r="AJ17">
        <f t="shared" si="9"/>
        <v>26388.745274152705</v>
      </c>
      <c r="AK17">
        <f t="shared" si="10"/>
        <v>10856.453647747319</v>
      </c>
      <c r="AL17">
        <f t="shared" si="16"/>
        <v>-33480.074901139058</v>
      </c>
      <c r="AW17" s="1"/>
      <c r="AX17">
        <f t="shared" si="11"/>
        <v>1.3542213573999803E-2</v>
      </c>
      <c r="AY17">
        <f t="shared" si="12"/>
        <v>1596.876198014123</v>
      </c>
      <c r="AZ17">
        <f t="shared" si="13"/>
        <v>1756.5638178155355</v>
      </c>
      <c r="BA17">
        <f t="shared" si="14"/>
        <v>159.68761980141244</v>
      </c>
    </row>
    <row r="18" spans="1:53" x14ac:dyDescent="0.35">
      <c r="A18" s="1">
        <v>17</v>
      </c>
      <c r="B18" s="62">
        <v>2180.0429312531028</v>
      </c>
      <c r="C18" s="62">
        <v>2</v>
      </c>
      <c r="D18" s="62">
        <v>3497.79</v>
      </c>
      <c r="E18" s="62">
        <v>2180.04</v>
      </c>
      <c r="F18" s="62">
        <v>1266.75</v>
      </c>
      <c r="G18" s="62">
        <v>125.211</v>
      </c>
      <c r="H18" s="62">
        <v>1479.9</v>
      </c>
      <c r="I18" s="62">
        <v>802.71100000000001</v>
      </c>
      <c r="J18" s="62">
        <v>951.178</v>
      </c>
      <c r="K18" s="62">
        <v>5</v>
      </c>
      <c r="L18" s="62">
        <v>2</v>
      </c>
      <c r="M18" s="62">
        <f>(C18*$T$18*1000)+T30</f>
        <v>8600</v>
      </c>
      <c r="N18" s="89">
        <f t="shared" si="20"/>
        <v>3869.9999999999995</v>
      </c>
      <c r="O18" s="62">
        <f>$T$38*C18</f>
        <v>71.2</v>
      </c>
      <c r="P18" s="56">
        <f t="shared" si="3"/>
        <v>2.0355710319944882E-2</v>
      </c>
      <c r="Q18" s="56">
        <f t="shared" si="0"/>
        <v>1780</v>
      </c>
      <c r="R18" s="56"/>
      <c r="S18" s="65" t="s">
        <v>247</v>
      </c>
      <c r="T18" s="1">
        <v>2.6</v>
      </c>
      <c r="U18" s="46">
        <v>1120</v>
      </c>
      <c r="V18" s="56"/>
      <c r="W18" s="1">
        <v>231.06299999999999</v>
      </c>
      <c r="X18" s="1">
        <f t="shared" si="4"/>
        <v>-3638.9369999999994</v>
      </c>
      <c r="Y18" s="1">
        <f t="shared" si="1"/>
        <v>5776.5749999999998</v>
      </c>
      <c r="Z18" s="1">
        <f t="shared" si="5"/>
        <v>1906.5750000000003</v>
      </c>
      <c r="AA18" s="1">
        <f t="shared" si="6"/>
        <v>9.1363486259026933E-2</v>
      </c>
      <c r="AB18" s="1">
        <f t="shared" si="7"/>
        <v>0.15248568535928625</v>
      </c>
      <c r="AC18" s="1"/>
      <c r="AD18" s="1">
        <f>MIN(W47:W100)</f>
        <v>7.2637200000000002</v>
      </c>
      <c r="AE18" s="1">
        <f t="shared" si="17"/>
        <v>16</v>
      </c>
      <c r="AF18">
        <f t="shared" si="18"/>
        <v>18220.519700000001</v>
      </c>
      <c r="AG18">
        <f t="shared" si="19"/>
        <v>48376.915200000032</v>
      </c>
      <c r="AH18">
        <f t="shared" si="8"/>
        <v>7065.0398804792567</v>
      </c>
      <c r="AI18">
        <f t="shared" si="15"/>
        <v>-60274.681647200858</v>
      </c>
      <c r="AJ18">
        <f t="shared" si="9"/>
        <v>27048.46390600652</v>
      </c>
      <c r="AK18">
        <f t="shared" si="10"/>
        <v>10488.091412762491</v>
      </c>
      <c r="AL18">
        <f t="shared" si="16"/>
        <v>-22991.983488376565</v>
      </c>
      <c r="AX18">
        <f t="shared" si="11"/>
        <v>5.3903836812039408E-3</v>
      </c>
      <c r="AY18">
        <f t="shared" si="12"/>
        <v>635.62543535753321</v>
      </c>
      <c r="AZ18">
        <f t="shared" si="13"/>
        <v>699.18797889328653</v>
      </c>
      <c r="BA18">
        <f t="shared" si="14"/>
        <v>63.562543535753321</v>
      </c>
    </row>
    <row r="19" spans="1:53" x14ac:dyDescent="0.35">
      <c r="A19" s="1">
        <v>18</v>
      </c>
      <c r="B19" s="62">
        <v>5524.0028847571884</v>
      </c>
      <c r="C19" s="62">
        <v>4</v>
      </c>
      <c r="D19" s="62">
        <v>6995.57</v>
      </c>
      <c r="E19" s="62">
        <v>5524</v>
      </c>
      <c r="F19" s="62">
        <v>2468.4299999999998</v>
      </c>
      <c r="G19" s="62">
        <v>237.523</v>
      </c>
      <c r="H19" s="62">
        <v>2577.7199999999998</v>
      </c>
      <c r="I19" s="62">
        <v>1982.7</v>
      </c>
      <c r="J19" s="62">
        <v>2035.42</v>
      </c>
      <c r="K19" s="62">
        <v>10</v>
      </c>
      <c r="L19" s="62">
        <v>6</v>
      </c>
      <c r="M19" s="62">
        <f>(C19*$T$18*1000)+T34</f>
        <v>14600</v>
      </c>
      <c r="N19" s="89">
        <f t="shared" si="20"/>
        <v>6569.9999999999991</v>
      </c>
      <c r="O19" s="62">
        <f>$T$38*C19</f>
        <v>142.4</v>
      </c>
      <c r="P19" s="56">
        <f t="shared" si="3"/>
        <v>2.0355739417945929E-2</v>
      </c>
      <c r="Q19" s="56">
        <f t="shared" si="0"/>
        <v>3560</v>
      </c>
      <c r="R19" s="56"/>
      <c r="S19" s="65" t="s">
        <v>248</v>
      </c>
      <c r="T19" s="1">
        <v>26.5</v>
      </c>
      <c r="U19" s="46">
        <v>700</v>
      </c>
      <c r="V19" s="56"/>
      <c r="W19" s="1">
        <v>453.73200000000003</v>
      </c>
      <c r="X19" s="1">
        <f t="shared" si="4"/>
        <v>-6116.2679999999991</v>
      </c>
      <c r="Y19" s="1">
        <f t="shared" si="1"/>
        <v>11343.300000000001</v>
      </c>
      <c r="Z19" s="1">
        <f t="shared" si="5"/>
        <v>4773.300000000002</v>
      </c>
      <c r="AA19" s="1">
        <f t="shared" si="6"/>
        <v>6.7929936152195378E-2</v>
      </c>
      <c r="AB19" s="1">
        <f t="shared" si="7"/>
        <v>0.10888093745267764</v>
      </c>
      <c r="AC19" s="1"/>
      <c r="AD19" s="1"/>
      <c r="AE19" s="1">
        <f t="shared" si="17"/>
        <v>17</v>
      </c>
      <c r="AF19">
        <f t="shared" si="18"/>
        <v>18220.519700000001</v>
      </c>
      <c r="AG19">
        <f t="shared" si="19"/>
        <v>66597.434900000037</v>
      </c>
      <c r="AH19">
        <f t="shared" si="8"/>
        <v>6658.8500287269162</v>
      </c>
      <c r="AI19">
        <f t="shared" si="15"/>
        <v>-53615.831618473938</v>
      </c>
      <c r="AJ19">
        <f t="shared" si="9"/>
        <v>27724.675503656679</v>
      </c>
      <c r="AK19">
        <f t="shared" si="10"/>
        <v>10132.227802150379</v>
      </c>
      <c r="AL19">
        <f t="shared" si="16"/>
        <v>-12859.755686226186</v>
      </c>
      <c r="AX19">
        <f t="shared" si="11"/>
        <v>1.3658673679331133E-2</v>
      </c>
      <c r="AY19">
        <f t="shared" ref="AY19:AY34" si="21">AX19*$AW$2</f>
        <v>1610.6089876504402</v>
      </c>
      <c r="AZ19">
        <f t="shared" si="13"/>
        <v>1771.6698864154844</v>
      </c>
      <c r="BA19">
        <f t="shared" si="14"/>
        <v>161.06089876504416</v>
      </c>
    </row>
    <row r="20" spans="1:53" x14ac:dyDescent="0.35">
      <c r="A20" s="1">
        <v>19</v>
      </c>
      <c r="B20" s="1">
        <v>6393.5501464958952</v>
      </c>
      <c r="C20" s="1">
        <v>4</v>
      </c>
      <c r="D20" s="1">
        <v>6995.57</v>
      </c>
      <c r="E20" s="1">
        <v>6393.55</v>
      </c>
      <c r="F20" s="1">
        <v>1450.97</v>
      </c>
      <c r="G20" s="1">
        <v>130.24100000000001</v>
      </c>
      <c r="H20" s="1">
        <v>3311.12</v>
      </c>
      <c r="I20" s="1">
        <v>2233.48</v>
      </c>
      <c r="J20" s="1">
        <v>4160.07</v>
      </c>
      <c r="K20" s="1">
        <v>10</v>
      </c>
      <c r="L20" s="1">
        <v>0</v>
      </c>
      <c r="M20" s="1">
        <f>C20*$T$18*1000</f>
        <v>10400</v>
      </c>
      <c r="N20" s="89">
        <f t="shared" si="20"/>
        <v>4679.9999999999991</v>
      </c>
      <c r="O20" s="1">
        <f>$T$19*C20</f>
        <v>106</v>
      </c>
      <c r="P20" s="4">
        <f t="shared" si="3"/>
        <v>1.5152446476841773E-2</v>
      </c>
      <c r="Q20" s="4">
        <f t="shared" si="0"/>
        <v>2650</v>
      </c>
      <c r="R20" s="4"/>
      <c r="S20" s="65" t="s">
        <v>250</v>
      </c>
      <c r="T20" s="1">
        <v>6.0999999999999999E-2</v>
      </c>
      <c r="U20" s="30" t="s">
        <v>300</v>
      </c>
      <c r="V20" s="4"/>
      <c r="W20" s="1">
        <v>120.19499999999999</v>
      </c>
      <c r="X20" s="1">
        <f t="shared" si="4"/>
        <v>-4559.8049999999994</v>
      </c>
      <c r="Y20" s="1">
        <f t="shared" si="1"/>
        <v>3004.875</v>
      </c>
      <c r="Z20" s="1">
        <f t="shared" si="5"/>
        <v>-1675.1249999999991</v>
      </c>
      <c r="AA20" s="1">
        <f t="shared" si="6"/>
        <v>4.4431954060370843E-2</v>
      </c>
      <c r="AB20" s="1">
        <f t="shared" si="7"/>
        <v>6.9635220440849341E-2</v>
      </c>
      <c r="AC20" s="1"/>
      <c r="AD20" s="2" t="s">
        <v>332</v>
      </c>
      <c r="AE20" s="1">
        <f>AE19+1</f>
        <v>18</v>
      </c>
      <c r="AF20">
        <f t="shared" si="18"/>
        <v>18220.519700000001</v>
      </c>
      <c r="AG20">
        <f t="shared" si="19"/>
        <v>84817.954600000041</v>
      </c>
      <c r="AH20">
        <f t="shared" si="8"/>
        <v>6276.0132221742842</v>
      </c>
      <c r="AI20">
        <f t="shared" si="15"/>
        <v>-47339.818396299655</v>
      </c>
      <c r="AJ20">
        <f t="shared" si="9"/>
        <v>28417.792391248095</v>
      </c>
      <c r="AK20">
        <f t="shared" si="10"/>
        <v>9788.4387344054085</v>
      </c>
      <c r="AL20">
        <f t="shared" si="16"/>
        <v>-3071.3169518207778</v>
      </c>
      <c r="AX20">
        <f t="shared" si="11"/>
        <v>1.5808720039664811E-2</v>
      </c>
      <c r="AY20">
        <f t="shared" si="21"/>
        <v>1864.1390208819037</v>
      </c>
      <c r="AZ20">
        <f t="shared" si="13"/>
        <v>2050.5529229700942</v>
      </c>
      <c r="BA20">
        <f t="shared" si="14"/>
        <v>186.41390208819053</v>
      </c>
    </row>
    <row r="21" spans="1:53" x14ac:dyDescent="0.35">
      <c r="A21" s="1">
        <v>20</v>
      </c>
      <c r="B21" s="62">
        <v>6287.6864400653858</v>
      </c>
      <c r="C21" s="62">
        <v>10</v>
      </c>
      <c r="D21" s="62">
        <v>17488.900000000001</v>
      </c>
      <c r="E21" s="62">
        <v>6287.69</v>
      </c>
      <c r="F21" s="62">
        <v>8120.34</v>
      </c>
      <c r="G21" s="62">
        <v>841.88900000000001</v>
      </c>
      <c r="H21" s="62">
        <v>7131.35</v>
      </c>
      <c r="I21" s="62">
        <v>2494.35</v>
      </c>
      <c r="J21" s="62">
        <v>3382.63</v>
      </c>
      <c r="K21" s="62">
        <v>25</v>
      </c>
      <c r="L21" s="62">
        <v>13.5</v>
      </c>
      <c r="M21" s="62">
        <f>(C21*$T$18*1000)+T36</f>
        <v>33300</v>
      </c>
      <c r="N21" s="89">
        <f t="shared" si="20"/>
        <v>14984.999999999998</v>
      </c>
      <c r="O21" s="62">
        <f>$T$38*C21</f>
        <v>356</v>
      </c>
      <c r="P21" s="56">
        <f t="shared" si="3"/>
        <v>2.0355768516030166E-2</v>
      </c>
      <c r="Q21" s="56">
        <f t="shared" si="0"/>
        <v>8900</v>
      </c>
      <c r="R21" s="56"/>
      <c r="S21" s="65" t="s">
        <v>251</v>
      </c>
      <c r="T21" s="1" t="s">
        <v>252</v>
      </c>
      <c r="U21" s="46">
        <v>1.2</v>
      </c>
      <c r="V21" s="56"/>
      <c r="W21" s="1">
        <v>1324.72</v>
      </c>
      <c r="X21" s="1">
        <f t="shared" si="4"/>
        <v>-13660.279999999999</v>
      </c>
      <c r="Y21" s="1">
        <f t="shared" si="1"/>
        <v>33118</v>
      </c>
      <c r="Z21" s="1">
        <f t="shared" si="5"/>
        <v>18133</v>
      </c>
      <c r="AA21" s="1">
        <f t="shared" si="6"/>
        <v>0.11568494972020082</v>
      </c>
      <c r="AB21" s="1">
        <f t="shared" si="7"/>
        <v>0.19774257110838234</v>
      </c>
      <c r="AC21" s="1"/>
      <c r="AD21" s="1">
        <f>MAX(W47:W100)</f>
        <v>382.77600000000001</v>
      </c>
      <c r="AE21" s="1">
        <f t="shared" si="17"/>
        <v>19</v>
      </c>
      <c r="AF21">
        <f t="shared" si="18"/>
        <v>18220.519700000001</v>
      </c>
      <c r="AG21">
        <f t="shared" si="19"/>
        <v>103038.47430000005</v>
      </c>
      <c r="AH21">
        <f t="shared" si="8"/>
        <v>5915.186825800457</v>
      </c>
      <c r="AI21">
        <f t="shared" si="15"/>
        <v>-41424.631570499201</v>
      </c>
      <c r="AJ21">
        <f t="shared" si="9"/>
        <v>29128.2372010293</v>
      </c>
      <c r="AK21">
        <f t="shared" si="10"/>
        <v>9456.3145172154054</v>
      </c>
      <c r="AL21">
        <f t="shared" si="16"/>
        <v>6384.9975653946276</v>
      </c>
      <c r="AX21">
        <f t="shared" si="11"/>
        <v>1.5546960976394084E-2</v>
      </c>
      <c r="AY21">
        <f t="shared" si="21"/>
        <v>1833.2728101647706</v>
      </c>
      <c r="AZ21">
        <f t="shared" si="13"/>
        <v>2016.6000911812478</v>
      </c>
      <c r="BA21">
        <f t="shared" si="14"/>
        <v>183.32728101647717</v>
      </c>
    </row>
    <row r="22" spans="1:53" x14ac:dyDescent="0.35">
      <c r="A22" s="1">
        <v>21</v>
      </c>
      <c r="B22" s="62">
        <v>1195.617299383852</v>
      </c>
      <c r="C22" s="62">
        <v>2</v>
      </c>
      <c r="D22" s="62">
        <v>3497.79</v>
      </c>
      <c r="E22" s="62">
        <v>1195.6199999999999</v>
      </c>
      <c r="F22" s="62">
        <v>1334.89</v>
      </c>
      <c r="G22" s="62">
        <v>132.762</v>
      </c>
      <c r="H22" s="62">
        <v>1658.19</v>
      </c>
      <c r="I22" s="62">
        <v>558.10699999999997</v>
      </c>
      <c r="J22" s="62">
        <v>464.2</v>
      </c>
      <c r="K22" s="62">
        <v>5</v>
      </c>
      <c r="L22" s="62">
        <v>1.2</v>
      </c>
      <c r="M22" s="62">
        <f>(C22*$T$18*1000)+T29</f>
        <v>7240</v>
      </c>
      <c r="N22" s="89">
        <f t="shared" si="20"/>
        <v>3257.9999999999995</v>
      </c>
      <c r="O22" s="62">
        <f>$T$38*C22</f>
        <v>71.2</v>
      </c>
      <c r="P22" s="56">
        <f t="shared" si="3"/>
        <v>2.0355710319944882E-2</v>
      </c>
      <c r="Q22" s="56">
        <f t="shared" si="0"/>
        <v>1780</v>
      </c>
      <c r="R22" s="56"/>
      <c r="S22" s="65" t="s">
        <v>262</v>
      </c>
      <c r="T22" s="1">
        <v>7.0000000000000007E-2</v>
      </c>
      <c r="U22" s="46">
        <v>2</v>
      </c>
      <c r="V22" s="56"/>
      <c r="W22" s="1">
        <v>291.58100000000002</v>
      </c>
      <c r="X22" s="1">
        <f t="shared" si="4"/>
        <v>-2966.4189999999994</v>
      </c>
      <c r="Y22" s="1">
        <f t="shared" si="1"/>
        <v>7289.5250000000005</v>
      </c>
      <c r="Z22" s="1">
        <f t="shared" si="5"/>
        <v>4031.525000000001</v>
      </c>
      <c r="AA22" s="1">
        <f t="shared" si="6"/>
        <v>0.12935379864399216</v>
      </c>
      <c r="AB22" s="1">
        <f t="shared" si="7"/>
        <v>0.22317736610518976</v>
      </c>
      <c r="AC22" s="1"/>
      <c r="AD22" s="1"/>
      <c r="AE22" s="1">
        <f t="shared" si="17"/>
        <v>20</v>
      </c>
      <c r="AF22">
        <f t="shared" si="18"/>
        <v>18220.519700000001</v>
      </c>
      <c r="AG22">
        <f t="shared" si="19"/>
        <v>121258.99400000005</v>
      </c>
      <c r="AH22">
        <f t="shared" si="8"/>
        <v>5575.1053966074051</v>
      </c>
      <c r="AI22">
        <f t="shared" si="15"/>
        <v>-35849.526173891798</v>
      </c>
      <c r="AJ22">
        <f t="shared" si="9"/>
        <v>29856.443131055028</v>
      </c>
      <c r="AK22">
        <f t="shared" si="10"/>
        <v>9135.4593592326</v>
      </c>
      <c r="AL22">
        <f t="shared" si="16"/>
        <v>15520.456924627228</v>
      </c>
      <c r="AX22">
        <f t="shared" si="11"/>
        <v>2.9562885607299989E-3</v>
      </c>
      <c r="AY22">
        <f t="shared" si="21"/>
        <v>348.6008259502608</v>
      </c>
      <c r="AZ22">
        <f t="shared" si="13"/>
        <v>383.46090854528688</v>
      </c>
      <c r="BA22">
        <f t="shared" si="14"/>
        <v>34.860082595026086</v>
      </c>
    </row>
    <row r="23" spans="1:53" x14ac:dyDescent="0.35">
      <c r="A23" s="1">
        <v>22</v>
      </c>
      <c r="B23" s="1">
        <v>4102.942217502793</v>
      </c>
      <c r="C23" s="1">
        <v>4</v>
      </c>
      <c r="D23" s="1">
        <v>6995.57</v>
      </c>
      <c r="E23" s="1">
        <v>4102.9399999999996</v>
      </c>
      <c r="F23" s="1">
        <v>1869.19</v>
      </c>
      <c r="G23" s="1">
        <v>171.71799999999999</v>
      </c>
      <c r="H23" s="1">
        <v>3587.24</v>
      </c>
      <c r="I23" s="1">
        <v>1539.14</v>
      </c>
      <c r="J23" s="1">
        <v>2563.8000000000002</v>
      </c>
      <c r="K23" s="1">
        <v>10</v>
      </c>
      <c r="L23" s="1">
        <v>0</v>
      </c>
      <c r="M23" s="1">
        <f>C23*$T$18*1000</f>
        <v>10400</v>
      </c>
      <c r="N23" s="89">
        <f t="shared" si="20"/>
        <v>4679.9999999999991</v>
      </c>
      <c r="O23" s="1">
        <f>$T$19*C23</f>
        <v>106</v>
      </c>
      <c r="P23" s="4">
        <f t="shared" si="3"/>
        <v>1.5152446476841773E-2</v>
      </c>
      <c r="Q23" s="4">
        <f t="shared" si="0"/>
        <v>2650</v>
      </c>
      <c r="R23" s="4"/>
      <c r="S23" s="65" t="s">
        <v>263</v>
      </c>
      <c r="T23" s="1">
        <v>2.5000000000000001E-2</v>
      </c>
      <c r="U23" s="46">
        <v>3.3</v>
      </c>
      <c r="V23" s="4"/>
      <c r="W23" s="1">
        <v>325.01499999999999</v>
      </c>
      <c r="X23" s="1">
        <f t="shared" si="4"/>
        <v>-4354.9849999999988</v>
      </c>
      <c r="Y23" s="1">
        <f t="shared" si="1"/>
        <v>8125.375</v>
      </c>
      <c r="Z23" s="1">
        <f t="shared" si="5"/>
        <v>3445.3750000000009</v>
      </c>
      <c r="AA23" s="1">
        <f t="shared" si="6"/>
        <v>6.0778241351900242E-2</v>
      </c>
      <c r="AB23" s="1">
        <f t="shared" si="7"/>
        <v>0.10005209385015899</v>
      </c>
      <c r="AC23" s="1"/>
      <c r="AD23" s="1"/>
      <c r="AE23" s="1">
        <f t="shared" si="17"/>
        <v>21</v>
      </c>
      <c r="AF23">
        <f t="shared" si="18"/>
        <v>18220.519700000001</v>
      </c>
      <c r="AG23">
        <f t="shared" si="19"/>
        <v>139479.51370000004</v>
      </c>
      <c r="AH23">
        <f t="shared" si="8"/>
        <v>5254.5762456243219</v>
      </c>
      <c r="AI23">
        <f t="shared" si="15"/>
        <v>-30594.949928267477</v>
      </c>
      <c r="AJ23">
        <f t="shared" si="9"/>
        <v>30602.854209331399</v>
      </c>
      <c r="AK23">
        <f t="shared" si="10"/>
        <v>8825.4908984103804</v>
      </c>
      <c r="AL23">
        <f t="shared" si="16"/>
        <v>24345.947823037608</v>
      </c>
      <c r="AX23">
        <f t="shared" si="11"/>
        <v>1.0144952861748048E-2</v>
      </c>
      <c r="AY23">
        <f t="shared" si="21"/>
        <v>1196.2766401797228</v>
      </c>
      <c r="AZ23">
        <f t="shared" si="13"/>
        <v>1315.9043041976952</v>
      </c>
      <c r="BA23">
        <f t="shared" si="14"/>
        <v>119.62766401797239</v>
      </c>
    </row>
    <row r="24" spans="1:53" x14ac:dyDescent="0.35">
      <c r="A24" s="1">
        <v>23</v>
      </c>
      <c r="B24" s="62">
        <v>2916.9354826987528</v>
      </c>
      <c r="C24" s="62">
        <v>2</v>
      </c>
      <c r="D24" s="62">
        <v>3465.23</v>
      </c>
      <c r="E24" s="62">
        <v>2916.94</v>
      </c>
      <c r="F24" s="62">
        <v>1050.31</v>
      </c>
      <c r="G24" s="62">
        <v>98.870500000000007</v>
      </c>
      <c r="H24" s="62">
        <v>1426.38</v>
      </c>
      <c r="I24" s="62">
        <v>1031.08</v>
      </c>
      <c r="J24" s="62">
        <v>949.72299999999996</v>
      </c>
      <c r="K24" s="62">
        <v>5</v>
      </c>
      <c r="L24" s="62">
        <v>2</v>
      </c>
      <c r="M24" s="62">
        <f>(C24*$T$18*1000)+T30</f>
        <v>8600</v>
      </c>
      <c r="N24" s="90">
        <f>(M24*(1-$T$55))</f>
        <v>3010</v>
      </c>
      <c r="O24" s="62">
        <f>$T$38*C24</f>
        <v>71.2</v>
      </c>
      <c r="P24" s="56">
        <f t="shared" si="3"/>
        <v>2.0546976679758633E-2</v>
      </c>
      <c r="Q24" s="56">
        <f t="shared" si="0"/>
        <v>1780</v>
      </c>
      <c r="R24" s="56"/>
      <c r="S24" s="63"/>
      <c r="T24" s="4"/>
      <c r="U24" s="46">
        <v>4.2</v>
      </c>
      <c r="V24" s="56"/>
      <c r="W24" s="1">
        <v>235.66200000000001</v>
      </c>
      <c r="X24" s="1">
        <f t="shared" si="4"/>
        <v>-2774.3380000000002</v>
      </c>
      <c r="Y24" s="1">
        <f t="shared" si="1"/>
        <v>5891.55</v>
      </c>
      <c r="Z24" s="1">
        <f t="shared" si="5"/>
        <v>2881.55</v>
      </c>
      <c r="AA24" s="1">
        <f t="shared" si="6"/>
        <v>6.1823172438673996E-2</v>
      </c>
      <c r="AB24" s="1">
        <f t="shared" si="7"/>
        <v>9.7352969308274681E-2</v>
      </c>
      <c r="AC24" s="1"/>
      <c r="AD24" s="1"/>
      <c r="AE24" s="1">
        <f t="shared" si="17"/>
        <v>22</v>
      </c>
      <c r="AF24">
        <f t="shared" si="18"/>
        <v>18220.519700000001</v>
      </c>
      <c r="AG24">
        <f t="shared" si="19"/>
        <v>157700.03340000004</v>
      </c>
      <c r="AH24">
        <f t="shared" si="8"/>
        <v>4952.4752550653357</v>
      </c>
      <c r="AI24">
        <f t="shared" si="15"/>
        <v>-25642.474673202141</v>
      </c>
      <c r="AJ24">
        <f t="shared" si="9"/>
        <v>31367.925564564684</v>
      </c>
      <c r="AK24">
        <f t="shared" si="10"/>
        <v>8526.0397463436748</v>
      </c>
      <c r="AL24">
        <f t="shared" si="16"/>
        <v>32871.987569381279</v>
      </c>
      <c r="AX24">
        <f t="shared" si="11"/>
        <v>7.2124274250077204E-3</v>
      </c>
      <c r="AY24">
        <f t="shared" si="21"/>
        <v>850.47792386111178</v>
      </c>
      <c r="AZ24">
        <f t="shared" si="13"/>
        <v>935.52571624722304</v>
      </c>
      <c r="BA24">
        <f t="shared" si="14"/>
        <v>85.047792386111269</v>
      </c>
    </row>
    <row r="25" spans="1:53" x14ac:dyDescent="0.35">
      <c r="A25" s="1">
        <v>24</v>
      </c>
      <c r="B25" s="62">
        <v>4395.7178346280416</v>
      </c>
      <c r="C25" s="62">
        <v>4</v>
      </c>
      <c r="D25" s="62">
        <v>6930.46</v>
      </c>
      <c r="E25" s="62">
        <v>4395.72</v>
      </c>
      <c r="F25" s="62">
        <v>2268.81</v>
      </c>
      <c r="G25" s="62">
        <v>218.07400000000001</v>
      </c>
      <c r="H25" s="62">
        <v>2973.31</v>
      </c>
      <c r="I25" s="62">
        <v>1797.8</v>
      </c>
      <c r="J25" s="62">
        <v>1736.79</v>
      </c>
      <c r="K25" s="62">
        <v>10</v>
      </c>
      <c r="L25" s="62">
        <v>3.3</v>
      </c>
      <c r="M25" s="62">
        <f>(C25*$T$18*1000)+T31</f>
        <v>14096</v>
      </c>
      <c r="N25" s="90">
        <f t="shared" ref="N25:N34" si="22">(M25*(1-$T$55))</f>
        <v>4933.5999999999995</v>
      </c>
      <c r="O25" s="62">
        <f>$T$38*C25</f>
        <v>142.4</v>
      </c>
      <c r="P25" s="56">
        <f t="shared" si="3"/>
        <v>2.0546976679758633E-2</v>
      </c>
      <c r="Q25" s="56">
        <f t="shared" si="0"/>
        <v>3560</v>
      </c>
      <c r="R25" s="56"/>
      <c r="S25" s="63"/>
      <c r="T25" s="4"/>
      <c r="U25" s="46">
        <v>5</v>
      </c>
      <c r="V25" s="56"/>
      <c r="W25" s="1">
        <v>486.286</v>
      </c>
      <c r="X25" s="1">
        <f t="shared" si="4"/>
        <v>-4447.3139999999994</v>
      </c>
      <c r="Y25" s="1">
        <f t="shared" si="1"/>
        <v>12157.15</v>
      </c>
      <c r="Z25" s="1">
        <f t="shared" si="5"/>
        <v>7223.55</v>
      </c>
      <c r="AA25" s="1">
        <f t="shared" si="6"/>
        <v>6.5441578067815864E-2</v>
      </c>
      <c r="AB25" s="1">
        <f t="shared" si="7"/>
        <v>0.1040860325416717</v>
      </c>
      <c r="AC25" s="1"/>
      <c r="AD25" s="1"/>
      <c r="AE25" s="1">
        <f t="shared" si="17"/>
        <v>23</v>
      </c>
      <c r="AF25">
        <f t="shared" si="18"/>
        <v>18220.519700000001</v>
      </c>
      <c r="AG25">
        <f t="shared" si="19"/>
        <v>175920.55310000005</v>
      </c>
      <c r="AH25">
        <f t="shared" si="8"/>
        <v>4667.7429359710995</v>
      </c>
      <c r="AI25">
        <f t="shared" si="15"/>
        <v>-20974.731737231043</v>
      </c>
      <c r="AJ25">
        <f t="shared" si="9"/>
        <v>32152.123703678801</v>
      </c>
      <c r="AK25">
        <f t="shared" si="10"/>
        <v>8236.7490480699998</v>
      </c>
      <c r="AL25">
        <f t="shared" si="16"/>
        <v>41108.736617451279</v>
      </c>
      <c r="AX25">
        <f t="shared" si="11"/>
        <v>1.0868871132430546E-2</v>
      </c>
      <c r="AY25">
        <f t="shared" si="21"/>
        <v>1281.6399265762605</v>
      </c>
      <c r="AZ25">
        <f t="shared" si="13"/>
        <v>1409.8039192338865</v>
      </c>
      <c r="BA25">
        <f t="shared" si="14"/>
        <v>128.16399265762607</v>
      </c>
    </row>
    <row r="26" spans="1:53" x14ac:dyDescent="0.35">
      <c r="A26" s="1">
        <v>25</v>
      </c>
      <c r="B26" s="1">
        <v>3480.4540913845358</v>
      </c>
      <c r="C26" s="1">
        <v>2</v>
      </c>
      <c r="D26" s="1">
        <v>3465.23</v>
      </c>
      <c r="E26" s="1">
        <v>3480.45</v>
      </c>
      <c r="F26" s="1">
        <v>621.553</v>
      </c>
      <c r="G26" s="1">
        <v>55.542900000000003</v>
      </c>
      <c r="H26" s="1">
        <v>1519.54</v>
      </c>
      <c r="I26" s="1">
        <v>1324.14</v>
      </c>
      <c r="J26" s="1">
        <v>2156.31</v>
      </c>
      <c r="K26" s="1">
        <v>5</v>
      </c>
      <c r="L26" s="1">
        <v>0</v>
      </c>
      <c r="M26" s="1">
        <f>C26*$T$18*1000</f>
        <v>5200</v>
      </c>
      <c r="N26" s="90">
        <f t="shared" si="22"/>
        <v>1819.9999999999998</v>
      </c>
      <c r="O26" s="1">
        <f>$T$19*C26</f>
        <v>53</v>
      </c>
      <c r="P26" s="4">
        <f t="shared" si="3"/>
        <v>1.5294800056561902E-2</v>
      </c>
      <c r="Q26" s="4">
        <f t="shared" si="0"/>
        <v>1325</v>
      </c>
      <c r="R26" s="4"/>
      <c r="S26" s="63" t="s">
        <v>298</v>
      </c>
      <c r="T26" s="4">
        <v>1</v>
      </c>
      <c r="U26" s="46">
        <v>6</v>
      </c>
      <c r="V26" s="4"/>
      <c r="W26" s="1">
        <v>59.389600000000002</v>
      </c>
      <c r="X26" s="1">
        <f t="shared" si="4"/>
        <v>-1760.6103999999998</v>
      </c>
      <c r="Y26" s="1">
        <f t="shared" si="1"/>
        <v>1484.74</v>
      </c>
      <c r="Z26" s="1">
        <f t="shared" si="5"/>
        <v>-335.25999999999976</v>
      </c>
      <c r="AA26" s="1">
        <f t="shared" si="6"/>
        <v>3.6211610934834368E-2</v>
      </c>
      <c r="AB26" s="1">
        <f t="shared" si="7"/>
        <v>5.4216420438247856E-2</v>
      </c>
      <c r="AC26" s="1"/>
      <c r="AD26" s="1"/>
      <c r="AE26" s="1">
        <f>AE25+1</f>
        <v>24</v>
      </c>
      <c r="AF26">
        <f t="shared" si="18"/>
        <v>18220.519700000001</v>
      </c>
      <c r="AG26">
        <f t="shared" si="19"/>
        <v>194141.07280000005</v>
      </c>
      <c r="AH26">
        <f t="shared" si="8"/>
        <v>4399.3807125081057</v>
      </c>
      <c r="AI26">
        <f t="shared" si="15"/>
        <v>-16575.351024722935</v>
      </c>
      <c r="AJ26">
        <f t="shared" si="9"/>
        <v>32955.926796270767</v>
      </c>
      <c r="AK26">
        <f t="shared" si="10"/>
        <v>7957.2740568065492</v>
      </c>
      <c r="AL26">
        <f t="shared" si="16"/>
        <v>49066.010674257828</v>
      </c>
      <c r="AX26">
        <f t="shared" si="11"/>
        <v>8.6057860000925569E-3</v>
      </c>
      <c r="AY26">
        <f t="shared" si="21"/>
        <v>1014.780541870604</v>
      </c>
      <c r="AZ26">
        <f t="shared" si="13"/>
        <v>1116.2585960576646</v>
      </c>
      <c r="BA26">
        <f t="shared" si="14"/>
        <v>101.47805418706059</v>
      </c>
    </row>
    <row r="27" spans="1:53" x14ac:dyDescent="0.35">
      <c r="A27" s="1">
        <v>26</v>
      </c>
      <c r="B27" s="1">
        <v>5233.1130996820621</v>
      </c>
      <c r="C27" s="1">
        <v>4</v>
      </c>
      <c r="D27" s="1">
        <v>6930.46</v>
      </c>
      <c r="E27" s="1">
        <v>5233.1099999999997</v>
      </c>
      <c r="F27" s="1">
        <v>1642.54</v>
      </c>
      <c r="G27" s="1">
        <v>148.89400000000001</v>
      </c>
      <c r="H27" s="1">
        <v>3427.61</v>
      </c>
      <c r="I27" s="1">
        <v>1860.31</v>
      </c>
      <c r="J27" s="1">
        <v>3372.81</v>
      </c>
      <c r="K27" s="1">
        <v>10</v>
      </c>
      <c r="L27" s="1">
        <v>0</v>
      </c>
      <c r="M27" s="1">
        <f>C27*$T$18*1000</f>
        <v>10400</v>
      </c>
      <c r="N27" s="90">
        <f t="shared" si="22"/>
        <v>3639.9999999999995</v>
      </c>
      <c r="O27" s="1">
        <f>$T$19*C27</f>
        <v>106</v>
      </c>
      <c r="P27" s="4">
        <f t="shared" si="3"/>
        <v>1.5294800056561902E-2</v>
      </c>
      <c r="Q27" s="4">
        <f t="shared" si="0"/>
        <v>2650</v>
      </c>
      <c r="R27" s="4"/>
      <c r="S27" s="67" t="s">
        <v>259</v>
      </c>
      <c r="T27" s="76"/>
      <c r="U27" s="46"/>
      <c r="V27" s="4"/>
      <c r="W27" s="1">
        <v>212.84299999999999</v>
      </c>
      <c r="X27" s="1">
        <f t="shared" si="4"/>
        <v>-3427.1569999999997</v>
      </c>
      <c r="Y27" s="1">
        <f t="shared" si="1"/>
        <v>5321.0749999999998</v>
      </c>
      <c r="Z27" s="1">
        <f t="shared" si="5"/>
        <v>1681.0750000000003</v>
      </c>
      <c r="AA27" s="1">
        <f t="shared" si="6"/>
        <v>4.3117626971739008E-2</v>
      </c>
      <c r="AB27" s="1">
        <f t="shared" si="7"/>
        <v>6.7067009187293219E-2</v>
      </c>
      <c r="AC27" s="1"/>
      <c r="AD27" s="1"/>
      <c r="AE27" s="1">
        <f t="shared" si="17"/>
        <v>25</v>
      </c>
      <c r="AF27">
        <f t="shared" si="18"/>
        <v>18220.519700000001</v>
      </c>
      <c r="AG27">
        <f t="shared" si="19"/>
        <v>212361.59250000006</v>
      </c>
      <c r="AH27">
        <f t="shared" si="8"/>
        <v>4146.4474198945381</v>
      </c>
      <c r="AI27">
        <f t="shared" si="15"/>
        <v>-12428.903604828396</v>
      </c>
      <c r="AJ27">
        <f t="shared" si="9"/>
        <v>33779.824966177533</v>
      </c>
      <c r="AK27">
        <f t="shared" si="10"/>
        <v>7687.2817231165991</v>
      </c>
      <c r="AL27">
        <f t="shared" si="16"/>
        <v>56753.292397374425</v>
      </c>
      <c r="AX27">
        <f t="shared" si="11"/>
        <v>1.2939418325219101E-2</v>
      </c>
      <c r="AY27">
        <f t="shared" si="21"/>
        <v>1525.7955449293115</v>
      </c>
      <c r="AZ27">
        <f t="shared" si="13"/>
        <v>1678.3750994222428</v>
      </c>
      <c r="BA27">
        <f t="shared" si="14"/>
        <v>152.57955449293127</v>
      </c>
    </row>
    <row r="28" spans="1:53" x14ac:dyDescent="0.35">
      <c r="A28" s="1">
        <v>27</v>
      </c>
      <c r="B28" s="1">
        <v>6696.2920887280334</v>
      </c>
      <c r="C28" s="1">
        <v>4</v>
      </c>
      <c r="D28" s="1">
        <v>6930.46</v>
      </c>
      <c r="E28" s="1">
        <v>6696.29</v>
      </c>
      <c r="F28" s="1">
        <v>1385.43</v>
      </c>
      <c r="G28" s="1">
        <v>124.053</v>
      </c>
      <c r="H28" s="1">
        <v>3240.4</v>
      </c>
      <c r="I28" s="1">
        <v>2304.63</v>
      </c>
      <c r="J28" s="1">
        <v>4391.67</v>
      </c>
      <c r="K28" s="1">
        <v>10</v>
      </c>
      <c r="L28" s="1">
        <v>0</v>
      </c>
      <c r="M28" s="1">
        <f>C28*$T$18*1000</f>
        <v>10400</v>
      </c>
      <c r="N28" s="90">
        <f t="shared" si="22"/>
        <v>3639.9999999999995</v>
      </c>
      <c r="O28" s="1">
        <f>$T$19*C28</f>
        <v>106</v>
      </c>
      <c r="P28" s="4">
        <f t="shared" si="3"/>
        <v>1.5294800056561902E-2</v>
      </c>
      <c r="Q28" s="4">
        <f t="shared" si="0"/>
        <v>2650</v>
      </c>
      <c r="R28" s="4"/>
      <c r="S28" s="50" t="s">
        <v>245</v>
      </c>
      <c r="T28" s="2" t="s">
        <v>246</v>
      </c>
      <c r="U28" s="46"/>
      <c r="V28" s="4"/>
      <c r="W28" s="1">
        <v>83.282200000000003</v>
      </c>
      <c r="X28" s="1">
        <f t="shared" si="4"/>
        <v>-3556.7177999999994</v>
      </c>
      <c r="Y28" s="1">
        <f t="shared" si="1"/>
        <v>2082.0550000000003</v>
      </c>
      <c r="Z28" s="1">
        <f t="shared" si="5"/>
        <v>-1557.9449999999993</v>
      </c>
      <c r="AA28" s="1">
        <f t="shared" si="6"/>
        <v>3.703817655071015E-2</v>
      </c>
      <c r="AB28" s="1">
        <f t="shared" si="7"/>
        <v>5.5754478668486471E-2</v>
      </c>
      <c r="AC28" s="1"/>
      <c r="AE28" s="1"/>
      <c r="AX28">
        <f t="shared" si="11"/>
        <v>1.6557281089371333E-2</v>
      </c>
      <c r="AY28">
        <f t="shared" si="21"/>
        <v>1952.4081444269516</v>
      </c>
      <c r="AZ28">
        <f t="shared" si="13"/>
        <v>2147.6489588696468</v>
      </c>
      <c r="BA28">
        <f t="shared" si="14"/>
        <v>195.24081444269518</v>
      </c>
    </row>
    <row r="29" spans="1:53" x14ac:dyDescent="0.35">
      <c r="A29" s="1">
        <v>28</v>
      </c>
      <c r="B29" s="62">
        <v>8230.4847304692612</v>
      </c>
      <c r="C29" s="62">
        <v>6</v>
      </c>
      <c r="D29" s="62">
        <v>10395.700000000001</v>
      </c>
      <c r="E29" s="62">
        <v>8230.48</v>
      </c>
      <c r="F29" s="62">
        <v>2928.68</v>
      </c>
      <c r="G29" s="62">
        <v>274</v>
      </c>
      <c r="H29" s="62">
        <v>4210.74</v>
      </c>
      <c r="I29" s="62">
        <v>3393.9</v>
      </c>
      <c r="J29" s="62">
        <v>2532.5700000000002</v>
      </c>
      <c r="K29" s="62">
        <v>15</v>
      </c>
      <c r="L29" s="62">
        <v>5</v>
      </c>
      <c r="M29" s="62">
        <f>(C29*$T$18*1000)+T33</f>
        <v>19100</v>
      </c>
      <c r="N29" s="90">
        <f t="shared" si="22"/>
        <v>6685</v>
      </c>
      <c r="O29" s="62">
        <f>$T$38*C29</f>
        <v>213.60000000000002</v>
      </c>
      <c r="P29" s="56">
        <f t="shared" si="3"/>
        <v>2.0546956914878269E-2</v>
      </c>
      <c r="Q29" s="56">
        <f t="shared" si="0"/>
        <v>5340.0000000000009</v>
      </c>
      <c r="R29" s="56"/>
      <c r="S29" s="63" t="s">
        <v>288</v>
      </c>
      <c r="T29" s="4">
        <f>(U21*U17*$T$26)</f>
        <v>2040</v>
      </c>
      <c r="U29" s="46" t="s">
        <v>289</v>
      </c>
      <c r="V29" s="56"/>
      <c r="W29" s="1">
        <v>774.16899999999998</v>
      </c>
      <c r="X29" s="1">
        <f t="shared" si="4"/>
        <v>-5910.8310000000001</v>
      </c>
      <c r="Y29" s="1">
        <f t="shared" si="1"/>
        <v>19354.224999999999</v>
      </c>
      <c r="Z29" s="1">
        <f t="shared" si="5"/>
        <v>12669.224999999999</v>
      </c>
      <c r="AA29" s="1">
        <f t="shared" si="6"/>
        <v>5.3035930378383403E-2</v>
      </c>
      <c r="AB29" s="1">
        <f t="shared" si="7"/>
        <v>8.1001846481755346E-2</v>
      </c>
      <c r="AC29" s="1"/>
      <c r="AD29" s="1"/>
      <c r="AF29" s="18" t="s">
        <v>51</v>
      </c>
      <c r="AG29" s="4">
        <f>AE5-(AG5/AF6)</f>
        <v>13.344921220880433</v>
      </c>
      <c r="AH29" s="4"/>
      <c r="AI29" s="10">
        <f>AE6-(AI6/AH7)</f>
        <v>17.294553526031301</v>
      </c>
      <c r="AJ29" s="10"/>
      <c r="AK29" s="10"/>
      <c r="AL29" s="10">
        <f>AE20-(AL20/AK21)</f>
        <v>18.324790059195831</v>
      </c>
      <c r="AX29">
        <f t="shared" si="11"/>
        <v>2.0350732521592207E-2</v>
      </c>
      <c r="AY29">
        <f t="shared" si="21"/>
        <v>2399.7258792518141</v>
      </c>
      <c r="AZ29">
        <f t="shared" si="13"/>
        <v>2639.6984671769956</v>
      </c>
      <c r="BA29">
        <f t="shared" si="14"/>
        <v>239.97258792518141</v>
      </c>
    </row>
    <row r="30" spans="1:53" ht="15" thickBot="1" x14ac:dyDescent="0.4">
      <c r="A30" s="1">
        <v>29</v>
      </c>
      <c r="B30" s="62">
        <v>3184.1460343074909</v>
      </c>
      <c r="C30" s="62">
        <v>2</v>
      </c>
      <c r="D30" s="62">
        <v>3465.23</v>
      </c>
      <c r="E30" s="62">
        <v>3184.15</v>
      </c>
      <c r="F30" s="62">
        <v>1055.81</v>
      </c>
      <c r="G30" s="62">
        <v>98.489099999999993</v>
      </c>
      <c r="H30" s="62">
        <v>1177.54</v>
      </c>
      <c r="I30" s="62">
        <v>1255.03</v>
      </c>
      <c r="J30" s="62">
        <v>807.74400000000003</v>
      </c>
      <c r="K30" s="62">
        <v>5</v>
      </c>
      <c r="L30" s="62">
        <v>3.3</v>
      </c>
      <c r="M30" s="62">
        <f>(C30*$T$18*1000)+T31</f>
        <v>8896</v>
      </c>
      <c r="N30" s="90">
        <f t="shared" si="22"/>
        <v>3113.6</v>
      </c>
      <c r="O30" s="62">
        <f>$T$38*C30</f>
        <v>71.2</v>
      </c>
      <c r="P30" s="56">
        <f t="shared" si="3"/>
        <v>2.0546976679758633E-2</v>
      </c>
      <c r="Q30" s="56">
        <f t="shared" si="0"/>
        <v>1780</v>
      </c>
      <c r="R30" s="56"/>
      <c r="S30" s="63" t="s">
        <v>288</v>
      </c>
      <c r="T30" s="4">
        <f>(U22*U17*$T$26)</f>
        <v>3400</v>
      </c>
      <c r="U30" s="46" t="s">
        <v>296</v>
      </c>
      <c r="V30" s="56"/>
      <c r="W30" s="1">
        <v>270.46199999999999</v>
      </c>
      <c r="X30" s="1">
        <f t="shared" si="4"/>
        <v>-2843.1379999999999</v>
      </c>
      <c r="Y30" s="1">
        <f t="shared" si="1"/>
        <v>6761.5499999999993</v>
      </c>
      <c r="Z30" s="1">
        <f t="shared" si="5"/>
        <v>3647.9499999999994</v>
      </c>
      <c r="AA30" s="1">
        <f t="shared" si="6"/>
        <v>5.9660760613693888E-2</v>
      </c>
      <c r="AB30" s="1">
        <f t="shared" si="7"/>
        <v>9.3329192803789901E-2</v>
      </c>
      <c r="AC30" s="1"/>
      <c r="AD30" s="1"/>
      <c r="AF30" s="4"/>
      <c r="AG30" s="4"/>
      <c r="AH30" s="4"/>
      <c r="AI30" s="4"/>
      <c r="AJ30" s="4"/>
      <c r="AK30" s="4"/>
      <c r="AL30" s="4"/>
      <c r="AQ30" t="s">
        <v>6</v>
      </c>
      <c r="AX30">
        <f t="shared" si="11"/>
        <v>7.8731334029442709E-3</v>
      </c>
      <c r="AY30">
        <f t="shared" si="21"/>
        <v>928.38731764575732</v>
      </c>
      <c r="AZ30">
        <f t="shared" si="13"/>
        <v>1021.2260494103332</v>
      </c>
      <c r="BA30">
        <f t="shared" si="14"/>
        <v>92.838731764575869</v>
      </c>
    </row>
    <row r="31" spans="1:53" ht="15" customHeight="1" thickBot="1" x14ac:dyDescent="0.4">
      <c r="A31" s="1">
        <v>30</v>
      </c>
      <c r="B31" s="62">
        <v>2455.556329062375</v>
      </c>
      <c r="C31" s="62">
        <v>2</v>
      </c>
      <c r="D31" s="62">
        <v>3465.23</v>
      </c>
      <c r="E31" s="62">
        <v>2455.56</v>
      </c>
      <c r="F31" s="62">
        <v>981.01199999999994</v>
      </c>
      <c r="G31" s="62">
        <v>91.956100000000006</v>
      </c>
      <c r="H31" s="62">
        <v>1498.17</v>
      </c>
      <c r="I31" s="62">
        <v>1029.33</v>
      </c>
      <c r="J31" s="62">
        <v>829.81899999999996</v>
      </c>
      <c r="K31" s="62">
        <v>5</v>
      </c>
      <c r="L31" s="62">
        <v>1.2</v>
      </c>
      <c r="M31" s="62">
        <f>(C31*$T$18*1000)+T29</f>
        <v>7240</v>
      </c>
      <c r="N31" s="90">
        <f t="shared" si="22"/>
        <v>2534</v>
      </c>
      <c r="O31" s="62">
        <f>$T$38*C31</f>
        <v>71.2</v>
      </c>
      <c r="P31" s="56">
        <f t="shared" si="3"/>
        <v>2.0546976679758633E-2</v>
      </c>
      <c r="Q31" s="56">
        <f t="shared" si="0"/>
        <v>1780</v>
      </c>
      <c r="R31" s="56"/>
      <c r="S31" s="63" t="s">
        <v>288</v>
      </c>
      <c r="T31" s="4">
        <f>(U23*U18*$T$26)</f>
        <v>3696</v>
      </c>
      <c r="U31" s="46" t="s">
        <v>290</v>
      </c>
      <c r="V31" s="56"/>
      <c r="W31" s="1">
        <v>253.29300000000001</v>
      </c>
      <c r="X31" s="1">
        <f t="shared" si="4"/>
        <v>-2280.7069999999999</v>
      </c>
      <c r="Y31" s="1">
        <f t="shared" si="1"/>
        <v>6332.3249999999998</v>
      </c>
      <c r="Z31" s="1">
        <f t="shared" si="5"/>
        <v>3798.3249999999998</v>
      </c>
      <c r="AA31" s="1">
        <f t="shared" si="6"/>
        <v>6.1824791731430899E-2</v>
      </c>
      <c r="AB31" s="1">
        <f t="shared" si="7"/>
        <v>9.7355982458718029E-2</v>
      </c>
      <c r="AC31" s="1"/>
      <c r="AF31" s="4" t="s">
        <v>53</v>
      </c>
      <c r="AG31" s="9">
        <f>IRR(AF2:AF27)</f>
        <v>5.5529287956761042E-2</v>
      </c>
      <c r="AH31" s="4"/>
      <c r="AI31" s="100" t="s">
        <v>54</v>
      </c>
      <c r="AJ31" s="101"/>
      <c r="AK31" s="101"/>
      <c r="AL31" s="102"/>
      <c r="AX31">
        <f t="shared" si="11"/>
        <v>6.0716193129492719E-3</v>
      </c>
      <c r="AY31">
        <f t="shared" si="21"/>
        <v>715.95565313388227</v>
      </c>
      <c r="AZ31">
        <f t="shared" si="13"/>
        <v>787.55121844727057</v>
      </c>
      <c r="BA31">
        <f t="shared" si="14"/>
        <v>71.595565313388306</v>
      </c>
    </row>
    <row r="32" spans="1:53" ht="15" thickBot="1" x14ac:dyDescent="0.4">
      <c r="A32" s="1">
        <v>31</v>
      </c>
      <c r="B32" s="1">
        <v>1553.515228702383</v>
      </c>
      <c r="C32" s="1">
        <v>2</v>
      </c>
      <c r="D32" s="1">
        <v>3465.23</v>
      </c>
      <c r="E32" s="1">
        <v>1553.52</v>
      </c>
      <c r="F32" s="1">
        <v>992.22699999999998</v>
      </c>
      <c r="G32" s="1">
        <v>92.273499999999999</v>
      </c>
      <c r="H32" s="1">
        <v>1784.82</v>
      </c>
      <c r="I32" s="1">
        <v>688.178</v>
      </c>
      <c r="J32" s="1">
        <v>865.33699999999999</v>
      </c>
      <c r="K32" s="1">
        <v>5</v>
      </c>
      <c r="L32" s="1">
        <v>0</v>
      </c>
      <c r="M32" s="1">
        <f>C32*$T$18*1000</f>
        <v>5200</v>
      </c>
      <c r="N32" s="90">
        <f t="shared" si="22"/>
        <v>1819.9999999999998</v>
      </c>
      <c r="O32" s="1">
        <f>$T$19*C32</f>
        <v>53</v>
      </c>
      <c r="P32" s="4">
        <f t="shared" si="3"/>
        <v>1.5294800056561902E-2</v>
      </c>
      <c r="Q32" s="4">
        <f t="shared" si="0"/>
        <v>1325</v>
      </c>
      <c r="R32" s="4"/>
      <c r="S32" s="63" t="s">
        <v>288</v>
      </c>
      <c r="T32" s="4">
        <f>(U24*U18*$T$26)</f>
        <v>4704</v>
      </c>
      <c r="U32" s="46" t="s">
        <v>291</v>
      </c>
      <c r="V32" s="4"/>
      <c r="W32" s="1">
        <v>220.10300000000001</v>
      </c>
      <c r="X32" s="1">
        <f t="shared" si="4"/>
        <v>-1599.8969999999997</v>
      </c>
      <c r="Y32" s="1">
        <f t="shared" si="1"/>
        <v>5502.5749999999998</v>
      </c>
      <c r="Z32" s="1">
        <f t="shared" si="5"/>
        <v>3682.5749999999998</v>
      </c>
      <c r="AA32" s="1">
        <f t="shared" si="6"/>
        <v>6.2156265367596053E-2</v>
      </c>
      <c r="AB32" s="1">
        <f t="shared" si="7"/>
        <v>0.10249376045163025</v>
      </c>
      <c r="AC32" s="1"/>
      <c r="AD32" t="s">
        <v>6</v>
      </c>
      <c r="AF32" s="4"/>
      <c r="AG32" s="8"/>
      <c r="AH32" s="4"/>
      <c r="AI32" s="103"/>
      <c r="AJ32" s="104"/>
      <c r="AK32" s="104"/>
      <c r="AL32" s="105"/>
      <c r="AX32">
        <f t="shared" si="11"/>
        <v>3.841228545203777E-3</v>
      </c>
      <c r="AY32">
        <f t="shared" si="21"/>
        <v>452.95153568875605</v>
      </c>
      <c r="AZ32">
        <f t="shared" si="13"/>
        <v>498.24668925763172</v>
      </c>
      <c r="BA32">
        <f t="shared" si="14"/>
        <v>45.295153568875662</v>
      </c>
    </row>
    <row r="33" spans="1:53" x14ac:dyDescent="0.35">
      <c r="A33" s="1">
        <v>32</v>
      </c>
      <c r="B33" s="62">
        <v>14627.53150971361</v>
      </c>
      <c r="C33" s="62">
        <v>10</v>
      </c>
      <c r="D33" s="62">
        <v>17326.099999999999</v>
      </c>
      <c r="E33" s="62">
        <v>14627.5</v>
      </c>
      <c r="F33" s="62">
        <v>6319.47</v>
      </c>
      <c r="G33" s="62">
        <v>606.04600000000005</v>
      </c>
      <c r="H33" s="62">
        <v>5835.93</v>
      </c>
      <c r="I33" s="62">
        <v>5167.72</v>
      </c>
      <c r="J33" s="62">
        <v>4764.6000000000004</v>
      </c>
      <c r="K33" s="62">
        <v>25</v>
      </c>
      <c r="L33" s="62">
        <f>19.4</f>
        <v>19.399999999999999</v>
      </c>
      <c r="M33" s="62">
        <f>(C33*$T$18*1000)+T37</f>
        <v>42000</v>
      </c>
      <c r="N33" s="90">
        <f t="shared" si="22"/>
        <v>14699.999999999998</v>
      </c>
      <c r="O33" s="62">
        <f>$T$38*C33</f>
        <v>356</v>
      </c>
      <c r="P33" s="56">
        <f t="shared" si="3"/>
        <v>2.0547035974627877E-2</v>
      </c>
      <c r="Q33" s="56">
        <f t="shared" si="0"/>
        <v>8900</v>
      </c>
      <c r="R33" s="56"/>
      <c r="S33" s="63" t="s">
        <v>288</v>
      </c>
      <c r="T33" s="4">
        <f>(U25*U19*$T$26)</f>
        <v>3500</v>
      </c>
      <c r="U33" s="46" t="s">
        <v>293</v>
      </c>
      <c r="V33" s="56"/>
      <c r="W33" s="1">
        <v>1176.7</v>
      </c>
      <c r="X33" s="1">
        <f t="shared" si="4"/>
        <v>-13523.299999999997</v>
      </c>
      <c r="Y33" s="1">
        <f t="shared" si="1"/>
        <v>29417.5</v>
      </c>
      <c r="Z33" s="1">
        <f t="shared" si="5"/>
        <v>14717.500000000002</v>
      </c>
      <c r="AA33" s="1">
        <f t="shared" si="6"/>
        <v>6.0745206090312164E-2</v>
      </c>
      <c r="AB33" s="1">
        <f t="shared" si="7"/>
        <v>9.5347058137964291E-2</v>
      </c>
      <c r="AC33" s="1"/>
      <c r="AX33">
        <f t="shared" si="11"/>
        <v>3.6168098350675297E-2</v>
      </c>
      <c r="AY33">
        <f t="shared" si="21"/>
        <v>4264.8843978147761</v>
      </c>
      <c r="AZ33">
        <f t="shared" si="13"/>
        <v>4691.3728375962537</v>
      </c>
      <c r="BA33">
        <f t="shared" si="14"/>
        <v>426.48843978147761</v>
      </c>
    </row>
    <row r="34" spans="1:53" x14ac:dyDescent="0.35">
      <c r="A34" s="1">
        <v>33</v>
      </c>
      <c r="B34" s="62">
        <v>4264.5516094210579</v>
      </c>
      <c r="C34" s="62">
        <v>4</v>
      </c>
      <c r="D34" s="62">
        <v>6930.46</v>
      </c>
      <c r="E34" s="62">
        <v>4264.55</v>
      </c>
      <c r="F34" s="62">
        <v>2602.7800000000002</v>
      </c>
      <c r="G34" s="62">
        <v>255.268</v>
      </c>
      <c r="H34" s="62">
        <v>2529.48</v>
      </c>
      <c r="I34" s="62">
        <v>1820.92</v>
      </c>
      <c r="J34" s="62">
        <v>1578.24</v>
      </c>
      <c r="K34" s="62">
        <v>10</v>
      </c>
      <c r="L34" s="62">
        <v>6</v>
      </c>
      <c r="M34" s="62">
        <f>(C34*$T$18*1000)+T34</f>
        <v>14600</v>
      </c>
      <c r="N34" s="90">
        <f t="shared" si="22"/>
        <v>5110</v>
      </c>
      <c r="O34" s="62">
        <f>$T$38*C34</f>
        <v>142.4</v>
      </c>
      <c r="P34" s="56">
        <f t="shared" si="3"/>
        <v>2.0546976679758633E-2</v>
      </c>
      <c r="Q34" s="56">
        <f t="shared" si="0"/>
        <v>3560</v>
      </c>
      <c r="R34" s="56"/>
      <c r="S34" s="63" t="s">
        <v>288</v>
      </c>
      <c r="T34" s="4">
        <f>(U26*U19*$T$26)</f>
        <v>4200</v>
      </c>
      <c r="U34" s="46" t="s">
        <v>292</v>
      </c>
      <c r="V34" s="56"/>
      <c r="W34" s="1">
        <v>513.029</v>
      </c>
      <c r="X34" s="1">
        <f t="shared" si="4"/>
        <v>-4596.9709999999995</v>
      </c>
      <c r="Y34" s="1">
        <f t="shared" ref="Y34:Y65" si="23">W34*$T$47</f>
        <v>12825.725</v>
      </c>
      <c r="Z34" s="1">
        <f t="shared" si="5"/>
        <v>7715.7250000000004</v>
      </c>
      <c r="AA34" s="1">
        <f t="shared" si="6"/>
        <v>6.8476986378421589E-2</v>
      </c>
      <c r="AB34" s="1">
        <f t="shared" si="7"/>
        <v>0.10973426499241938</v>
      </c>
      <c r="AC34" s="1"/>
      <c r="AX34">
        <f t="shared" si="11"/>
        <v>1.0544548950630927E-2</v>
      </c>
      <c r="AY34">
        <f t="shared" si="21"/>
        <v>1243.3963728341928</v>
      </c>
      <c r="AZ34">
        <f t="shared" si="13"/>
        <v>1367.7360101176121</v>
      </c>
      <c r="BA34">
        <f t="shared" si="14"/>
        <v>124.33963728341928</v>
      </c>
    </row>
    <row r="35" spans="1:53" x14ac:dyDescent="0.35">
      <c r="A35" s="1">
        <v>34</v>
      </c>
      <c r="B35" s="1">
        <v>5041.8344142687847</v>
      </c>
      <c r="C35" s="1">
        <v>4</v>
      </c>
      <c r="D35" s="1">
        <v>7106.6</v>
      </c>
      <c r="E35" s="1">
        <v>5041.83</v>
      </c>
      <c r="F35" s="1">
        <v>1667.85</v>
      </c>
      <c r="G35" s="1">
        <v>152.785</v>
      </c>
      <c r="H35" s="1">
        <v>3300.83</v>
      </c>
      <c r="I35" s="1">
        <v>2137.92</v>
      </c>
      <c r="J35" s="1">
        <v>2903.92</v>
      </c>
      <c r="K35" s="1">
        <v>10</v>
      </c>
      <c r="L35" s="1">
        <v>0</v>
      </c>
      <c r="M35" s="1">
        <f>C35*$T$18*1000</f>
        <v>10400</v>
      </c>
      <c r="N35" s="91">
        <f>(M35*(1-$T$56))</f>
        <v>2600</v>
      </c>
      <c r="O35" s="1">
        <f>$T$19*C35</f>
        <v>106</v>
      </c>
      <c r="P35" s="4">
        <f t="shared" si="3"/>
        <v>1.4915712154898262E-2</v>
      </c>
      <c r="Q35" s="4">
        <f t="shared" si="0"/>
        <v>2650</v>
      </c>
      <c r="R35" s="4"/>
      <c r="S35" s="63" t="s">
        <v>288</v>
      </c>
      <c r="T35" s="4">
        <f xml:space="preserve"> 8000 *T26</f>
        <v>8000</v>
      </c>
      <c r="U35" s="46" t="s">
        <v>294</v>
      </c>
      <c r="V35" s="4"/>
      <c r="W35" s="1">
        <v>321.40800000000002</v>
      </c>
      <c r="X35" s="1">
        <f t="shared" si="4"/>
        <v>-2278.5920000000001</v>
      </c>
      <c r="Y35" s="1">
        <f t="shared" si="23"/>
        <v>8035.2000000000007</v>
      </c>
      <c r="Z35" s="1">
        <f t="shared" si="5"/>
        <v>5435.2000000000007</v>
      </c>
      <c r="AA35" s="1">
        <f t="shared" si="6"/>
        <v>3.5543125007980444E-2</v>
      </c>
      <c r="AB35" s="1">
        <f t="shared" si="7"/>
        <v>5.3298825966858226E-2</v>
      </c>
      <c r="AC35" s="1"/>
      <c r="AX35">
        <f t="shared" si="11"/>
        <v>1.2466461811550257E-2</v>
      </c>
      <c r="AY35">
        <f t="shared" ref="AY35:AY50" si="24">AX35*$AW$2</f>
        <v>1470.0252681391451</v>
      </c>
      <c r="AZ35">
        <f t="shared" si="13"/>
        <v>1617.0277949530596</v>
      </c>
      <c r="BA35">
        <f t="shared" si="14"/>
        <v>147.00252681391453</v>
      </c>
    </row>
    <row r="36" spans="1:53" x14ac:dyDescent="0.35">
      <c r="A36" s="1">
        <v>35</v>
      </c>
      <c r="B36" s="62">
        <v>1680.154057549307</v>
      </c>
      <c r="C36" s="62">
        <v>2</v>
      </c>
      <c r="D36" s="62">
        <v>3553.3</v>
      </c>
      <c r="E36" s="62">
        <v>1680.15</v>
      </c>
      <c r="F36" s="62">
        <v>1252.81</v>
      </c>
      <c r="G36" s="62">
        <v>122.58499999999999</v>
      </c>
      <c r="H36" s="62">
        <v>1604.06</v>
      </c>
      <c r="I36" s="62">
        <v>745.89400000000001</v>
      </c>
      <c r="J36" s="62">
        <v>657.86699999999996</v>
      </c>
      <c r="K36" s="62">
        <v>5</v>
      </c>
      <c r="L36" s="62">
        <v>1.2</v>
      </c>
      <c r="M36" s="62">
        <f>(C36*$T$18*1000)+T29</f>
        <v>7240</v>
      </c>
      <c r="N36" s="91">
        <f t="shared" ref="N36:N46" si="25">(M36*(1-$T$56))</f>
        <v>1810</v>
      </c>
      <c r="O36" s="62">
        <f>$T$38*C36</f>
        <v>71.2</v>
      </c>
      <c r="P36" s="56">
        <f t="shared" si="3"/>
        <v>2.0037711423184081E-2</v>
      </c>
      <c r="Q36" s="56">
        <f t="shared" si="0"/>
        <v>1780</v>
      </c>
      <c r="R36" s="56"/>
      <c r="S36" s="63" t="s">
        <v>288</v>
      </c>
      <c r="T36" s="4">
        <f>7300*T26</f>
        <v>7300</v>
      </c>
      <c r="U36" s="46" t="s">
        <v>295</v>
      </c>
      <c r="V36" s="56"/>
      <c r="W36" s="1">
        <v>275.78899999999999</v>
      </c>
      <c r="X36" s="1">
        <f t="shared" si="4"/>
        <v>-1534.211</v>
      </c>
      <c r="Y36" s="1">
        <f t="shared" si="23"/>
        <v>6894.7249999999995</v>
      </c>
      <c r="Z36" s="1">
        <f t="shared" si="5"/>
        <v>5084.7249999999995</v>
      </c>
      <c r="AA36" s="1">
        <f t="shared" si="6"/>
        <v>6.3128998007703316E-2</v>
      </c>
      <c r="AB36" s="1">
        <f t="shared" si="7"/>
        <v>0.1002211919719939</v>
      </c>
      <c r="AC36" s="1"/>
      <c r="AX36">
        <f t="shared" si="11"/>
        <v>4.1543562669733927E-3</v>
      </c>
      <c r="AY36">
        <f t="shared" si="24"/>
        <v>489.87505658140441</v>
      </c>
      <c r="AZ36">
        <f t="shared" si="13"/>
        <v>538.8625622395449</v>
      </c>
      <c r="BA36">
        <f t="shared" si="14"/>
        <v>48.987505658140492</v>
      </c>
    </row>
    <row r="37" spans="1:53" x14ac:dyDescent="0.35">
      <c r="A37" s="1">
        <v>36</v>
      </c>
      <c r="B37" s="1">
        <v>5659.8657296841702</v>
      </c>
      <c r="C37" s="1">
        <v>4</v>
      </c>
      <c r="D37" s="1">
        <v>7106.6</v>
      </c>
      <c r="E37" s="1">
        <v>5659.87</v>
      </c>
      <c r="F37" s="1">
        <v>1537.84</v>
      </c>
      <c r="G37" s="1">
        <v>139.857</v>
      </c>
      <c r="H37" s="1">
        <v>3205.84</v>
      </c>
      <c r="I37" s="1">
        <v>2362.91</v>
      </c>
      <c r="J37" s="1">
        <v>3296.95</v>
      </c>
      <c r="K37" s="1">
        <v>10</v>
      </c>
      <c r="L37" s="1">
        <v>0</v>
      </c>
      <c r="M37" s="1">
        <f>C37*$T$18*1000</f>
        <v>10400</v>
      </c>
      <c r="N37" s="91">
        <f t="shared" si="25"/>
        <v>2600</v>
      </c>
      <c r="O37" s="1">
        <f>$T$19*C37</f>
        <v>106</v>
      </c>
      <c r="P37" s="4">
        <f t="shared" si="3"/>
        <v>1.4915712154898262E-2</v>
      </c>
      <c r="Q37" s="4">
        <f t="shared" si="0"/>
        <v>2650</v>
      </c>
      <c r="R37" s="4"/>
      <c r="S37" s="63" t="s">
        <v>288</v>
      </c>
      <c r="T37" s="4">
        <f>16000*T26</f>
        <v>16000</v>
      </c>
      <c r="U37" s="46" t="s">
        <v>297</v>
      </c>
      <c r="V37" s="4"/>
      <c r="W37" s="1">
        <v>274.303</v>
      </c>
      <c r="X37" s="1">
        <f t="shared" si="4"/>
        <v>-2325.6970000000001</v>
      </c>
      <c r="Y37" s="1">
        <f t="shared" si="23"/>
        <v>6857.5749999999998</v>
      </c>
      <c r="Z37" s="1">
        <f t="shared" si="5"/>
        <v>4257.5749999999998</v>
      </c>
      <c r="AA37" s="1">
        <f t="shared" si="6"/>
        <v>3.3290706362720815E-2</v>
      </c>
      <c r="AB37" s="1">
        <f t="shared" si="7"/>
        <v>4.9107566411966314E-2</v>
      </c>
      <c r="AC37" s="1"/>
      <c r="AX37">
        <f t="shared" si="11"/>
        <v>1.399460874358025E-2</v>
      </c>
      <c r="AY37">
        <f t="shared" si="24"/>
        <v>1650.2219139454223</v>
      </c>
      <c r="AZ37">
        <f t="shared" si="13"/>
        <v>1815.2441053399648</v>
      </c>
      <c r="BA37">
        <f t="shared" si="14"/>
        <v>165.02219139454246</v>
      </c>
    </row>
    <row r="38" spans="1:53" x14ac:dyDescent="0.35">
      <c r="A38" s="1">
        <v>37</v>
      </c>
      <c r="B38" s="62">
        <v>7074.8321611913698</v>
      </c>
      <c r="C38" s="62">
        <v>6</v>
      </c>
      <c r="D38" s="62">
        <v>10659.9</v>
      </c>
      <c r="E38" s="62">
        <v>7074.83</v>
      </c>
      <c r="F38" s="62">
        <v>3404.59</v>
      </c>
      <c r="G38" s="62">
        <v>327.08699999999999</v>
      </c>
      <c r="H38" s="62">
        <v>4373.93</v>
      </c>
      <c r="I38" s="62">
        <v>3025.14</v>
      </c>
      <c r="J38" s="62">
        <v>2437.81</v>
      </c>
      <c r="K38" s="62">
        <v>15</v>
      </c>
      <c r="L38" s="62">
        <v>5</v>
      </c>
      <c r="M38" s="62">
        <f>(C38*$T$18*1000)+T33</f>
        <v>19100</v>
      </c>
      <c r="N38" s="91">
        <f t="shared" si="25"/>
        <v>4775</v>
      </c>
      <c r="O38" s="62">
        <f>$T$38*C38</f>
        <v>213.60000000000002</v>
      </c>
      <c r="P38" s="56">
        <f t="shared" si="3"/>
        <v>2.0037711423184085E-2</v>
      </c>
      <c r="Q38" s="56">
        <f t="shared" si="0"/>
        <v>5340.0000000000009</v>
      </c>
      <c r="R38" s="56"/>
      <c r="S38" s="65" t="s">
        <v>248</v>
      </c>
      <c r="T38" s="1">
        <v>35.6</v>
      </c>
      <c r="U38" s="30"/>
      <c r="V38" s="56"/>
      <c r="W38" s="1">
        <v>798.74900000000002</v>
      </c>
      <c r="X38" s="1">
        <f t="shared" si="4"/>
        <v>-3976.2510000000002</v>
      </c>
      <c r="Y38" s="1">
        <f t="shared" si="23"/>
        <v>19968.725000000002</v>
      </c>
      <c r="Z38" s="1">
        <f t="shared" si="5"/>
        <v>15193.725000000002</v>
      </c>
      <c r="AA38" s="1">
        <f t="shared" si="6"/>
        <v>4.7034818301241309E-2</v>
      </c>
      <c r="AB38" s="1">
        <f t="shared" si="7"/>
        <v>7.0273435761211381E-2</v>
      </c>
      <c r="AC38" s="1"/>
      <c r="AD38" s="1" t="s">
        <v>287</v>
      </c>
      <c r="AE38" s="1">
        <v>0</v>
      </c>
      <c r="AF38">
        <f>-AD41</f>
        <v>-15950</v>
      </c>
      <c r="AG38">
        <f>AF38</f>
        <v>-15950</v>
      </c>
      <c r="AI38">
        <f>AF38</f>
        <v>-15950</v>
      </c>
      <c r="AJ38">
        <f>AF38</f>
        <v>-15950</v>
      </c>
      <c r="AL38">
        <f>AF38</f>
        <v>-15950</v>
      </c>
      <c r="AX38">
        <f t="shared" si="11"/>
        <v>1.7493260927215738E-2</v>
      </c>
      <c r="AY38">
        <f t="shared" si="24"/>
        <v>2062.7773921653325</v>
      </c>
      <c r="AZ38">
        <f t="shared" si="13"/>
        <v>2269.055131381866</v>
      </c>
      <c r="BA38">
        <f t="shared" si="14"/>
        <v>206.27773921653352</v>
      </c>
    </row>
    <row r="39" spans="1:53" x14ac:dyDescent="0.35">
      <c r="A39" s="1">
        <v>38</v>
      </c>
      <c r="B39" s="1">
        <v>1036.155497852058</v>
      </c>
      <c r="C39" s="1">
        <v>2</v>
      </c>
      <c r="D39" s="1">
        <v>3553.3</v>
      </c>
      <c r="E39" s="1">
        <v>1036.1600000000001</v>
      </c>
      <c r="F39" s="1">
        <v>1206.4100000000001</v>
      </c>
      <c r="G39" s="1">
        <v>115.129</v>
      </c>
      <c r="H39" s="1">
        <v>1906.9</v>
      </c>
      <c r="I39" s="1">
        <v>439.99</v>
      </c>
      <c r="J39" s="1">
        <v>596.16499999999996</v>
      </c>
      <c r="K39" s="1">
        <v>5</v>
      </c>
      <c r="L39" s="1">
        <v>0</v>
      </c>
      <c r="M39" s="1">
        <f>C39*$T$18*1000</f>
        <v>5200</v>
      </c>
      <c r="N39" s="91">
        <f t="shared" si="25"/>
        <v>1300</v>
      </c>
      <c r="O39" s="1">
        <f>$T$19*C39</f>
        <v>53</v>
      </c>
      <c r="P39" s="4">
        <f t="shared" si="3"/>
        <v>1.4915712154898262E-2</v>
      </c>
      <c r="Q39" s="4">
        <f t="shared" si="0"/>
        <v>1325</v>
      </c>
      <c r="R39" s="4"/>
      <c r="S39" s="68" t="s">
        <v>260</v>
      </c>
      <c r="T39" s="1">
        <v>220</v>
      </c>
      <c r="U39" s="78">
        <f>T39*T15</f>
        <v>9900</v>
      </c>
      <c r="V39" s="4"/>
      <c r="W39" s="1">
        <v>256.82299999999998</v>
      </c>
      <c r="X39" s="1">
        <f t="shared" si="4"/>
        <v>-1043.1770000000001</v>
      </c>
      <c r="Y39" s="1">
        <f t="shared" si="23"/>
        <v>6420.5749999999998</v>
      </c>
      <c r="Z39" s="1">
        <f t="shared" si="5"/>
        <v>5120.5749999999998</v>
      </c>
      <c r="AA39" s="1">
        <f t="shared" si="6"/>
        <v>6.5101229780192518E-2</v>
      </c>
      <c r="AB39" s="1">
        <f t="shared" si="7"/>
        <v>0.10830000850091163</v>
      </c>
      <c r="AC39" s="1"/>
      <c r="AD39" s="1"/>
      <c r="AE39" s="1">
        <v>1</v>
      </c>
      <c r="AF39">
        <f>AD44</f>
        <v>4685.0797199999997</v>
      </c>
      <c r="AG39">
        <f>AG38+AF39</f>
        <v>-11264.92028</v>
      </c>
      <c r="AH39">
        <f t="shared" ref="AH39:AH63" si="26">AF39/(1+$T$20)^AE39</f>
        <v>4415.7207540056552</v>
      </c>
      <c r="AI39">
        <f>AI38+AH39</f>
        <v>-11534.279245994345</v>
      </c>
      <c r="AJ39">
        <f>$AD$44*((1+$T$44)^AE39)</f>
        <v>4802.2067129999996</v>
      </c>
      <c r="AK39">
        <f t="shared" ref="AK39:AK63" si="27">AJ39/(1+$T$20)^AE39</f>
        <v>4526.113772855796</v>
      </c>
      <c r="AL39">
        <f>AL38+AK39</f>
        <v>-11423.886227144205</v>
      </c>
      <c r="AX39">
        <f t="shared" si="11"/>
        <v>2.562002613224239E-3</v>
      </c>
      <c r="AY39">
        <f t="shared" si="24"/>
        <v>302.10725668679589</v>
      </c>
      <c r="AZ39">
        <f t="shared" si="13"/>
        <v>332.31798235547552</v>
      </c>
      <c r="BA39">
        <f t="shared" si="14"/>
        <v>30.210725668679629</v>
      </c>
    </row>
    <row r="40" spans="1:53" ht="29" x14ac:dyDescent="0.35">
      <c r="A40" s="1">
        <v>39</v>
      </c>
      <c r="B40" s="62">
        <v>1397.7981728371551</v>
      </c>
      <c r="C40" s="62">
        <v>2</v>
      </c>
      <c r="D40" s="62">
        <v>3553.3</v>
      </c>
      <c r="E40" s="62">
        <v>1397.8</v>
      </c>
      <c r="F40" s="62">
        <v>1337.82</v>
      </c>
      <c r="G40" s="62">
        <v>132.495</v>
      </c>
      <c r="H40" s="62">
        <v>1638.51</v>
      </c>
      <c r="I40" s="62">
        <v>629.24800000000005</v>
      </c>
      <c r="J40" s="62">
        <v>605.05899999999997</v>
      </c>
      <c r="K40" s="62">
        <v>5</v>
      </c>
      <c r="L40" s="62">
        <v>1.2</v>
      </c>
      <c r="M40" s="62">
        <f>(C40*$T$18*1000)+T29</f>
        <v>7240</v>
      </c>
      <c r="N40" s="91">
        <f t="shared" si="25"/>
        <v>1810</v>
      </c>
      <c r="O40" s="62">
        <f>$T$38*C40</f>
        <v>71.2</v>
      </c>
      <c r="P40" s="56">
        <f t="shared" si="3"/>
        <v>2.0037711423184081E-2</v>
      </c>
      <c r="Q40" s="56">
        <f t="shared" si="0"/>
        <v>1780</v>
      </c>
      <c r="R40" s="56"/>
      <c r="S40" s="68" t="s">
        <v>261</v>
      </c>
      <c r="T40" s="1">
        <v>165</v>
      </c>
      <c r="U40" s="78">
        <f>T40*T15</f>
        <v>7425</v>
      </c>
      <c r="V40" s="56"/>
      <c r="W40" s="1">
        <v>278.79599999999999</v>
      </c>
      <c r="X40" s="1">
        <f t="shared" si="4"/>
        <v>-1531.204</v>
      </c>
      <c r="Y40" s="1">
        <f t="shared" si="23"/>
        <v>6969.9</v>
      </c>
      <c r="Z40" s="1">
        <f t="shared" si="5"/>
        <v>5159.8999999999996</v>
      </c>
      <c r="AA40" s="1">
        <f t="shared" si="6"/>
        <v>7.1833458053076601E-2</v>
      </c>
      <c r="AB40" s="1">
        <f t="shared" si="7"/>
        <v>0.11641829254746908</v>
      </c>
      <c r="AC40" s="1"/>
      <c r="AD40" s="6" t="s">
        <v>285</v>
      </c>
      <c r="AE40" s="1">
        <f>AE39+1</f>
        <v>2</v>
      </c>
      <c r="AF40">
        <f>AF39</f>
        <v>4685.0797199999997</v>
      </c>
      <c r="AG40">
        <f>AG39+AF40</f>
        <v>-6579.8405600000006</v>
      </c>
      <c r="AH40">
        <f t="shared" si="26"/>
        <v>4161.8480245105138</v>
      </c>
      <c r="AI40">
        <f t="shared" ref="AI40:AI63" si="28">AI39+AH40</f>
        <v>-7372.431221483831</v>
      </c>
      <c r="AJ40">
        <f t="shared" ref="AJ40:AJ63" si="29">$AD$44*((1+$T$44)^AE40)</f>
        <v>4922.261880824999</v>
      </c>
      <c r="AK40">
        <f t="shared" si="27"/>
        <v>4372.5415807513573</v>
      </c>
      <c r="AL40">
        <f>AL39+AK40</f>
        <v>-7051.3446463928476</v>
      </c>
      <c r="AX40">
        <f t="shared" si="11"/>
        <v>3.4562018722021732E-3</v>
      </c>
      <c r="AY40">
        <f t="shared" si="24"/>
        <v>407.54980528795346</v>
      </c>
      <c r="AZ40">
        <f t="shared" si="13"/>
        <v>448.30478581674885</v>
      </c>
      <c r="BA40">
        <f t="shared" si="14"/>
        <v>40.754980528795386</v>
      </c>
    </row>
    <row r="41" spans="1:53" x14ac:dyDescent="0.35">
      <c r="A41" s="1">
        <v>40</v>
      </c>
      <c r="B41" s="62">
        <v>2769.3097556877569</v>
      </c>
      <c r="C41" s="62">
        <v>2</v>
      </c>
      <c r="D41" s="62">
        <v>3553.3</v>
      </c>
      <c r="E41" s="62">
        <v>2769.31</v>
      </c>
      <c r="F41" s="62">
        <v>1224.25</v>
      </c>
      <c r="G41" s="62">
        <v>117.764</v>
      </c>
      <c r="H41" s="62">
        <v>1185.83</v>
      </c>
      <c r="I41" s="62">
        <v>1159.6300000000001</v>
      </c>
      <c r="J41" s="62">
        <v>850.86400000000003</v>
      </c>
      <c r="K41" s="62">
        <v>5</v>
      </c>
      <c r="L41" s="62">
        <v>3.3</v>
      </c>
      <c r="M41" s="62">
        <f>(C41*$T$18*1000)+T31</f>
        <v>8896</v>
      </c>
      <c r="N41" s="91">
        <f t="shared" si="25"/>
        <v>2224</v>
      </c>
      <c r="O41" s="62">
        <f>$T$38*C41</f>
        <v>71.2</v>
      </c>
      <c r="P41" s="56">
        <f t="shared" si="3"/>
        <v>2.0037711423184081E-2</v>
      </c>
      <c r="Q41" s="56">
        <f t="shared" si="0"/>
        <v>1780</v>
      </c>
      <c r="R41" s="56"/>
      <c r="S41" s="65" t="s">
        <v>250</v>
      </c>
      <c r="T41" s="1">
        <v>3.1E-2</v>
      </c>
      <c r="U41" s="30"/>
      <c r="V41" s="56"/>
      <c r="W41" s="1">
        <v>268.85399999999998</v>
      </c>
      <c r="X41" s="1">
        <f t="shared" si="4"/>
        <v>-1955.146</v>
      </c>
      <c r="Y41" s="1">
        <f t="shared" si="23"/>
        <v>6721.3499999999995</v>
      </c>
      <c r="Z41" s="1">
        <f t="shared" si="5"/>
        <v>4497.3499999999995</v>
      </c>
      <c r="AA41" s="1">
        <f t="shared" si="6"/>
        <v>5.2161239611856078E-2</v>
      </c>
      <c r="AB41" s="1">
        <f t="shared" si="7"/>
        <v>7.981258708449436E-2</v>
      </c>
      <c r="AC41" s="1"/>
      <c r="AD41" s="1">
        <f>(U10*55/99)</f>
        <v>15950</v>
      </c>
      <c r="AE41" s="1">
        <f t="shared" ref="AE41:AE55" si="30">AE40+1</f>
        <v>3</v>
      </c>
      <c r="AF41">
        <f t="shared" ref="AF41:AF63" si="31">AF40</f>
        <v>4685.0797199999997</v>
      </c>
      <c r="AG41">
        <f t="shared" ref="AG41:AG63" si="32">AG40+AF41</f>
        <v>-1894.7608400000008</v>
      </c>
      <c r="AH41">
        <f t="shared" si="26"/>
        <v>3922.5711823850274</v>
      </c>
      <c r="AI41">
        <f t="shared" si="28"/>
        <v>-3449.8600390988036</v>
      </c>
      <c r="AJ41">
        <f t="shared" si="29"/>
        <v>5045.3184278456238</v>
      </c>
      <c r="AK41">
        <f t="shared" si="27"/>
        <v>4224.1801322056008</v>
      </c>
      <c r="AL41">
        <f t="shared" ref="AL41:AL63" si="33">AL40+AK41</f>
        <v>-2827.1645141872468</v>
      </c>
      <c r="AX41">
        <f t="shared" si="11"/>
        <v>6.8474074070998467E-3</v>
      </c>
      <c r="AY41">
        <f t="shared" si="24"/>
        <v>807.43534627875204</v>
      </c>
      <c r="AZ41">
        <f t="shared" si="13"/>
        <v>888.17888090662734</v>
      </c>
      <c r="BA41">
        <f t="shared" si="14"/>
        <v>80.743534627875306</v>
      </c>
    </row>
    <row r="42" spans="1:53" x14ac:dyDescent="0.35">
      <c r="A42" s="1">
        <v>41</v>
      </c>
      <c r="B42" s="1">
        <v>975.76163139608616</v>
      </c>
      <c r="C42" s="1">
        <v>2</v>
      </c>
      <c r="D42" s="1">
        <v>3553.3</v>
      </c>
      <c r="E42" s="1">
        <v>975.76199999999994</v>
      </c>
      <c r="F42" s="1">
        <v>1216.8800000000001</v>
      </c>
      <c r="G42" s="1">
        <v>117.163</v>
      </c>
      <c r="H42" s="1">
        <v>1888.06</v>
      </c>
      <c r="I42" s="1">
        <v>448.36099999999999</v>
      </c>
      <c r="J42" s="1">
        <v>527.40099999999995</v>
      </c>
      <c r="K42" s="1">
        <v>5</v>
      </c>
      <c r="L42" s="1">
        <v>0</v>
      </c>
      <c r="M42" s="1">
        <f>C42*$T$18*1000</f>
        <v>5200</v>
      </c>
      <c r="N42" s="91">
        <f t="shared" si="25"/>
        <v>1300</v>
      </c>
      <c r="O42" s="1">
        <f>$T$19*C42</f>
        <v>53</v>
      </c>
      <c r="P42" s="4">
        <f t="shared" si="3"/>
        <v>1.4915712154898262E-2</v>
      </c>
      <c r="Q42" s="4">
        <f t="shared" si="0"/>
        <v>1325</v>
      </c>
      <c r="R42" s="4"/>
      <c r="S42" s="65" t="s">
        <v>251</v>
      </c>
      <c r="T42" s="1" t="s">
        <v>252</v>
      </c>
      <c r="U42" s="30"/>
      <c r="V42" s="4"/>
      <c r="W42" s="1">
        <v>269.17599999999999</v>
      </c>
      <c r="X42" s="1">
        <f t="shared" si="4"/>
        <v>-1030.8240000000001</v>
      </c>
      <c r="Y42" s="1">
        <f t="shared" si="23"/>
        <v>6729.4</v>
      </c>
      <c r="Z42" s="1">
        <f t="shared" si="5"/>
        <v>5429.4</v>
      </c>
      <c r="AA42" s="1">
        <f t="shared" si="6"/>
        <v>6.8207416119113573E-2</v>
      </c>
      <c r="AB42" s="1">
        <f t="shared" si="7"/>
        <v>0.11407994341650854</v>
      </c>
      <c r="AC42" s="1"/>
      <c r="AD42" s="1"/>
      <c r="AE42" s="1">
        <f t="shared" si="30"/>
        <v>4</v>
      </c>
      <c r="AF42">
        <f t="shared" si="31"/>
        <v>4685.0797199999997</v>
      </c>
      <c r="AG42">
        <f t="shared" si="32"/>
        <v>2790.3188799999989</v>
      </c>
      <c r="AH42">
        <f t="shared" si="26"/>
        <v>3697.0510672808928</v>
      </c>
      <c r="AI42">
        <f t="shared" si="28"/>
        <v>247.19102818208921</v>
      </c>
      <c r="AJ42">
        <f t="shared" si="29"/>
        <v>5171.4513885417646</v>
      </c>
      <c r="AK42">
        <f t="shared" si="27"/>
        <v>4080.8526253635632</v>
      </c>
      <c r="AL42">
        <f t="shared" si="33"/>
        <v>1253.6881111763164</v>
      </c>
      <c r="AX42">
        <f t="shared" si="11"/>
        <v>2.412672475031981E-3</v>
      </c>
      <c r="AY42">
        <f t="shared" si="24"/>
        <v>284.49848526827333</v>
      </c>
      <c r="AZ42">
        <f t="shared" si="13"/>
        <v>312.94833379510067</v>
      </c>
      <c r="BA42">
        <f t="shared" si="14"/>
        <v>28.449848526827338</v>
      </c>
    </row>
    <row r="43" spans="1:53" ht="29" x14ac:dyDescent="0.35">
      <c r="A43" s="1">
        <v>42</v>
      </c>
      <c r="B43" s="62">
        <v>1220.838737866377</v>
      </c>
      <c r="C43" s="62">
        <v>2</v>
      </c>
      <c r="D43" s="62">
        <v>3553.3</v>
      </c>
      <c r="E43" s="62">
        <v>1220.8399999999999</v>
      </c>
      <c r="F43" s="62">
        <v>1565.05</v>
      </c>
      <c r="G43" s="62">
        <v>159.86699999999999</v>
      </c>
      <c r="H43" s="62">
        <v>1546.75</v>
      </c>
      <c r="I43" s="62">
        <v>497.50700000000001</v>
      </c>
      <c r="J43" s="62">
        <v>659.64099999999996</v>
      </c>
      <c r="K43" s="62">
        <v>5</v>
      </c>
      <c r="L43" s="62">
        <v>2</v>
      </c>
      <c r="M43" s="62">
        <f>(C43*$T$18*1000)+T30</f>
        <v>8600</v>
      </c>
      <c r="N43" s="91">
        <f t="shared" si="25"/>
        <v>2150</v>
      </c>
      <c r="O43" s="62">
        <f>$T$38*C43</f>
        <v>71.2</v>
      </c>
      <c r="P43" s="56">
        <f t="shared" si="3"/>
        <v>2.0037711423184081E-2</v>
      </c>
      <c r="Q43" s="56">
        <f t="shared" si="0"/>
        <v>1780</v>
      </c>
      <c r="R43" s="56"/>
      <c r="S43" s="65" t="s">
        <v>262</v>
      </c>
      <c r="T43" s="1">
        <v>7.0000000000000007E-2</v>
      </c>
      <c r="U43" s="30"/>
      <c r="V43" s="56"/>
      <c r="W43" s="1">
        <v>269.30700000000002</v>
      </c>
      <c r="X43" s="1">
        <f t="shared" si="4"/>
        <v>-1880.693</v>
      </c>
      <c r="Y43" s="1">
        <f t="shared" si="23"/>
        <v>6732.6750000000002</v>
      </c>
      <c r="Z43" s="1">
        <f t="shared" si="5"/>
        <v>4582.6750000000002</v>
      </c>
      <c r="AA43" s="1">
        <f t="shared" si="6"/>
        <v>9.0481085582739026E-2</v>
      </c>
      <c r="AB43" s="1">
        <f t="shared" si="7"/>
        <v>0.15111745791987888</v>
      </c>
      <c r="AC43" s="1"/>
      <c r="AD43" s="6" t="s">
        <v>328</v>
      </c>
      <c r="AE43" s="1">
        <f t="shared" si="30"/>
        <v>5</v>
      </c>
      <c r="AF43">
        <f t="shared" si="31"/>
        <v>4685.0797199999997</v>
      </c>
      <c r="AG43">
        <f t="shared" si="32"/>
        <v>7475.3985999999986</v>
      </c>
      <c r="AH43">
        <f t="shared" si="26"/>
        <v>3484.4967646379764</v>
      </c>
      <c r="AI43">
        <f t="shared" si="28"/>
        <v>3731.6877928200656</v>
      </c>
      <c r="AJ43">
        <f t="shared" si="29"/>
        <v>5300.7376732553075</v>
      </c>
      <c r="AK43">
        <f t="shared" si="27"/>
        <v>3942.3882573022161</v>
      </c>
      <c r="AL43">
        <f t="shared" si="33"/>
        <v>5196.0763684785325</v>
      </c>
      <c r="AX43">
        <f t="shared" si="11"/>
        <v>3.018651199769655E-3</v>
      </c>
      <c r="AY43">
        <f t="shared" si="24"/>
        <v>355.95452875398638</v>
      </c>
      <c r="AZ43">
        <f t="shared" si="13"/>
        <v>391.54998162938506</v>
      </c>
      <c r="BA43">
        <f t="shared" si="14"/>
        <v>35.595452875398678</v>
      </c>
    </row>
    <row r="44" spans="1:53" x14ac:dyDescent="0.35">
      <c r="A44" s="1">
        <v>43</v>
      </c>
      <c r="B44" s="62">
        <v>3438.0361146713012</v>
      </c>
      <c r="C44" s="62">
        <v>10</v>
      </c>
      <c r="D44" s="62">
        <v>17766.5</v>
      </c>
      <c r="E44" s="62">
        <v>3438.04</v>
      </c>
      <c r="F44" s="62">
        <v>8491</v>
      </c>
      <c r="G44" s="62">
        <v>881.13699999999994</v>
      </c>
      <c r="H44" s="62">
        <v>7948</v>
      </c>
      <c r="I44" s="62">
        <v>1634.71</v>
      </c>
      <c r="J44" s="62">
        <v>1636.63</v>
      </c>
      <c r="K44" s="62">
        <v>25</v>
      </c>
      <c r="L44" s="62">
        <v>9.6999999999999993</v>
      </c>
      <c r="M44" s="62">
        <f>(C44*$T$18*1000)+T35</f>
        <v>34000</v>
      </c>
      <c r="N44" s="91">
        <f t="shared" si="25"/>
        <v>8500</v>
      </c>
      <c r="O44" s="62">
        <f>$T$38*C44</f>
        <v>356</v>
      </c>
      <c r="P44" s="56">
        <f t="shared" si="3"/>
        <v>2.0037711423184081E-2</v>
      </c>
      <c r="Q44" s="56">
        <f t="shared" si="0"/>
        <v>8900</v>
      </c>
      <c r="R44" s="56"/>
      <c r="S44" s="65" t="s">
        <v>263</v>
      </c>
      <c r="T44" s="1">
        <v>2.5000000000000001E-2</v>
      </c>
      <c r="U44" s="46"/>
      <c r="V44" s="56"/>
      <c r="W44" s="1">
        <v>1572.32</v>
      </c>
      <c r="X44" s="1">
        <f t="shared" si="4"/>
        <v>-6927.68</v>
      </c>
      <c r="Y44" s="1">
        <f t="shared" si="23"/>
        <v>39308</v>
      </c>
      <c r="Z44" s="1">
        <f t="shared" si="5"/>
        <v>30808</v>
      </c>
      <c r="AA44" s="1">
        <f t="shared" si="6"/>
        <v>0.1189313788134425</v>
      </c>
      <c r="AB44" s="1">
        <f t="shared" si="7"/>
        <v>0.20405724493221647</v>
      </c>
      <c r="AC44" s="1"/>
      <c r="AD44" s="1">
        <f>SUM(W47:W100)</f>
        <v>4685.0797199999997</v>
      </c>
      <c r="AE44" s="1">
        <f t="shared" si="30"/>
        <v>6</v>
      </c>
      <c r="AF44">
        <f t="shared" si="31"/>
        <v>4685.0797199999997</v>
      </c>
      <c r="AG44">
        <f t="shared" si="32"/>
        <v>12160.478319999998</v>
      </c>
      <c r="AH44">
        <f t="shared" si="26"/>
        <v>3284.1628318925318</v>
      </c>
      <c r="AI44">
        <f t="shared" si="28"/>
        <v>7015.850624712597</v>
      </c>
      <c r="AJ44">
        <f t="shared" si="29"/>
        <v>5433.2561150866904</v>
      </c>
      <c r="AK44">
        <f t="shared" si="27"/>
        <v>3808.6220204851757</v>
      </c>
      <c r="AL44">
        <f t="shared" si="33"/>
        <v>9004.6983889637086</v>
      </c>
      <c r="AX44">
        <f t="shared" si="11"/>
        <v>8.5009031254542674E-3</v>
      </c>
      <c r="AY44">
        <f t="shared" si="24"/>
        <v>1002.4129207890148</v>
      </c>
      <c r="AZ44">
        <f t="shared" si="13"/>
        <v>1102.6542128679164</v>
      </c>
      <c r="BA44">
        <f t="shared" si="14"/>
        <v>100.24129207890155</v>
      </c>
    </row>
    <row r="45" spans="1:53" x14ac:dyDescent="0.35">
      <c r="A45" s="1">
        <v>44</v>
      </c>
      <c r="B45" s="1">
        <v>1279.200878938675</v>
      </c>
      <c r="C45" s="1">
        <v>2</v>
      </c>
      <c r="D45" s="1">
        <v>3553.3</v>
      </c>
      <c r="E45" s="1">
        <v>1279.2</v>
      </c>
      <c r="F45" s="1">
        <v>1135.29</v>
      </c>
      <c r="G45" s="1">
        <v>107.304</v>
      </c>
      <c r="H45" s="1">
        <v>1864.24</v>
      </c>
      <c r="I45" s="1">
        <v>553.76199999999994</v>
      </c>
      <c r="J45" s="1">
        <v>725.43899999999996</v>
      </c>
      <c r="K45" s="1">
        <v>5</v>
      </c>
      <c r="L45" s="1">
        <v>0</v>
      </c>
      <c r="M45" s="1">
        <f>C45*$T$18*1000</f>
        <v>5200</v>
      </c>
      <c r="N45" s="91">
        <f t="shared" si="25"/>
        <v>1300</v>
      </c>
      <c r="O45" s="1">
        <f>$T$19*C45</f>
        <v>53</v>
      </c>
      <c r="P45" s="4">
        <f t="shared" si="3"/>
        <v>1.4915712154898262E-2</v>
      </c>
      <c r="Q45" s="4">
        <f t="shared" si="0"/>
        <v>1325</v>
      </c>
      <c r="R45" s="4"/>
      <c r="S45" s="63"/>
      <c r="T45" s="4"/>
      <c r="U45" s="30"/>
      <c r="V45" s="4"/>
      <c r="W45" s="1">
        <v>242.89599999999999</v>
      </c>
      <c r="X45" s="1">
        <f t="shared" si="4"/>
        <v>-1057.104</v>
      </c>
      <c r="Y45" s="1">
        <f t="shared" si="23"/>
        <v>6072.4</v>
      </c>
      <c r="Z45" s="1">
        <f t="shared" si="5"/>
        <v>4772.3999999999996</v>
      </c>
      <c r="AA45" s="1">
        <f t="shared" si="6"/>
        <v>5.5566090728076903E-2</v>
      </c>
      <c r="AB45" s="1">
        <f t="shared" si="7"/>
        <v>9.0557195572457991E-2</v>
      </c>
      <c r="AC45" s="1"/>
      <c r="AD45" s="1"/>
      <c r="AE45" s="1">
        <f t="shared" si="30"/>
        <v>7</v>
      </c>
      <c r="AF45">
        <f t="shared" si="31"/>
        <v>4685.0797199999997</v>
      </c>
      <c r="AG45">
        <f t="shared" si="32"/>
        <v>16845.558039999996</v>
      </c>
      <c r="AH45">
        <f t="shared" si="26"/>
        <v>3095.3466841588429</v>
      </c>
      <c r="AI45">
        <f t="shared" si="28"/>
        <v>10111.19730887144</v>
      </c>
      <c r="AJ45">
        <f t="shared" si="29"/>
        <v>5569.0875179638579</v>
      </c>
      <c r="AK45">
        <f t="shared" si="27"/>
        <v>3679.3945061237569</v>
      </c>
      <c r="AL45">
        <f t="shared" si="33"/>
        <v>12684.092895087466</v>
      </c>
      <c r="AX45">
        <f t="shared" si="11"/>
        <v>3.1629576848971781E-3</v>
      </c>
      <c r="AY45">
        <f t="shared" si="24"/>
        <v>372.97091902578433</v>
      </c>
      <c r="AZ45">
        <f t="shared" si="13"/>
        <v>410.2680109283628</v>
      </c>
      <c r="BA45">
        <f t="shared" si="14"/>
        <v>37.297091902578472</v>
      </c>
    </row>
    <row r="46" spans="1:53" x14ac:dyDescent="0.35">
      <c r="A46" s="62">
        <v>45</v>
      </c>
      <c r="B46" s="62">
        <v>3266.9511427123548</v>
      </c>
      <c r="C46" s="62">
        <v>2</v>
      </c>
      <c r="D46" s="62">
        <v>3553.3</v>
      </c>
      <c r="E46" s="62">
        <v>3266.95</v>
      </c>
      <c r="F46" s="62">
        <v>1185.51</v>
      </c>
      <c r="G46" s="62">
        <v>112.761</v>
      </c>
      <c r="H46" s="62">
        <v>1014.2</v>
      </c>
      <c r="I46" s="62">
        <v>1335.02</v>
      </c>
      <c r="J46" s="62">
        <v>888.14800000000002</v>
      </c>
      <c r="K46" s="62">
        <v>5</v>
      </c>
      <c r="L46" s="62">
        <v>4.2</v>
      </c>
      <c r="M46" s="62">
        <f>(C46*$T$18*1000)+T32</f>
        <v>9904</v>
      </c>
      <c r="N46" s="91">
        <f t="shared" si="25"/>
        <v>2476</v>
      </c>
      <c r="O46" s="62">
        <f>$T$38*C46</f>
        <v>71.2</v>
      </c>
      <c r="P46" s="56">
        <f t="shared" si="3"/>
        <v>2.0037711423184081E-2</v>
      </c>
      <c r="Q46" s="56">
        <f t="shared" si="0"/>
        <v>1780</v>
      </c>
      <c r="R46" s="4"/>
      <c r="S46" s="63"/>
      <c r="T46" s="4"/>
      <c r="U46" s="30"/>
      <c r="V46" s="56"/>
      <c r="W46" s="1">
        <v>270.36200000000002</v>
      </c>
      <c r="X46" s="1">
        <f t="shared" si="4"/>
        <v>-2205.6379999999999</v>
      </c>
      <c r="Y46" s="1">
        <f t="shared" si="23"/>
        <v>6759.05</v>
      </c>
      <c r="Z46" s="1">
        <f t="shared" si="5"/>
        <v>4283.05</v>
      </c>
      <c r="AA46" s="1">
        <f t="shared" si="6"/>
        <v>5.0353438740052672E-2</v>
      </c>
      <c r="AB46" s="1">
        <f t="shared" si="7"/>
        <v>7.6448664177341114E-2</v>
      </c>
      <c r="AC46" s="1"/>
      <c r="AD46" s="1"/>
      <c r="AE46" s="1">
        <f t="shared" si="30"/>
        <v>8</v>
      </c>
      <c r="AF46">
        <f t="shared" si="31"/>
        <v>4685.0797199999997</v>
      </c>
      <c r="AG46">
        <f t="shared" si="32"/>
        <v>21530.637759999998</v>
      </c>
      <c r="AH46">
        <f t="shared" si="26"/>
        <v>2917.3861302156861</v>
      </c>
      <c r="AI46">
        <f t="shared" si="28"/>
        <v>13028.583439087126</v>
      </c>
      <c r="AJ46">
        <f t="shared" si="29"/>
        <v>5708.3147059129533</v>
      </c>
      <c r="AK46">
        <f t="shared" si="27"/>
        <v>3554.551714210038</v>
      </c>
      <c r="AL46">
        <f t="shared" si="33"/>
        <v>16238.644609297504</v>
      </c>
      <c r="AX46" s="79">
        <f t="shared" si="11"/>
        <v>8.0778776759432135E-3</v>
      </c>
      <c r="AY46" s="79">
        <f t="shared" si="24"/>
        <v>952.53043534546953</v>
      </c>
      <c r="AZ46" s="79">
        <f t="shared" si="13"/>
        <v>1047.7834788800167</v>
      </c>
      <c r="BA46" s="79">
        <f t="shared" si="14"/>
        <v>95.253043534547146</v>
      </c>
    </row>
    <row r="47" spans="1:53" x14ac:dyDescent="0.35">
      <c r="A47" s="70">
        <v>46</v>
      </c>
      <c r="B47" s="70">
        <v>1763.99702425654</v>
      </c>
      <c r="C47" s="70">
        <v>0</v>
      </c>
      <c r="D47" s="70"/>
      <c r="E47" s="70">
        <v>1764</v>
      </c>
      <c r="F47" s="70"/>
      <c r="G47" s="70"/>
      <c r="H47" s="70"/>
      <c r="I47" s="70"/>
      <c r="J47" s="70"/>
      <c r="K47" s="70">
        <v>0</v>
      </c>
      <c r="L47" s="70">
        <v>0</v>
      </c>
      <c r="M47" s="71">
        <f t="shared" ref="M47:M78" si="34">$T$18*C47*1000</f>
        <v>0</v>
      </c>
      <c r="N47" s="71"/>
      <c r="O47" s="71">
        <f t="shared" ref="O47:O78" si="35">$T$19*C47</f>
        <v>0</v>
      </c>
      <c r="P47" s="71">
        <f t="shared" ref="P47:P78" si="36">$T$19*D47</f>
        <v>0</v>
      </c>
      <c r="Q47" s="71">
        <f t="shared" ref="Q47:Q78" si="37">$T$19*K47</f>
        <v>0</v>
      </c>
      <c r="R47" s="71"/>
      <c r="S47" s="50" t="s">
        <v>49</v>
      </c>
      <c r="T47" s="4">
        <v>25</v>
      </c>
      <c r="U47" s="30"/>
      <c r="V47" s="71"/>
      <c r="W47" s="70">
        <v>36.3322</v>
      </c>
      <c r="X47" s="70">
        <f t="shared" ref="X47:X66" si="38">W47-M47</f>
        <v>36.3322</v>
      </c>
      <c r="Y47" s="70">
        <f t="shared" si="23"/>
        <v>908.30500000000006</v>
      </c>
      <c r="Z47" s="70">
        <f t="shared" ref="Z47:Z66" si="39">Y47-M47</f>
        <v>908.30500000000006</v>
      </c>
      <c r="AA47" s="70">
        <f t="shared" ref="AA47:AA78" si="40">(M47/($T$47*B47))+P47</f>
        <v>0</v>
      </c>
      <c r="AB47" s="70">
        <f t="shared" ref="AB47:AB78" si="41">(M47/($T$50*B47))+P47</f>
        <v>0</v>
      </c>
      <c r="AC47" s="4"/>
      <c r="AD47" s="1"/>
      <c r="AE47" s="1">
        <f t="shared" si="30"/>
        <v>9</v>
      </c>
      <c r="AF47">
        <f t="shared" si="31"/>
        <v>4685.0797199999997</v>
      </c>
      <c r="AG47">
        <f t="shared" si="32"/>
        <v>26215.717479999999</v>
      </c>
      <c r="AH47">
        <f t="shared" si="26"/>
        <v>2749.6570501561605</v>
      </c>
      <c r="AI47">
        <f t="shared" si="28"/>
        <v>15778.240489243286</v>
      </c>
      <c r="AJ47">
        <f t="shared" si="29"/>
        <v>5851.0225735607764</v>
      </c>
      <c r="AK47">
        <f t="shared" si="27"/>
        <v>3433.9448699955592</v>
      </c>
      <c r="AL47">
        <f t="shared" si="33"/>
        <v>19672.589479293063</v>
      </c>
      <c r="AX47">
        <f t="shared" si="11"/>
        <v>4.3616667529474519E-3</v>
      </c>
      <c r="AY47">
        <f>AX47*$AW$2</f>
        <v>514.32077801695391</v>
      </c>
      <c r="AZ47">
        <f t="shared" ref="AZ47:AZ78" si="42">AX47*$AW$10</f>
        <v>278.39288736782549</v>
      </c>
      <c r="BA47">
        <f>AY47-AZ47</f>
        <v>235.92789064912841</v>
      </c>
    </row>
    <row r="48" spans="1:53" x14ac:dyDescent="0.35">
      <c r="A48" s="1">
        <v>47</v>
      </c>
      <c r="B48" s="1">
        <v>2322.9032263370332</v>
      </c>
      <c r="C48" s="1">
        <v>0</v>
      </c>
      <c r="D48" s="1"/>
      <c r="E48" s="1">
        <v>2322.9</v>
      </c>
      <c r="F48" s="1"/>
      <c r="G48" s="1"/>
      <c r="H48" s="1"/>
      <c r="I48" s="1"/>
      <c r="J48" s="1"/>
      <c r="K48" s="1">
        <v>0</v>
      </c>
      <c r="L48" s="1">
        <v>0</v>
      </c>
      <c r="M48" s="4">
        <f t="shared" si="34"/>
        <v>0</v>
      </c>
      <c r="N48" s="4"/>
      <c r="O48" s="4">
        <f t="shared" si="35"/>
        <v>0</v>
      </c>
      <c r="P48" s="4">
        <f t="shared" si="36"/>
        <v>0</v>
      </c>
      <c r="Q48" s="4">
        <f t="shared" si="37"/>
        <v>0</v>
      </c>
      <c r="R48" s="4"/>
      <c r="S48" s="65"/>
      <c r="T48" s="4"/>
      <c r="U48" s="46"/>
      <c r="V48" s="4"/>
      <c r="W48" s="1">
        <v>48.805199999999999</v>
      </c>
      <c r="X48" s="1">
        <f>W48-M48</f>
        <v>48.805199999999999</v>
      </c>
      <c r="Y48" s="1">
        <f t="shared" si="23"/>
        <v>1220.1299999999999</v>
      </c>
      <c r="Z48" s="1">
        <f t="shared" si="39"/>
        <v>1220.1299999999999</v>
      </c>
      <c r="AA48" s="1">
        <f t="shared" si="40"/>
        <v>0</v>
      </c>
      <c r="AB48" s="1">
        <f t="shared" si="41"/>
        <v>0</v>
      </c>
      <c r="AC48" s="4"/>
      <c r="AD48" s="1"/>
      <c r="AE48" s="1">
        <f t="shared" si="30"/>
        <v>10</v>
      </c>
      <c r="AF48">
        <f t="shared" si="31"/>
        <v>4685.0797199999997</v>
      </c>
      <c r="AG48">
        <f t="shared" si="32"/>
        <v>30900.797200000001</v>
      </c>
      <c r="AH48">
        <f t="shared" si="26"/>
        <v>2591.5712065562302</v>
      </c>
      <c r="AI48">
        <f t="shared" si="28"/>
        <v>18369.811695799515</v>
      </c>
      <c r="AJ48">
        <f t="shared" si="29"/>
        <v>5997.2981378997956</v>
      </c>
      <c r="AK48">
        <f t="shared" si="27"/>
        <v>3317.4302466969348</v>
      </c>
      <c r="AL48">
        <f t="shared" si="33"/>
        <v>22990.019725989998</v>
      </c>
      <c r="AX48">
        <f t="shared" si="11"/>
        <v>5.7436206712983317E-3</v>
      </c>
      <c r="AY48">
        <f t="shared" si="24"/>
        <v>677.27857711737624</v>
      </c>
      <c r="AZ48">
        <f t="shared" si="42"/>
        <v>366.59910836785906</v>
      </c>
      <c r="BA48">
        <f t="shared" ref="BA48:BA102" si="43">AY48-AZ48</f>
        <v>310.67946874951718</v>
      </c>
    </row>
    <row r="49" spans="1:53" x14ac:dyDescent="0.35">
      <c r="A49" s="1">
        <v>48</v>
      </c>
      <c r="B49" s="1">
        <v>1052.7350255677291</v>
      </c>
      <c r="C49" s="1">
        <v>0</v>
      </c>
      <c r="D49" s="1"/>
      <c r="E49" s="1">
        <v>1052.74</v>
      </c>
      <c r="F49" s="1"/>
      <c r="G49" s="1"/>
      <c r="H49" s="1"/>
      <c r="I49" s="1"/>
      <c r="J49" s="1"/>
      <c r="K49" s="1">
        <v>0</v>
      </c>
      <c r="L49" s="1">
        <v>0</v>
      </c>
      <c r="M49" s="4">
        <f t="shared" si="34"/>
        <v>0</v>
      </c>
      <c r="N49" s="4"/>
      <c r="O49" s="4">
        <f t="shared" si="35"/>
        <v>0</v>
      </c>
      <c r="P49" s="4">
        <f t="shared" si="36"/>
        <v>0</v>
      </c>
      <c r="Q49" s="4">
        <f t="shared" si="37"/>
        <v>0</v>
      </c>
      <c r="R49" s="4"/>
      <c r="S49" s="63"/>
      <c r="T49" s="4"/>
      <c r="U49" s="46"/>
      <c r="V49" s="4"/>
      <c r="W49" s="1">
        <v>22.118400000000001</v>
      </c>
      <c r="X49" s="1">
        <f t="shared" si="38"/>
        <v>22.118400000000001</v>
      </c>
      <c r="Y49" s="1">
        <f t="shared" si="23"/>
        <v>552.96</v>
      </c>
      <c r="Z49" s="1">
        <f t="shared" si="39"/>
        <v>552.96</v>
      </c>
      <c r="AA49" s="1">
        <f t="shared" si="40"/>
        <v>0</v>
      </c>
      <c r="AB49" s="1">
        <f t="shared" si="41"/>
        <v>0</v>
      </c>
      <c r="AC49" s="4"/>
      <c r="AD49" s="1"/>
      <c r="AE49" s="1">
        <f t="shared" si="30"/>
        <v>11</v>
      </c>
      <c r="AF49">
        <f t="shared" si="31"/>
        <v>4685.0797199999997</v>
      </c>
      <c r="AG49">
        <f t="shared" si="32"/>
        <v>35585.876920000002</v>
      </c>
      <c r="AH49">
        <f t="shared" si="26"/>
        <v>2442.5741814856087</v>
      </c>
      <c r="AI49">
        <f t="shared" si="28"/>
        <v>20812.385877285124</v>
      </c>
      <c r="AJ49">
        <f t="shared" si="29"/>
        <v>6147.230591347291</v>
      </c>
      <c r="AK49">
        <f t="shared" si="27"/>
        <v>3204.8689942171154</v>
      </c>
      <c r="AL49">
        <f t="shared" si="33"/>
        <v>26194.888720207113</v>
      </c>
      <c r="AX49">
        <f t="shared" si="11"/>
        <v>2.602997225926316E-3</v>
      </c>
      <c r="AY49">
        <f t="shared" si="24"/>
        <v>306.94127594908548</v>
      </c>
      <c r="AZ49">
        <f t="shared" si="42"/>
        <v>166.14197154020803</v>
      </c>
      <c r="BA49">
        <f t="shared" si="43"/>
        <v>140.79930440887745</v>
      </c>
    </row>
    <row r="50" spans="1:53" x14ac:dyDescent="0.35">
      <c r="A50" s="1">
        <v>49</v>
      </c>
      <c r="B50" s="1">
        <v>2650.8063291642311</v>
      </c>
      <c r="C50" s="1">
        <v>0</v>
      </c>
      <c r="D50" s="1"/>
      <c r="E50" s="1">
        <v>2650.81</v>
      </c>
      <c r="F50" s="1"/>
      <c r="G50" s="1"/>
      <c r="H50" s="1"/>
      <c r="I50" s="1"/>
      <c r="J50" s="1"/>
      <c r="K50" s="1">
        <v>0</v>
      </c>
      <c r="L50" s="1">
        <v>0</v>
      </c>
      <c r="M50" s="4">
        <f t="shared" si="34"/>
        <v>0</v>
      </c>
      <c r="N50" s="4"/>
      <c r="O50" s="4">
        <f t="shared" si="35"/>
        <v>0</v>
      </c>
      <c r="P50" s="4">
        <f t="shared" si="36"/>
        <v>0</v>
      </c>
      <c r="Q50" s="4">
        <f t="shared" si="37"/>
        <v>0</v>
      </c>
      <c r="R50" s="4"/>
      <c r="S50" s="50" t="s">
        <v>280</v>
      </c>
      <c r="T50" s="1">
        <f>1+((1-(1+$T$20)^(1-$T$47))/$T$20)</f>
        <v>13.43521330378282</v>
      </c>
      <c r="U50" s="46"/>
      <c r="V50" s="4"/>
      <c r="W50" s="4">
        <v>53.152200000000001</v>
      </c>
      <c r="X50" s="1">
        <f t="shared" si="38"/>
        <v>53.152200000000001</v>
      </c>
      <c r="Y50" s="1">
        <f t="shared" si="23"/>
        <v>1328.8050000000001</v>
      </c>
      <c r="Z50" s="1">
        <f t="shared" si="39"/>
        <v>1328.8050000000001</v>
      </c>
      <c r="AA50" s="1">
        <f t="shared" si="40"/>
        <v>0</v>
      </c>
      <c r="AB50" s="1">
        <f t="shared" si="41"/>
        <v>0</v>
      </c>
      <c r="AC50" s="4"/>
      <c r="AD50" s="1"/>
      <c r="AE50" s="1">
        <f t="shared" si="30"/>
        <v>12</v>
      </c>
      <c r="AF50">
        <f t="shared" si="31"/>
        <v>4685.0797199999997</v>
      </c>
      <c r="AG50">
        <f t="shared" si="32"/>
        <v>40270.956640000004</v>
      </c>
      <c r="AH50">
        <f t="shared" si="26"/>
        <v>2302.1434321259271</v>
      </c>
      <c r="AI50">
        <f t="shared" si="28"/>
        <v>23114.529309411049</v>
      </c>
      <c r="AJ50">
        <f t="shared" si="29"/>
        <v>6300.9113561309723</v>
      </c>
      <c r="AK50">
        <f t="shared" si="27"/>
        <v>3096.1269736781742</v>
      </c>
      <c r="AL50">
        <f t="shared" si="33"/>
        <v>29291.015693885289</v>
      </c>
      <c r="AX50">
        <f t="shared" si="11"/>
        <v>6.554395316676476E-3</v>
      </c>
      <c r="AY50">
        <f t="shared" si="24"/>
        <v>772.88382851021015</v>
      </c>
      <c r="AZ50">
        <f t="shared" si="42"/>
        <v>418.34856730552718</v>
      </c>
      <c r="BA50">
        <f t="shared" si="43"/>
        <v>354.53526120468297</v>
      </c>
    </row>
    <row r="51" spans="1:53" x14ac:dyDescent="0.35">
      <c r="A51" s="1">
        <v>50</v>
      </c>
      <c r="B51" s="1">
        <v>2336.365059758562</v>
      </c>
      <c r="C51" s="1">
        <v>0</v>
      </c>
      <c r="D51" s="1"/>
      <c r="E51" s="1">
        <v>2336.37</v>
      </c>
      <c r="F51" s="1"/>
      <c r="G51" s="1"/>
      <c r="H51" s="1"/>
      <c r="I51" s="1"/>
      <c r="J51" s="1"/>
      <c r="K51" s="1">
        <v>0</v>
      </c>
      <c r="L51" s="1">
        <v>0</v>
      </c>
      <c r="M51" s="4">
        <f t="shared" si="34"/>
        <v>0</v>
      </c>
      <c r="N51" s="4"/>
      <c r="O51" s="4">
        <f t="shared" si="35"/>
        <v>0</v>
      </c>
      <c r="P51" s="4">
        <f t="shared" si="36"/>
        <v>0</v>
      </c>
      <c r="Q51" s="4">
        <f t="shared" si="37"/>
        <v>0</v>
      </c>
      <c r="R51" s="4"/>
      <c r="S51" s="63"/>
      <c r="T51" s="4"/>
      <c r="U51" s="46"/>
      <c r="V51" s="4"/>
      <c r="W51" s="4">
        <v>49.088000000000001</v>
      </c>
      <c r="X51" s="1">
        <f t="shared" si="38"/>
        <v>49.088000000000001</v>
      </c>
      <c r="Y51" s="1">
        <f t="shared" si="23"/>
        <v>1227.2</v>
      </c>
      <c r="Z51" s="1">
        <f t="shared" si="39"/>
        <v>1227.2</v>
      </c>
      <c r="AA51" s="1">
        <f t="shared" si="40"/>
        <v>0</v>
      </c>
      <c r="AB51" s="1">
        <f t="shared" si="41"/>
        <v>0</v>
      </c>
      <c r="AC51" s="4"/>
      <c r="AD51" s="1"/>
      <c r="AE51" s="1">
        <f t="shared" si="30"/>
        <v>13</v>
      </c>
      <c r="AF51">
        <f t="shared" si="31"/>
        <v>4685.0797199999997</v>
      </c>
      <c r="AG51">
        <f t="shared" si="32"/>
        <v>44956.036360000006</v>
      </c>
      <c r="AH51">
        <f t="shared" si="26"/>
        <v>2169.7864581771223</v>
      </c>
      <c r="AI51">
        <f t="shared" si="28"/>
        <v>25284.31576758817</v>
      </c>
      <c r="AJ51">
        <f t="shared" si="29"/>
        <v>6458.4341400342464</v>
      </c>
      <c r="AK51">
        <f t="shared" si="27"/>
        <v>2991.0745975684522</v>
      </c>
      <c r="AL51">
        <f t="shared" si="33"/>
        <v>32282.09029145374</v>
      </c>
      <c r="AX51">
        <f t="shared" si="11"/>
        <v>5.7769064594606701E-3</v>
      </c>
      <c r="AY51">
        <f t="shared" ref="AY51:AY66" si="44">AX51*$AW$2</f>
        <v>681.20358410077142</v>
      </c>
      <c r="AZ51">
        <f t="shared" si="42"/>
        <v>368.72364634833752</v>
      </c>
      <c r="BA51">
        <f t="shared" si="43"/>
        <v>312.4799377524339</v>
      </c>
    </row>
    <row r="52" spans="1:53" x14ac:dyDescent="0.35">
      <c r="A52" s="1">
        <v>51</v>
      </c>
      <c r="B52" s="1">
        <v>586.05584352134008</v>
      </c>
      <c r="C52" s="1">
        <v>0</v>
      </c>
      <c r="D52" s="1"/>
      <c r="E52" s="1">
        <v>586.05600000000004</v>
      </c>
      <c r="F52" s="1"/>
      <c r="G52" s="1"/>
      <c r="H52" s="1"/>
      <c r="I52" s="1"/>
      <c r="J52" s="1"/>
      <c r="K52" s="1">
        <v>0</v>
      </c>
      <c r="L52" s="1">
        <v>0</v>
      </c>
      <c r="M52" s="4">
        <f t="shared" si="34"/>
        <v>0</v>
      </c>
      <c r="N52" s="4"/>
      <c r="O52" s="4">
        <f t="shared" si="35"/>
        <v>0</v>
      </c>
      <c r="P52" s="4">
        <f t="shared" si="36"/>
        <v>0</v>
      </c>
      <c r="Q52" s="4">
        <f t="shared" si="37"/>
        <v>0</v>
      </c>
      <c r="R52" s="4"/>
      <c r="S52" s="50" t="s">
        <v>339</v>
      </c>
      <c r="T52" s="1"/>
      <c r="U52" s="46"/>
      <c r="V52" s="4"/>
      <c r="W52" s="4">
        <v>11.751200000000001</v>
      </c>
      <c r="X52" s="1">
        <f t="shared" si="38"/>
        <v>11.751200000000001</v>
      </c>
      <c r="Y52" s="1">
        <f t="shared" si="23"/>
        <v>293.78000000000003</v>
      </c>
      <c r="Z52" s="1">
        <f t="shared" si="39"/>
        <v>293.78000000000003</v>
      </c>
      <c r="AA52" s="1">
        <f t="shared" si="40"/>
        <v>0</v>
      </c>
      <c r="AB52" s="1">
        <f t="shared" si="41"/>
        <v>0</v>
      </c>
      <c r="AC52" s="4"/>
      <c r="AD52" s="1" t="s">
        <v>6</v>
      </c>
      <c r="AE52" s="1">
        <f t="shared" si="30"/>
        <v>14</v>
      </c>
      <c r="AF52">
        <f t="shared" si="31"/>
        <v>4685.0797199999997</v>
      </c>
      <c r="AG52">
        <f t="shared" si="32"/>
        <v>49641.116080000007</v>
      </c>
      <c r="AH52">
        <f t="shared" si="26"/>
        <v>2045.0390746249975</v>
      </c>
      <c r="AI52">
        <f t="shared" si="28"/>
        <v>27329.354842213168</v>
      </c>
      <c r="AJ52">
        <f t="shared" si="29"/>
        <v>6619.894993535102</v>
      </c>
      <c r="AK52">
        <f t="shared" si="27"/>
        <v>2889.5866753135379</v>
      </c>
      <c r="AL52">
        <f t="shared" si="33"/>
        <v>35171.676966767278</v>
      </c>
      <c r="AX52">
        <f t="shared" si="11"/>
        <v>1.4490842404538294E-3</v>
      </c>
      <c r="AY52">
        <f t="shared" si="44"/>
        <v>170.87369947708135</v>
      </c>
      <c r="AZ52">
        <f t="shared" si="42"/>
        <v>92.490960128153134</v>
      </c>
      <c r="BA52">
        <f t="shared" si="43"/>
        <v>78.382739348928212</v>
      </c>
    </row>
    <row r="53" spans="1:53" x14ac:dyDescent="0.35">
      <c r="A53" s="1">
        <v>52</v>
      </c>
      <c r="B53" s="1">
        <v>5329.6971333659421</v>
      </c>
      <c r="C53" s="1">
        <v>0</v>
      </c>
      <c r="D53" s="1"/>
      <c r="E53" s="1">
        <v>5329.7</v>
      </c>
      <c r="F53" s="1"/>
      <c r="G53" s="1"/>
      <c r="H53" s="1"/>
      <c r="I53" s="1"/>
      <c r="J53" s="1"/>
      <c r="K53" s="1">
        <v>0</v>
      </c>
      <c r="L53" s="1">
        <v>0</v>
      </c>
      <c r="M53" s="4">
        <f t="shared" si="34"/>
        <v>0</v>
      </c>
      <c r="N53" s="4"/>
      <c r="O53" s="4">
        <f t="shared" si="35"/>
        <v>0</v>
      </c>
      <c r="P53" s="4">
        <f t="shared" si="36"/>
        <v>0</v>
      </c>
      <c r="Q53" s="4">
        <f t="shared" si="37"/>
        <v>0</v>
      </c>
      <c r="R53" s="4"/>
      <c r="S53" s="65" t="s">
        <v>342</v>
      </c>
      <c r="T53" s="1">
        <v>0.45</v>
      </c>
      <c r="U53" s="30"/>
      <c r="V53" s="4"/>
      <c r="W53" s="4">
        <v>110.047</v>
      </c>
      <c r="X53" s="1">
        <f t="shared" si="38"/>
        <v>110.047</v>
      </c>
      <c r="Y53" s="1">
        <f t="shared" si="23"/>
        <v>2751.1749999999997</v>
      </c>
      <c r="Z53" s="1">
        <f t="shared" si="39"/>
        <v>2751.1749999999997</v>
      </c>
      <c r="AA53" s="1">
        <f t="shared" si="40"/>
        <v>0</v>
      </c>
      <c r="AB53" s="1">
        <f t="shared" si="41"/>
        <v>0</v>
      </c>
      <c r="AC53" s="4"/>
      <c r="AD53" s="1"/>
      <c r="AE53" s="1">
        <f t="shared" si="30"/>
        <v>15</v>
      </c>
      <c r="AF53">
        <f t="shared" si="31"/>
        <v>4685.0797199999997</v>
      </c>
      <c r="AG53">
        <f t="shared" si="32"/>
        <v>54326.195800000009</v>
      </c>
      <c r="AH53">
        <f t="shared" si="26"/>
        <v>1927.4637838124388</v>
      </c>
      <c r="AI53">
        <f t="shared" si="28"/>
        <v>29256.818626025608</v>
      </c>
      <c r="AJ53">
        <f t="shared" si="29"/>
        <v>6785.3923683734802</v>
      </c>
      <c r="AK53">
        <f t="shared" si="27"/>
        <v>2791.5422640870656</v>
      </c>
      <c r="AL53">
        <f t="shared" si="33"/>
        <v>37963.219230854345</v>
      </c>
      <c r="AX53">
        <f t="shared" si="11"/>
        <v>1.3178232429093275E-2</v>
      </c>
      <c r="AY53">
        <f t="shared" si="44"/>
        <v>1553.9561226770234</v>
      </c>
      <c r="AZ53">
        <f t="shared" si="42"/>
        <v>841.12940858225841</v>
      </c>
      <c r="BA53">
        <f t="shared" si="43"/>
        <v>712.82671409476495</v>
      </c>
    </row>
    <row r="54" spans="1:53" x14ac:dyDescent="0.35">
      <c r="A54" s="1">
        <v>53</v>
      </c>
      <c r="B54" s="1">
        <v>5328.3833046167756</v>
      </c>
      <c r="C54" s="1">
        <v>0</v>
      </c>
      <c r="D54" s="1"/>
      <c r="E54" s="1">
        <v>5328.38</v>
      </c>
      <c r="F54" s="1"/>
      <c r="G54" s="1"/>
      <c r="H54" s="1"/>
      <c r="I54" s="1"/>
      <c r="J54" s="1"/>
      <c r="K54" s="1">
        <v>0</v>
      </c>
      <c r="L54" s="1">
        <v>0</v>
      </c>
      <c r="M54" s="4">
        <f t="shared" si="34"/>
        <v>0</v>
      </c>
      <c r="N54" s="4"/>
      <c r="O54" s="4">
        <f t="shared" si="35"/>
        <v>0</v>
      </c>
      <c r="P54" s="4">
        <f t="shared" si="36"/>
        <v>0</v>
      </c>
      <c r="Q54" s="4">
        <f t="shared" si="37"/>
        <v>0</v>
      </c>
      <c r="R54" s="4"/>
      <c r="S54" s="65" t="s">
        <v>343</v>
      </c>
      <c r="T54" s="1">
        <v>0.55000000000000004</v>
      </c>
      <c r="U54" s="30"/>
      <c r="V54" s="4"/>
      <c r="W54" s="4">
        <v>104.018</v>
      </c>
      <c r="X54" s="1">
        <f t="shared" si="38"/>
        <v>104.018</v>
      </c>
      <c r="Y54" s="1">
        <f t="shared" si="23"/>
        <v>2600.4499999999998</v>
      </c>
      <c r="Z54" s="1">
        <f t="shared" si="39"/>
        <v>2600.4499999999998</v>
      </c>
      <c r="AA54" s="1">
        <f t="shared" si="40"/>
        <v>0</v>
      </c>
      <c r="AB54" s="1">
        <f t="shared" si="41"/>
        <v>0</v>
      </c>
      <c r="AC54" s="4"/>
      <c r="AD54" s="1"/>
      <c r="AE54" s="1">
        <f t="shared" si="30"/>
        <v>16</v>
      </c>
      <c r="AF54">
        <f t="shared" si="31"/>
        <v>4685.0797199999997</v>
      </c>
      <c r="AG54">
        <f t="shared" si="32"/>
        <v>59011.27552000001</v>
      </c>
      <c r="AH54">
        <f t="shared" si="26"/>
        <v>1816.648241105032</v>
      </c>
      <c r="AI54">
        <f t="shared" si="28"/>
        <v>31073.466867130639</v>
      </c>
      <c r="AJ54">
        <f t="shared" si="29"/>
        <v>6955.0271775828169</v>
      </c>
      <c r="AK54">
        <f t="shared" si="27"/>
        <v>2696.8245246835459</v>
      </c>
      <c r="AL54">
        <f t="shared" si="33"/>
        <v>40660.043755537889</v>
      </c>
      <c r="AX54">
        <f t="shared" si="11"/>
        <v>1.3174983850385086E-2</v>
      </c>
      <c r="AY54">
        <f t="shared" si="44"/>
        <v>1553.5730554636662</v>
      </c>
      <c r="AZ54">
        <f t="shared" si="42"/>
        <v>840.92206096547795</v>
      </c>
      <c r="BA54">
        <f t="shared" si="43"/>
        <v>712.6509944981882</v>
      </c>
    </row>
    <row r="55" spans="1:53" x14ac:dyDescent="0.35">
      <c r="A55" s="1">
        <v>54</v>
      </c>
      <c r="B55" s="1">
        <v>1132.850191183687</v>
      </c>
      <c r="C55" s="1">
        <v>0</v>
      </c>
      <c r="D55" s="1"/>
      <c r="E55" s="1">
        <v>1132.8499999999999</v>
      </c>
      <c r="F55" s="1"/>
      <c r="G55" s="1"/>
      <c r="H55" s="1"/>
      <c r="I55" s="1"/>
      <c r="J55" s="1"/>
      <c r="K55" s="1">
        <v>0</v>
      </c>
      <c r="L55" s="1">
        <v>0</v>
      </c>
      <c r="M55" s="4">
        <f t="shared" si="34"/>
        <v>0</v>
      </c>
      <c r="N55" s="4"/>
      <c r="O55" s="4">
        <f t="shared" si="35"/>
        <v>0</v>
      </c>
      <c r="P55" s="4">
        <f t="shared" si="36"/>
        <v>0</v>
      </c>
      <c r="Q55" s="4">
        <f t="shared" si="37"/>
        <v>0</v>
      </c>
      <c r="R55" s="4"/>
      <c r="S55" s="65" t="s">
        <v>344</v>
      </c>
      <c r="T55" s="1">
        <v>0.65</v>
      </c>
      <c r="U55" s="30"/>
      <c r="V55" s="4"/>
      <c r="W55" s="4">
        <v>23.8017</v>
      </c>
      <c r="X55" s="1">
        <f t="shared" si="38"/>
        <v>23.8017</v>
      </c>
      <c r="Y55" s="1">
        <f t="shared" si="23"/>
        <v>595.04250000000002</v>
      </c>
      <c r="Z55" s="1">
        <f t="shared" si="39"/>
        <v>595.04250000000002</v>
      </c>
      <c r="AA55" s="1">
        <f t="shared" si="40"/>
        <v>0</v>
      </c>
      <c r="AB55" s="1">
        <f t="shared" si="41"/>
        <v>0</v>
      </c>
      <c r="AC55" s="4"/>
      <c r="AD55" s="1"/>
      <c r="AE55" s="1">
        <f t="shared" si="30"/>
        <v>17</v>
      </c>
      <c r="AF55">
        <f t="shared" si="31"/>
        <v>4685.0797199999997</v>
      </c>
      <c r="AG55">
        <f t="shared" si="32"/>
        <v>63696.355240000012</v>
      </c>
      <c r="AH55">
        <f t="shared" si="26"/>
        <v>1712.2038087700587</v>
      </c>
      <c r="AI55">
        <f t="shared" si="28"/>
        <v>32785.670675900699</v>
      </c>
      <c r="AJ55">
        <f t="shared" si="29"/>
        <v>7128.9028570223863</v>
      </c>
      <c r="AK55">
        <f t="shared" si="27"/>
        <v>2605.3205822814652</v>
      </c>
      <c r="AL55">
        <f t="shared" si="33"/>
        <v>43265.364337819352</v>
      </c>
      <c r="AX55">
        <f t="shared" si="11"/>
        <v>2.8010903346271524E-3</v>
      </c>
      <c r="AY55">
        <f t="shared" si="44"/>
        <v>330.30009897653531</v>
      </c>
      <c r="AZ55">
        <f t="shared" si="42"/>
        <v>178.78569597459486</v>
      </c>
      <c r="BA55">
        <f t="shared" si="43"/>
        <v>151.51440300194045</v>
      </c>
    </row>
    <row r="56" spans="1:53" x14ac:dyDescent="0.35">
      <c r="A56" s="1">
        <v>55</v>
      </c>
      <c r="B56" s="1">
        <v>1734.337401732017</v>
      </c>
      <c r="C56" s="1">
        <v>0</v>
      </c>
      <c r="D56" s="1"/>
      <c r="E56" s="1">
        <v>1734.34</v>
      </c>
      <c r="F56" s="1"/>
      <c r="G56" s="1"/>
      <c r="H56" s="1"/>
      <c r="I56" s="1"/>
      <c r="J56" s="1"/>
      <c r="K56" s="1">
        <v>0</v>
      </c>
      <c r="L56" s="1">
        <v>0</v>
      </c>
      <c r="M56" s="4">
        <f t="shared" si="34"/>
        <v>0</v>
      </c>
      <c r="N56" s="4"/>
      <c r="O56" s="4">
        <f t="shared" si="35"/>
        <v>0</v>
      </c>
      <c r="P56" s="4">
        <f t="shared" si="36"/>
        <v>0</v>
      </c>
      <c r="Q56" s="4">
        <f t="shared" si="37"/>
        <v>0</v>
      </c>
      <c r="R56" s="4"/>
      <c r="S56" s="65" t="s">
        <v>345</v>
      </c>
      <c r="T56" s="1">
        <v>0.75</v>
      </c>
      <c r="U56" s="30"/>
      <c r="V56" s="4"/>
      <c r="W56" s="4">
        <v>36.4392</v>
      </c>
      <c r="X56" s="1">
        <f t="shared" si="38"/>
        <v>36.4392</v>
      </c>
      <c r="Y56" s="1">
        <f t="shared" si="23"/>
        <v>910.98</v>
      </c>
      <c r="Z56" s="1">
        <f t="shared" si="39"/>
        <v>910.98</v>
      </c>
      <c r="AA56" s="1">
        <f t="shared" si="40"/>
        <v>0</v>
      </c>
      <c r="AB56" s="1">
        <f t="shared" si="41"/>
        <v>0</v>
      </c>
      <c r="AC56" s="4"/>
      <c r="AD56" s="1"/>
      <c r="AE56" s="1">
        <f>AE55+1</f>
        <v>18</v>
      </c>
      <c r="AF56">
        <f t="shared" si="31"/>
        <v>4685.0797199999997</v>
      </c>
      <c r="AG56">
        <f t="shared" si="32"/>
        <v>68381.434960000013</v>
      </c>
      <c r="AH56">
        <f t="shared" si="26"/>
        <v>1613.7641929972278</v>
      </c>
      <c r="AI56">
        <f t="shared" si="28"/>
        <v>34399.43486889793</v>
      </c>
      <c r="AJ56">
        <f t="shared" si="29"/>
        <v>7307.1254284479464</v>
      </c>
      <c r="AK56">
        <f t="shared" si="27"/>
        <v>2516.9213919307276</v>
      </c>
      <c r="AL56">
        <f t="shared" si="33"/>
        <v>45782.285729750081</v>
      </c>
      <c r="AX56">
        <f t="shared" si="11"/>
        <v>4.2883302406453942E-3</v>
      </c>
      <c r="AY56">
        <f t="shared" si="44"/>
        <v>505.67305360317204</v>
      </c>
      <c r="AZ56">
        <f t="shared" si="42"/>
        <v>273.71202462299078</v>
      </c>
      <c r="BA56">
        <f t="shared" si="43"/>
        <v>231.96102898018125</v>
      </c>
    </row>
    <row r="57" spans="1:53" x14ac:dyDescent="0.35">
      <c r="A57" s="1">
        <v>56</v>
      </c>
      <c r="B57" s="1">
        <v>1696.5437943175671</v>
      </c>
      <c r="C57" s="1">
        <v>0</v>
      </c>
      <c r="D57" s="1"/>
      <c r="E57" s="1">
        <v>1696.54</v>
      </c>
      <c r="F57" s="1"/>
      <c r="G57" s="1"/>
      <c r="H57" s="1"/>
      <c r="I57" s="1"/>
      <c r="J57" s="1"/>
      <c r="K57" s="1">
        <v>0</v>
      </c>
      <c r="L57" s="1">
        <v>0</v>
      </c>
      <c r="M57" s="4">
        <f t="shared" si="34"/>
        <v>0</v>
      </c>
      <c r="N57" s="4"/>
      <c r="O57" s="4">
        <f t="shared" si="35"/>
        <v>0</v>
      </c>
      <c r="P57" s="4">
        <f t="shared" si="36"/>
        <v>0</v>
      </c>
      <c r="Q57" s="4">
        <f t="shared" si="37"/>
        <v>0</v>
      </c>
      <c r="R57" s="4"/>
      <c r="S57" s="72"/>
      <c r="U57" s="30"/>
      <c r="V57" s="4"/>
      <c r="W57" s="4">
        <v>33.6798</v>
      </c>
      <c r="X57" s="1">
        <f t="shared" si="38"/>
        <v>33.6798</v>
      </c>
      <c r="Y57" s="1">
        <f t="shared" si="23"/>
        <v>841.995</v>
      </c>
      <c r="Z57" s="1">
        <f t="shared" si="39"/>
        <v>841.995</v>
      </c>
      <c r="AA57" s="1">
        <f t="shared" si="40"/>
        <v>0</v>
      </c>
      <c r="AB57" s="1">
        <f t="shared" si="41"/>
        <v>0</v>
      </c>
      <c r="AC57" s="4"/>
      <c r="AD57" s="1"/>
      <c r="AE57" s="1">
        <f t="shared" ref="AE57:AE61" si="45">AE56+1</f>
        <v>19</v>
      </c>
      <c r="AF57">
        <f t="shared" si="31"/>
        <v>4685.0797199999997</v>
      </c>
      <c r="AG57">
        <f t="shared" si="32"/>
        <v>73066.514680000008</v>
      </c>
      <c r="AH57">
        <f t="shared" si="26"/>
        <v>1520.9841592810819</v>
      </c>
      <c r="AI57">
        <f t="shared" si="28"/>
        <v>35920.419028179014</v>
      </c>
      <c r="AJ57">
        <f t="shared" si="29"/>
        <v>7489.803564159145</v>
      </c>
      <c r="AK57">
        <f t="shared" si="27"/>
        <v>2431.5216086041432</v>
      </c>
      <c r="AL57">
        <f t="shared" si="33"/>
        <v>48213.807338354221</v>
      </c>
      <c r="AX57">
        <f t="shared" si="11"/>
        <v>4.1948816017492885E-3</v>
      </c>
      <c r="AY57">
        <f t="shared" si="44"/>
        <v>494.65373934006573</v>
      </c>
      <c r="AZ57">
        <f t="shared" si="42"/>
        <v>267.74746156110626</v>
      </c>
      <c r="BA57">
        <f t="shared" si="43"/>
        <v>226.90627777895946</v>
      </c>
    </row>
    <row r="58" spans="1:53" x14ac:dyDescent="0.35">
      <c r="A58" s="1">
        <v>57</v>
      </c>
      <c r="B58" s="1">
        <v>2227.6855671211929</v>
      </c>
      <c r="C58" s="1">
        <v>0</v>
      </c>
      <c r="D58" s="1"/>
      <c r="E58" s="1">
        <v>2227.69</v>
      </c>
      <c r="F58" s="1"/>
      <c r="G58" s="1"/>
      <c r="H58" s="1"/>
      <c r="I58" s="1"/>
      <c r="J58" s="1"/>
      <c r="K58" s="1">
        <v>0</v>
      </c>
      <c r="L58" s="1">
        <v>0</v>
      </c>
      <c r="M58" s="4">
        <f t="shared" si="34"/>
        <v>0</v>
      </c>
      <c r="N58" s="4"/>
      <c r="O58" s="4">
        <f t="shared" si="35"/>
        <v>0</v>
      </c>
      <c r="P58" s="4">
        <f t="shared" si="36"/>
        <v>0</v>
      </c>
      <c r="Q58" s="4">
        <f t="shared" si="37"/>
        <v>0</v>
      </c>
      <c r="R58" s="4"/>
      <c r="S58" s="72"/>
      <c r="U58" s="30"/>
      <c r="V58" s="4"/>
      <c r="W58" s="4">
        <v>43.985100000000003</v>
      </c>
      <c r="X58" s="1">
        <f t="shared" si="38"/>
        <v>43.985100000000003</v>
      </c>
      <c r="Y58" s="1">
        <f t="shared" si="23"/>
        <v>1099.6275000000001</v>
      </c>
      <c r="Z58" s="1">
        <f t="shared" si="39"/>
        <v>1099.6275000000001</v>
      </c>
      <c r="AA58" s="1">
        <f t="shared" si="40"/>
        <v>0</v>
      </c>
      <c r="AB58" s="1">
        <f t="shared" si="41"/>
        <v>0</v>
      </c>
      <c r="AC58" s="4"/>
      <c r="AD58" s="1"/>
      <c r="AE58" s="1">
        <f t="shared" si="45"/>
        <v>20</v>
      </c>
      <c r="AF58">
        <f t="shared" si="31"/>
        <v>4685.0797199999997</v>
      </c>
      <c r="AG58">
        <f t="shared" si="32"/>
        <v>77751.594400000002</v>
      </c>
      <c r="AH58">
        <f t="shared" si="26"/>
        <v>1433.538321659832</v>
      </c>
      <c r="AI58">
        <f t="shared" si="28"/>
        <v>37353.957349838849</v>
      </c>
      <c r="AJ58">
        <f t="shared" si="29"/>
        <v>7677.048653263123</v>
      </c>
      <c r="AK58">
        <f t="shared" si="27"/>
        <v>2349.019461658102</v>
      </c>
      <c r="AL58">
        <f t="shared" si="33"/>
        <v>50562.826800012321</v>
      </c>
      <c r="AX58">
        <f t="shared" si="11"/>
        <v>5.5081850709065181E-3</v>
      </c>
      <c r="AY58">
        <f t="shared" si="44"/>
        <v>649.51638710490488</v>
      </c>
      <c r="AZ58">
        <f t="shared" si="42"/>
        <v>351.57191800812728</v>
      </c>
      <c r="BA58">
        <f t="shared" si="43"/>
        <v>297.9444690967776</v>
      </c>
    </row>
    <row r="59" spans="1:53" x14ac:dyDescent="0.35">
      <c r="A59" s="1">
        <v>58</v>
      </c>
      <c r="B59" s="1">
        <v>404.30530639696019</v>
      </c>
      <c r="C59" s="1">
        <v>0</v>
      </c>
      <c r="D59" s="1"/>
      <c r="E59" s="1">
        <v>404.30500000000001</v>
      </c>
      <c r="F59" s="1"/>
      <c r="G59" s="1"/>
      <c r="H59" s="1"/>
      <c r="I59" s="1"/>
      <c r="J59" s="1"/>
      <c r="K59" s="1">
        <v>0</v>
      </c>
      <c r="L59" s="1">
        <v>0</v>
      </c>
      <c r="M59" s="4">
        <f t="shared" si="34"/>
        <v>0</v>
      </c>
      <c r="N59" s="4"/>
      <c r="O59" s="4">
        <f t="shared" si="35"/>
        <v>0</v>
      </c>
      <c r="P59" s="4">
        <f t="shared" si="36"/>
        <v>0</v>
      </c>
      <c r="Q59" s="4">
        <f t="shared" si="37"/>
        <v>0</v>
      </c>
      <c r="R59" s="4"/>
      <c r="S59" s="63"/>
      <c r="T59" s="4"/>
      <c r="U59" s="46"/>
      <c r="V59" s="4"/>
      <c r="W59" s="4">
        <v>7.2637200000000002</v>
      </c>
      <c r="X59" s="1">
        <f t="shared" si="38"/>
        <v>7.2637200000000002</v>
      </c>
      <c r="Y59" s="1">
        <f t="shared" si="23"/>
        <v>181.59300000000002</v>
      </c>
      <c r="Z59" s="1">
        <f t="shared" si="39"/>
        <v>181.59300000000002</v>
      </c>
      <c r="AA59" s="1">
        <f t="shared" si="40"/>
        <v>0</v>
      </c>
      <c r="AB59" s="1">
        <f t="shared" si="41"/>
        <v>0</v>
      </c>
      <c r="AC59" s="4"/>
      <c r="AD59" s="1"/>
      <c r="AE59" s="1">
        <f t="shared" si="45"/>
        <v>21</v>
      </c>
      <c r="AF59">
        <f t="shared" si="31"/>
        <v>4685.0797199999997</v>
      </c>
      <c r="AG59">
        <f t="shared" si="32"/>
        <v>82436.674119999996</v>
      </c>
      <c r="AH59">
        <f t="shared" si="26"/>
        <v>1351.1200015644035</v>
      </c>
      <c r="AI59">
        <f t="shared" si="28"/>
        <v>38705.077351403255</v>
      </c>
      <c r="AJ59">
        <f t="shared" si="29"/>
        <v>7868.9748695947001</v>
      </c>
      <c r="AK59">
        <f t="shared" si="27"/>
        <v>2269.3166335528317</v>
      </c>
      <c r="AL59">
        <f t="shared" si="33"/>
        <v>52832.14343356515</v>
      </c>
      <c r="AX59">
        <f t="shared" si="11"/>
        <v>9.9968706789348551E-4</v>
      </c>
      <c r="AY59">
        <f t="shared" si="44"/>
        <v>117.88150256665408</v>
      </c>
      <c r="AZ59">
        <f t="shared" si="42"/>
        <v>63.807206065679864</v>
      </c>
      <c r="BA59">
        <f t="shared" si="43"/>
        <v>54.074296500974214</v>
      </c>
    </row>
    <row r="60" spans="1:53" x14ac:dyDescent="0.35">
      <c r="A60" s="1">
        <v>59</v>
      </c>
      <c r="B60" s="1">
        <v>3141.552121160008</v>
      </c>
      <c r="C60" s="1">
        <v>0</v>
      </c>
      <c r="D60" s="1"/>
      <c r="E60" s="1">
        <v>3141.55</v>
      </c>
      <c r="F60" s="1"/>
      <c r="G60" s="1"/>
      <c r="H60" s="1"/>
      <c r="I60" s="1"/>
      <c r="J60" s="1"/>
      <c r="K60" s="1">
        <v>0</v>
      </c>
      <c r="L60" s="1">
        <v>0</v>
      </c>
      <c r="M60" s="4">
        <f t="shared" si="34"/>
        <v>0</v>
      </c>
      <c r="N60" s="4"/>
      <c r="O60" s="4">
        <f t="shared" si="35"/>
        <v>0</v>
      </c>
      <c r="P60" s="4">
        <f t="shared" si="36"/>
        <v>0</v>
      </c>
      <c r="Q60" s="4">
        <f t="shared" si="37"/>
        <v>0</v>
      </c>
      <c r="R60" s="4"/>
      <c r="S60" s="63"/>
      <c r="T60" s="4"/>
      <c r="U60" s="46"/>
      <c r="V60" s="4"/>
      <c r="W60" s="4">
        <v>63.6265</v>
      </c>
      <c r="X60" s="1">
        <f t="shared" si="38"/>
        <v>63.6265</v>
      </c>
      <c r="Y60" s="1">
        <f t="shared" si="23"/>
        <v>1590.6624999999999</v>
      </c>
      <c r="Z60" s="1">
        <f t="shared" si="39"/>
        <v>1590.6624999999999</v>
      </c>
      <c r="AA60" s="1">
        <f t="shared" si="40"/>
        <v>0</v>
      </c>
      <c r="AB60" s="1">
        <f t="shared" si="41"/>
        <v>0</v>
      </c>
      <c r="AC60" s="4"/>
      <c r="AD60" s="1"/>
      <c r="AE60" s="1">
        <f t="shared" si="45"/>
        <v>22</v>
      </c>
      <c r="AF60">
        <f t="shared" si="31"/>
        <v>4685.0797199999997</v>
      </c>
      <c r="AG60">
        <f t="shared" si="32"/>
        <v>87121.75383999999</v>
      </c>
      <c r="AH60">
        <f t="shared" si="26"/>
        <v>1273.4401522755923</v>
      </c>
      <c r="AI60">
        <f t="shared" si="28"/>
        <v>39978.51750367885</v>
      </c>
      <c r="AJ60">
        <f t="shared" si="29"/>
        <v>8065.699241334567</v>
      </c>
      <c r="AK60">
        <f t="shared" si="27"/>
        <v>2192.3181426877022</v>
      </c>
      <c r="AL60">
        <f t="shared" si="33"/>
        <v>55024.461576252856</v>
      </c>
      <c r="AX60">
        <f t="shared" si="11"/>
        <v>7.7678155071096069E-3</v>
      </c>
      <c r="AY60">
        <f t="shared" si="44"/>
        <v>915.9683995594113</v>
      </c>
      <c r="AZ60">
        <f t="shared" si="42"/>
        <v>495.79775577844714</v>
      </c>
      <c r="BA60">
        <f t="shared" si="43"/>
        <v>420.17064378096416</v>
      </c>
    </row>
    <row r="61" spans="1:53" x14ac:dyDescent="0.35">
      <c r="A61" s="1">
        <v>60</v>
      </c>
      <c r="B61" s="1">
        <v>2862.8042339526478</v>
      </c>
      <c r="C61" s="1">
        <v>0</v>
      </c>
      <c r="D61" s="1"/>
      <c r="E61" s="1">
        <v>2862.8</v>
      </c>
      <c r="F61" s="1"/>
      <c r="G61" s="1"/>
      <c r="H61" s="1"/>
      <c r="I61" s="1"/>
      <c r="J61" s="1"/>
      <c r="K61" s="1">
        <v>0</v>
      </c>
      <c r="L61" s="1">
        <v>0</v>
      </c>
      <c r="M61" s="4">
        <f t="shared" si="34"/>
        <v>0</v>
      </c>
      <c r="N61" s="4"/>
      <c r="O61" s="4">
        <f t="shared" si="35"/>
        <v>0</v>
      </c>
      <c r="P61" s="4">
        <f t="shared" si="36"/>
        <v>0</v>
      </c>
      <c r="Q61" s="4">
        <f t="shared" si="37"/>
        <v>0</v>
      </c>
      <c r="R61" s="4"/>
      <c r="S61" s="63" t="s">
        <v>341</v>
      </c>
      <c r="T61" s="4"/>
      <c r="U61" s="46"/>
      <c r="V61" s="4"/>
      <c r="W61" s="4">
        <v>59.825899999999997</v>
      </c>
      <c r="X61" s="1">
        <f t="shared" si="38"/>
        <v>59.825899999999997</v>
      </c>
      <c r="Y61" s="1">
        <f t="shared" si="23"/>
        <v>1495.6475</v>
      </c>
      <c r="Z61" s="1">
        <f t="shared" si="39"/>
        <v>1495.6475</v>
      </c>
      <c r="AA61" s="1">
        <f t="shared" si="40"/>
        <v>0</v>
      </c>
      <c r="AB61" s="1">
        <f t="shared" si="41"/>
        <v>0</v>
      </c>
      <c r="AC61" s="4"/>
      <c r="AD61" s="1"/>
      <c r="AE61" s="1">
        <f t="shared" si="45"/>
        <v>23</v>
      </c>
      <c r="AF61">
        <f t="shared" si="31"/>
        <v>4685.0797199999997</v>
      </c>
      <c r="AG61">
        <f t="shared" si="32"/>
        <v>91806.833559999985</v>
      </c>
      <c r="AH61">
        <f t="shared" si="26"/>
        <v>1200.2263452173352</v>
      </c>
      <c r="AI61">
        <f t="shared" si="28"/>
        <v>41178.743848896185</v>
      </c>
      <c r="AJ61">
        <f t="shared" si="29"/>
        <v>8267.3417223679317</v>
      </c>
      <c r="AK61">
        <f t="shared" si="27"/>
        <v>2117.9322302119658</v>
      </c>
      <c r="AL61">
        <f t="shared" si="33"/>
        <v>57142.393806464825</v>
      </c>
      <c r="AX61">
        <f t="shared" si="11"/>
        <v>7.0785822627399868E-3</v>
      </c>
      <c r="AY61">
        <f t="shared" si="44"/>
        <v>834.69511607442632</v>
      </c>
      <c r="AZ61">
        <f t="shared" si="42"/>
        <v>451.80594167658137</v>
      </c>
      <c r="BA61">
        <f t="shared" si="43"/>
        <v>382.88917439784495</v>
      </c>
    </row>
    <row r="62" spans="1:53" x14ac:dyDescent="0.35">
      <c r="A62" s="1">
        <v>61</v>
      </c>
      <c r="B62" s="1">
        <v>2954.0094942934988</v>
      </c>
      <c r="C62" s="1">
        <v>0</v>
      </c>
      <c r="D62" s="1"/>
      <c r="E62" s="1">
        <v>2954.01</v>
      </c>
      <c r="F62" s="1"/>
      <c r="G62" s="1"/>
      <c r="H62" s="1"/>
      <c r="I62" s="1"/>
      <c r="J62" s="1"/>
      <c r="K62" s="1">
        <v>0</v>
      </c>
      <c r="L62" s="1">
        <v>0</v>
      </c>
      <c r="M62" s="4">
        <f t="shared" si="34"/>
        <v>0</v>
      </c>
      <c r="N62" s="4"/>
      <c r="O62" s="4">
        <f t="shared" si="35"/>
        <v>0</v>
      </c>
      <c r="P62" s="4">
        <f t="shared" si="36"/>
        <v>0</v>
      </c>
      <c r="Q62" s="4">
        <f t="shared" si="37"/>
        <v>0</v>
      </c>
      <c r="R62" s="4"/>
      <c r="S62" s="87" t="s">
        <v>333</v>
      </c>
      <c r="T62" s="4">
        <v>650</v>
      </c>
      <c r="U62" s="46" t="s">
        <v>337</v>
      </c>
      <c r="V62" s="4"/>
      <c r="W62" s="4">
        <v>64.215500000000006</v>
      </c>
      <c r="X62" s="1">
        <f t="shared" si="38"/>
        <v>64.215500000000006</v>
      </c>
      <c r="Y62" s="1">
        <f t="shared" si="23"/>
        <v>1605.3875</v>
      </c>
      <c r="Z62" s="1">
        <f t="shared" si="39"/>
        <v>1605.3875</v>
      </c>
      <c r="AA62" s="1">
        <f t="shared" si="40"/>
        <v>0</v>
      </c>
      <c r="AB62" s="1">
        <f t="shared" si="41"/>
        <v>0</v>
      </c>
      <c r="AC62" s="4"/>
      <c r="AD62" s="1"/>
      <c r="AE62" s="1">
        <f>AE61+1</f>
        <v>24</v>
      </c>
      <c r="AF62">
        <f t="shared" si="31"/>
        <v>4685.0797199999997</v>
      </c>
      <c r="AG62">
        <f t="shared" si="32"/>
        <v>96491.913279999979</v>
      </c>
      <c r="AH62">
        <f t="shared" si="26"/>
        <v>1131.2218145309473</v>
      </c>
      <c r="AI62">
        <f t="shared" si="28"/>
        <v>42309.96566342713</v>
      </c>
      <c r="AJ62">
        <f t="shared" si="29"/>
        <v>8474.0252654271299</v>
      </c>
      <c r="AK62">
        <f t="shared" si="27"/>
        <v>2046.0702506760272</v>
      </c>
      <c r="AL62">
        <f t="shared" si="33"/>
        <v>59188.464057140853</v>
      </c>
      <c r="AX62">
        <f t="shared" si="11"/>
        <v>7.3040967881345346E-3</v>
      </c>
      <c r="AY62">
        <f t="shared" si="44"/>
        <v>861.28742876696947</v>
      </c>
      <c r="AZ62">
        <f t="shared" si="42"/>
        <v>466.19989780024616</v>
      </c>
      <c r="BA62">
        <f t="shared" si="43"/>
        <v>395.08753096672331</v>
      </c>
    </row>
    <row r="63" spans="1:53" x14ac:dyDescent="0.35">
      <c r="A63" s="1">
        <v>62</v>
      </c>
      <c r="B63" s="1">
        <v>1204.0745303370161</v>
      </c>
      <c r="C63" s="1">
        <v>0</v>
      </c>
      <c r="D63" s="1"/>
      <c r="E63" s="1">
        <v>1204.07</v>
      </c>
      <c r="F63" s="1"/>
      <c r="G63" s="1"/>
      <c r="H63" s="1"/>
      <c r="I63" s="1"/>
      <c r="J63" s="1"/>
      <c r="K63" s="1">
        <v>0</v>
      </c>
      <c r="L63" s="1">
        <v>0</v>
      </c>
      <c r="M63" s="4">
        <f t="shared" si="34"/>
        <v>0</v>
      </c>
      <c r="N63" s="4"/>
      <c r="O63" s="4">
        <f t="shared" si="35"/>
        <v>0</v>
      </c>
      <c r="P63" s="4">
        <f t="shared" si="36"/>
        <v>0</v>
      </c>
      <c r="Q63" s="4">
        <f t="shared" si="37"/>
        <v>0</v>
      </c>
      <c r="R63" s="4"/>
      <c r="S63" s="87" t="s">
        <v>334</v>
      </c>
      <c r="T63" s="4">
        <v>350</v>
      </c>
      <c r="U63" s="46" t="s">
        <v>337</v>
      </c>
      <c r="V63" s="4"/>
      <c r="W63" s="4">
        <v>25.6633</v>
      </c>
      <c r="X63" s="1">
        <f t="shared" si="38"/>
        <v>25.6633</v>
      </c>
      <c r="Y63" s="1">
        <f t="shared" si="23"/>
        <v>641.58249999999998</v>
      </c>
      <c r="Z63" s="1">
        <f>Y63-M63</f>
        <v>641.58249999999998</v>
      </c>
      <c r="AA63" s="1">
        <f t="shared" si="40"/>
        <v>0</v>
      </c>
      <c r="AB63" s="1">
        <f t="shared" si="41"/>
        <v>0</v>
      </c>
      <c r="AC63" s="4"/>
      <c r="AD63" s="1"/>
      <c r="AE63" s="1">
        <f t="shared" ref="AE63" si="46">AE62+1</f>
        <v>25</v>
      </c>
      <c r="AF63">
        <f t="shared" si="31"/>
        <v>4685.0797199999997</v>
      </c>
      <c r="AG63">
        <f t="shared" si="32"/>
        <v>101176.99299999997</v>
      </c>
      <c r="AH63">
        <f t="shared" si="26"/>
        <v>1066.1845565795923</v>
      </c>
      <c r="AI63">
        <f t="shared" si="28"/>
        <v>43376.150220006726</v>
      </c>
      <c r="AJ63">
        <f t="shared" si="29"/>
        <v>8685.875897062806</v>
      </c>
      <c r="AK63">
        <f t="shared" si="27"/>
        <v>1976.6465663929569</v>
      </c>
      <c r="AL63">
        <f t="shared" si="33"/>
        <v>61165.110623533808</v>
      </c>
      <c r="AX63">
        <f t="shared" si="11"/>
        <v>2.9771999469529777E-3</v>
      </c>
      <c r="AY63">
        <f t="shared" si="44"/>
        <v>351.06666321862787</v>
      </c>
      <c r="AZ63">
        <f t="shared" si="42"/>
        <v>190.0262758367505</v>
      </c>
      <c r="BA63">
        <f t="shared" si="43"/>
        <v>161.04038738187737</v>
      </c>
    </row>
    <row r="64" spans="1:53" x14ac:dyDescent="0.35">
      <c r="A64" s="1">
        <v>63</v>
      </c>
      <c r="B64" s="1">
        <v>13474.18710799874</v>
      </c>
      <c r="C64" s="1">
        <v>0</v>
      </c>
      <c r="D64" s="1"/>
      <c r="E64" s="1">
        <v>13474.2</v>
      </c>
      <c r="F64" s="1"/>
      <c r="G64" s="1"/>
      <c r="H64" s="1"/>
      <c r="I64" s="1"/>
      <c r="J64" s="1"/>
      <c r="K64" s="1">
        <v>0</v>
      </c>
      <c r="L64" s="1">
        <v>0</v>
      </c>
      <c r="M64" s="4">
        <f t="shared" si="34"/>
        <v>0</v>
      </c>
      <c r="N64" s="4"/>
      <c r="O64" s="4">
        <f t="shared" si="35"/>
        <v>0</v>
      </c>
      <c r="P64" s="4">
        <f t="shared" si="36"/>
        <v>0</v>
      </c>
      <c r="Q64" s="4">
        <f t="shared" si="37"/>
        <v>0</v>
      </c>
      <c r="R64" s="4"/>
      <c r="S64" s="87"/>
      <c r="T64" s="4"/>
      <c r="U64" s="46"/>
      <c r="V64" s="4"/>
      <c r="W64" s="4">
        <v>279.54399999999998</v>
      </c>
      <c r="X64" s="1">
        <f t="shared" si="38"/>
        <v>279.54399999999998</v>
      </c>
      <c r="Y64" s="1">
        <f t="shared" si="23"/>
        <v>6988.5999999999995</v>
      </c>
      <c r="Z64" s="1">
        <f t="shared" si="39"/>
        <v>6988.5999999999995</v>
      </c>
      <c r="AA64" s="1">
        <f t="shared" si="40"/>
        <v>0</v>
      </c>
      <c r="AB64" s="1">
        <f t="shared" si="41"/>
        <v>0</v>
      </c>
      <c r="AC64" s="4"/>
      <c r="AX64">
        <f t="shared" si="11"/>
        <v>3.33163339415046E-2</v>
      </c>
      <c r="AY64">
        <f t="shared" si="44"/>
        <v>3928.6088928935037</v>
      </c>
      <c r="AZ64">
        <f t="shared" si="42"/>
        <v>2126.4876314125631</v>
      </c>
      <c r="BA64">
        <f t="shared" si="43"/>
        <v>1802.1212614809406</v>
      </c>
    </row>
    <row r="65" spans="1:53" x14ac:dyDescent="0.35">
      <c r="A65" s="1">
        <v>64</v>
      </c>
      <c r="B65" s="1">
        <v>3713.6923624805509</v>
      </c>
      <c r="C65" s="1">
        <v>0</v>
      </c>
      <c r="D65" s="1"/>
      <c r="E65" s="1">
        <v>3713.69</v>
      </c>
      <c r="F65" s="1"/>
      <c r="G65" s="1"/>
      <c r="H65" s="1"/>
      <c r="I65" s="1"/>
      <c r="J65" s="1"/>
      <c r="K65" s="1">
        <v>0</v>
      </c>
      <c r="L65" s="1">
        <v>0</v>
      </c>
      <c r="M65" s="4">
        <f t="shared" si="34"/>
        <v>0</v>
      </c>
      <c r="N65" s="4"/>
      <c r="O65" s="4">
        <f t="shared" si="35"/>
        <v>0</v>
      </c>
      <c r="P65" s="4">
        <f t="shared" si="36"/>
        <v>0</v>
      </c>
      <c r="Q65" s="4">
        <f t="shared" si="37"/>
        <v>0</v>
      </c>
      <c r="R65" s="4"/>
      <c r="S65" s="87" t="s">
        <v>335</v>
      </c>
      <c r="T65" s="4">
        <v>890</v>
      </c>
      <c r="U65" s="46" t="s">
        <v>338</v>
      </c>
      <c r="V65" s="4"/>
      <c r="W65" s="4">
        <v>78.026300000000006</v>
      </c>
      <c r="X65" s="1">
        <f t="shared" si="38"/>
        <v>78.026300000000006</v>
      </c>
      <c r="Y65" s="1">
        <f t="shared" si="23"/>
        <v>1950.6575000000003</v>
      </c>
      <c r="Z65" s="1">
        <f t="shared" si="39"/>
        <v>1950.6575000000003</v>
      </c>
      <c r="AA65" s="1">
        <f t="shared" si="40"/>
        <v>0</v>
      </c>
      <c r="AB65" s="1">
        <f t="shared" si="41"/>
        <v>0</v>
      </c>
      <c r="AC65" s="4"/>
      <c r="AF65" s="18" t="s">
        <v>51</v>
      </c>
      <c r="AG65" s="4">
        <f>AE41-(AG41/AF42)</f>
        <v>3.4044244608926313</v>
      </c>
      <c r="AH65" s="4"/>
      <c r="AI65" s="10">
        <f>AE42-(AI42/AH43)</f>
        <v>3.9290597624624941</v>
      </c>
      <c r="AJ65" s="10"/>
      <c r="AK65" s="10"/>
      <c r="AL65" s="10">
        <f>AE41-(AL41/AK42)</f>
        <v>3.6927877024070122</v>
      </c>
      <c r="AX65">
        <f t="shared" si="11"/>
        <v>9.1824919687339673E-3</v>
      </c>
      <c r="AY65">
        <f t="shared" si="44"/>
        <v>1082.7847887054252</v>
      </c>
      <c r="AZ65">
        <f t="shared" si="42"/>
        <v>586.09256442625701</v>
      </c>
      <c r="BA65">
        <f t="shared" si="43"/>
        <v>496.69222427916816</v>
      </c>
    </row>
    <row r="66" spans="1:53" x14ac:dyDescent="0.35">
      <c r="A66" s="1">
        <v>65</v>
      </c>
      <c r="B66" s="1">
        <v>1118.1009256975681</v>
      </c>
      <c r="C66" s="1">
        <v>0</v>
      </c>
      <c r="D66" s="1"/>
      <c r="E66" s="1">
        <v>1118.0999999999999</v>
      </c>
      <c r="F66" s="1"/>
      <c r="G66" s="1"/>
      <c r="H66" s="1"/>
      <c r="I66" s="1"/>
      <c r="J66" s="1"/>
      <c r="K66" s="1">
        <v>0</v>
      </c>
      <c r="L66" s="1">
        <v>0</v>
      </c>
      <c r="M66" s="4">
        <f t="shared" si="34"/>
        <v>0</v>
      </c>
      <c r="N66" s="4"/>
      <c r="O66" s="4">
        <f t="shared" si="35"/>
        <v>0</v>
      </c>
      <c r="P66" s="4">
        <f t="shared" si="36"/>
        <v>0</v>
      </c>
      <c r="Q66" s="4">
        <f t="shared" si="37"/>
        <v>0</v>
      </c>
      <c r="R66" s="4"/>
      <c r="S66" s="87" t="s">
        <v>336</v>
      </c>
      <c r="T66" s="4">
        <v>820</v>
      </c>
      <c r="U66" s="46" t="s">
        <v>338</v>
      </c>
      <c r="V66" s="4"/>
      <c r="W66" s="4">
        <v>23.491800000000001</v>
      </c>
      <c r="X66" s="1">
        <f t="shared" si="38"/>
        <v>23.491800000000001</v>
      </c>
      <c r="Y66" s="1">
        <f t="shared" ref="Y66:Y100" si="47">W66*$T$47</f>
        <v>587.29500000000007</v>
      </c>
      <c r="Z66" s="1">
        <f t="shared" si="39"/>
        <v>587.29500000000007</v>
      </c>
      <c r="AA66" s="1">
        <f t="shared" si="40"/>
        <v>0</v>
      </c>
      <c r="AB66" s="1">
        <f t="shared" si="41"/>
        <v>0</v>
      </c>
      <c r="AC66" s="4"/>
      <c r="AX66">
        <f t="shared" si="11"/>
        <v>2.7646212363142946E-3</v>
      </c>
      <c r="AY66">
        <f t="shared" si="44"/>
        <v>325.9997211438706</v>
      </c>
      <c r="AZ66">
        <f t="shared" si="42"/>
        <v>176.45797628529107</v>
      </c>
      <c r="BA66">
        <f t="shared" si="43"/>
        <v>149.54174485857953</v>
      </c>
    </row>
    <row r="67" spans="1:53" x14ac:dyDescent="0.35">
      <c r="A67" s="1">
        <v>66</v>
      </c>
      <c r="B67" s="1">
        <v>789.18834550043005</v>
      </c>
      <c r="C67" s="1">
        <v>0</v>
      </c>
      <c r="D67" s="1"/>
      <c r="E67" s="1">
        <v>789.18799999999999</v>
      </c>
      <c r="F67" s="1"/>
      <c r="G67" s="1"/>
      <c r="H67" s="1"/>
      <c r="I67" s="1"/>
      <c r="J67" s="1"/>
      <c r="K67" s="1">
        <v>0</v>
      </c>
      <c r="L67" s="1">
        <v>0</v>
      </c>
      <c r="M67" s="4">
        <f t="shared" si="34"/>
        <v>0</v>
      </c>
      <c r="N67" s="4"/>
      <c r="O67" s="4">
        <f t="shared" si="35"/>
        <v>0</v>
      </c>
      <c r="P67" s="4">
        <f t="shared" si="36"/>
        <v>0</v>
      </c>
      <c r="Q67" s="4">
        <f t="shared" si="37"/>
        <v>0</v>
      </c>
      <c r="R67" s="4"/>
      <c r="S67" s="65" t="s">
        <v>247</v>
      </c>
      <c r="T67" s="1">
        <v>24000</v>
      </c>
      <c r="U67" s="46" t="s">
        <v>268</v>
      </c>
      <c r="V67" s="4"/>
      <c r="W67" s="4">
        <v>16.784199999999998</v>
      </c>
      <c r="X67" s="1">
        <f t="shared" ref="X67:X100" si="48">W67-M67</f>
        <v>16.784199999999998</v>
      </c>
      <c r="Y67" s="1">
        <f t="shared" si="47"/>
        <v>419.60499999999996</v>
      </c>
      <c r="Z67" s="1">
        <f t="shared" ref="Z67:Z80" si="49">Y67-M67</f>
        <v>419.60499999999996</v>
      </c>
      <c r="AA67" s="1">
        <f t="shared" si="40"/>
        <v>0</v>
      </c>
      <c r="AB67" s="1">
        <f t="shared" si="41"/>
        <v>0</v>
      </c>
      <c r="AC67" s="4"/>
      <c r="AX67">
        <f t="shared" ref="AX67:AX103" si="50">B67/$B$102</f>
        <v>1.9513505527786158E-3</v>
      </c>
      <c r="AY67">
        <f t="shared" ref="AY67:AY103" si="51">AX67*$AW$2</f>
        <v>230.10014091762091</v>
      </c>
      <c r="AZ67">
        <f t="shared" si="42"/>
        <v>124.54920227175505</v>
      </c>
      <c r="BA67">
        <f t="shared" si="43"/>
        <v>105.55093864586586</v>
      </c>
    </row>
    <row r="68" spans="1:53" x14ac:dyDescent="0.35">
      <c r="A68" s="1">
        <v>67</v>
      </c>
      <c r="B68" s="1">
        <v>1631.3808757786551</v>
      </c>
      <c r="C68" s="1">
        <v>0</v>
      </c>
      <c r="D68" s="1"/>
      <c r="E68" s="1">
        <v>1631.38</v>
      </c>
      <c r="F68" s="1"/>
      <c r="G68" s="1"/>
      <c r="H68" s="1"/>
      <c r="I68" s="1"/>
      <c r="J68" s="1"/>
      <c r="K68" s="1">
        <v>0</v>
      </c>
      <c r="L68" s="1">
        <v>0</v>
      </c>
      <c r="M68" s="4">
        <f t="shared" si="34"/>
        <v>0</v>
      </c>
      <c r="N68" s="4"/>
      <c r="O68" s="4">
        <f t="shared" si="35"/>
        <v>0</v>
      </c>
      <c r="P68" s="4">
        <f t="shared" si="36"/>
        <v>0</v>
      </c>
      <c r="Q68" s="4">
        <f t="shared" si="37"/>
        <v>0</v>
      </c>
      <c r="R68" s="4"/>
      <c r="S68" s="63" t="s">
        <v>247</v>
      </c>
      <c r="T68" s="4">
        <v>26000</v>
      </c>
      <c r="U68" s="46" t="s">
        <v>264</v>
      </c>
      <c r="V68" s="4"/>
      <c r="W68" s="4">
        <v>31.626000000000001</v>
      </c>
      <c r="X68" s="1">
        <f t="shared" si="48"/>
        <v>31.626000000000001</v>
      </c>
      <c r="Y68" s="1">
        <f t="shared" si="47"/>
        <v>790.65</v>
      </c>
      <c r="Z68" s="1">
        <f t="shared" si="49"/>
        <v>790.65</v>
      </c>
      <c r="AA68" s="1">
        <f t="shared" si="40"/>
        <v>0</v>
      </c>
      <c r="AB68" s="1">
        <f t="shared" si="41"/>
        <v>0</v>
      </c>
      <c r="AC68" s="4"/>
      <c r="AX68">
        <f t="shared" si="50"/>
        <v>4.0337594845303078E-3</v>
      </c>
      <c r="AY68">
        <f t="shared" si="51"/>
        <v>475.6544765862559</v>
      </c>
      <c r="AZ68">
        <f t="shared" si="42"/>
        <v>257.46349124148071</v>
      </c>
      <c r="BA68">
        <f t="shared" si="43"/>
        <v>218.19098534477519</v>
      </c>
    </row>
    <row r="69" spans="1:53" x14ac:dyDescent="0.35">
      <c r="A69" s="1">
        <v>68</v>
      </c>
      <c r="B69" s="1">
        <v>4258.9353884654111</v>
      </c>
      <c r="C69" s="1">
        <v>0</v>
      </c>
      <c r="D69" s="1"/>
      <c r="E69" s="1">
        <v>4258.9399999999996</v>
      </c>
      <c r="F69" s="1"/>
      <c r="G69" s="1"/>
      <c r="H69" s="1"/>
      <c r="I69" s="1"/>
      <c r="J69" s="1"/>
      <c r="K69" s="1">
        <v>0</v>
      </c>
      <c r="L69" s="1">
        <v>0</v>
      </c>
      <c r="M69" s="4">
        <f t="shared" si="34"/>
        <v>0</v>
      </c>
      <c r="N69" s="4"/>
      <c r="O69" s="4">
        <f t="shared" si="35"/>
        <v>0</v>
      </c>
      <c r="P69" s="4">
        <f t="shared" si="36"/>
        <v>0</v>
      </c>
      <c r="Q69" s="4">
        <f t="shared" si="37"/>
        <v>0</v>
      </c>
      <c r="R69" s="4"/>
      <c r="S69" s="63" t="s">
        <v>247</v>
      </c>
      <c r="T69" s="4">
        <v>32500</v>
      </c>
      <c r="U69" s="46" t="s">
        <v>265</v>
      </c>
      <c r="V69" s="4"/>
      <c r="W69" s="4">
        <v>86.851900000000001</v>
      </c>
      <c r="X69" s="1">
        <f t="shared" si="48"/>
        <v>86.851900000000001</v>
      </c>
      <c r="Y69" s="1">
        <f t="shared" si="47"/>
        <v>2171.2975000000001</v>
      </c>
      <c r="Z69" s="1">
        <f t="shared" si="49"/>
        <v>2171.2975000000001</v>
      </c>
      <c r="AA69" s="1">
        <f t="shared" si="40"/>
        <v>0</v>
      </c>
      <c r="AB69" s="1">
        <f t="shared" si="41"/>
        <v>0</v>
      </c>
      <c r="AC69" s="4"/>
      <c r="AX69">
        <f t="shared" si="50"/>
        <v>1.053066225814641E-2</v>
      </c>
      <c r="AY69">
        <f t="shared" si="51"/>
        <v>1241.7588762331761</v>
      </c>
      <c r="AZ69">
        <f t="shared" si="42"/>
        <v>672.14247167316421</v>
      </c>
      <c r="BA69">
        <f t="shared" si="43"/>
        <v>569.61640456001192</v>
      </c>
    </row>
    <row r="70" spans="1:53" x14ac:dyDescent="0.35">
      <c r="A70" s="1">
        <v>69</v>
      </c>
      <c r="B70" s="1">
        <v>4490.8701254733214</v>
      </c>
      <c r="C70" s="1">
        <v>0</v>
      </c>
      <c r="D70" s="1"/>
      <c r="E70" s="1">
        <v>4490.87</v>
      </c>
      <c r="F70" s="1"/>
      <c r="G70" s="1"/>
      <c r="H70" s="1"/>
      <c r="I70" s="1"/>
      <c r="J70" s="1"/>
      <c r="K70" s="1">
        <v>0</v>
      </c>
      <c r="L70" s="1">
        <v>0</v>
      </c>
      <c r="M70" s="4">
        <f t="shared" si="34"/>
        <v>0</v>
      </c>
      <c r="N70" s="4"/>
      <c r="O70" s="4">
        <f t="shared" si="35"/>
        <v>0</v>
      </c>
      <c r="P70" s="4">
        <f t="shared" si="36"/>
        <v>0</v>
      </c>
      <c r="Q70" s="4">
        <f t="shared" si="37"/>
        <v>0</v>
      </c>
      <c r="R70" s="4"/>
      <c r="S70" s="63" t="s">
        <v>247</v>
      </c>
      <c r="T70" s="4">
        <v>34600</v>
      </c>
      <c r="U70" s="46" t="s">
        <v>266</v>
      </c>
      <c r="V70" s="4"/>
      <c r="W70" s="4">
        <v>90.9893</v>
      </c>
      <c r="X70" s="1">
        <f t="shared" si="48"/>
        <v>90.9893</v>
      </c>
      <c r="Y70" s="1">
        <f t="shared" si="47"/>
        <v>2274.7325000000001</v>
      </c>
      <c r="Z70" s="1">
        <f t="shared" si="49"/>
        <v>2274.7325000000001</v>
      </c>
      <c r="AA70" s="1">
        <f t="shared" si="40"/>
        <v>0</v>
      </c>
      <c r="AB70" s="1">
        <f t="shared" si="41"/>
        <v>0</v>
      </c>
      <c r="AC70" s="4"/>
      <c r="AX70">
        <f t="shared" si="50"/>
        <v>1.1104145102703576E-2</v>
      </c>
      <c r="AY70">
        <f t="shared" si="51"/>
        <v>1309.3830574232447</v>
      </c>
      <c r="AZ70">
        <f t="shared" si="42"/>
        <v>708.74626421286132</v>
      </c>
      <c r="BA70">
        <f t="shared" si="43"/>
        <v>600.63679321038342</v>
      </c>
    </row>
    <row r="71" spans="1:53" x14ac:dyDescent="0.35">
      <c r="A71" s="1">
        <v>70</v>
      </c>
      <c r="B71" s="1">
        <v>6097.7538980173758</v>
      </c>
      <c r="C71" s="1">
        <v>0</v>
      </c>
      <c r="D71" s="1"/>
      <c r="E71" s="1">
        <v>6097.75</v>
      </c>
      <c r="F71" s="1"/>
      <c r="G71" s="1"/>
      <c r="H71" s="1"/>
      <c r="I71" s="1"/>
      <c r="J71" s="1"/>
      <c r="K71" s="1">
        <v>0</v>
      </c>
      <c r="L71" s="1">
        <v>0</v>
      </c>
      <c r="M71" s="4">
        <f t="shared" si="34"/>
        <v>0</v>
      </c>
      <c r="N71" s="4"/>
      <c r="O71" s="4">
        <f t="shared" si="35"/>
        <v>0</v>
      </c>
      <c r="P71" s="4">
        <f t="shared" si="36"/>
        <v>0</v>
      </c>
      <c r="Q71" s="4">
        <f t="shared" si="37"/>
        <v>0</v>
      </c>
      <c r="R71" s="4"/>
      <c r="S71" s="63"/>
      <c r="T71" s="4"/>
      <c r="U71" s="46"/>
      <c r="V71" s="4"/>
      <c r="W71" s="4">
        <v>124.14400000000001</v>
      </c>
      <c r="X71" s="1">
        <f t="shared" si="48"/>
        <v>124.14400000000001</v>
      </c>
      <c r="Y71" s="1">
        <f t="shared" si="47"/>
        <v>3103.6000000000004</v>
      </c>
      <c r="Z71" s="1">
        <f t="shared" si="49"/>
        <v>3103.6000000000004</v>
      </c>
      <c r="AA71" s="1">
        <f t="shared" si="40"/>
        <v>0</v>
      </c>
      <c r="AB71" s="1">
        <f t="shared" si="41"/>
        <v>0</v>
      </c>
      <c r="AC71" s="4"/>
      <c r="AX71">
        <f t="shared" si="50"/>
        <v>1.5077332942694453E-2</v>
      </c>
      <c r="AY71">
        <f t="shared" si="51"/>
        <v>1777.8950224170608</v>
      </c>
      <c r="AZ71">
        <f t="shared" si="42"/>
        <v>962.3436382172664</v>
      </c>
      <c r="BA71">
        <f t="shared" si="43"/>
        <v>815.55138419979437</v>
      </c>
    </row>
    <row r="72" spans="1:53" x14ac:dyDescent="0.35">
      <c r="A72" s="1">
        <v>71</v>
      </c>
      <c r="B72" s="1">
        <v>4593.5313049109664</v>
      </c>
      <c r="C72" s="1">
        <v>0</v>
      </c>
      <c r="D72" s="1"/>
      <c r="E72" s="1">
        <v>4593.53</v>
      </c>
      <c r="F72" s="1"/>
      <c r="G72" s="1"/>
      <c r="H72" s="1"/>
      <c r="I72" s="1"/>
      <c r="J72" s="1"/>
      <c r="K72" s="1">
        <v>0</v>
      </c>
      <c r="L72" s="1">
        <v>0</v>
      </c>
      <c r="M72" s="4">
        <f t="shared" si="34"/>
        <v>0</v>
      </c>
      <c r="N72" s="4"/>
      <c r="O72" s="4">
        <f t="shared" si="35"/>
        <v>0</v>
      </c>
      <c r="P72" s="4">
        <f t="shared" si="36"/>
        <v>0</v>
      </c>
      <c r="Q72" s="4">
        <f t="shared" si="37"/>
        <v>0</v>
      </c>
      <c r="R72" s="4"/>
      <c r="S72" s="63"/>
      <c r="T72" s="4"/>
      <c r="U72" s="46"/>
      <c r="V72" s="4"/>
      <c r="W72" s="4">
        <v>96.512100000000004</v>
      </c>
      <c r="X72" s="1">
        <f t="shared" si="48"/>
        <v>96.512100000000004</v>
      </c>
      <c r="Y72" s="1">
        <f t="shared" si="47"/>
        <v>2412.8025000000002</v>
      </c>
      <c r="Z72" s="1">
        <f t="shared" si="49"/>
        <v>2412.8025000000002</v>
      </c>
      <c r="AA72" s="1">
        <f t="shared" si="40"/>
        <v>0</v>
      </c>
      <c r="AB72" s="1">
        <f t="shared" si="41"/>
        <v>0</v>
      </c>
      <c r="AC72" s="4"/>
      <c r="AX72">
        <f t="shared" si="50"/>
        <v>1.1357985583732882E-2</v>
      </c>
      <c r="AY72">
        <f t="shared" si="51"/>
        <v>1339.3155215682798</v>
      </c>
      <c r="AZ72">
        <f t="shared" si="42"/>
        <v>724.94818619528519</v>
      </c>
      <c r="BA72">
        <f t="shared" si="43"/>
        <v>614.3673353729946</v>
      </c>
    </row>
    <row r="73" spans="1:53" x14ac:dyDescent="0.35">
      <c r="A73" s="1">
        <v>72</v>
      </c>
      <c r="B73" s="1">
        <v>8062.2213477933838</v>
      </c>
      <c r="C73" s="1">
        <v>0</v>
      </c>
      <c r="D73" s="1"/>
      <c r="E73" s="1">
        <v>8062.22</v>
      </c>
      <c r="F73" s="1"/>
      <c r="G73" s="1"/>
      <c r="H73" s="1"/>
      <c r="I73" s="1"/>
      <c r="J73" s="1"/>
      <c r="K73" s="1">
        <v>0</v>
      </c>
      <c r="L73" s="1">
        <v>0</v>
      </c>
      <c r="M73" s="4">
        <f t="shared" si="34"/>
        <v>0</v>
      </c>
      <c r="N73" s="4"/>
      <c r="O73" s="4">
        <f t="shared" si="35"/>
        <v>0</v>
      </c>
      <c r="P73" s="4">
        <f t="shared" si="36"/>
        <v>0</v>
      </c>
      <c r="Q73" s="4">
        <f t="shared" si="37"/>
        <v>0</v>
      </c>
      <c r="R73" s="4"/>
      <c r="S73" s="63"/>
      <c r="T73" s="4"/>
      <c r="U73" s="46"/>
      <c r="V73" s="4"/>
      <c r="W73" s="4">
        <v>174.48599999999999</v>
      </c>
      <c r="X73" s="1">
        <f t="shared" si="48"/>
        <v>174.48599999999999</v>
      </c>
      <c r="Y73" s="1">
        <f t="shared" si="47"/>
        <v>4362.1499999999996</v>
      </c>
      <c r="Z73" s="1">
        <f t="shared" si="49"/>
        <v>4362.1499999999996</v>
      </c>
      <c r="AA73" s="1">
        <f t="shared" si="40"/>
        <v>0</v>
      </c>
      <c r="AB73" s="1">
        <f t="shared" si="41"/>
        <v>0</v>
      </c>
      <c r="AC73" s="4"/>
      <c r="AX73">
        <f t="shared" si="50"/>
        <v>1.9934683746076182E-2</v>
      </c>
      <c r="AY73">
        <f t="shared" si="51"/>
        <v>2350.6660720641598</v>
      </c>
      <c r="AZ73">
        <f t="shared" si="42"/>
        <v>1272.3746405165743</v>
      </c>
      <c r="BA73">
        <f t="shared" si="43"/>
        <v>1078.2914315475855</v>
      </c>
    </row>
    <row r="74" spans="1:53" x14ac:dyDescent="0.35">
      <c r="A74" s="1">
        <v>73</v>
      </c>
      <c r="B74" s="1">
        <v>4657.9117518025187</v>
      </c>
      <c r="C74" s="1">
        <v>0</v>
      </c>
      <c r="D74" s="1"/>
      <c r="E74" s="1">
        <v>4657.91</v>
      </c>
      <c r="F74" s="1"/>
      <c r="G74" s="1"/>
      <c r="H74" s="1"/>
      <c r="I74" s="1"/>
      <c r="J74" s="1"/>
      <c r="K74" s="1">
        <v>0</v>
      </c>
      <c r="L74" s="1">
        <v>0</v>
      </c>
      <c r="M74" s="4">
        <f t="shared" si="34"/>
        <v>0</v>
      </c>
      <c r="N74" s="4"/>
      <c r="O74" s="4">
        <f t="shared" si="35"/>
        <v>0</v>
      </c>
      <c r="P74" s="4">
        <f t="shared" si="36"/>
        <v>0</v>
      </c>
      <c r="Q74" s="4">
        <f t="shared" si="37"/>
        <v>0</v>
      </c>
      <c r="R74" s="4"/>
      <c r="S74" s="63"/>
      <c r="T74" s="4"/>
      <c r="U74" s="46"/>
      <c r="V74" s="4"/>
      <c r="W74" s="4">
        <v>98.659400000000005</v>
      </c>
      <c r="X74" s="1">
        <f t="shared" si="48"/>
        <v>98.659400000000005</v>
      </c>
      <c r="Y74" s="1">
        <f t="shared" si="47"/>
        <v>2466.4850000000001</v>
      </c>
      <c r="Z74" s="1">
        <f t="shared" si="49"/>
        <v>2466.4850000000001</v>
      </c>
      <c r="AA74" s="1">
        <f t="shared" si="40"/>
        <v>0</v>
      </c>
      <c r="AB74" s="1">
        <f t="shared" si="41"/>
        <v>0</v>
      </c>
      <c r="AC74" s="4"/>
      <c r="AX74">
        <f t="shared" si="50"/>
        <v>1.1517172958136269E-2</v>
      </c>
      <c r="AY74">
        <f t="shared" si="51"/>
        <v>1358.0866425390186</v>
      </c>
      <c r="AZ74">
        <f t="shared" si="42"/>
        <v>735.10866733766363</v>
      </c>
      <c r="BA74">
        <f t="shared" si="43"/>
        <v>622.97797520135498</v>
      </c>
    </row>
    <row r="75" spans="1:53" x14ac:dyDescent="0.35">
      <c r="A75" s="1">
        <v>74</v>
      </c>
      <c r="B75" s="1">
        <v>4129.0607113934348</v>
      </c>
      <c r="C75" s="1">
        <v>0</v>
      </c>
      <c r="D75" s="1"/>
      <c r="E75" s="1">
        <v>4129.0600000000004</v>
      </c>
      <c r="F75" s="1"/>
      <c r="G75" s="1"/>
      <c r="H75" s="1"/>
      <c r="I75" s="1"/>
      <c r="J75" s="1"/>
      <c r="K75" s="1">
        <v>0</v>
      </c>
      <c r="L75" s="1">
        <v>0</v>
      </c>
      <c r="M75" s="4">
        <f t="shared" si="34"/>
        <v>0</v>
      </c>
      <c r="N75" s="4"/>
      <c r="O75" s="4">
        <f t="shared" si="35"/>
        <v>0</v>
      </c>
      <c r="P75" s="4">
        <f t="shared" si="36"/>
        <v>0</v>
      </c>
      <c r="Q75" s="4">
        <f t="shared" si="37"/>
        <v>0</v>
      </c>
      <c r="R75" s="4"/>
      <c r="S75" s="63"/>
      <c r="T75" s="4"/>
      <c r="U75" s="46"/>
      <c r="V75" s="4"/>
      <c r="W75" s="4">
        <v>86.753399999999999</v>
      </c>
      <c r="X75" s="1">
        <f t="shared" si="48"/>
        <v>86.753399999999999</v>
      </c>
      <c r="Y75" s="1">
        <f t="shared" si="47"/>
        <v>2168.835</v>
      </c>
      <c r="Z75" s="1">
        <f t="shared" si="49"/>
        <v>2168.835</v>
      </c>
      <c r="AA75" s="1">
        <f t="shared" si="40"/>
        <v>0</v>
      </c>
      <c r="AB75" s="1">
        <f t="shared" si="41"/>
        <v>0</v>
      </c>
      <c r="AC75" s="4"/>
      <c r="AX75">
        <f t="shared" si="50"/>
        <v>1.0209533563911015E-2</v>
      </c>
      <c r="AY75">
        <f t="shared" si="51"/>
        <v>1203.8918934447488</v>
      </c>
      <c r="AZ75">
        <f t="shared" si="42"/>
        <v>651.64573281881724</v>
      </c>
      <c r="BA75">
        <f t="shared" si="43"/>
        <v>552.24616062593157</v>
      </c>
    </row>
    <row r="76" spans="1:53" x14ac:dyDescent="0.35">
      <c r="A76" s="1">
        <v>75</v>
      </c>
      <c r="B76" s="1">
        <v>14350.316193396229</v>
      </c>
      <c r="C76" s="1">
        <v>0</v>
      </c>
      <c r="D76" s="1"/>
      <c r="E76" s="1">
        <v>14350.3</v>
      </c>
      <c r="F76" s="1"/>
      <c r="G76" s="1"/>
      <c r="H76" s="1"/>
      <c r="I76" s="1"/>
      <c r="J76" s="1"/>
      <c r="K76" s="1">
        <v>0</v>
      </c>
      <c r="L76" s="1">
        <v>0</v>
      </c>
      <c r="M76" s="4">
        <f t="shared" si="34"/>
        <v>0</v>
      </c>
      <c r="N76" s="4"/>
      <c r="O76" s="4">
        <f t="shared" si="35"/>
        <v>0</v>
      </c>
      <c r="P76" s="4">
        <f t="shared" si="36"/>
        <v>0</v>
      </c>
      <c r="Q76" s="4">
        <f t="shared" si="37"/>
        <v>0</v>
      </c>
      <c r="R76" s="4"/>
      <c r="S76" s="63"/>
      <c r="T76" s="4"/>
      <c r="U76" s="46"/>
      <c r="V76" s="4"/>
      <c r="W76" s="4">
        <v>250.209</v>
      </c>
      <c r="X76" s="1">
        <f t="shared" si="48"/>
        <v>250.209</v>
      </c>
      <c r="Y76" s="1">
        <f t="shared" si="47"/>
        <v>6255.2250000000004</v>
      </c>
      <c r="Z76" s="1">
        <f t="shared" si="49"/>
        <v>6255.2250000000004</v>
      </c>
      <c r="AA76" s="1">
        <f t="shared" si="40"/>
        <v>0</v>
      </c>
      <c r="AB76" s="1">
        <f t="shared" si="41"/>
        <v>0</v>
      </c>
      <c r="AC76" s="4"/>
      <c r="AX76">
        <f t="shared" si="50"/>
        <v>3.5482654547787408E-2</v>
      </c>
      <c r="AY76">
        <f t="shared" si="51"/>
        <v>4184.0579592176582</v>
      </c>
      <c r="AZ76">
        <f t="shared" si="42"/>
        <v>2264.7577659064341</v>
      </c>
      <c r="BA76">
        <f t="shared" si="43"/>
        <v>1919.3001933112241</v>
      </c>
    </row>
    <row r="77" spans="1:53" x14ac:dyDescent="0.35">
      <c r="A77" s="1">
        <v>76</v>
      </c>
      <c r="B77" s="1">
        <v>5149.4780654648821</v>
      </c>
      <c r="C77" s="1">
        <v>0</v>
      </c>
      <c r="D77" s="1"/>
      <c r="E77" s="1">
        <v>5149.4799999999996</v>
      </c>
      <c r="F77" s="1"/>
      <c r="G77" s="1"/>
      <c r="H77" s="1"/>
      <c r="I77" s="1"/>
      <c r="J77" s="1"/>
      <c r="K77" s="1">
        <v>0</v>
      </c>
      <c r="L77" s="1">
        <v>0</v>
      </c>
      <c r="M77" s="4">
        <f t="shared" si="34"/>
        <v>0</v>
      </c>
      <c r="N77" s="4"/>
      <c r="O77" s="4">
        <f t="shared" si="35"/>
        <v>0</v>
      </c>
      <c r="P77" s="4">
        <f t="shared" si="36"/>
        <v>0</v>
      </c>
      <c r="Q77" s="4">
        <f t="shared" si="37"/>
        <v>0</v>
      </c>
      <c r="R77" s="4"/>
      <c r="S77" s="63"/>
      <c r="T77" s="4"/>
      <c r="U77" s="46"/>
      <c r="V77" s="4"/>
      <c r="W77" s="4">
        <v>108.91500000000001</v>
      </c>
      <c r="X77" s="1">
        <f t="shared" si="48"/>
        <v>108.91500000000001</v>
      </c>
      <c r="Y77" s="1">
        <f t="shared" si="47"/>
        <v>2722.875</v>
      </c>
      <c r="Z77" s="1">
        <f t="shared" si="49"/>
        <v>2722.875</v>
      </c>
      <c r="AA77" s="1">
        <f t="shared" si="40"/>
        <v>0</v>
      </c>
      <c r="AB77" s="1">
        <f t="shared" si="41"/>
        <v>0</v>
      </c>
      <c r="AC77" s="4"/>
      <c r="AX77">
        <f t="shared" si="50"/>
        <v>1.2732621974028859E-2</v>
      </c>
      <c r="AY77">
        <f t="shared" si="51"/>
        <v>1501.4104494464073</v>
      </c>
      <c r="AZ77">
        <f t="shared" si="42"/>
        <v>812.68735001764162</v>
      </c>
      <c r="BA77">
        <f t="shared" si="43"/>
        <v>688.72309942876564</v>
      </c>
    </row>
    <row r="78" spans="1:53" x14ac:dyDescent="0.35">
      <c r="A78" s="1">
        <v>77</v>
      </c>
      <c r="B78" s="1">
        <v>4612.9275296437472</v>
      </c>
      <c r="C78" s="1">
        <v>0</v>
      </c>
      <c r="D78" s="1"/>
      <c r="E78" s="1">
        <v>4612.93</v>
      </c>
      <c r="F78" s="1"/>
      <c r="G78" s="1"/>
      <c r="H78" s="1"/>
      <c r="I78" s="1"/>
      <c r="J78" s="1"/>
      <c r="K78" s="1">
        <v>0</v>
      </c>
      <c r="L78" s="1">
        <v>0</v>
      </c>
      <c r="M78" s="4">
        <f t="shared" si="34"/>
        <v>0</v>
      </c>
      <c r="N78" s="4"/>
      <c r="O78" s="4">
        <f t="shared" si="35"/>
        <v>0</v>
      </c>
      <c r="P78" s="4">
        <f t="shared" si="36"/>
        <v>0</v>
      </c>
      <c r="Q78" s="4">
        <f t="shared" si="37"/>
        <v>0</v>
      </c>
      <c r="R78" s="4"/>
      <c r="S78" s="63"/>
      <c r="T78" s="4"/>
      <c r="U78" s="46"/>
      <c r="V78" s="4"/>
      <c r="W78" s="4">
        <v>98.416499999999999</v>
      </c>
      <c r="X78" s="1">
        <f t="shared" si="48"/>
        <v>98.416499999999999</v>
      </c>
      <c r="Y78" s="1">
        <f t="shared" si="47"/>
        <v>2460.4124999999999</v>
      </c>
      <c r="Z78" s="1">
        <f t="shared" si="49"/>
        <v>2460.4124999999999</v>
      </c>
      <c r="AA78" s="1">
        <f t="shared" si="40"/>
        <v>0</v>
      </c>
      <c r="AB78" s="1">
        <f t="shared" si="41"/>
        <v>0</v>
      </c>
      <c r="AC78" s="4"/>
      <c r="AX78">
        <f t="shared" si="50"/>
        <v>1.1405944773791791E-2</v>
      </c>
      <c r="AY78">
        <f t="shared" si="51"/>
        <v>1344.9707926702024</v>
      </c>
      <c r="AZ78">
        <f t="shared" si="42"/>
        <v>728.00928603453792</v>
      </c>
      <c r="BA78">
        <f t="shared" si="43"/>
        <v>616.96150663566448</v>
      </c>
    </row>
    <row r="79" spans="1:53" x14ac:dyDescent="0.35">
      <c r="A79" s="1">
        <v>78</v>
      </c>
      <c r="B79" s="1">
        <v>4299.5858542619962</v>
      </c>
      <c r="C79" s="1">
        <v>0</v>
      </c>
      <c r="D79" s="1"/>
      <c r="E79" s="1">
        <v>4299.59</v>
      </c>
      <c r="F79" s="1"/>
      <c r="G79" s="1"/>
      <c r="H79" s="1"/>
      <c r="I79" s="1"/>
      <c r="J79" s="1"/>
      <c r="K79" s="1">
        <v>0</v>
      </c>
      <c r="L79" s="1">
        <v>0</v>
      </c>
      <c r="M79" s="4">
        <f t="shared" ref="M79:M100" si="52">$T$18*C79*1000</f>
        <v>0</v>
      </c>
      <c r="N79" s="4"/>
      <c r="O79" s="4">
        <f t="shared" ref="O79:O100" si="53">$T$19*C79</f>
        <v>0</v>
      </c>
      <c r="P79" s="4">
        <f t="shared" ref="P79:P100" si="54">$T$19*D79</f>
        <v>0</v>
      </c>
      <c r="Q79" s="4">
        <f t="shared" ref="Q79:Q100" si="55">$T$19*K79</f>
        <v>0</v>
      </c>
      <c r="R79" s="4"/>
      <c r="S79" s="63"/>
      <c r="T79" s="4"/>
      <c r="U79" s="46"/>
      <c r="V79" s="4"/>
      <c r="W79" s="4">
        <v>78.811800000000005</v>
      </c>
      <c r="X79" s="1">
        <f t="shared" si="48"/>
        <v>78.811800000000005</v>
      </c>
      <c r="Y79" s="1">
        <f t="shared" si="47"/>
        <v>1970.2950000000001</v>
      </c>
      <c r="Z79" s="1">
        <f t="shared" si="49"/>
        <v>1970.2950000000001</v>
      </c>
      <c r="AA79" s="1">
        <f t="shared" ref="AA79:AA100" si="56">(M79/($T$47*B79))+P79</f>
        <v>0</v>
      </c>
      <c r="AB79" s="1">
        <f t="shared" ref="AB79:AB100" si="57">(M79/($T$50*B79))+P79</f>
        <v>0</v>
      </c>
      <c r="AC79" s="4"/>
      <c r="AX79">
        <f t="shared" si="50"/>
        <v>1.0631174777566062E-2</v>
      </c>
      <c r="AY79">
        <f t="shared" si="51"/>
        <v>1253.6111520067495</v>
      </c>
      <c r="AZ79">
        <f t="shared" ref="AZ79:AZ103" si="58">AX79*$AW$10</f>
        <v>678.55790230617674</v>
      </c>
      <c r="BA79">
        <f t="shared" si="43"/>
        <v>575.05324970057279</v>
      </c>
    </row>
    <row r="80" spans="1:53" x14ac:dyDescent="0.35">
      <c r="A80" s="1">
        <v>79</v>
      </c>
      <c r="B80" s="1">
        <v>3153.09355833985</v>
      </c>
      <c r="C80" s="1">
        <v>0</v>
      </c>
      <c r="D80" s="1"/>
      <c r="E80" s="1">
        <v>3153.09</v>
      </c>
      <c r="F80" s="1"/>
      <c r="G80" s="1"/>
      <c r="H80" s="1"/>
      <c r="I80" s="1"/>
      <c r="J80" s="1"/>
      <c r="K80" s="1">
        <v>0</v>
      </c>
      <c r="L80" s="1">
        <v>0</v>
      </c>
      <c r="M80" s="4">
        <f t="shared" si="52"/>
        <v>0</v>
      </c>
      <c r="N80" s="4"/>
      <c r="O80" s="4">
        <f t="shared" si="53"/>
        <v>0</v>
      </c>
      <c r="P80" s="4">
        <f t="shared" si="54"/>
        <v>0</v>
      </c>
      <c r="Q80" s="4">
        <f t="shared" si="55"/>
        <v>0</v>
      </c>
      <c r="R80" s="4"/>
      <c r="S80" s="63"/>
      <c r="T80" s="4"/>
      <c r="U80" s="46"/>
      <c r="V80" s="4"/>
      <c r="W80" s="4">
        <v>66.247900000000001</v>
      </c>
      <c r="X80" s="1">
        <f t="shared" si="48"/>
        <v>66.247900000000001</v>
      </c>
      <c r="Y80" s="1">
        <f t="shared" si="47"/>
        <v>1656.1975</v>
      </c>
      <c r="Z80" s="1">
        <f t="shared" si="49"/>
        <v>1656.1975</v>
      </c>
      <c r="AA80" s="1">
        <f t="shared" si="56"/>
        <v>0</v>
      </c>
      <c r="AB80" s="1">
        <f t="shared" si="57"/>
        <v>0</v>
      </c>
      <c r="AC80" s="4"/>
      <c r="AX80">
        <f t="shared" si="50"/>
        <v>7.7963529151303286E-3</v>
      </c>
      <c r="AY80">
        <f t="shared" si="51"/>
        <v>919.33348513957094</v>
      </c>
      <c r="AZ80">
        <f t="shared" si="58"/>
        <v>497.61921804663024</v>
      </c>
      <c r="BA80">
        <f t="shared" si="43"/>
        <v>421.7142670929407</v>
      </c>
    </row>
    <row r="81" spans="1:53" x14ac:dyDescent="0.35">
      <c r="A81" s="1">
        <v>80</v>
      </c>
      <c r="B81" s="1">
        <v>4296.4999200900902</v>
      </c>
      <c r="C81" s="1">
        <v>0</v>
      </c>
      <c r="D81" s="1"/>
      <c r="E81" s="1">
        <v>4296.5</v>
      </c>
      <c r="F81" s="1"/>
      <c r="G81" s="1"/>
      <c r="H81" s="1"/>
      <c r="I81" s="1"/>
      <c r="J81" s="1"/>
      <c r="K81" s="1">
        <v>0</v>
      </c>
      <c r="L81" s="1">
        <v>0</v>
      </c>
      <c r="M81" s="4">
        <f t="shared" si="52"/>
        <v>0</v>
      </c>
      <c r="N81" s="4"/>
      <c r="O81" s="4">
        <f t="shared" si="53"/>
        <v>0</v>
      </c>
      <c r="P81" s="4">
        <f t="shared" si="54"/>
        <v>0</v>
      </c>
      <c r="Q81" s="4">
        <f t="shared" si="55"/>
        <v>0</v>
      </c>
      <c r="R81" s="4"/>
      <c r="S81" s="63"/>
      <c r="T81" s="4"/>
      <c r="U81" s="46"/>
      <c r="V81" s="4"/>
      <c r="W81" s="4">
        <v>89.923500000000004</v>
      </c>
      <c r="X81" s="1">
        <f t="shared" si="48"/>
        <v>89.923500000000004</v>
      </c>
      <c r="Y81" s="1">
        <f t="shared" si="47"/>
        <v>2248.0875000000001</v>
      </c>
      <c r="Z81" s="1">
        <f>Y81-M81</f>
        <v>2248.0875000000001</v>
      </c>
      <c r="AA81" s="1">
        <f t="shared" si="56"/>
        <v>0</v>
      </c>
      <c r="AB81" s="1">
        <f t="shared" si="57"/>
        <v>0</v>
      </c>
      <c r="AC81" s="4"/>
      <c r="AX81">
        <f t="shared" si="50"/>
        <v>1.0623544483243395E-2</v>
      </c>
      <c r="AY81">
        <f t="shared" si="51"/>
        <v>1252.711399885641</v>
      </c>
      <c r="AZ81">
        <f t="shared" si="58"/>
        <v>678.07088213974191</v>
      </c>
      <c r="BA81">
        <f t="shared" si="43"/>
        <v>574.64051774589905</v>
      </c>
    </row>
    <row r="82" spans="1:53" x14ac:dyDescent="0.35">
      <c r="A82" s="1">
        <v>81</v>
      </c>
      <c r="B82" s="1">
        <v>1722.7511821559251</v>
      </c>
      <c r="C82" s="1">
        <v>0</v>
      </c>
      <c r="D82" s="1"/>
      <c r="E82" s="1">
        <v>1722.75</v>
      </c>
      <c r="F82" s="1"/>
      <c r="G82" s="1"/>
      <c r="H82" s="1"/>
      <c r="I82" s="1"/>
      <c r="J82" s="1"/>
      <c r="K82" s="1">
        <v>0</v>
      </c>
      <c r="L82" s="1">
        <v>0</v>
      </c>
      <c r="M82" s="4">
        <f t="shared" si="52"/>
        <v>0</v>
      </c>
      <c r="N82" s="4"/>
      <c r="O82" s="4">
        <f t="shared" si="53"/>
        <v>0</v>
      </c>
      <c r="P82" s="4">
        <f t="shared" si="54"/>
        <v>0</v>
      </c>
      <c r="Q82" s="4">
        <f t="shared" si="55"/>
        <v>0</v>
      </c>
      <c r="R82" s="4"/>
      <c r="S82" s="63"/>
      <c r="T82" s="4"/>
      <c r="U82" s="46"/>
      <c r="V82" s="4"/>
      <c r="W82" s="4">
        <v>30.037500000000001</v>
      </c>
      <c r="X82" s="1">
        <f t="shared" si="48"/>
        <v>30.037500000000001</v>
      </c>
      <c r="Y82" s="1">
        <f t="shared" si="47"/>
        <v>750.9375</v>
      </c>
      <c r="Z82" s="1">
        <f t="shared" ref="Z82:Z96" si="59">Y82-M82</f>
        <v>750.9375</v>
      </c>
      <c r="AA82" s="1">
        <f t="shared" si="56"/>
        <v>0</v>
      </c>
      <c r="AB82" s="1">
        <f t="shared" si="57"/>
        <v>0</v>
      </c>
      <c r="AC82" s="4"/>
      <c r="AX82">
        <f t="shared" si="50"/>
        <v>4.2596821034759516E-3</v>
      </c>
      <c r="AY82">
        <f t="shared" si="51"/>
        <v>502.29491101862743</v>
      </c>
      <c r="AZ82">
        <f t="shared" si="58"/>
        <v>271.88349482554099</v>
      </c>
      <c r="BA82">
        <f t="shared" si="43"/>
        <v>230.41141619308644</v>
      </c>
    </row>
    <row r="83" spans="1:53" x14ac:dyDescent="0.35">
      <c r="A83" s="1">
        <v>82</v>
      </c>
      <c r="B83" s="1">
        <v>8378.7212496204556</v>
      </c>
      <c r="C83" s="1">
        <v>0</v>
      </c>
      <c r="D83" s="1"/>
      <c r="E83" s="1">
        <v>8378.7199999999993</v>
      </c>
      <c r="F83" s="1"/>
      <c r="G83" s="1"/>
      <c r="H83" s="1"/>
      <c r="I83" s="1"/>
      <c r="J83" s="1"/>
      <c r="K83" s="1">
        <v>0</v>
      </c>
      <c r="L83" s="1">
        <v>0</v>
      </c>
      <c r="M83" s="4">
        <f t="shared" si="52"/>
        <v>0</v>
      </c>
      <c r="N83" s="4"/>
      <c r="O83" s="4">
        <f t="shared" si="53"/>
        <v>0</v>
      </c>
      <c r="P83" s="4">
        <f t="shared" si="54"/>
        <v>0</v>
      </c>
      <c r="Q83" s="4">
        <f t="shared" si="55"/>
        <v>0</v>
      </c>
      <c r="R83" s="4"/>
      <c r="S83" s="63"/>
      <c r="T83" s="4"/>
      <c r="U83" s="46"/>
      <c r="V83" s="4"/>
      <c r="W83" s="4">
        <v>122.405</v>
      </c>
      <c r="X83" s="1">
        <f t="shared" si="48"/>
        <v>122.405</v>
      </c>
      <c r="Y83" s="1">
        <f t="shared" si="47"/>
        <v>3060.125</v>
      </c>
      <c r="Z83" s="1">
        <f t="shared" si="59"/>
        <v>3060.125</v>
      </c>
      <c r="AA83" s="1">
        <f t="shared" si="56"/>
        <v>0</v>
      </c>
      <c r="AB83" s="1">
        <f t="shared" si="57"/>
        <v>0</v>
      </c>
      <c r="AC83" s="4"/>
      <c r="AX83">
        <f t="shared" si="50"/>
        <v>2.0717262786815824E-2</v>
      </c>
      <c r="AY83">
        <f t="shared" si="51"/>
        <v>2442.9465427858131</v>
      </c>
      <c r="AZ83">
        <f t="shared" si="58"/>
        <v>1322.3244535319377</v>
      </c>
      <c r="BA83">
        <f t="shared" si="43"/>
        <v>1120.6220892538754</v>
      </c>
    </row>
    <row r="84" spans="1:53" x14ac:dyDescent="0.35">
      <c r="A84" s="1">
        <v>83</v>
      </c>
      <c r="B84" s="1">
        <v>4180.060549855245</v>
      </c>
      <c r="C84" s="1">
        <v>0</v>
      </c>
      <c r="D84" s="1"/>
      <c r="E84" s="1">
        <v>4180.0600000000004</v>
      </c>
      <c r="F84" s="1"/>
      <c r="G84" s="1"/>
      <c r="H84" s="1"/>
      <c r="I84" s="1"/>
      <c r="J84" s="1"/>
      <c r="K84" s="1">
        <v>0</v>
      </c>
      <c r="L84" s="1">
        <v>0</v>
      </c>
      <c r="M84" s="4">
        <f t="shared" si="52"/>
        <v>0</v>
      </c>
      <c r="N84" s="4"/>
      <c r="O84" s="4">
        <f t="shared" si="53"/>
        <v>0</v>
      </c>
      <c r="P84" s="4">
        <f t="shared" si="54"/>
        <v>0</v>
      </c>
      <c r="Q84" s="4">
        <f t="shared" si="55"/>
        <v>0</v>
      </c>
      <c r="R84" s="4"/>
      <c r="S84" s="63"/>
      <c r="T84" s="4"/>
      <c r="U84" s="46"/>
      <c r="V84" s="4"/>
      <c r="W84" s="4">
        <v>92.304299999999998</v>
      </c>
      <c r="X84" s="1">
        <f t="shared" si="48"/>
        <v>92.304299999999998</v>
      </c>
      <c r="Y84" s="1">
        <f t="shared" si="47"/>
        <v>2307.6075000000001</v>
      </c>
      <c r="Z84" s="1">
        <f t="shared" si="59"/>
        <v>2307.6075000000001</v>
      </c>
      <c r="AA84" s="1">
        <f t="shared" si="56"/>
        <v>0</v>
      </c>
      <c r="AB84" s="1">
        <f t="shared" si="57"/>
        <v>0</v>
      </c>
      <c r="AC84" s="4"/>
      <c r="AX84">
        <f t="shared" si="50"/>
        <v>1.0335635987421803E-2</v>
      </c>
      <c r="AY84">
        <f t="shared" si="51"/>
        <v>1218.761689842207</v>
      </c>
      <c r="AZ84">
        <f t="shared" si="58"/>
        <v>659.69449485721123</v>
      </c>
      <c r="BA84">
        <f t="shared" si="43"/>
        <v>559.06719498499581</v>
      </c>
    </row>
    <row r="85" spans="1:53" x14ac:dyDescent="0.35">
      <c r="A85" s="1">
        <v>84</v>
      </c>
      <c r="B85" s="1">
        <v>3330.950005722922</v>
      </c>
      <c r="C85" s="1">
        <v>0</v>
      </c>
      <c r="D85" s="1"/>
      <c r="E85" s="1">
        <v>3330.95</v>
      </c>
      <c r="F85" s="1"/>
      <c r="G85" s="1"/>
      <c r="H85" s="1"/>
      <c r="I85" s="1"/>
      <c r="J85" s="1"/>
      <c r="K85" s="1">
        <v>0</v>
      </c>
      <c r="L85" s="1">
        <v>0</v>
      </c>
      <c r="M85" s="4">
        <f t="shared" si="52"/>
        <v>0</v>
      </c>
      <c r="N85" s="4"/>
      <c r="O85" s="4">
        <f t="shared" si="53"/>
        <v>0</v>
      </c>
      <c r="P85" s="4">
        <f t="shared" si="54"/>
        <v>0</v>
      </c>
      <c r="Q85" s="4">
        <f t="shared" si="55"/>
        <v>0</v>
      </c>
      <c r="R85" s="4"/>
      <c r="S85" s="63"/>
      <c r="T85" s="4"/>
      <c r="U85" s="46"/>
      <c r="V85" s="4"/>
      <c r="W85" s="4">
        <v>57.065800000000003</v>
      </c>
      <c r="X85" s="1">
        <f t="shared" si="48"/>
        <v>57.065800000000003</v>
      </c>
      <c r="Y85" s="1">
        <f t="shared" si="47"/>
        <v>1426.645</v>
      </c>
      <c r="Z85" s="1">
        <f t="shared" si="59"/>
        <v>1426.645</v>
      </c>
      <c r="AA85" s="1">
        <f t="shared" si="56"/>
        <v>0</v>
      </c>
      <c r="AB85" s="1">
        <f t="shared" si="57"/>
        <v>0</v>
      </c>
      <c r="AC85" s="4"/>
      <c r="AX85">
        <f t="shared" si="50"/>
        <v>8.2361215443744976E-3</v>
      </c>
      <c r="AY85">
        <f t="shared" si="51"/>
        <v>971.19029959873717</v>
      </c>
      <c r="AZ85">
        <f t="shared" si="58"/>
        <v>525.68840934519574</v>
      </c>
      <c r="BA85">
        <f t="shared" si="43"/>
        <v>445.50189025354143</v>
      </c>
    </row>
    <row r="86" spans="1:53" x14ac:dyDescent="0.35">
      <c r="A86" s="1">
        <v>85</v>
      </c>
      <c r="B86" s="1">
        <v>2875.5642031497382</v>
      </c>
      <c r="C86" s="1">
        <v>0</v>
      </c>
      <c r="D86" s="1"/>
      <c r="E86" s="1">
        <v>2875.56</v>
      </c>
      <c r="F86" s="1"/>
      <c r="G86" s="1"/>
      <c r="H86" s="1"/>
      <c r="I86" s="1"/>
      <c r="J86" s="1"/>
      <c r="K86" s="1">
        <v>0</v>
      </c>
      <c r="L86" s="1">
        <v>0</v>
      </c>
      <c r="M86" s="4">
        <f t="shared" si="52"/>
        <v>0</v>
      </c>
      <c r="N86" s="4"/>
      <c r="O86" s="4">
        <f t="shared" si="53"/>
        <v>0</v>
      </c>
      <c r="P86" s="4">
        <f t="shared" si="54"/>
        <v>0</v>
      </c>
      <c r="Q86" s="4">
        <f t="shared" si="55"/>
        <v>0</v>
      </c>
      <c r="R86" s="4"/>
      <c r="S86" s="63"/>
      <c r="T86" s="4"/>
      <c r="U86" s="46"/>
      <c r="V86" s="4"/>
      <c r="W86" s="4">
        <v>62.269399999999997</v>
      </c>
      <c r="X86" s="1">
        <f t="shared" si="48"/>
        <v>62.269399999999997</v>
      </c>
      <c r="Y86" s="1">
        <f t="shared" si="47"/>
        <v>1556.7349999999999</v>
      </c>
      <c r="Z86" s="1">
        <f t="shared" si="59"/>
        <v>1556.7349999999999</v>
      </c>
      <c r="AA86" s="1">
        <f t="shared" si="56"/>
        <v>0</v>
      </c>
      <c r="AB86" s="1">
        <f t="shared" si="57"/>
        <v>0</v>
      </c>
      <c r="AC86" s="4"/>
      <c r="AX86">
        <f t="shared" si="50"/>
        <v>7.1101326183529955E-3</v>
      </c>
      <c r="AY86">
        <f t="shared" si="51"/>
        <v>838.41548362305412</v>
      </c>
      <c r="AZ86">
        <f t="shared" si="58"/>
        <v>453.81971189198168</v>
      </c>
      <c r="BA86">
        <f t="shared" si="43"/>
        <v>384.59577173107243</v>
      </c>
    </row>
    <row r="87" spans="1:53" ht="15" thickBot="1" x14ac:dyDescent="0.4">
      <c r="A87" s="1">
        <v>86</v>
      </c>
      <c r="B87" s="1">
        <v>2673.7959050516761</v>
      </c>
      <c r="C87" s="1">
        <v>0</v>
      </c>
      <c r="D87" s="1"/>
      <c r="E87" s="1">
        <v>2673.8</v>
      </c>
      <c r="F87" s="1"/>
      <c r="G87" s="1"/>
      <c r="H87" s="1"/>
      <c r="I87" s="1"/>
      <c r="J87" s="1"/>
      <c r="K87" s="1">
        <v>0</v>
      </c>
      <c r="L87" s="1">
        <v>0</v>
      </c>
      <c r="M87" s="4">
        <f t="shared" si="52"/>
        <v>0</v>
      </c>
      <c r="N87" s="4"/>
      <c r="O87" s="4">
        <f t="shared" si="53"/>
        <v>0</v>
      </c>
      <c r="P87" s="4">
        <f t="shared" si="54"/>
        <v>0</v>
      </c>
      <c r="Q87" s="4">
        <f t="shared" si="55"/>
        <v>0</v>
      </c>
      <c r="R87" s="4"/>
      <c r="S87" s="66"/>
      <c r="T87" s="52"/>
      <c r="U87" s="53"/>
      <c r="V87" s="4"/>
      <c r="W87" s="4">
        <v>54.038899999999998</v>
      </c>
      <c r="X87" s="1">
        <f t="shared" si="48"/>
        <v>54.038899999999998</v>
      </c>
      <c r="Y87" s="1">
        <f t="shared" si="47"/>
        <v>1350.9724999999999</v>
      </c>
      <c r="Z87" s="1">
        <f t="shared" si="59"/>
        <v>1350.9724999999999</v>
      </c>
      <c r="AA87" s="1">
        <f t="shared" si="56"/>
        <v>0</v>
      </c>
      <c r="AB87" s="1">
        <f t="shared" si="57"/>
        <v>0</v>
      </c>
      <c r="AC87" s="4"/>
      <c r="AX87">
        <f t="shared" si="50"/>
        <v>6.611239442507637E-3</v>
      </c>
      <c r="AY87">
        <f t="shared" si="51"/>
        <v>779.58679704934025</v>
      </c>
      <c r="AZ87">
        <f t="shared" si="58"/>
        <v>421.97676753640059</v>
      </c>
      <c r="BA87">
        <f t="shared" si="43"/>
        <v>357.61002951293966</v>
      </c>
    </row>
    <row r="88" spans="1:53" x14ac:dyDescent="0.35">
      <c r="A88" s="1">
        <v>87</v>
      </c>
      <c r="B88" s="1">
        <v>19513.44492845656</v>
      </c>
      <c r="C88" s="1">
        <v>0</v>
      </c>
      <c r="D88" s="1"/>
      <c r="E88" s="1">
        <v>19513.400000000001</v>
      </c>
      <c r="F88" s="1"/>
      <c r="G88" s="1"/>
      <c r="H88" s="1"/>
      <c r="I88" s="1"/>
      <c r="J88" s="1"/>
      <c r="K88" s="1">
        <v>0</v>
      </c>
      <c r="L88" s="1">
        <v>0</v>
      </c>
      <c r="M88" s="4">
        <f t="shared" si="52"/>
        <v>0</v>
      </c>
      <c r="N88" s="4"/>
      <c r="O88" s="4">
        <f t="shared" si="53"/>
        <v>0</v>
      </c>
      <c r="P88" s="4">
        <f t="shared" si="54"/>
        <v>0</v>
      </c>
      <c r="Q88" s="4">
        <f t="shared" si="55"/>
        <v>0</v>
      </c>
      <c r="R88" s="4"/>
      <c r="S88" s="4"/>
      <c r="T88" s="4"/>
      <c r="U88" s="4"/>
      <c r="V88" s="4"/>
      <c r="W88" s="4">
        <v>382.77600000000001</v>
      </c>
      <c r="X88" s="1">
        <f t="shared" si="48"/>
        <v>382.77600000000001</v>
      </c>
      <c r="Y88" s="1">
        <f t="shared" si="47"/>
        <v>9569.4</v>
      </c>
      <c r="Z88" s="1">
        <f t="shared" si="59"/>
        <v>9569.4</v>
      </c>
      <c r="AA88" s="1">
        <f t="shared" si="56"/>
        <v>0</v>
      </c>
      <c r="AB88" s="1">
        <f t="shared" si="57"/>
        <v>0</v>
      </c>
      <c r="AC88" s="4"/>
      <c r="AX88">
        <f t="shared" si="50"/>
        <v>4.8249029227127677E-2</v>
      </c>
      <c r="AY88">
        <f t="shared" si="51"/>
        <v>5689.4484737720222</v>
      </c>
      <c r="AZ88">
        <f t="shared" si="58"/>
        <v>3079.5994559093047</v>
      </c>
      <c r="BA88">
        <f t="shared" si="43"/>
        <v>2609.8490178627176</v>
      </c>
    </row>
    <row r="89" spans="1:53" x14ac:dyDescent="0.35">
      <c r="A89" s="1">
        <v>88</v>
      </c>
      <c r="B89" s="1">
        <v>5533.3813285011611</v>
      </c>
      <c r="C89" s="1">
        <v>0</v>
      </c>
      <c r="D89" s="1"/>
      <c r="E89" s="1">
        <v>5533.38</v>
      </c>
      <c r="F89" s="1"/>
      <c r="G89" s="1"/>
      <c r="H89" s="1"/>
      <c r="I89" s="1"/>
      <c r="J89" s="1"/>
      <c r="K89" s="1">
        <v>0</v>
      </c>
      <c r="L89" s="1">
        <v>0</v>
      </c>
      <c r="M89" s="4">
        <f t="shared" si="52"/>
        <v>0</v>
      </c>
      <c r="N89" s="4"/>
      <c r="O89" s="4">
        <f t="shared" si="53"/>
        <v>0</v>
      </c>
      <c r="P89" s="4">
        <f t="shared" si="54"/>
        <v>0</v>
      </c>
      <c r="Q89" s="4">
        <f t="shared" si="55"/>
        <v>0</v>
      </c>
      <c r="R89" s="4"/>
      <c r="S89" s="4"/>
      <c r="T89" s="4"/>
      <c r="U89" s="4"/>
      <c r="V89" s="4"/>
      <c r="W89" s="4">
        <v>110.304</v>
      </c>
      <c r="X89" s="1">
        <f t="shared" si="48"/>
        <v>110.304</v>
      </c>
      <c r="Y89" s="1">
        <f t="shared" si="47"/>
        <v>2757.6</v>
      </c>
      <c r="Z89" s="1">
        <f t="shared" si="59"/>
        <v>2757.6</v>
      </c>
      <c r="AA89" s="1">
        <f t="shared" si="56"/>
        <v>0</v>
      </c>
      <c r="AB89" s="1">
        <f t="shared" si="57"/>
        <v>0</v>
      </c>
      <c r="AC89" s="4"/>
      <c r="AX89">
        <f t="shared" si="50"/>
        <v>1.3681862860327463E-2</v>
      </c>
      <c r="AY89">
        <f t="shared" si="51"/>
        <v>1613.3434188408903</v>
      </c>
      <c r="AZ89">
        <f t="shared" si="58"/>
        <v>873.27471858854028</v>
      </c>
      <c r="BA89">
        <f t="shared" si="43"/>
        <v>740.06870025235003</v>
      </c>
    </row>
    <row r="90" spans="1:53" x14ac:dyDescent="0.35">
      <c r="A90" s="1">
        <v>89</v>
      </c>
      <c r="B90" s="1">
        <v>7532.7075080212007</v>
      </c>
      <c r="C90" s="1">
        <v>0</v>
      </c>
      <c r="D90" s="1"/>
      <c r="E90" s="1">
        <v>7532.71</v>
      </c>
      <c r="F90" s="1"/>
      <c r="G90" s="1"/>
      <c r="H90" s="1"/>
      <c r="I90" s="1"/>
      <c r="J90" s="1"/>
      <c r="K90" s="1">
        <v>0</v>
      </c>
      <c r="L90" s="1">
        <v>0</v>
      </c>
      <c r="M90" s="4">
        <f t="shared" si="52"/>
        <v>0</v>
      </c>
      <c r="N90" s="4"/>
      <c r="O90" s="4">
        <f t="shared" si="53"/>
        <v>0</v>
      </c>
      <c r="P90" s="4">
        <f t="shared" si="54"/>
        <v>0</v>
      </c>
      <c r="Q90" s="4">
        <f t="shared" si="55"/>
        <v>0</v>
      </c>
      <c r="R90" s="4"/>
      <c r="S90" s="4"/>
      <c r="T90" s="4"/>
      <c r="U90" s="4"/>
      <c r="V90" s="4"/>
      <c r="W90" s="4">
        <v>158.81</v>
      </c>
      <c r="X90" s="1">
        <f t="shared" si="48"/>
        <v>158.81</v>
      </c>
      <c r="Y90" s="1">
        <f t="shared" si="47"/>
        <v>3970.25</v>
      </c>
      <c r="Z90" s="1">
        <f t="shared" si="59"/>
        <v>3970.25</v>
      </c>
      <c r="AA90" s="1">
        <f t="shared" si="56"/>
        <v>0</v>
      </c>
      <c r="AB90" s="1">
        <f t="shared" si="57"/>
        <v>0</v>
      </c>
      <c r="AC90" s="4"/>
      <c r="AX90">
        <f t="shared" si="50"/>
        <v>1.8625405511248506E-2</v>
      </c>
      <c r="AY90">
        <f t="shared" si="51"/>
        <v>2196.278073503247</v>
      </c>
      <c r="AZ90">
        <f t="shared" si="58"/>
        <v>1188.8071034241968</v>
      </c>
      <c r="BA90">
        <f t="shared" si="43"/>
        <v>1007.4709700790502</v>
      </c>
    </row>
    <row r="91" spans="1:53" x14ac:dyDescent="0.35">
      <c r="A91" s="1">
        <v>90</v>
      </c>
      <c r="B91" s="1">
        <v>4797.2959806436729</v>
      </c>
      <c r="C91" s="1">
        <v>0</v>
      </c>
      <c r="D91" s="1"/>
      <c r="E91" s="1">
        <v>4797.3</v>
      </c>
      <c r="F91" s="1"/>
      <c r="G91" s="1"/>
      <c r="H91" s="1"/>
      <c r="I91" s="1"/>
      <c r="J91" s="1"/>
      <c r="K91" s="1">
        <v>0</v>
      </c>
      <c r="L91" s="1">
        <v>0</v>
      </c>
      <c r="M91" s="4">
        <f t="shared" si="52"/>
        <v>0</v>
      </c>
      <c r="N91" s="4"/>
      <c r="O91" s="4">
        <f t="shared" si="53"/>
        <v>0</v>
      </c>
      <c r="P91" s="4">
        <f t="shared" si="54"/>
        <v>0</v>
      </c>
      <c r="Q91" s="4">
        <f t="shared" si="55"/>
        <v>0</v>
      </c>
      <c r="R91" s="4"/>
      <c r="S91" s="4"/>
      <c r="T91" s="4"/>
      <c r="U91" s="4"/>
      <c r="V91" s="4"/>
      <c r="W91" s="4">
        <v>100.91</v>
      </c>
      <c r="X91" s="1">
        <f t="shared" si="48"/>
        <v>100.91</v>
      </c>
      <c r="Y91" s="1">
        <f t="shared" si="47"/>
        <v>2522.75</v>
      </c>
      <c r="Z91" s="1">
        <f t="shared" si="59"/>
        <v>2522.75</v>
      </c>
      <c r="AA91" s="1">
        <f t="shared" si="56"/>
        <v>0</v>
      </c>
      <c r="AB91" s="1">
        <f t="shared" si="57"/>
        <v>0</v>
      </c>
      <c r="AC91" s="4"/>
      <c r="AX91">
        <f t="shared" si="50"/>
        <v>1.1861815011644215E-2</v>
      </c>
      <c r="AY91">
        <f t="shared" si="51"/>
        <v>1398.7262831025218</v>
      </c>
      <c r="AZ91">
        <f t="shared" si="58"/>
        <v>757.1061975982268</v>
      </c>
      <c r="BA91">
        <f t="shared" si="43"/>
        <v>641.62008550429505</v>
      </c>
    </row>
    <row r="92" spans="1:53" x14ac:dyDescent="0.35">
      <c r="A92" s="1">
        <v>91</v>
      </c>
      <c r="B92" s="1">
        <v>5147.5629031179114</v>
      </c>
      <c r="C92" s="1">
        <v>0</v>
      </c>
      <c r="D92" s="1"/>
      <c r="E92" s="1">
        <v>5147.5600000000004</v>
      </c>
      <c r="F92" s="1"/>
      <c r="G92" s="1"/>
      <c r="H92" s="1"/>
      <c r="I92" s="1"/>
      <c r="J92" s="1"/>
      <c r="K92" s="1">
        <v>0</v>
      </c>
      <c r="L92" s="1">
        <v>0</v>
      </c>
      <c r="M92" s="4">
        <f t="shared" si="52"/>
        <v>0</v>
      </c>
      <c r="N92" s="4"/>
      <c r="O92" s="4">
        <f t="shared" si="53"/>
        <v>0</v>
      </c>
      <c r="P92" s="4">
        <f t="shared" si="54"/>
        <v>0</v>
      </c>
      <c r="Q92" s="4">
        <f t="shared" si="55"/>
        <v>0</v>
      </c>
      <c r="R92" s="4"/>
      <c r="S92" s="4"/>
      <c r="T92" s="4"/>
      <c r="U92" s="4" t="s">
        <v>6</v>
      </c>
      <c r="V92" s="4"/>
      <c r="W92" s="4">
        <v>83.866</v>
      </c>
      <c r="X92" s="1">
        <f t="shared" si="48"/>
        <v>83.866</v>
      </c>
      <c r="Y92" s="1">
        <f t="shared" si="47"/>
        <v>2096.65</v>
      </c>
      <c r="Z92" s="1">
        <f t="shared" si="59"/>
        <v>2096.65</v>
      </c>
      <c r="AA92" s="1">
        <f t="shared" si="56"/>
        <v>0</v>
      </c>
      <c r="AB92" s="1">
        <f t="shared" si="57"/>
        <v>0</v>
      </c>
      <c r="AC92" s="4"/>
      <c r="AX92">
        <f t="shared" si="50"/>
        <v>1.2727886535238195E-2</v>
      </c>
      <c r="AY92">
        <f t="shared" si="51"/>
        <v>1500.8520540666088</v>
      </c>
      <c r="AZ92">
        <f t="shared" si="58"/>
        <v>812.38510031527824</v>
      </c>
      <c r="BA92">
        <f t="shared" si="43"/>
        <v>688.46695375133061</v>
      </c>
    </row>
    <row r="93" spans="1:53" x14ac:dyDescent="0.35">
      <c r="A93" s="1">
        <v>92</v>
      </c>
      <c r="B93" s="1">
        <v>2534.563494353717</v>
      </c>
      <c r="C93" s="1">
        <v>0</v>
      </c>
      <c r="D93" s="1"/>
      <c r="E93" s="1">
        <v>2534.56</v>
      </c>
      <c r="F93" s="1"/>
      <c r="G93" s="1"/>
      <c r="H93" s="1"/>
      <c r="I93" s="1"/>
      <c r="J93" s="1"/>
      <c r="K93" s="1">
        <v>0</v>
      </c>
      <c r="L93" s="1">
        <v>0</v>
      </c>
      <c r="M93" s="4">
        <f t="shared" si="52"/>
        <v>0</v>
      </c>
      <c r="N93" s="4"/>
      <c r="O93" s="4">
        <f t="shared" si="53"/>
        <v>0</v>
      </c>
      <c r="P93" s="4">
        <f t="shared" si="54"/>
        <v>0</v>
      </c>
      <c r="Q93" s="4">
        <f t="shared" si="55"/>
        <v>0</v>
      </c>
      <c r="R93" s="4"/>
      <c r="S93" s="4"/>
      <c r="T93" s="4"/>
      <c r="U93" s="4"/>
      <c r="V93" s="4"/>
      <c r="W93" s="4">
        <v>53.252299999999998</v>
      </c>
      <c r="X93" s="1">
        <f t="shared" si="48"/>
        <v>53.252299999999998</v>
      </c>
      <c r="Y93" s="1">
        <f t="shared" si="47"/>
        <v>1331.3074999999999</v>
      </c>
      <c r="Z93" s="1">
        <f t="shared" si="59"/>
        <v>1331.3074999999999</v>
      </c>
      <c r="AA93" s="1">
        <f t="shared" si="56"/>
        <v>0</v>
      </c>
      <c r="AB93" s="1">
        <f t="shared" si="57"/>
        <v>0</v>
      </c>
      <c r="AC93" s="4"/>
      <c r="AX93">
        <f t="shared" si="50"/>
        <v>6.2669727752041804E-3</v>
      </c>
      <c r="AY93">
        <f t="shared" si="51"/>
        <v>738.99142142758637</v>
      </c>
      <c r="AZ93">
        <f t="shared" si="58"/>
        <v>400.00319711854559</v>
      </c>
      <c r="BA93">
        <f t="shared" si="43"/>
        <v>338.98822430904079</v>
      </c>
    </row>
    <row r="94" spans="1:53" x14ac:dyDescent="0.35">
      <c r="A94" s="1">
        <v>93</v>
      </c>
      <c r="B94" s="1">
        <v>5159.4345472126533</v>
      </c>
      <c r="C94" s="1">
        <v>0</v>
      </c>
      <c r="D94" s="1"/>
      <c r="E94" s="1">
        <v>5159.43</v>
      </c>
      <c r="F94" s="1"/>
      <c r="G94" s="1"/>
      <c r="H94" s="1"/>
      <c r="I94" s="1"/>
      <c r="J94" s="1"/>
      <c r="K94" s="1">
        <v>0</v>
      </c>
      <c r="L94" s="1">
        <v>0</v>
      </c>
      <c r="M94" s="4">
        <f t="shared" si="52"/>
        <v>0</v>
      </c>
      <c r="N94" s="4"/>
      <c r="O94" s="4">
        <f t="shared" si="53"/>
        <v>0</v>
      </c>
      <c r="P94" s="4">
        <f t="shared" si="54"/>
        <v>0</v>
      </c>
      <c r="Q94" s="4">
        <f t="shared" si="55"/>
        <v>0</v>
      </c>
      <c r="R94" s="4"/>
      <c r="S94" s="4"/>
      <c r="T94" s="4"/>
      <c r="U94" s="4"/>
      <c r="V94" s="4"/>
      <c r="W94" s="4">
        <v>109.45699999999999</v>
      </c>
      <c r="X94" s="1">
        <f t="shared" si="48"/>
        <v>109.45699999999999</v>
      </c>
      <c r="Y94" s="1">
        <f t="shared" si="47"/>
        <v>2736.4249999999997</v>
      </c>
      <c r="Z94" s="1">
        <f t="shared" si="59"/>
        <v>2736.4249999999997</v>
      </c>
      <c r="AA94" s="1">
        <f t="shared" si="56"/>
        <v>0</v>
      </c>
      <c r="AB94" s="1">
        <f t="shared" si="57"/>
        <v>0</v>
      </c>
      <c r="AC94" s="4"/>
      <c r="AX94">
        <f t="shared" si="50"/>
        <v>1.2757240414320097E-2</v>
      </c>
      <c r="AY94">
        <f t="shared" si="51"/>
        <v>1504.3134166104155</v>
      </c>
      <c r="AZ94">
        <f t="shared" si="58"/>
        <v>814.25867562855376</v>
      </c>
      <c r="BA94">
        <f t="shared" si="43"/>
        <v>690.05474098186176</v>
      </c>
    </row>
    <row r="95" spans="1:53" x14ac:dyDescent="0.35">
      <c r="A95" s="1">
        <v>94</v>
      </c>
      <c r="B95" s="1">
        <v>4317.7330751348463</v>
      </c>
      <c r="C95" s="1">
        <v>0</v>
      </c>
      <c r="D95" s="1"/>
      <c r="E95" s="1">
        <v>4317.7299999999996</v>
      </c>
      <c r="F95" s="1"/>
      <c r="G95" s="1"/>
      <c r="H95" s="1"/>
      <c r="I95" s="1"/>
      <c r="J95" s="1"/>
      <c r="K95" s="1">
        <v>0</v>
      </c>
      <c r="L95" s="1">
        <v>0</v>
      </c>
      <c r="M95" s="4">
        <f t="shared" si="52"/>
        <v>0</v>
      </c>
      <c r="N95" s="4"/>
      <c r="O95" s="4">
        <f t="shared" si="53"/>
        <v>0</v>
      </c>
      <c r="P95" s="4">
        <f t="shared" si="54"/>
        <v>0</v>
      </c>
      <c r="Q95" s="4">
        <f t="shared" si="55"/>
        <v>0</v>
      </c>
      <c r="R95" s="4"/>
      <c r="S95" s="4"/>
      <c r="T95" s="4"/>
      <c r="U95" s="4"/>
      <c r="V95" s="4"/>
      <c r="W95" s="4">
        <v>97.187200000000004</v>
      </c>
      <c r="X95" s="1">
        <f t="shared" si="48"/>
        <v>97.187200000000004</v>
      </c>
      <c r="Y95" s="1">
        <f t="shared" si="47"/>
        <v>2429.6800000000003</v>
      </c>
      <c r="Z95" s="1">
        <f t="shared" si="59"/>
        <v>2429.6800000000003</v>
      </c>
      <c r="AA95" s="1">
        <f t="shared" si="56"/>
        <v>0</v>
      </c>
      <c r="AB95" s="1">
        <f t="shared" si="57"/>
        <v>0</v>
      </c>
      <c r="AC95" s="4"/>
      <c r="AX95">
        <f t="shared" si="50"/>
        <v>1.067604567522127E-2</v>
      </c>
      <c r="AY95">
        <f t="shared" si="51"/>
        <v>1258.9022566003662</v>
      </c>
      <c r="AZ95">
        <f t="shared" si="58"/>
        <v>681.42188515139935</v>
      </c>
      <c r="BA95">
        <f t="shared" si="43"/>
        <v>577.48037144896682</v>
      </c>
    </row>
    <row r="96" spans="1:53" x14ac:dyDescent="0.35">
      <c r="A96" s="1">
        <v>95</v>
      </c>
      <c r="B96" s="1">
        <v>6988.6643510423764</v>
      </c>
      <c r="C96" s="1">
        <v>0</v>
      </c>
      <c r="D96" s="1"/>
      <c r="E96" s="1">
        <v>6988.66</v>
      </c>
      <c r="F96" s="1"/>
      <c r="G96" s="1"/>
      <c r="H96" s="1"/>
      <c r="I96" s="1"/>
      <c r="J96" s="1"/>
      <c r="K96" s="1">
        <v>0</v>
      </c>
      <c r="L96" s="1">
        <v>0</v>
      </c>
      <c r="M96" s="4">
        <f t="shared" si="52"/>
        <v>0</v>
      </c>
      <c r="N96" s="4"/>
      <c r="O96" s="4">
        <f t="shared" si="53"/>
        <v>0</v>
      </c>
      <c r="P96" s="4">
        <f t="shared" si="54"/>
        <v>0</v>
      </c>
      <c r="Q96" s="4">
        <f t="shared" si="55"/>
        <v>0</v>
      </c>
      <c r="R96" s="4"/>
      <c r="S96" s="4"/>
      <c r="T96" s="4"/>
      <c r="U96" s="4"/>
      <c r="V96" s="4"/>
      <c r="W96" s="4">
        <v>114.952</v>
      </c>
      <c r="X96" s="1">
        <f t="shared" si="48"/>
        <v>114.952</v>
      </c>
      <c r="Y96" s="1">
        <f t="shared" si="47"/>
        <v>2873.8</v>
      </c>
      <c r="Z96" s="1">
        <f t="shared" si="59"/>
        <v>2873.8</v>
      </c>
      <c r="AA96" s="1">
        <f t="shared" si="56"/>
        <v>0</v>
      </c>
      <c r="AB96" s="1">
        <f t="shared" si="57"/>
        <v>0</v>
      </c>
      <c r="AC96" s="4"/>
      <c r="AX96">
        <f t="shared" si="50"/>
        <v>1.7280202023185243E-2</v>
      </c>
      <c r="AY96">
        <f t="shared" si="51"/>
        <v>2037.6538264526714</v>
      </c>
      <c r="AZ96">
        <f t="shared" si="58"/>
        <v>1102.9465587399584</v>
      </c>
      <c r="BA96">
        <f t="shared" si="43"/>
        <v>934.70726771271302</v>
      </c>
    </row>
    <row r="97" spans="1:53" x14ac:dyDescent="0.35">
      <c r="A97" s="1">
        <v>96</v>
      </c>
      <c r="B97" s="1">
        <v>2938.8092172996649</v>
      </c>
      <c r="C97" s="1">
        <v>0</v>
      </c>
      <c r="D97" s="1"/>
      <c r="E97" s="1">
        <v>2938.81</v>
      </c>
      <c r="F97" s="1"/>
      <c r="G97" s="1"/>
      <c r="H97" s="1"/>
      <c r="I97" s="1"/>
      <c r="J97" s="1"/>
      <c r="K97" s="1">
        <v>0</v>
      </c>
      <c r="L97" s="1">
        <v>0</v>
      </c>
      <c r="M97" s="4">
        <f t="shared" si="52"/>
        <v>0</v>
      </c>
      <c r="N97" s="4"/>
      <c r="O97" s="4">
        <f t="shared" si="53"/>
        <v>0</v>
      </c>
      <c r="P97" s="4">
        <f t="shared" si="54"/>
        <v>0</v>
      </c>
      <c r="Q97" s="4">
        <f t="shared" si="55"/>
        <v>0</v>
      </c>
      <c r="R97" s="4"/>
      <c r="S97" s="4"/>
      <c r="T97" s="4"/>
      <c r="U97" s="4"/>
      <c r="V97" s="4"/>
      <c r="W97" s="4">
        <v>61.982599999999998</v>
      </c>
      <c r="X97" s="1">
        <f t="shared" si="48"/>
        <v>61.982599999999998</v>
      </c>
      <c r="Y97" s="1">
        <f t="shared" si="47"/>
        <v>1549.5650000000001</v>
      </c>
      <c r="Z97" s="1">
        <f>Y97-M97</f>
        <v>1549.5650000000001</v>
      </c>
      <c r="AA97" s="1">
        <f t="shared" si="56"/>
        <v>0</v>
      </c>
      <c r="AB97" s="1">
        <f t="shared" si="57"/>
        <v>0</v>
      </c>
      <c r="AC97" s="4"/>
      <c r="AX97">
        <f t="shared" si="50"/>
        <v>7.2665125167962422E-3</v>
      </c>
      <c r="AY97">
        <f t="shared" si="51"/>
        <v>856.85555151205358</v>
      </c>
      <c r="AZ97">
        <f t="shared" si="58"/>
        <v>463.80099976191889</v>
      </c>
      <c r="BA97">
        <f t="shared" si="43"/>
        <v>393.05455175013469</v>
      </c>
    </row>
    <row r="98" spans="1:53" x14ac:dyDescent="0.35">
      <c r="A98" s="1">
        <v>97</v>
      </c>
      <c r="B98" s="1">
        <v>6184.3427862351964</v>
      </c>
      <c r="C98" s="1">
        <v>0</v>
      </c>
      <c r="D98" s="1"/>
      <c r="E98" s="1">
        <v>6184.34</v>
      </c>
      <c r="F98" s="1"/>
      <c r="G98" s="1"/>
      <c r="H98" s="1"/>
      <c r="I98" s="1"/>
      <c r="J98" s="1"/>
      <c r="K98" s="1">
        <v>0</v>
      </c>
      <c r="L98" s="1">
        <v>0</v>
      </c>
      <c r="M98" s="4">
        <f t="shared" si="52"/>
        <v>0</v>
      </c>
      <c r="N98" s="4"/>
      <c r="O98" s="4">
        <f t="shared" si="53"/>
        <v>0</v>
      </c>
      <c r="P98" s="4">
        <f t="shared" si="54"/>
        <v>0</v>
      </c>
      <c r="Q98" s="4">
        <f t="shared" si="55"/>
        <v>0</v>
      </c>
      <c r="R98" s="4"/>
      <c r="S98" s="4"/>
      <c r="T98" s="4"/>
      <c r="U98" s="4"/>
      <c r="V98" s="4"/>
      <c r="W98" s="4">
        <v>129.93600000000001</v>
      </c>
      <c r="X98" s="1">
        <f t="shared" si="48"/>
        <v>129.93600000000001</v>
      </c>
      <c r="Y98" s="1">
        <f t="shared" si="47"/>
        <v>3248.4</v>
      </c>
      <c r="Z98" s="1">
        <f t="shared" ref="Z98:Z100" si="60">Y98-M98</f>
        <v>3248.4</v>
      </c>
      <c r="AA98" s="1">
        <f t="shared" si="56"/>
        <v>0</v>
      </c>
      <c r="AB98" s="1">
        <f t="shared" si="57"/>
        <v>0</v>
      </c>
      <c r="AC98" s="4"/>
      <c r="AX98">
        <f t="shared" si="50"/>
        <v>1.5291433006198544E-2</v>
      </c>
      <c r="AY98">
        <f t="shared" si="51"/>
        <v>1803.1413599921384</v>
      </c>
      <c r="AZ98">
        <f t="shared" si="58"/>
        <v>976.00904143136131</v>
      </c>
      <c r="BA98">
        <f t="shared" si="43"/>
        <v>827.13231856077709</v>
      </c>
    </row>
    <row r="99" spans="1:53" x14ac:dyDescent="0.35">
      <c r="A99" s="1">
        <v>98</v>
      </c>
      <c r="B99" s="1">
        <v>3973.5840486666689</v>
      </c>
      <c r="C99" s="1">
        <v>0</v>
      </c>
      <c r="D99" s="1"/>
      <c r="E99" s="1">
        <v>3973.58</v>
      </c>
      <c r="F99" s="1"/>
      <c r="G99" s="1"/>
      <c r="H99" s="1"/>
      <c r="I99" s="1"/>
      <c r="J99" s="1"/>
      <c r="K99" s="1">
        <v>0</v>
      </c>
      <c r="L99" s="1">
        <v>0</v>
      </c>
      <c r="M99" s="4">
        <f t="shared" si="52"/>
        <v>0</v>
      </c>
      <c r="N99" s="4"/>
      <c r="O99" s="4">
        <f t="shared" si="53"/>
        <v>0</v>
      </c>
      <c r="P99" s="4">
        <f t="shared" si="54"/>
        <v>0</v>
      </c>
      <c r="Q99" s="4">
        <f t="shared" si="55"/>
        <v>0</v>
      </c>
      <c r="R99" s="4"/>
      <c r="S99" s="4"/>
      <c r="T99" s="4"/>
      <c r="U99" s="4"/>
      <c r="V99" s="4"/>
      <c r="W99" s="4">
        <v>82.931700000000006</v>
      </c>
      <c r="X99" s="1">
        <f t="shared" si="48"/>
        <v>82.931700000000006</v>
      </c>
      <c r="Y99" s="1">
        <f t="shared" si="47"/>
        <v>2073.2925</v>
      </c>
      <c r="Z99" s="1">
        <f t="shared" si="60"/>
        <v>2073.2925</v>
      </c>
      <c r="AA99" s="1">
        <f t="shared" si="56"/>
        <v>0</v>
      </c>
      <c r="AB99" s="1">
        <f t="shared" si="57"/>
        <v>0</v>
      </c>
      <c r="AC99" s="4"/>
      <c r="AX99">
        <f t="shared" si="50"/>
        <v>9.8251012880343769E-3</v>
      </c>
      <c r="AY99">
        <f t="shared" si="51"/>
        <v>1158.5602534036823</v>
      </c>
      <c r="AZ99">
        <f t="shared" si="58"/>
        <v>627.10850488723361</v>
      </c>
      <c r="BA99">
        <f t="shared" si="43"/>
        <v>531.45174851644867</v>
      </c>
    </row>
    <row r="100" spans="1:53" x14ac:dyDescent="0.35">
      <c r="A100" s="1">
        <v>99</v>
      </c>
      <c r="B100" s="1">
        <v>6386.1720264839241</v>
      </c>
      <c r="C100" s="1">
        <v>0</v>
      </c>
      <c r="D100" s="1"/>
      <c r="E100" s="1">
        <v>6386.17</v>
      </c>
      <c r="F100" s="1"/>
      <c r="G100" s="1"/>
      <c r="H100" s="1"/>
      <c r="I100" s="1"/>
      <c r="J100" s="1"/>
      <c r="K100" s="1">
        <v>0</v>
      </c>
      <c r="L100" s="1">
        <v>0</v>
      </c>
      <c r="M100" s="4">
        <f t="shared" si="52"/>
        <v>0</v>
      </c>
      <c r="N100" s="4"/>
      <c r="O100" s="4">
        <f t="shared" si="53"/>
        <v>0</v>
      </c>
      <c r="P100" s="4">
        <f t="shared" si="54"/>
        <v>0</v>
      </c>
      <c r="Q100" s="4">
        <f t="shared" si="55"/>
        <v>0</v>
      </c>
      <c r="R100" s="4"/>
      <c r="S100" s="4"/>
      <c r="T100" s="4"/>
      <c r="U100" s="4"/>
      <c r="V100" s="4"/>
      <c r="W100" s="4">
        <v>106.389</v>
      </c>
      <c r="X100" s="1">
        <f t="shared" si="48"/>
        <v>106.389</v>
      </c>
      <c r="Y100" s="1">
        <f t="shared" si="47"/>
        <v>2659.7249999999999</v>
      </c>
      <c r="Z100" s="1">
        <f t="shared" si="60"/>
        <v>2659.7249999999999</v>
      </c>
      <c r="AA100" s="1">
        <f t="shared" si="56"/>
        <v>0</v>
      </c>
      <c r="AB100" s="1">
        <f t="shared" si="57"/>
        <v>0</v>
      </c>
      <c r="AC100" s="4"/>
      <c r="AX100">
        <f t="shared" si="50"/>
        <v>1.5790476867872029E-2</v>
      </c>
      <c r="AY100">
        <f t="shared" si="51"/>
        <v>1861.9878151980627</v>
      </c>
      <c r="AZ100">
        <f t="shared" si="58"/>
        <v>1007.8616036383634</v>
      </c>
      <c r="BA100">
        <f t="shared" si="43"/>
        <v>854.1262115596993</v>
      </c>
    </row>
    <row r="101" spans="1:53" x14ac:dyDescent="0.35">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X101">
        <f t="shared" si="50"/>
        <v>0</v>
      </c>
      <c r="AY101">
        <f t="shared" si="51"/>
        <v>0</v>
      </c>
      <c r="AZ101">
        <f t="shared" si="58"/>
        <v>0</v>
      </c>
      <c r="BA101">
        <f t="shared" si="43"/>
        <v>0</v>
      </c>
    </row>
    <row r="102" spans="1:53" x14ac:dyDescent="0.35">
      <c r="A102" s="1" t="s">
        <v>57</v>
      </c>
      <c r="B102" s="1">
        <f>SUM(B2:B100)</f>
        <v>404431.86611276446</v>
      </c>
      <c r="C102" s="1">
        <f t="shared" ref="C102:Z102" si="61">SUM(C2:C100)</f>
        <v>162</v>
      </c>
      <c r="D102" s="1"/>
      <c r="E102" s="1"/>
      <c r="F102" s="1"/>
      <c r="G102" s="1"/>
      <c r="H102" s="1"/>
      <c r="I102" s="1"/>
      <c r="J102" s="1"/>
      <c r="K102" s="1">
        <f t="shared" si="61"/>
        <v>405</v>
      </c>
      <c r="L102" s="1">
        <f t="shared" si="61"/>
        <v>125.40000000000002</v>
      </c>
      <c r="M102" s="1">
        <f t="shared" si="61"/>
        <v>537328</v>
      </c>
      <c r="N102" s="1"/>
      <c r="O102" s="1">
        <f t="shared" si="61"/>
        <v>5293.9999999999991</v>
      </c>
      <c r="P102" s="1"/>
      <c r="Q102" s="1">
        <f t="shared" si="61"/>
        <v>132350</v>
      </c>
      <c r="R102" s="1">
        <f t="shared" si="61"/>
        <v>0</v>
      </c>
      <c r="S102" s="1">
        <f t="shared" si="61"/>
        <v>0</v>
      </c>
      <c r="T102" s="1">
        <f t="shared" si="61"/>
        <v>173477.1012133038</v>
      </c>
      <c r="U102" s="1">
        <f t="shared" si="61"/>
        <v>53583.7</v>
      </c>
      <c r="V102" s="1">
        <f t="shared" si="61"/>
        <v>0</v>
      </c>
      <c r="W102" s="1">
        <f t="shared" si="61"/>
        <v>22905.599420000006</v>
      </c>
      <c r="X102" s="1">
        <f t="shared" si="61"/>
        <v>-189870.8005800001</v>
      </c>
      <c r="Y102" s="1">
        <f t="shared" si="61"/>
        <v>572639.98549999995</v>
      </c>
      <c r="Z102" s="1">
        <f t="shared" si="61"/>
        <v>359863.58549999987</v>
      </c>
      <c r="AA102" s="1"/>
      <c r="AB102" s="1"/>
      <c r="AC102" s="4"/>
      <c r="AX102">
        <f t="shared" si="50"/>
        <v>1</v>
      </c>
      <c r="AY102">
        <f t="shared" si="51"/>
        <v>117918.40302090824</v>
      </c>
      <c r="AZ102">
        <f t="shared" si="58"/>
        <v>63827.179639457318</v>
      </c>
      <c r="BA102">
        <f t="shared" si="43"/>
        <v>54091.223381450924</v>
      </c>
    </row>
    <row r="103" spans="1:53" x14ac:dyDescent="0.35">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X103">
        <f t="shared" si="50"/>
        <v>0</v>
      </c>
      <c r="AY103">
        <f t="shared" si="51"/>
        <v>0</v>
      </c>
      <c r="AZ103">
        <f t="shared" si="58"/>
        <v>0</v>
      </c>
    </row>
    <row r="104" spans="1:53" x14ac:dyDescent="0.35">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sheetData>
  <mergeCells count="2">
    <mergeCell ref="S16:T16"/>
    <mergeCell ref="AI31:AL32"/>
  </mergeCells>
  <phoneticPr fontId="2" type="noConversion"/>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42248-0084-4662-8116-E9CD97A4BDAB}">
  <dimension ref="A1:AZ104"/>
  <sheetViews>
    <sheetView topLeftCell="Y1" zoomScale="80" zoomScaleNormal="80" workbookViewId="0">
      <selection activeCell="AU63" sqref="AU63"/>
    </sheetView>
  </sheetViews>
  <sheetFormatPr defaultRowHeight="14.5" x14ac:dyDescent="0.35"/>
  <cols>
    <col min="1" max="1" width="23.26953125" style="1" bestFit="1" customWidth="1"/>
    <col min="2" max="2" width="25.54296875" style="1" bestFit="1" customWidth="1"/>
    <col min="3" max="3" width="16.7265625" bestFit="1" customWidth="1"/>
    <col min="4" max="10" width="16.7265625" customWidth="1"/>
    <col min="11" max="11" width="16.1796875" bestFit="1" customWidth="1"/>
    <col min="12" max="12" width="20.54296875" customWidth="1"/>
    <col min="13" max="13" width="12" customWidth="1"/>
    <col min="14" max="15" width="12.26953125" customWidth="1"/>
    <col min="16" max="16" width="13" customWidth="1"/>
    <col min="17" max="17" width="8.7265625" customWidth="1"/>
    <col min="18" max="18" width="28.7265625" bestFit="1" customWidth="1"/>
    <col min="19" max="19" width="12.6328125" bestFit="1" customWidth="1"/>
    <col min="20" max="20" width="21.6328125" bestFit="1" customWidth="1"/>
    <col min="22" max="22" width="12.453125" customWidth="1"/>
    <col min="24" max="24" width="14.36328125" customWidth="1"/>
    <col min="25" max="25" width="10.36328125" customWidth="1"/>
    <col min="26" max="26" width="12.453125" customWidth="1"/>
    <col min="27" max="27" width="11.1796875" customWidth="1"/>
    <col min="29" max="29" width="14" customWidth="1"/>
    <col min="31" max="31" width="23" customWidth="1"/>
    <col min="32" max="32" width="20.54296875" customWidth="1"/>
    <col min="33" max="33" width="19.81640625" customWidth="1"/>
    <col min="34" max="34" width="18.1796875" customWidth="1"/>
    <col min="35" max="35" width="16" customWidth="1"/>
    <col min="36" max="36" width="15.26953125" bestFit="1" customWidth="1"/>
    <col min="37" max="37" width="14.81640625" bestFit="1" customWidth="1"/>
    <col min="48" max="48" width="15" bestFit="1" customWidth="1"/>
    <col min="49" max="49" width="14.81640625" bestFit="1" customWidth="1"/>
    <col min="50" max="51" width="14.26953125" bestFit="1" customWidth="1"/>
  </cols>
  <sheetData>
    <row r="1" spans="1:52" ht="63" customHeight="1" x14ac:dyDescent="0.35">
      <c r="A1" s="57" t="s">
        <v>7</v>
      </c>
      <c r="B1" s="60" t="s">
        <v>8</v>
      </c>
      <c r="C1" s="60" t="s">
        <v>253</v>
      </c>
      <c r="D1" s="61" t="s">
        <v>281</v>
      </c>
      <c r="E1" s="61" t="s">
        <v>301</v>
      </c>
      <c r="F1" s="61" t="s">
        <v>308</v>
      </c>
      <c r="G1" s="61" t="s">
        <v>312</v>
      </c>
      <c r="H1" s="61" t="s">
        <v>309</v>
      </c>
      <c r="I1" s="61" t="s">
        <v>310</v>
      </c>
      <c r="J1" s="61" t="s">
        <v>311</v>
      </c>
      <c r="K1" s="60" t="s">
        <v>254</v>
      </c>
      <c r="L1" s="61" t="s">
        <v>255</v>
      </c>
      <c r="M1" s="61" t="s">
        <v>256</v>
      </c>
      <c r="N1" s="61" t="s">
        <v>257</v>
      </c>
      <c r="O1" s="61" t="s">
        <v>282</v>
      </c>
      <c r="P1" s="61" t="s">
        <v>275</v>
      </c>
      <c r="Q1" s="69"/>
      <c r="R1" s="69"/>
      <c r="S1" s="69"/>
      <c r="T1" s="69"/>
      <c r="U1" s="69"/>
      <c r="V1" s="61" t="s">
        <v>276</v>
      </c>
      <c r="W1" s="61" t="s">
        <v>277</v>
      </c>
      <c r="X1" s="61" t="s">
        <v>278</v>
      </c>
      <c r="Y1" s="61" t="s">
        <v>279</v>
      </c>
      <c r="Z1" s="61" t="s">
        <v>31</v>
      </c>
      <c r="AA1" s="12" t="s">
        <v>283</v>
      </c>
      <c r="AB1" s="1"/>
      <c r="AC1" s="6" t="s">
        <v>33</v>
      </c>
      <c r="AD1" s="6" t="s">
        <v>34</v>
      </c>
      <c r="AE1" s="6" t="s">
        <v>35</v>
      </c>
      <c r="AF1" s="6" t="s">
        <v>36</v>
      </c>
      <c r="AG1" s="6" t="s">
        <v>37</v>
      </c>
      <c r="AH1" s="6" t="s">
        <v>38</v>
      </c>
      <c r="AI1" s="12" t="s">
        <v>39</v>
      </c>
      <c r="AJ1" s="12" t="s">
        <v>40</v>
      </c>
      <c r="AK1" s="12" t="s">
        <v>41</v>
      </c>
      <c r="AV1" s="6" t="s">
        <v>320</v>
      </c>
      <c r="AW1" s="86" t="s">
        <v>321</v>
      </c>
      <c r="AX1" s="86" t="s">
        <v>322</v>
      </c>
      <c r="AY1" s="6" t="s">
        <v>322</v>
      </c>
    </row>
    <row r="2" spans="1:52" ht="15" thickBot="1" x14ac:dyDescent="0.4">
      <c r="A2" s="1">
        <v>1</v>
      </c>
      <c r="B2" s="62">
        <v>1079.529030351737</v>
      </c>
      <c r="C2" s="62">
        <v>2</v>
      </c>
      <c r="D2" s="62">
        <v>3494.71</v>
      </c>
      <c r="E2" s="62">
        <v>1079.53</v>
      </c>
      <c r="F2" s="62">
        <v>1395.84</v>
      </c>
      <c r="G2" s="62">
        <v>139.60599999999999</v>
      </c>
      <c r="H2" s="62">
        <v>1682.91</v>
      </c>
      <c r="I2" s="62">
        <v>473.57100000000003</v>
      </c>
      <c r="J2" s="62">
        <v>556.52700000000004</v>
      </c>
      <c r="K2" s="62">
        <v>5</v>
      </c>
      <c r="L2" s="62">
        <v>1.2</v>
      </c>
      <c r="M2" s="62">
        <f>(C2*$S$18*1000)+S29</f>
        <v>7240</v>
      </c>
      <c r="N2" s="62">
        <f>$S$38*C2</f>
        <v>71.2</v>
      </c>
      <c r="O2" s="56">
        <f>N2/D2</f>
        <v>2.0373650460267088E-2</v>
      </c>
      <c r="P2" s="56">
        <f t="shared" ref="P2:P46" si="0">N2*25</f>
        <v>1780</v>
      </c>
      <c r="Q2" s="56"/>
      <c r="R2" s="56"/>
      <c r="S2" s="56"/>
      <c r="T2" s="56"/>
      <c r="U2" s="56"/>
      <c r="V2" s="1">
        <v>273.161</v>
      </c>
      <c r="W2" s="1">
        <f>V2-M2</f>
        <v>-6966.8389999999999</v>
      </c>
      <c r="X2" s="1">
        <f t="shared" ref="X2:X33" si="1">V2*$S$47</f>
        <v>6829.0249999999996</v>
      </c>
      <c r="Y2" s="1">
        <f>X2-M2</f>
        <v>-410.97500000000036</v>
      </c>
      <c r="Z2" s="1">
        <f t="shared" ref="Z2:Z33" si="2">(M2/($S$47*B2))+O2</f>
        <v>0.28863878447490421</v>
      </c>
      <c r="AA2" s="1">
        <f t="shared" ref="AA2:AA33" si="3">(M2/($S$50*B2))+O2</f>
        <v>0.51955652152622989</v>
      </c>
      <c r="AB2" s="1"/>
      <c r="AC2" s="1" t="s">
        <v>284</v>
      </c>
      <c r="AD2" s="1">
        <v>0</v>
      </c>
      <c r="AE2">
        <f>-AC5</f>
        <v>-567703</v>
      </c>
      <c r="AF2">
        <f>AE2</f>
        <v>-567703</v>
      </c>
      <c r="AH2">
        <f>AE2</f>
        <v>-567703</v>
      </c>
      <c r="AI2">
        <f>AE2</f>
        <v>-567703</v>
      </c>
      <c r="AK2">
        <f>AE2</f>
        <v>-567703</v>
      </c>
      <c r="AV2" s="1">
        <f>AK27+AK63</f>
        <v>-206633.19697909182</v>
      </c>
      <c r="AW2">
        <f>B2/$B$102</f>
        <v>2.6692481992770093E-3</v>
      </c>
      <c r="AX2">
        <f>AW2*$AV$2</f>
        <v>-551.55528894729241</v>
      </c>
      <c r="AY2">
        <f>(AX2)*1.1</f>
        <v>-606.7108178420217</v>
      </c>
      <c r="AZ2">
        <f>AY2-AX2</f>
        <v>-55.155528894729287</v>
      </c>
    </row>
    <row r="3" spans="1:52" x14ac:dyDescent="0.35">
      <c r="A3" s="1">
        <v>2</v>
      </c>
      <c r="B3" s="62">
        <v>3886.3217817133332</v>
      </c>
      <c r="C3" s="62">
        <v>4</v>
      </c>
      <c r="D3" s="62">
        <v>6989.42</v>
      </c>
      <c r="E3" s="62">
        <v>3886.32</v>
      </c>
      <c r="F3" s="62">
        <v>2567.4899999999998</v>
      </c>
      <c r="G3" s="62">
        <v>253.81899999999999</v>
      </c>
      <c r="H3" s="62">
        <v>3085.9</v>
      </c>
      <c r="I3" s="62">
        <v>1442.46</v>
      </c>
      <c r="J3" s="62">
        <v>2007.51</v>
      </c>
      <c r="K3" s="62">
        <v>10</v>
      </c>
      <c r="L3" s="62">
        <v>3.3</v>
      </c>
      <c r="M3" s="62">
        <f>(C3*$S$18*1000)+S31</f>
        <v>14096</v>
      </c>
      <c r="N3" s="62">
        <f>$S$38*C3</f>
        <v>142.4</v>
      </c>
      <c r="O3" s="56">
        <f t="shared" ref="O3:O46" si="4">N3/D3</f>
        <v>2.0373650460267088E-2</v>
      </c>
      <c r="P3" s="56">
        <f t="shared" si="0"/>
        <v>3560</v>
      </c>
      <c r="Q3" s="56"/>
      <c r="R3" s="80" t="s">
        <v>267</v>
      </c>
      <c r="S3" s="81"/>
      <c r="T3" s="82"/>
      <c r="U3" s="56"/>
      <c r="V3" s="1">
        <v>434.72800000000001</v>
      </c>
      <c r="W3" s="1">
        <f t="shared" ref="W3:W66" si="5">V3-M3</f>
        <v>-13661.272000000001</v>
      </c>
      <c r="X3" s="1">
        <f t="shared" si="1"/>
        <v>10868.2</v>
      </c>
      <c r="Y3" s="1">
        <f t="shared" ref="Y3:Y66" si="6">X3-M3</f>
        <v>-3227.7999999999993</v>
      </c>
      <c r="Z3" s="1">
        <f t="shared" si="2"/>
        <v>0.16545685037775415</v>
      </c>
      <c r="AA3" s="1">
        <f t="shared" si="3"/>
        <v>0.29034182408918408</v>
      </c>
      <c r="AB3" s="1"/>
      <c r="AC3" s="1"/>
      <c r="AD3" s="1">
        <v>1</v>
      </c>
      <c r="AE3">
        <f>AC8</f>
        <v>18220.519700000001</v>
      </c>
      <c r="AF3">
        <f>AF2+AE3</f>
        <v>-549482.48030000005</v>
      </c>
      <c r="AG3">
        <f t="shared" ref="AG3:AG27" si="7">AE3/(1+$S$20)^AD3</f>
        <v>17172.968614514612</v>
      </c>
      <c r="AH3">
        <f>AH2+AG3</f>
        <v>-550530.03138548543</v>
      </c>
      <c r="AI3">
        <f t="shared" ref="AI3:AI27" si="8">$AC$8*((1+$S$44)^AD3)</f>
        <v>18676.032692500001</v>
      </c>
      <c r="AJ3">
        <f t="shared" ref="AJ3:AJ27" si="9">AI3/(1+$S$20)^AD3</f>
        <v>17602.292829877475</v>
      </c>
      <c r="AK3">
        <f>AK2+AJ3</f>
        <v>-550100.70717012254</v>
      </c>
      <c r="AV3" s="1"/>
      <c r="AW3">
        <f t="shared" ref="AW3:AW66" si="10">B3/$B$102</f>
        <v>9.6093362253253847E-3</v>
      </c>
      <c r="AX3">
        <f t="shared" ref="AX3:AX18" si="11">AW3*$AV$2</f>
        <v>-1985.6078650859829</v>
      </c>
      <c r="AY3">
        <f t="shared" ref="AY3:AY46" si="12">(AX3)*1.1</f>
        <v>-2184.1686515945812</v>
      </c>
      <c r="AZ3">
        <f t="shared" ref="AZ3:AZ46" si="13">AY3-AX3</f>
        <v>-198.56078650859831</v>
      </c>
    </row>
    <row r="4" spans="1:52" ht="29" x14ac:dyDescent="0.35">
      <c r="A4" s="1">
        <v>3</v>
      </c>
      <c r="B4" s="1">
        <v>3457.332910813851</v>
      </c>
      <c r="C4" s="1">
        <v>2</v>
      </c>
      <c r="D4" s="1">
        <v>3494.71</v>
      </c>
      <c r="E4" s="1">
        <v>3457.33</v>
      </c>
      <c r="F4" s="1">
        <v>613.53200000000004</v>
      </c>
      <c r="G4" s="1">
        <v>54.761099999999999</v>
      </c>
      <c r="H4" s="1">
        <v>1498.2</v>
      </c>
      <c r="I4" s="1">
        <v>1382.98</v>
      </c>
      <c r="J4" s="1">
        <v>2074.35</v>
      </c>
      <c r="K4" s="1">
        <v>5</v>
      </c>
      <c r="L4" s="1">
        <v>0</v>
      </c>
      <c r="M4" s="1">
        <f>C4*$S$18*1000</f>
        <v>5200</v>
      </c>
      <c r="N4" s="1">
        <f>$S$19*C4</f>
        <v>53</v>
      </c>
      <c r="O4" s="4">
        <f t="shared" si="4"/>
        <v>1.5165779134749377E-2</v>
      </c>
      <c r="P4" s="4">
        <f t="shared" si="0"/>
        <v>1325</v>
      </c>
      <c r="Q4" s="4"/>
      <c r="R4" s="63" t="s">
        <v>302</v>
      </c>
      <c r="S4" s="4">
        <v>0.155</v>
      </c>
      <c r="T4" s="30"/>
      <c r="U4" s="4"/>
      <c r="V4" s="1">
        <v>78.388900000000007</v>
      </c>
      <c r="W4" s="1">
        <f t="shared" si="5"/>
        <v>-5121.6111000000001</v>
      </c>
      <c r="X4" s="1">
        <f t="shared" si="1"/>
        <v>1959.7225000000001</v>
      </c>
      <c r="Y4" s="1">
        <f t="shared" si="6"/>
        <v>-3240.2775000000001</v>
      </c>
      <c r="Z4" s="1">
        <f t="shared" si="2"/>
        <v>7.5327761033980797E-2</v>
      </c>
      <c r="AA4" s="1">
        <f t="shared" si="3"/>
        <v>0.12711409833689449</v>
      </c>
      <c r="AB4" s="1"/>
      <c r="AC4" s="6" t="s">
        <v>285</v>
      </c>
      <c r="AD4" s="1">
        <f>AD3+1</f>
        <v>2</v>
      </c>
      <c r="AE4">
        <f>AE3</f>
        <v>18220.519700000001</v>
      </c>
      <c r="AF4">
        <f>AF3+AE4</f>
        <v>-531261.96060000011</v>
      </c>
      <c r="AG4">
        <f t="shared" si="7"/>
        <v>16185.644311512357</v>
      </c>
      <c r="AH4">
        <f t="shared" ref="AH4:AH27" si="14">AH3+AG4</f>
        <v>-534344.38707397308</v>
      </c>
      <c r="AI4">
        <f t="shared" si="8"/>
        <v>19142.933509812498</v>
      </c>
      <c r="AJ4">
        <f t="shared" si="9"/>
        <v>17005.042554782667</v>
      </c>
      <c r="AK4">
        <f t="shared" ref="AK4:AK27" si="15">AK3+AJ4</f>
        <v>-533095.66461533983</v>
      </c>
      <c r="AV4" s="1"/>
      <c r="AW4">
        <f t="shared" si="10"/>
        <v>8.5486164679463485E-3</v>
      </c>
      <c r="AX4">
        <f t="shared" si="11"/>
        <v>-1766.427950519866</v>
      </c>
      <c r="AY4">
        <f t="shared" si="12"/>
        <v>-1943.0707455718527</v>
      </c>
      <c r="AZ4">
        <f t="shared" si="13"/>
        <v>-176.6427950519867</v>
      </c>
    </row>
    <row r="5" spans="1:52" x14ac:dyDescent="0.35">
      <c r="A5" s="1">
        <v>4</v>
      </c>
      <c r="B5" s="62">
        <v>1453.8912212817379</v>
      </c>
      <c r="C5" s="62">
        <v>2</v>
      </c>
      <c r="D5" s="62">
        <v>3494.71</v>
      </c>
      <c r="E5" s="62">
        <v>1453.89</v>
      </c>
      <c r="F5" s="62">
        <v>1292.6199999999999</v>
      </c>
      <c r="G5" s="62">
        <v>127.47</v>
      </c>
      <c r="H5" s="62">
        <v>1638.92</v>
      </c>
      <c r="I5" s="62">
        <v>615.08299999999997</v>
      </c>
      <c r="J5" s="62">
        <v>724.553</v>
      </c>
      <c r="K5" s="62">
        <v>5</v>
      </c>
      <c r="L5" s="62">
        <v>1.2</v>
      </c>
      <c r="M5" s="62">
        <f>(C5*$S$18*1000)+S29</f>
        <v>7240</v>
      </c>
      <c r="N5" s="62">
        <f>$S$38*C5</f>
        <v>71.2</v>
      </c>
      <c r="O5" s="56">
        <f t="shared" si="4"/>
        <v>2.0373650460267088E-2</v>
      </c>
      <c r="P5" s="56">
        <f t="shared" si="0"/>
        <v>1780</v>
      </c>
      <c r="Q5" s="56"/>
      <c r="R5" s="83" t="s">
        <v>303</v>
      </c>
      <c r="S5" s="56">
        <v>0.129</v>
      </c>
      <c r="T5" s="46" t="s">
        <v>6</v>
      </c>
      <c r="U5" s="56"/>
      <c r="V5" s="1">
        <v>253.096</v>
      </c>
      <c r="W5" s="1">
        <f t="shared" si="5"/>
        <v>-6986.9040000000005</v>
      </c>
      <c r="X5" s="1">
        <f t="shared" si="1"/>
        <v>6327.4</v>
      </c>
      <c r="Y5" s="1">
        <f t="shared" si="6"/>
        <v>-912.60000000000036</v>
      </c>
      <c r="Z5" s="1">
        <f t="shared" si="2"/>
        <v>0.2195632430246208</v>
      </c>
      <c r="AA5" s="1">
        <f t="shared" si="3"/>
        <v>0.39102201320019814</v>
      </c>
      <c r="AB5" s="1"/>
      <c r="AC5" s="1">
        <f>SUM(M2:M46) + (T10*45/99)+T39+T40+T11+T12</f>
        <v>567703</v>
      </c>
      <c r="AD5" s="1">
        <f t="shared" ref="AD5:AD27" si="16">AD4+1</f>
        <v>3</v>
      </c>
      <c r="AE5">
        <f t="shared" ref="AE5:AE27" si="17">AE4</f>
        <v>18220.519700000001</v>
      </c>
      <c r="AF5">
        <f t="shared" ref="AF5:AF27" si="18">AF4+AE5</f>
        <v>-513041.4409000001</v>
      </c>
      <c r="AG5">
        <f t="shared" si="7"/>
        <v>15255.084176731723</v>
      </c>
      <c r="AH5">
        <f t="shared" si="14"/>
        <v>-519089.30289724137</v>
      </c>
      <c r="AI5">
        <f t="shared" si="8"/>
        <v>19621.506847557812</v>
      </c>
      <c r="AJ5">
        <f t="shared" si="9"/>
        <v>16428.057133508235</v>
      </c>
      <c r="AK5">
        <f t="shared" si="15"/>
        <v>-516667.60748183157</v>
      </c>
      <c r="AV5" s="1" t="s">
        <v>324</v>
      </c>
      <c r="AW5">
        <f t="shared" si="10"/>
        <v>3.5948977889797666E-3</v>
      </c>
      <c r="AX5">
        <f t="shared" si="11"/>
        <v>-742.82522294995783</v>
      </c>
      <c r="AY5">
        <f t="shared" si="12"/>
        <v>-817.10774524495366</v>
      </c>
      <c r="AZ5">
        <f t="shared" si="13"/>
        <v>-74.282522294995829</v>
      </c>
    </row>
    <row r="6" spans="1:52" x14ac:dyDescent="0.35">
      <c r="A6" s="1">
        <v>5</v>
      </c>
      <c r="B6" s="1">
        <v>3955.020115733626</v>
      </c>
      <c r="C6" s="1">
        <v>4</v>
      </c>
      <c r="D6" s="1">
        <v>6989.42</v>
      </c>
      <c r="E6" s="1">
        <v>3955.02</v>
      </c>
      <c r="F6" s="1">
        <v>1833.18</v>
      </c>
      <c r="G6" s="1">
        <v>168.476</v>
      </c>
      <c r="H6" s="1">
        <v>3471.67</v>
      </c>
      <c r="I6" s="1">
        <v>1684.57</v>
      </c>
      <c r="J6" s="1">
        <v>2270.4499999999998</v>
      </c>
      <c r="K6" s="1">
        <v>10</v>
      </c>
      <c r="L6" s="1">
        <v>0</v>
      </c>
      <c r="M6" s="1">
        <f>C6*$S$18*1000</f>
        <v>10400</v>
      </c>
      <c r="N6" s="1">
        <f>$S$19*C6</f>
        <v>106</v>
      </c>
      <c r="O6" s="4">
        <f t="shared" si="4"/>
        <v>1.5165779134749377E-2</v>
      </c>
      <c r="P6" s="4">
        <f t="shared" si="0"/>
        <v>2650</v>
      </c>
      <c r="Q6" s="4"/>
      <c r="R6" s="63"/>
      <c r="S6" s="1"/>
      <c r="T6" s="78"/>
      <c r="U6" s="4"/>
      <c r="V6" s="1">
        <v>379.79399999999998</v>
      </c>
      <c r="W6" s="1">
        <f t="shared" si="5"/>
        <v>-10020.206</v>
      </c>
      <c r="X6" s="1">
        <f t="shared" si="1"/>
        <v>9494.85</v>
      </c>
      <c r="Y6" s="1">
        <f t="shared" si="6"/>
        <v>-905.14999999999964</v>
      </c>
      <c r="Z6" s="1">
        <f t="shared" si="2"/>
        <v>0.12034855642204902</v>
      </c>
      <c r="AA6" s="1">
        <f t="shared" si="3"/>
        <v>0.21088797369358894</v>
      </c>
      <c r="AB6" s="1"/>
      <c r="AC6" s="1"/>
      <c r="AD6" s="1">
        <f t="shared" si="16"/>
        <v>4</v>
      </c>
      <c r="AE6">
        <f t="shared" si="17"/>
        <v>18220.519700000001</v>
      </c>
      <c r="AF6">
        <f t="shared" si="18"/>
        <v>-494820.9212000001</v>
      </c>
      <c r="AG6">
        <f t="shared" si="7"/>
        <v>14378.024671754687</v>
      </c>
      <c r="AH6">
        <f t="shared" si="14"/>
        <v>-504711.27822548669</v>
      </c>
      <c r="AI6">
        <f t="shared" si="8"/>
        <v>20112.044518746756</v>
      </c>
      <c r="AJ6">
        <f t="shared" si="9"/>
        <v>15870.648974407106</v>
      </c>
      <c r="AK6">
        <f t="shared" si="15"/>
        <v>-500796.95850742445</v>
      </c>
      <c r="AV6" s="1">
        <f>SUM(AY2:AY46)</f>
        <v>-94786.243109462695</v>
      </c>
      <c r="AW6">
        <f t="shared" si="10"/>
        <v>9.7792000263176096E-3</v>
      </c>
      <c r="AX6">
        <f t="shared" si="11"/>
        <v>-2020.7073653360267</v>
      </c>
      <c r="AY6">
        <f t="shared" si="12"/>
        <v>-2222.7781018696296</v>
      </c>
      <c r="AZ6">
        <f t="shared" si="13"/>
        <v>-202.07073653360294</v>
      </c>
    </row>
    <row r="7" spans="1:52" ht="29" x14ac:dyDescent="0.35">
      <c r="A7" s="1">
        <v>6</v>
      </c>
      <c r="B7" s="62">
        <v>2105.0165005377999</v>
      </c>
      <c r="C7" s="62">
        <v>2</v>
      </c>
      <c r="D7" s="62">
        <v>3494.71</v>
      </c>
      <c r="E7" s="62">
        <v>2105.02</v>
      </c>
      <c r="F7" s="62">
        <v>1453.58</v>
      </c>
      <c r="G7" s="62">
        <v>145.85</v>
      </c>
      <c r="H7" s="62">
        <v>1123.08</v>
      </c>
      <c r="I7" s="62">
        <v>912.81600000000003</v>
      </c>
      <c r="J7" s="62">
        <v>775.86</v>
      </c>
      <c r="K7" s="62">
        <v>5</v>
      </c>
      <c r="L7" s="62">
        <v>4.2</v>
      </c>
      <c r="M7" s="62">
        <f>(C7*$S$18*1000)+S32</f>
        <v>9904</v>
      </c>
      <c r="N7" s="62">
        <f>$S$38*C7</f>
        <v>71.2</v>
      </c>
      <c r="O7" s="56">
        <f t="shared" si="4"/>
        <v>2.0373650460267088E-2</v>
      </c>
      <c r="P7" s="56">
        <f t="shared" si="0"/>
        <v>1780</v>
      </c>
      <c r="Q7" s="56"/>
      <c r="R7" s="84"/>
      <c r="S7" s="62"/>
      <c r="T7" s="85"/>
      <c r="U7" s="56"/>
      <c r="V7" s="1">
        <v>264.803</v>
      </c>
      <c r="W7" s="1">
        <f t="shared" si="5"/>
        <v>-9639.1970000000001</v>
      </c>
      <c r="X7" s="1">
        <f t="shared" si="1"/>
        <v>6620.0749999999998</v>
      </c>
      <c r="Y7" s="1">
        <f t="shared" si="6"/>
        <v>-3283.9250000000002</v>
      </c>
      <c r="Z7" s="1">
        <f t="shared" si="2"/>
        <v>0.20857170016618964</v>
      </c>
      <c r="AA7" s="1">
        <f t="shared" si="3"/>
        <v>0.37056915061829859</v>
      </c>
      <c r="AB7" s="1"/>
      <c r="AC7" s="6" t="s">
        <v>286</v>
      </c>
      <c r="AD7" s="1">
        <f t="shared" si="16"/>
        <v>5</v>
      </c>
      <c r="AE7">
        <f t="shared" si="17"/>
        <v>18220.519700000001</v>
      </c>
      <c r="AF7">
        <f t="shared" si="18"/>
        <v>-476600.40150000009</v>
      </c>
      <c r="AG7">
        <f t="shared" si="7"/>
        <v>13551.389888552956</v>
      </c>
      <c r="AH7">
        <f t="shared" si="14"/>
        <v>-491159.88833693374</v>
      </c>
      <c r="AI7">
        <f t="shared" si="8"/>
        <v>20614.84563171542</v>
      </c>
      <c r="AJ7">
        <f t="shared" si="9"/>
        <v>15332.15381599178</v>
      </c>
      <c r="AK7">
        <f t="shared" si="15"/>
        <v>-485464.80469143268</v>
      </c>
      <c r="AV7" s="1"/>
      <c r="AW7">
        <f t="shared" si="10"/>
        <v>5.2048730006623049E-3</v>
      </c>
      <c r="AX7">
        <f t="shared" si="11"/>
        <v>-1075.4995479970107</v>
      </c>
      <c r="AY7">
        <f t="shared" si="12"/>
        <v>-1183.049502796712</v>
      </c>
      <c r="AZ7">
        <f t="shared" si="13"/>
        <v>-107.54995479970125</v>
      </c>
    </row>
    <row r="8" spans="1:52" x14ac:dyDescent="0.35">
      <c r="A8" s="1">
        <v>7</v>
      </c>
      <c r="B8" s="1">
        <v>1617.7934488334181</v>
      </c>
      <c r="C8" s="1">
        <v>2</v>
      </c>
      <c r="D8" s="1">
        <v>3494.71</v>
      </c>
      <c r="E8" s="1">
        <v>1617.79</v>
      </c>
      <c r="F8" s="1">
        <v>1038.05</v>
      </c>
      <c r="G8" s="1">
        <v>96.850499999999997</v>
      </c>
      <c r="H8" s="1">
        <v>1831.46</v>
      </c>
      <c r="I8" s="1">
        <v>625.19600000000003</v>
      </c>
      <c r="J8" s="1">
        <v>992.59699999999998</v>
      </c>
      <c r="K8" s="1">
        <v>5</v>
      </c>
      <c r="L8" s="1">
        <v>0</v>
      </c>
      <c r="M8" s="1">
        <f>C8*$S$18*1000</f>
        <v>5200</v>
      </c>
      <c r="N8" s="1">
        <f>$S$19*C8</f>
        <v>53</v>
      </c>
      <c r="O8" s="4">
        <f t="shared" si="4"/>
        <v>1.5165779134749377E-2</v>
      </c>
      <c r="P8" s="4">
        <f t="shared" si="0"/>
        <v>1325</v>
      </c>
      <c r="Q8" s="4"/>
      <c r="R8" s="65"/>
      <c r="S8" s="1"/>
      <c r="T8" s="78">
        <v>25</v>
      </c>
      <c r="U8" s="4"/>
      <c r="V8" s="1">
        <v>199.303</v>
      </c>
      <c r="W8" s="1">
        <f t="shared" si="5"/>
        <v>-5000.6970000000001</v>
      </c>
      <c r="X8" s="1">
        <f t="shared" si="1"/>
        <v>4982.5749999999998</v>
      </c>
      <c r="Y8" s="1">
        <f t="shared" si="6"/>
        <v>-217.42500000000018</v>
      </c>
      <c r="Z8" s="1">
        <f t="shared" si="2"/>
        <v>0.14373596227524091</v>
      </c>
      <c r="AA8" s="1">
        <f t="shared" si="3"/>
        <v>0.25440683216717741</v>
      </c>
      <c r="AB8" s="1"/>
      <c r="AC8" s="1">
        <f>SUM(V2:V46)</f>
        <v>18220.519700000001</v>
      </c>
      <c r="AD8" s="1">
        <f t="shared" si="16"/>
        <v>6</v>
      </c>
      <c r="AE8">
        <f t="shared" si="17"/>
        <v>18220.519700000001</v>
      </c>
      <c r="AF8">
        <f t="shared" si="18"/>
        <v>-458379.88180000009</v>
      </c>
      <c r="AG8">
        <f t="shared" si="7"/>
        <v>12772.280762066875</v>
      </c>
      <c r="AH8">
        <f t="shared" si="14"/>
        <v>-478387.60757486685</v>
      </c>
      <c r="AI8">
        <f t="shared" si="8"/>
        <v>21130.216772508305</v>
      </c>
      <c r="AJ8">
        <f t="shared" si="9"/>
        <v>14811.929935336073</v>
      </c>
      <c r="AK8">
        <f t="shared" si="15"/>
        <v>-470652.87475609663</v>
      </c>
      <c r="AV8" s="1"/>
      <c r="AW8">
        <f t="shared" si="10"/>
        <v>4.0001631532722544E-3</v>
      </c>
      <c r="AX8">
        <f t="shared" si="11"/>
        <v>-826.56650079861083</v>
      </c>
      <c r="AY8">
        <f t="shared" si="12"/>
        <v>-909.22315087847198</v>
      </c>
      <c r="AZ8">
        <f t="shared" si="13"/>
        <v>-82.656650079861151</v>
      </c>
    </row>
    <row r="9" spans="1:52" ht="29" x14ac:dyDescent="0.35">
      <c r="A9" s="1">
        <v>8</v>
      </c>
      <c r="B9" s="62">
        <v>10161.74794678937</v>
      </c>
      <c r="C9" s="62">
        <v>10</v>
      </c>
      <c r="D9" s="62">
        <v>17473.5</v>
      </c>
      <c r="E9" s="62">
        <v>10161.700000000001</v>
      </c>
      <c r="F9" s="62">
        <v>6690.31</v>
      </c>
      <c r="G9" s="62">
        <v>666.70799999999997</v>
      </c>
      <c r="H9" s="62">
        <v>7473.12</v>
      </c>
      <c r="I9" s="62">
        <v>3557.92</v>
      </c>
      <c r="J9" s="62">
        <v>5438.81</v>
      </c>
      <c r="K9" s="62">
        <v>25</v>
      </c>
      <c r="L9" s="62">
        <v>9.6999999999999993</v>
      </c>
      <c r="M9" s="62">
        <f>(C9*$S$18*1000)+S35</f>
        <v>34000</v>
      </c>
      <c r="N9" s="62">
        <f>$S$38*C9</f>
        <v>356</v>
      </c>
      <c r="O9" s="56">
        <f t="shared" si="4"/>
        <v>2.0373708758977881E-2</v>
      </c>
      <c r="P9" s="56">
        <f t="shared" si="0"/>
        <v>8900</v>
      </c>
      <c r="Q9" s="56"/>
      <c r="R9" s="65"/>
      <c r="S9" s="1" t="s">
        <v>314</v>
      </c>
      <c r="T9" s="78" t="s">
        <v>315</v>
      </c>
      <c r="U9" s="56"/>
      <c r="V9" s="1">
        <v>1025.3900000000001</v>
      </c>
      <c r="W9" s="1">
        <f t="shared" si="5"/>
        <v>-32974.61</v>
      </c>
      <c r="X9" s="1">
        <f t="shared" si="1"/>
        <v>25634.750000000004</v>
      </c>
      <c r="Y9" s="1">
        <f t="shared" si="6"/>
        <v>-8365.2499999999964</v>
      </c>
      <c r="Z9" s="1">
        <f t="shared" si="2"/>
        <v>0.15420895119182088</v>
      </c>
      <c r="AA9" s="1">
        <f t="shared" si="3"/>
        <v>0.26941188814381944</v>
      </c>
      <c r="AB9" s="1"/>
      <c r="AC9" s="1"/>
      <c r="AD9" s="1">
        <f t="shared" si="16"/>
        <v>7</v>
      </c>
      <c r="AE9">
        <f t="shared" si="17"/>
        <v>18220.519700000001</v>
      </c>
      <c r="AF9">
        <f t="shared" si="18"/>
        <v>-440159.36210000009</v>
      </c>
      <c r="AG9">
        <f t="shared" si="7"/>
        <v>12037.964902984806</v>
      </c>
      <c r="AH9">
        <f t="shared" si="14"/>
        <v>-466349.64267188206</v>
      </c>
      <c r="AI9">
        <f t="shared" si="8"/>
        <v>21658.472191821013</v>
      </c>
      <c r="AJ9">
        <f t="shared" si="9"/>
        <v>14309.357383335984</v>
      </c>
      <c r="AK9">
        <f t="shared" si="15"/>
        <v>-456343.51737276063</v>
      </c>
      <c r="AV9" s="73" t="s">
        <v>323</v>
      </c>
      <c r="AW9">
        <f t="shared" si="10"/>
        <v>2.512598239218878E-2</v>
      </c>
      <c r="AX9">
        <f t="shared" si="11"/>
        <v>-5191.862068938337</v>
      </c>
      <c r="AY9">
        <f t="shared" si="12"/>
        <v>-5711.0482758321714</v>
      </c>
      <c r="AZ9">
        <f t="shared" si="13"/>
        <v>-519.18620689383442</v>
      </c>
    </row>
    <row r="10" spans="1:52" x14ac:dyDescent="0.35">
      <c r="A10" s="1">
        <v>9</v>
      </c>
      <c r="B10" s="62">
        <v>5057.043251595851</v>
      </c>
      <c r="C10" s="62">
        <v>4</v>
      </c>
      <c r="D10" s="62">
        <v>6989.42</v>
      </c>
      <c r="E10" s="62">
        <v>5057.04</v>
      </c>
      <c r="F10" s="62">
        <v>2433.36</v>
      </c>
      <c r="G10" s="62">
        <v>235.053</v>
      </c>
      <c r="H10" s="62">
        <v>2459.33</v>
      </c>
      <c r="I10" s="62">
        <v>2123.7399999999998</v>
      </c>
      <c r="J10" s="62">
        <v>1740.61</v>
      </c>
      <c r="K10" s="62">
        <v>10</v>
      </c>
      <c r="L10" s="62">
        <v>6</v>
      </c>
      <c r="M10" s="62">
        <f>(C10*$S$18*1000)+S34</f>
        <v>14600</v>
      </c>
      <c r="N10" s="62">
        <f>$S$38*C10</f>
        <v>142.4</v>
      </c>
      <c r="O10" s="56">
        <f t="shared" si="4"/>
        <v>2.0373650460267088E-2</v>
      </c>
      <c r="P10" s="56">
        <f t="shared" si="0"/>
        <v>3560</v>
      </c>
      <c r="Q10" s="56"/>
      <c r="R10" s="50" t="s">
        <v>319</v>
      </c>
      <c r="S10" s="1">
        <f>200+90</f>
        <v>290</v>
      </c>
      <c r="T10" s="78">
        <f>S10*99</f>
        <v>28710</v>
      </c>
      <c r="U10" s="56"/>
      <c r="V10" s="1">
        <v>508.49599999999998</v>
      </c>
      <c r="W10" s="1">
        <f t="shared" si="5"/>
        <v>-14091.504000000001</v>
      </c>
      <c r="X10" s="1">
        <f t="shared" si="1"/>
        <v>12712.4</v>
      </c>
      <c r="Y10" s="1">
        <f t="shared" si="6"/>
        <v>-1887.6000000000004</v>
      </c>
      <c r="Z10" s="1">
        <f t="shared" si="2"/>
        <v>0.1358561509936978</v>
      </c>
      <c r="AA10" s="1">
        <f t="shared" si="3"/>
        <v>0.23526138227788448</v>
      </c>
      <c r="AB10" s="1"/>
      <c r="AC10" s="1"/>
      <c r="AD10" s="1">
        <f t="shared" si="16"/>
        <v>8</v>
      </c>
      <c r="AE10">
        <f t="shared" si="17"/>
        <v>18220.519700000001</v>
      </c>
      <c r="AF10">
        <f t="shared" si="18"/>
        <v>-421938.84240000008</v>
      </c>
      <c r="AG10">
        <f t="shared" si="7"/>
        <v>11345.867015065793</v>
      </c>
      <c r="AH10">
        <f t="shared" si="14"/>
        <v>-455003.77565681626</v>
      </c>
      <c r="AI10">
        <f t="shared" si="8"/>
        <v>22199.933996616539</v>
      </c>
      <c r="AJ10">
        <f t="shared" si="9"/>
        <v>13823.837245918363</v>
      </c>
      <c r="AK10">
        <f t="shared" si="15"/>
        <v>-442519.68012684229</v>
      </c>
      <c r="AV10" s="1">
        <f>AV2-AV6</f>
        <v>-111846.95386962913</v>
      </c>
      <c r="AW10">
        <f t="shared" si="10"/>
        <v>1.2504067249205919E-2</v>
      </c>
      <c r="AX10">
        <f t="shared" si="11"/>
        <v>-2583.7553909449775</v>
      </c>
      <c r="AY10">
        <f t="shared" si="12"/>
        <v>-2842.1309300394755</v>
      </c>
      <c r="AZ10">
        <f t="shared" si="13"/>
        <v>-258.37553909449798</v>
      </c>
    </row>
    <row r="11" spans="1:52" x14ac:dyDescent="0.35">
      <c r="A11" s="1">
        <v>10</v>
      </c>
      <c r="B11" s="1">
        <v>507.10444675644749</v>
      </c>
      <c r="C11" s="1">
        <v>2</v>
      </c>
      <c r="D11" s="1">
        <v>3494.71</v>
      </c>
      <c r="E11" s="1">
        <v>507.10399999999998</v>
      </c>
      <c r="F11" s="1">
        <v>1300.33</v>
      </c>
      <c r="G11" s="1">
        <v>126.497</v>
      </c>
      <c r="H11" s="1">
        <v>1951.2</v>
      </c>
      <c r="I11" s="1">
        <v>243.18299999999999</v>
      </c>
      <c r="J11" s="1">
        <v>263.92099999999999</v>
      </c>
      <c r="K11" s="1">
        <v>5</v>
      </c>
      <c r="L11" s="1">
        <v>0</v>
      </c>
      <c r="M11" s="1">
        <f>C11*$S$18*1000</f>
        <v>5200</v>
      </c>
      <c r="N11" s="1">
        <f>$S$19*C11</f>
        <v>53</v>
      </c>
      <c r="O11" s="4">
        <f t="shared" si="4"/>
        <v>1.5165779134749377E-2</v>
      </c>
      <c r="P11" s="4">
        <f t="shared" si="0"/>
        <v>1325</v>
      </c>
      <c r="Q11" s="4"/>
      <c r="R11" s="65" t="s">
        <v>316</v>
      </c>
      <c r="S11" s="1"/>
      <c r="T11" s="78">
        <v>0</v>
      </c>
      <c r="U11" s="4"/>
      <c r="V11" s="1">
        <v>293.03699999999998</v>
      </c>
      <c r="W11" s="1">
        <f t="shared" si="5"/>
        <v>-4906.9629999999997</v>
      </c>
      <c r="X11" s="1">
        <f t="shared" si="1"/>
        <v>7325.9249999999993</v>
      </c>
      <c r="Y11" s="1">
        <f t="shared" si="6"/>
        <v>2125.9249999999993</v>
      </c>
      <c r="Z11" s="1">
        <f t="shared" si="2"/>
        <v>0.42533769012944511</v>
      </c>
      <c r="AA11" s="1">
        <f t="shared" si="3"/>
        <v>0.7784061939318998</v>
      </c>
      <c r="AB11" s="1"/>
      <c r="AC11" s="2" t="s">
        <v>329</v>
      </c>
      <c r="AD11" s="1">
        <f t="shared" si="16"/>
        <v>9</v>
      </c>
      <c r="AE11">
        <f t="shared" si="17"/>
        <v>18220.519700000001</v>
      </c>
      <c r="AF11">
        <f t="shared" si="18"/>
        <v>-403718.32270000008</v>
      </c>
      <c r="AG11">
        <f t="shared" si="7"/>
        <v>10693.559863398485</v>
      </c>
      <c r="AH11">
        <f t="shared" si="14"/>
        <v>-444310.21579341777</v>
      </c>
      <c r="AI11">
        <f t="shared" si="8"/>
        <v>22754.932346531947</v>
      </c>
      <c r="AJ11">
        <f t="shared" si="9"/>
        <v>13354.790930316984</v>
      </c>
      <c r="AK11">
        <f t="shared" si="15"/>
        <v>-429164.88919652533</v>
      </c>
      <c r="AV11" s="1" t="s">
        <v>6</v>
      </c>
      <c r="AW11">
        <f t="shared" si="10"/>
        <v>1.2538686717011949E-3</v>
      </c>
      <c r="AX11">
        <f t="shared" si="11"/>
        <v>-259.09089222554519</v>
      </c>
      <c r="AY11">
        <f t="shared" si="12"/>
        <v>-284.99998144809973</v>
      </c>
      <c r="AZ11">
        <f t="shared" si="13"/>
        <v>-25.909089222554542</v>
      </c>
    </row>
    <row r="12" spans="1:52" x14ac:dyDescent="0.35">
      <c r="A12" s="1">
        <v>11</v>
      </c>
      <c r="B12" s="1">
        <v>480.82648360578531</v>
      </c>
      <c r="C12" s="1">
        <v>2</v>
      </c>
      <c r="D12" s="1">
        <v>3494.71</v>
      </c>
      <c r="E12" s="1">
        <v>480.82600000000002</v>
      </c>
      <c r="F12" s="1">
        <v>1315.33</v>
      </c>
      <c r="G12" s="1">
        <v>128.179</v>
      </c>
      <c r="H12" s="1">
        <v>1959.92</v>
      </c>
      <c r="I12" s="1">
        <v>219.46199999999999</v>
      </c>
      <c r="J12" s="1">
        <v>261.36500000000001</v>
      </c>
      <c r="K12" s="1">
        <v>5</v>
      </c>
      <c r="L12" s="1">
        <v>0</v>
      </c>
      <c r="M12" s="1">
        <f>C12*$S$18*1000</f>
        <v>5200</v>
      </c>
      <c r="N12" s="1">
        <f>$S$19*C12</f>
        <v>53</v>
      </c>
      <c r="O12" s="4">
        <f t="shared" si="4"/>
        <v>1.5165779134749377E-2</v>
      </c>
      <c r="P12" s="4">
        <f t="shared" si="0"/>
        <v>1325</v>
      </c>
      <c r="Q12" s="4"/>
      <c r="R12" s="65" t="s">
        <v>317</v>
      </c>
      <c r="S12" s="1"/>
      <c r="T12" s="78">
        <v>0</v>
      </c>
      <c r="U12" s="4"/>
      <c r="V12" s="1">
        <v>292.19799999999998</v>
      </c>
      <c r="W12" s="1">
        <f t="shared" si="5"/>
        <v>-4907.8019999999997</v>
      </c>
      <c r="X12" s="1">
        <f t="shared" si="1"/>
        <v>7304.95</v>
      </c>
      <c r="Y12" s="1">
        <f t="shared" si="6"/>
        <v>2104.9499999999998</v>
      </c>
      <c r="Z12" s="1">
        <f t="shared" si="2"/>
        <v>0.44775426394569157</v>
      </c>
      <c r="AA12" s="1">
        <f t="shared" si="3"/>
        <v>0.82011854584881139</v>
      </c>
      <c r="AB12" s="1"/>
      <c r="AC12" s="1">
        <f>MIN(V2:V46)</f>
        <v>59.389600000000002</v>
      </c>
      <c r="AD12" s="1">
        <f t="shared" si="16"/>
        <v>10</v>
      </c>
      <c r="AE12">
        <f t="shared" si="17"/>
        <v>18220.519700000001</v>
      </c>
      <c r="AF12">
        <f t="shared" si="18"/>
        <v>-385497.80300000007</v>
      </c>
      <c r="AG12">
        <f t="shared" si="7"/>
        <v>10078.755761921286</v>
      </c>
      <c r="AH12">
        <f t="shared" si="14"/>
        <v>-434231.46003149648</v>
      </c>
      <c r="AI12">
        <f t="shared" si="8"/>
        <v>23323.805655195247</v>
      </c>
      <c r="AJ12">
        <f t="shared" si="9"/>
        <v>12901.659475565417</v>
      </c>
      <c r="AK12">
        <f t="shared" si="15"/>
        <v>-416263.22972095991</v>
      </c>
      <c r="AV12" s="1"/>
      <c r="AW12">
        <f t="shared" si="10"/>
        <v>1.1888936651488298E-3</v>
      </c>
      <c r="AX12">
        <f t="shared" si="11"/>
        <v>-245.66489889789258</v>
      </c>
      <c r="AY12">
        <f t="shared" si="12"/>
        <v>-270.23138878768185</v>
      </c>
      <c r="AZ12">
        <f t="shared" si="13"/>
        <v>-24.566489889789267</v>
      </c>
    </row>
    <row r="13" spans="1:52" x14ac:dyDescent="0.35">
      <c r="A13" s="1">
        <v>12</v>
      </c>
      <c r="B13" s="1">
        <v>569.06841271947087</v>
      </c>
      <c r="C13" s="1">
        <v>2</v>
      </c>
      <c r="D13" s="1">
        <v>3497.79</v>
      </c>
      <c r="E13" s="1">
        <v>569.06799999999998</v>
      </c>
      <c r="F13" s="1">
        <v>1277.03</v>
      </c>
      <c r="G13" s="1">
        <v>123.822</v>
      </c>
      <c r="H13" s="1">
        <v>1953.43</v>
      </c>
      <c r="I13" s="1">
        <v>267.33100000000002</v>
      </c>
      <c r="J13" s="1">
        <v>301.738</v>
      </c>
      <c r="K13" s="1">
        <v>5</v>
      </c>
      <c r="L13" s="1">
        <v>0</v>
      </c>
      <c r="M13" s="1">
        <f>C13*$S$18*1000</f>
        <v>5200</v>
      </c>
      <c r="N13" s="1">
        <f>$S$19*C13</f>
        <v>53</v>
      </c>
      <c r="O13" s="4">
        <f t="shared" si="4"/>
        <v>1.5152424816812901E-2</v>
      </c>
      <c r="P13" s="4">
        <f t="shared" si="0"/>
        <v>1325</v>
      </c>
      <c r="Q13" s="4"/>
      <c r="R13" s="65" t="s">
        <v>318</v>
      </c>
      <c r="T13" s="78">
        <v>0</v>
      </c>
      <c r="U13" s="4"/>
      <c r="V13" s="1">
        <v>288.43700000000001</v>
      </c>
      <c r="W13" s="1">
        <f t="shared" si="5"/>
        <v>-4911.5630000000001</v>
      </c>
      <c r="X13" s="1">
        <f t="shared" si="1"/>
        <v>7210.9250000000002</v>
      </c>
      <c r="Y13" s="1">
        <f t="shared" si="6"/>
        <v>2010.9250000000002</v>
      </c>
      <c r="Z13" s="1">
        <f t="shared" si="2"/>
        <v>0.38066208121472672</v>
      </c>
      <c r="AA13" s="1">
        <f t="shared" si="3"/>
        <v>0.69528613042571619</v>
      </c>
      <c r="AB13" s="1"/>
      <c r="AC13" s="1"/>
      <c r="AD13" s="1">
        <f t="shared" si="16"/>
        <v>11</v>
      </c>
      <c r="AE13">
        <f t="shared" si="17"/>
        <v>18220.519700000001</v>
      </c>
      <c r="AF13">
        <f t="shared" si="18"/>
        <v>-367277.28330000007</v>
      </c>
      <c r="AG13">
        <f t="shared" si="7"/>
        <v>9499.2985503499422</v>
      </c>
      <c r="AH13">
        <f t="shared" si="14"/>
        <v>-424732.16148114653</v>
      </c>
      <c r="AI13">
        <f t="shared" si="8"/>
        <v>23906.900796575126</v>
      </c>
      <c r="AJ13">
        <f t="shared" si="9"/>
        <v>12463.902886385065</v>
      </c>
      <c r="AK13">
        <f t="shared" si="15"/>
        <v>-403799.32683457487</v>
      </c>
      <c r="AV13" s="1"/>
      <c r="AW13">
        <f t="shared" si="10"/>
        <v>1.4070810447977958E-3</v>
      </c>
      <c r="AX13">
        <f t="shared" si="11"/>
        <v>-290.74965469524926</v>
      </c>
      <c r="AY13">
        <f t="shared" si="12"/>
        <v>-319.82462016477422</v>
      </c>
      <c r="AZ13">
        <f t="shared" si="13"/>
        <v>-29.074965469524955</v>
      </c>
    </row>
    <row r="14" spans="1:52" x14ac:dyDescent="0.35">
      <c r="A14" s="1">
        <v>13</v>
      </c>
      <c r="B14" s="62">
        <v>4563.0069277860366</v>
      </c>
      <c r="C14" s="62">
        <v>6</v>
      </c>
      <c r="D14" s="62">
        <v>10493.4</v>
      </c>
      <c r="E14" s="62">
        <v>4563.01</v>
      </c>
      <c r="F14" s="62">
        <v>4058.52</v>
      </c>
      <c r="G14" s="62">
        <v>405.589</v>
      </c>
      <c r="H14" s="62">
        <v>4703.5600000000004</v>
      </c>
      <c r="I14" s="62">
        <v>1886.93</v>
      </c>
      <c r="J14" s="62">
        <v>2197.59</v>
      </c>
      <c r="K14" s="62">
        <v>15</v>
      </c>
      <c r="L14" s="62">
        <v>5</v>
      </c>
      <c r="M14" s="62">
        <f>(C14*$S$18*1000)+S33</f>
        <v>19100</v>
      </c>
      <c r="N14" s="62">
        <f>$S$38*C14</f>
        <v>213.60000000000002</v>
      </c>
      <c r="O14" s="56">
        <f t="shared" si="4"/>
        <v>2.0355652124192353E-2</v>
      </c>
      <c r="P14" s="56">
        <f t="shared" si="0"/>
        <v>5340.0000000000009</v>
      </c>
      <c r="Q14" s="56"/>
      <c r="R14" s="65"/>
      <c r="S14" s="1"/>
      <c r="T14" s="78"/>
      <c r="U14" s="56"/>
      <c r="V14" s="1">
        <v>766.77200000000005</v>
      </c>
      <c r="W14" s="1">
        <f t="shared" si="5"/>
        <v>-18333.227999999999</v>
      </c>
      <c r="X14" s="1">
        <f t="shared" si="1"/>
        <v>19169.300000000003</v>
      </c>
      <c r="Y14" s="1">
        <f t="shared" si="6"/>
        <v>69.30000000000291</v>
      </c>
      <c r="Z14" s="1">
        <f t="shared" si="2"/>
        <v>0.18778910381318453</v>
      </c>
      <c r="AA14" s="1">
        <f t="shared" si="3"/>
        <v>0.33191276681817639</v>
      </c>
      <c r="AB14" s="1"/>
      <c r="AC14" s="2" t="s">
        <v>330</v>
      </c>
      <c r="AD14" s="1">
        <f t="shared" si="16"/>
        <v>12</v>
      </c>
      <c r="AE14">
        <f t="shared" si="17"/>
        <v>18220.519700000001</v>
      </c>
      <c r="AF14">
        <f t="shared" si="18"/>
        <v>-349056.76360000006</v>
      </c>
      <c r="AG14">
        <f t="shared" si="7"/>
        <v>8953.1560323750637</v>
      </c>
      <c r="AH14">
        <f t="shared" si="14"/>
        <v>-415779.00544877147</v>
      </c>
      <c r="AI14">
        <f t="shared" si="8"/>
        <v>24504.573316489503</v>
      </c>
      <c r="AJ14">
        <f t="shared" si="9"/>
        <v>12040.999489674545</v>
      </c>
      <c r="AK14">
        <f t="shared" si="15"/>
        <v>-391758.32734490035</v>
      </c>
      <c r="AV14" s="1"/>
      <c r="AW14">
        <f t="shared" si="10"/>
        <v>1.1282510875425851E-2</v>
      </c>
      <c r="AX14">
        <f t="shared" si="11"/>
        <v>-2331.3412921406157</v>
      </c>
      <c r="AY14">
        <f t="shared" si="12"/>
        <v>-2564.4754213546776</v>
      </c>
      <c r="AZ14">
        <f t="shared" si="13"/>
        <v>-233.13412921406189</v>
      </c>
    </row>
    <row r="15" spans="1:52" x14ac:dyDescent="0.35">
      <c r="A15" s="1">
        <v>14</v>
      </c>
      <c r="B15" s="62">
        <v>2172.7675547581462</v>
      </c>
      <c r="C15" s="62">
        <v>2</v>
      </c>
      <c r="D15" s="62">
        <v>3497.79</v>
      </c>
      <c r="E15" s="62">
        <v>2172.77</v>
      </c>
      <c r="F15" s="62">
        <v>1243.8900000000001</v>
      </c>
      <c r="G15" s="62">
        <v>122.795</v>
      </c>
      <c r="H15" s="62">
        <v>1461.09</v>
      </c>
      <c r="I15" s="62">
        <v>834.95399999999995</v>
      </c>
      <c r="J15" s="62">
        <v>850.149</v>
      </c>
      <c r="K15" s="62">
        <v>5</v>
      </c>
      <c r="L15" s="62">
        <v>2</v>
      </c>
      <c r="M15" s="62">
        <f>(C15*$S$18*1000)+S30</f>
        <v>8600</v>
      </c>
      <c r="N15" s="62">
        <f>$S$38*C15</f>
        <v>71.2</v>
      </c>
      <c r="O15" s="56">
        <f t="shared" si="4"/>
        <v>2.0355710319944882E-2</v>
      </c>
      <c r="P15" s="56">
        <f t="shared" si="0"/>
        <v>1780</v>
      </c>
      <c r="Q15" s="56"/>
      <c r="R15" s="63" t="s">
        <v>313</v>
      </c>
      <c r="S15" s="4">
        <v>45</v>
      </c>
      <c r="T15" s="46"/>
      <c r="U15" s="56"/>
      <c r="V15" s="1">
        <v>247.65100000000001</v>
      </c>
      <c r="W15" s="1">
        <f t="shared" si="5"/>
        <v>-8352.3490000000002</v>
      </c>
      <c r="X15" s="1">
        <f t="shared" si="1"/>
        <v>6191.2750000000005</v>
      </c>
      <c r="Y15" s="1">
        <f t="shared" si="6"/>
        <v>-2408.7249999999995</v>
      </c>
      <c r="Z15" s="1">
        <f t="shared" si="2"/>
        <v>0.1786791348605378</v>
      </c>
      <c r="AA15" s="1">
        <f t="shared" si="3"/>
        <v>0.31496105256638202</v>
      </c>
      <c r="AB15" s="1"/>
      <c r="AC15" s="1">
        <f>MAX(V2:V46)</f>
        <v>1572.32</v>
      </c>
      <c r="AD15" s="1">
        <f t="shared" si="16"/>
        <v>13</v>
      </c>
      <c r="AE15">
        <f t="shared" si="17"/>
        <v>18220.519700000001</v>
      </c>
      <c r="AF15">
        <f t="shared" si="18"/>
        <v>-330836.24390000006</v>
      </c>
      <c r="AG15">
        <f t="shared" si="7"/>
        <v>8438.4128486098598</v>
      </c>
      <c r="AH15">
        <f t="shared" si="14"/>
        <v>-407340.59260016162</v>
      </c>
      <c r="AI15">
        <f t="shared" si="8"/>
        <v>25117.187649401738</v>
      </c>
      <c r="AJ15">
        <f t="shared" si="9"/>
        <v>11632.445312833559</v>
      </c>
      <c r="AK15">
        <f t="shared" si="15"/>
        <v>-380125.88203206682</v>
      </c>
      <c r="AV15" s="1"/>
      <c r="AW15">
        <f t="shared" si="10"/>
        <v>5.3723945534804394E-3</v>
      </c>
      <c r="AX15">
        <f t="shared" si="11"/>
        <v>-1110.1150620187236</v>
      </c>
      <c r="AY15">
        <f t="shared" si="12"/>
        <v>-1221.126568220596</v>
      </c>
      <c r="AZ15">
        <f t="shared" si="13"/>
        <v>-111.01150620187241</v>
      </c>
    </row>
    <row r="16" spans="1:52" x14ac:dyDescent="0.35">
      <c r="A16" s="1">
        <v>15</v>
      </c>
      <c r="B16" s="62">
        <v>4548.2349752288228</v>
      </c>
      <c r="C16" s="62">
        <v>4</v>
      </c>
      <c r="D16" s="62">
        <v>6995.57</v>
      </c>
      <c r="E16" s="62">
        <v>4548.2299999999996</v>
      </c>
      <c r="F16" s="62">
        <v>2204.15</v>
      </c>
      <c r="G16" s="62">
        <v>210.84200000000001</v>
      </c>
      <c r="H16" s="62">
        <v>2953.48</v>
      </c>
      <c r="I16" s="62">
        <v>1935.56</v>
      </c>
      <c r="J16" s="62">
        <v>1638.43</v>
      </c>
      <c r="K16" s="62">
        <v>10</v>
      </c>
      <c r="L16" s="62">
        <v>3.3</v>
      </c>
      <c r="M16" s="62">
        <f>(C16*$S$18*1000)+S31</f>
        <v>14096</v>
      </c>
      <c r="N16" s="62">
        <f>$S$38*C16</f>
        <v>142.4</v>
      </c>
      <c r="O16" s="56">
        <f t="shared" si="4"/>
        <v>2.0355739417945929E-2</v>
      </c>
      <c r="P16" s="56">
        <f t="shared" si="0"/>
        <v>3560</v>
      </c>
      <c r="Q16" s="56"/>
      <c r="R16" s="106" t="s">
        <v>258</v>
      </c>
      <c r="S16" s="107"/>
      <c r="T16" s="46" t="s">
        <v>299</v>
      </c>
      <c r="U16" s="56"/>
      <c r="V16" s="1">
        <v>513.93200000000002</v>
      </c>
      <c r="W16" s="1">
        <f t="shared" si="5"/>
        <v>-13582.067999999999</v>
      </c>
      <c r="X16" s="1">
        <f t="shared" si="1"/>
        <v>12848.300000000001</v>
      </c>
      <c r="Y16" s="1">
        <f t="shared" si="6"/>
        <v>-1247.6999999999989</v>
      </c>
      <c r="Z16" s="1">
        <f t="shared" si="2"/>
        <v>0.14432470827528449</v>
      </c>
      <c r="AA16" s="1">
        <f t="shared" si="3"/>
        <v>0.25103493678959066</v>
      </c>
      <c r="AB16" s="1"/>
      <c r="AC16" s="1"/>
      <c r="AD16" s="1">
        <f t="shared" si="16"/>
        <v>14</v>
      </c>
      <c r="AE16">
        <f t="shared" si="17"/>
        <v>18220.519700000001</v>
      </c>
      <c r="AF16">
        <f t="shared" si="18"/>
        <v>-312615.72420000006</v>
      </c>
      <c r="AG16">
        <f t="shared" si="7"/>
        <v>7953.2637592929887</v>
      </c>
      <c r="AH16">
        <f t="shared" si="14"/>
        <v>-399387.32884086861</v>
      </c>
      <c r="AI16">
        <f t="shared" si="8"/>
        <v>25745.117340636778</v>
      </c>
      <c r="AJ16">
        <f t="shared" si="9"/>
        <v>11237.753483180393</v>
      </c>
      <c r="AK16">
        <f t="shared" si="15"/>
        <v>-368888.12854888639</v>
      </c>
      <c r="AV16" s="1"/>
      <c r="AW16">
        <f t="shared" si="10"/>
        <v>1.1245985680961834E-2</v>
      </c>
      <c r="AX16">
        <f t="shared" si="11"/>
        <v>-2323.7939744382329</v>
      </c>
      <c r="AY16">
        <f t="shared" si="12"/>
        <v>-2556.1733718820565</v>
      </c>
      <c r="AZ16">
        <f t="shared" si="13"/>
        <v>-232.37939744382356</v>
      </c>
    </row>
    <row r="17" spans="1:52" x14ac:dyDescent="0.35">
      <c r="A17" s="1">
        <v>16</v>
      </c>
      <c r="B17" s="1">
        <v>5476.90270703035</v>
      </c>
      <c r="C17" s="1">
        <v>4</v>
      </c>
      <c r="D17" s="1">
        <v>6995.57</v>
      </c>
      <c r="E17" s="1">
        <v>5476.9</v>
      </c>
      <c r="F17" s="1">
        <v>1485.71</v>
      </c>
      <c r="G17" s="1">
        <v>133.98400000000001</v>
      </c>
      <c r="H17" s="1">
        <v>3239.46</v>
      </c>
      <c r="I17" s="1">
        <v>2270.4</v>
      </c>
      <c r="J17" s="1">
        <v>3206.5</v>
      </c>
      <c r="K17" s="1">
        <v>10</v>
      </c>
      <c r="L17" s="1">
        <v>0</v>
      </c>
      <c r="M17" s="1">
        <f>C17*$S$18*1000</f>
        <v>10400</v>
      </c>
      <c r="N17" s="1">
        <f>$S$19*C17</f>
        <v>106</v>
      </c>
      <c r="O17" s="4">
        <f t="shared" si="4"/>
        <v>1.5152446476841773E-2</v>
      </c>
      <c r="P17" s="4">
        <f t="shared" si="0"/>
        <v>2650</v>
      </c>
      <c r="Q17" s="4"/>
      <c r="R17" s="50" t="s">
        <v>245</v>
      </c>
      <c r="S17" s="2" t="s">
        <v>246</v>
      </c>
      <c r="T17" s="46">
        <v>1700</v>
      </c>
      <c r="U17" s="4"/>
      <c r="V17" s="1">
        <v>271.02499999999998</v>
      </c>
      <c r="W17" s="1">
        <f t="shared" si="5"/>
        <v>-10128.975</v>
      </c>
      <c r="X17" s="1">
        <f t="shared" si="1"/>
        <v>6775.6249999999991</v>
      </c>
      <c r="Y17" s="1">
        <f t="shared" si="6"/>
        <v>-3624.3750000000009</v>
      </c>
      <c r="Z17" s="1">
        <f t="shared" si="2"/>
        <v>9.1107785151382653E-2</v>
      </c>
      <c r="AA17" s="1">
        <f t="shared" si="3"/>
        <v>0.15648875606329785</v>
      </c>
      <c r="AB17" s="1"/>
      <c r="AC17" s="2" t="s">
        <v>331</v>
      </c>
      <c r="AD17" s="1">
        <f t="shared" si="16"/>
        <v>15</v>
      </c>
      <c r="AE17">
        <f t="shared" si="17"/>
        <v>18220.519700000001</v>
      </c>
      <c r="AF17">
        <f t="shared" si="18"/>
        <v>-294395.20450000005</v>
      </c>
      <c r="AG17">
        <f t="shared" si="7"/>
        <v>7496.007313188491</v>
      </c>
      <c r="AH17">
        <f t="shared" si="14"/>
        <v>-391891.32152768009</v>
      </c>
      <c r="AI17">
        <f t="shared" si="8"/>
        <v>26388.745274152705</v>
      </c>
      <c r="AJ17">
        <f t="shared" si="9"/>
        <v>10856.453647747319</v>
      </c>
      <c r="AK17">
        <f t="shared" si="15"/>
        <v>-358031.67490113905</v>
      </c>
      <c r="AV17" s="1"/>
      <c r="AW17">
        <f t="shared" si="10"/>
        <v>1.3542213573999803E-2</v>
      </c>
      <c r="AX17">
        <f t="shared" si="11"/>
        <v>-2798.2708849692326</v>
      </c>
      <c r="AY17">
        <f t="shared" si="12"/>
        <v>-3078.097973466156</v>
      </c>
      <c r="AZ17">
        <f t="shared" si="13"/>
        <v>-279.82708849692335</v>
      </c>
    </row>
    <row r="18" spans="1:52" x14ac:dyDescent="0.35">
      <c r="A18" s="1">
        <v>17</v>
      </c>
      <c r="B18" s="62">
        <v>2180.0429312531028</v>
      </c>
      <c r="C18" s="62">
        <v>2</v>
      </c>
      <c r="D18" s="62">
        <v>3497.79</v>
      </c>
      <c r="E18" s="62">
        <v>2180.04</v>
      </c>
      <c r="F18" s="62">
        <v>1266.75</v>
      </c>
      <c r="G18" s="62">
        <v>125.211</v>
      </c>
      <c r="H18" s="62">
        <v>1479.9</v>
      </c>
      <c r="I18" s="62">
        <v>802.71100000000001</v>
      </c>
      <c r="J18" s="62">
        <v>951.178</v>
      </c>
      <c r="K18" s="62">
        <v>5</v>
      </c>
      <c r="L18" s="62">
        <v>2</v>
      </c>
      <c r="M18" s="62">
        <f>(C18*$S$18*1000)+S30</f>
        <v>8600</v>
      </c>
      <c r="N18" s="62">
        <f>$S$38*C18</f>
        <v>71.2</v>
      </c>
      <c r="O18" s="56">
        <f t="shared" si="4"/>
        <v>2.0355710319944882E-2</v>
      </c>
      <c r="P18" s="56">
        <f t="shared" si="0"/>
        <v>1780</v>
      </c>
      <c r="Q18" s="56"/>
      <c r="R18" s="65" t="s">
        <v>247</v>
      </c>
      <c r="S18" s="1">
        <v>2.6</v>
      </c>
      <c r="T18" s="46">
        <v>1120</v>
      </c>
      <c r="U18" s="56"/>
      <c r="V18" s="1">
        <v>231.06299999999999</v>
      </c>
      <c r="W18" s="1">
        <f t="shared" si="5"/>
        <v>-8368.9369999999999</v>
      </c>
      <c r="X18" s="1">
        <f t="shared" si="1"/>
        <v>5776.5749999999998</v>
      </c>
      <c r="Y18" s="1">
        <f t="shared" si="6"/>
        <v>-2823.4250000000002</v>
      </c>
      <c r="Z18" s="1">
        <f t="shared" si="2"/>
        <v>0.17815076796234947</v>
      </c>
      <c r="AA18" s="1">
        <f t="shared" si="3"/>
        <v>0.31397787707403685</v>
      </c>
      <c r="AB18" s="1"/>
      <c r="AC18" s="1">
        <f>MIN(V47:V100)</f>
        <v>7.2637200000000002</v>
      </c>
      <c r="AD18" s="1">
        <f t="shared" si="16"/>
        <v>16</v>
      </c>
      <c r="AE18">
        <f t="shared" si="17"/>
        <v>18220.519700000001</v>
      </c>
      <c r="AF18">
        <f t="shared" si="18"/>
        <v>-276174.68480000005</v>
      </c>
      <c r="AG18">
        <f t="shared" si="7"/>
        <v>7065.0398804792567</v>
      </c>
      <c r="AH18">
        <f t="shared" si="14"/>
        <v>-384826.28164720081</v>
      </c>
      <c r="AI18">
        <f t="shared" si="8"/>
        <v>27048.46390600652</v>
      </c>
      <c r="AJ18">
        <f t="shared" si="9"/>
        <v>10488.091412762491</v>
      </c>
      <c r="AK18">
        <f t="shared" si="15"/>
        <v>-347543.58348837658</v>
      </c>
      <c r="AW18">
        <f t="shared" si="10"/>
        <v>5.3903836812039408E-3</v>
      </c>
      <c r="AX18">
        <f t="shared" si="11"/>
        <v>-1113.832212991096</v>
      </c>
      <c r="AY18">
        <f t="shared" si="12"/>
        <v>-1225.2154342902056</v>
      </c>
      <c r="AZ18">
        <f t="shared" si="13"/>
        <v>-111.38322129910966</v>
      </c>
    </row>
    <row r="19" spans="1:52" x14ac:dyDescent="0.35">
      <c r="A19" s="1">
        <v>18</v>
      </c>
      <c r="B19" s="62">
        <v>5524.0028847571884</v>
      </c>
      <c r="C19" s="62">
        <v>4</v>
      </c>
      <c r="D19" s="62">
        <v>6995.57</v>
      </c>
      <c r="E19" s="62">
        <v>5524</v>
      </c>
      <c r="F19" s="62">
        <v>2468.4299999999998</v>
      </c>
      <c r="G19" s="62">
        <v>237.523</v>
      </c>
      <c r="H19" s="62">
        <v>2577.7199999999998</v>
      </c>
      <c r="I19" s="62">
        <v>1982.7</v>
      </c>
      <c r="J19" s="62">
        <v>2035.42</v>
      </c>
      <c r="K19" s="62">
        <v>10</v>
      </c>
      <c r="L19" s="62">
        <v>6</v>
      </c>
      <c r="M19" s="62">
        <f>(C19*$S$18*1000)+S34</f>
        <v>14600</v>
      </c>
      <c r="N19" s="62">
        <f>$S$38*C19</f>
        <v>142.4</v>
      </c>
      <c r="O19" s="56">
        <f t="shared" si="4"/>
        <v>2.0355739417945929E-2</v>
      </c>
      <c r="P19" s="56">
        <f t="shared" si="0"/>
        <v>3560</v>
      </c>
      <c r="Q19" s="56"/>
      <c r="R19" s="65" t="s">
        <v>248</v>
      </c>
      <c r="S19" s="1">
        <v>26.5</v>
      </c>
      <c r="T19" s="46">
        <v>700</v>
      </c>
      <c r="U19" s="56"/>
      <c r="V19" s="1">
        <v>453.73200000000003</v>
      </c>
      <c r="W19" s="1">
        <f t="shared" si="5"/>
        <v>-14146.268</v>
      </c>
      <c r="X19" s="1">
        <f t="shared" si="1"/>
        <v>11343.300000000001</v>
      </c>
      <c r="Y19" s="1">
        <f t="shared" si="6"/>
        <v>-3256.6999999999989</v>
      </c>
      <c r="Z19" s="1">
        <f t="shared" si="2"/>
        <v>0.12607617660516696</v>
      </c>
      <c r="AA19" s="1">
        <f t="shared" si="3"/>
        <v>0.21707840171734977</v>
      </c>
      <c r="AB19" s="1"/>
      <c r="AC19" s="1"/>
      <c r="AD19" s="1">
        <f t="shared" si="16"/>
        <v>17</v>
      </c>
      <c r="AE19">
        <f t="shared" si="17"/>
        <v>18220.519700000001</v>
      </c>
      <c r="AF19">
        <f t="shared" si="18"/>
        <v>-257954.16510000004</v>
      </c>
      <c r="AG19">
        <f t="shared" si="7"/>
        <v>6658.8500287269162</v>
      </c>
      <c r="AH19">
        <f t="shared" si="14"/>
        <v>-378167.4316184739</v>
      </c>
      <c r="AI19">
        <f t="shared" si="8"/>
        <v>27724.675503656679</v>
      </c>
      <c r="AJ19">
        <f t="shared" si="9"/>
        <v>10132.227802150379</v>
      </c>
      <c r="AK19">
        <f t="shared" si="15"/>
        <v>-337411.35568622622</v>
      </c>
      <c r="AW19">
        <f t="shared" si="10"/>
        <v>1.3658673679331133E-2</v>
      </c>
      <c r="AX19">
        <f t="shared" ref="AX19:AX34" si="19">AW19*$AV$2</f>
        <v>-2822.335408854367</v>
      </c>
      <c r="AY19">
        <f t="shared" si="12"/>
        <v>-3104.5689497398039</v>
      </c>
      <c r="AZ19">
        <f t="shared" si="13"/>
        <v>-282.23354088543692</v>
      </c>
    </row>
    <row r="20" spans="1:52" x14ac:dyDescent="0.35">
      <c r="A20" s="1">
        <v>19</v>
      </c>
      <c r="B20" s="1">
        <v>6393.5501464958952</v>
      </c>
      <c r="C20" s="1">
        <v>4</v>
      </c>
      <c r="D20" s="1">
        <v>6995.57</v>
      </c>
      <c r="E20" s="1">
        <v>6393.55</v>
      </c>
      <c r="F20" s="1">
        <v>1450.97</v>
      </c>
      <c r="G20" s="1">
        <v>130.24100000000001</v>
      </c>
      <c r="H20" s="1">
        <v>3311.12</v>
      </c>
      <c r="I20" s="1">
        <v>2233.48</v>
      </c>
      <c r="J20" s="1">
        <v>4160.07</v>
      </c>
      <c r="K20" s="1">
        <v>10</v>
      </c>
      <c r="L20" s="1">
        <v>0</v>
      </c>
      <c r="M20" s="1">
        <f>C20*$S$18*1000</f>
        <v>10400</v>
      </c>
      <c r="N20" s="1">
        <f>$S$19*C20</f>
        <v>106</v>
      </c>
      <c r="O20" s="4">
        <f t="shared" si="4"/>
        <v>1.5152446476841773E-2</v>
      </c>
      <c r="P20" s="4">
        <f t="shared" si="0"/>
        <v>2650</v>
      </c>
      <c r="Q20" s="4"/>
      <c r="R20" s="65" t="s">
        <v>250</v>
      </c>
      <c r="S20" s="1">
        <v>6.0999999999999999E-2</v>
      </c>
      <c r="T20" s="30" t="s">
        <v>300</v>
      </c>
      <c r="U20" s="4"/>
      <c r="V20" s="1">
        <v>120.19499999999999</v>
      </c>
      <c r="W20" s="1">
        <f t="shared" si="5"/>
        <v>-10279.805</v>
      </c>
      <c r="X20" s="1">
        <f t="shared" si="1"/>
        <v>3004.875</v>
      </c>
      <c r="Y20" s="1">
        <f t="shared" si="6"/>
        <v>-7395.125</v>
      </c>
      <c r="Z20" s="1">
        <f t="shared" si="2"/>
        <v>8.0218018884684161E-2</v>
      </c>
      <c r="AA20" s="1">
        <f t="shared" si="3"/>
        <v>0.13622527750796973</v>
      </c>
      <c r="AB20" s="1"/>
      <c r="AC20" s="2" t="s">
        <v>332</v>
      </c>
      <c r="AD20" s="1">
        <f>AD19+1</f>
        <v>18</v>
      </c>
      <c r="AE20">
        <f t="shared" si="17"/>
        <v>18220.519700000001</v>
      </c>
      <c r="AF20">
        <f t="shared" si="18"/>
        <v>-239733.64540000004</v>
      </c>
      <c r="AG20">
        <f t="shared" si="7"/>
        <v>6276.0132221742842</v>
      </c>
      <c r="AH20">
        <f t="shared" si="14"/>
        <v>-371891.41839629959</v>
      </c>
      <c r="AI20">
        <f t="shared" si="8"/>
        <v>28417.792391248095</v>
      </c>
      <c r="AJ20">
        <f t="shared" si="9"/>
        <v>9788.4387344054085</v>
      </c>
      <c r="AK20">
        <f t="shared" si="15"/>
        <v>-327622.91695182084</v>
      </c>
      <c r="AW20">
        <f t="shared" si="10"/>
        <v>1.5808720039664811E-2</v>
      </c>
      <c r="AX20">
        <f t="shared" si="19"/>
        <v>-3266.6063619433753</v>
      </c>
      <c r="AY20">
        <f t="shared" si="12"/>
        <v>-3593.266998137713</v>
      </c>
      <c r="AZ20">
        <f t="shared" si="13"/>
        <v>-326.66063619433771</v>
      </c>
    </row>
    <row r="21" spans="1:52" x14ac:dyDescent="0.35">
      <c r="A21" s="1">
        <v>20</v>
      </c>
      <c r="B21" s="62">
        <v>6287.6864400653858</v>
      </c>
      <c r="C21" s="62">
        <v>10</v>
      </c>
      <c r="D21" s="62">
        <v>17488.900000000001</v>
      </c>
      <c r="E21" s="62">
        <v>6287.69</v>
      </c>
      <c r="F21" s="62">
        <v>8120.34</v>
      </c>
      <c r="G21" s="62">
        <v>841.88900000000001</v>
      </c>
      <c r="H21" s="62">
        <v>7131.35</v>
      </c>
      <c r="I21" s="62">
        <v>2494.35</v>
      </c>
      <c r="J21" s="62">
        <v>3382.63</v>
      </c>
      <c r="K21" s="62">
        <v>25</v>
      </c>
      <c r="L21" s="62">
        <v>13.5</v>
      </c>
      <c r="M21" s="62">
        <f>(C21*$S$18*1000)+S36</f>
        <v>33300</v>
      </c>
      <c r="N21" s="62">
        <f>$S$38*C21</f>
        <v>356</v>
      </c>
      <c r="O21" s="56">
        <f t="shared" si="4"/>
        <v>2.0355768516030166E-2</v>
      </c>
      <c r="P21" s="56">
        <f t="shared" si="0"/>
        <v>8900</v>
      </c>
      <c r="Q21" s="56"/>
      <c r="R21" s="65" t="s">
        <v>251</v>
      </c>
      <c r="S21" s="1" t="s">
        <v>252</v>
      </c>
      <c r="T21" s="46">
        <v>1.2</v>
      </c>
      <c r="U21" s="56"/>
      <c r="V21" s="1">
        <v>1324.72</v>
      </c>
      <c r="W21" s="1">
        <f t="shared" si="5"/>
        <v>-31975.279999999999</v>
      </c>
      <c r="X21" s="1">
        <f t="shared" si="1"/>
        <v>33118</v>
      </c>
      <c r="Y21" s="1">
        <f t="shared" si="6"/>
        <v>-182</v>
      </c>
      <c r="Z21" s="1">
        <f t="shared" si="2"/>
        <v>0.23219839341418722</v>
      </c>
      <c r="AA21" s="1">
        <f t="shared" si="3"/>
        <v>0.41454866316570171</v>
      </c>
      <c r="AB21" s="1"/>
      <c r="AC21" s="1">
        <f>MAX(V47:V100)</f>
        <v>382.77600000000001</v>
      </c>
      <c r="AD21" s="1">
        <f t="shared" si="16"/>
        <v>19</v>
      </c>
      <c r="AE21">
        <f t="shared" si="17"/>
        <v>18220.519700000001</v>
      </c>
      <c r="AF21">
        <f t="shared" si="18"/>
        <v>-221513.12570000003</v>
      </c>
      <c r="AG21">
        <f t="shared" si="7"/>
        <v>5915.186825800457</v>
      </c>
      <c r="AH21">
        <f t="shared" si="14"/>
        <v>-365976.23157049913</v>
      </c>
      <c r="AI21">
        <f t="shared" si="8"/>
        <v>29128.2372010293</v>
      </c>
      <c r="AJ21">
        <f t="shared" si="9"/>
        <v>9456.3145172154054</v>
      </c>
      <c r="AK21">
        <f t="shared" si="15"/>
        <v>-318166.60243460542</v>
      </c>
      <c r="AW21">
        <f t="shared" si="10"/>
        <v>1.5546960976394084E-2</v>
      </c>
      <c r="AX21">
        <f t="shared" si="19"/>
        <v>-3212.5182498614927</v>
      </c>
      <c r="AY21">
        <f t="shared" si="12"/>
        <v>-3533.7700748476423</v>
      </c>
      <c r="AZ21">
        <f t="shared" si="13"/>
        <v>-321.25182498614959</v>
      </c>
    </row>
    <row r="22" spans="1:52" x14ac:dyDescent="0.35">
      <c r="A22" s="1">
        <v>21</v>
      </c>
      <c r="B22" s="62">
        <v>1195.617299383852</v>
      </c>
      <c r="C22" s="62">
        <v>2</v>
      </c>
      <c r="D22" s="62">
        <v>3497.79</v>
      </c>
      <c r="E22" s="62">
        <v>1195.6199999999999</v>
      </c>
      <c r="F22" s="62">
        <v>1334.89</v>
      </c>
      <c r="G22" s="62">
        <v>132.762</v>
      </c>
      <c r="H22" s="62">
        <v>1658.19</v>
      </c>
      <c r="I22" s="62">
        <v>558.10699999999997</v>
      </c>
      <c r="J22" s="62">
        <v>464.2</v>
      </c>
      <c r="K22" s="62">
        <v>5</v>
      </c>
      <c r="L22" s="62">
        <v>1.2</v>
      </c>
      <c r="M22" s="62">
        <f>(C22*$S$18*1000)+S29</f>
        <v>7240</v>
      </c>
      <c r="N22" s="62">
        <f>$S$38*C22</f>
        <v>71.2</v>
      </c>
      <c r="O22" s="56">
        <f t="shared" si="4"/>
        <v>2.0355710319944882E-2</v>
      </c>
      <c r="P22" s="56">
        <f t="shared" si="0"/>
        <v>1780</v>
      </c>
      <c r="Q22" s="56"/>
      <c r="R22" s="65" t="s">
        <v>262</v>
      </c>
      <c r="S22" s="1">
        <v>7.0000000000000007E-2</v>
      </c>
      <c r="T22" s="46">
        <v>2</v>
      </c>
      <c r="U22" s="56"/>
      <c r="V22" s="1">
        <v>291.58100000000002</v>
      </c>
      <c r="W22" s="1">
        <f t="shared" si="5"/>
        <v>-6948.4189999999999</v>
      </c>
      <c r="X22" s="1">
        <f t="shared" si="1"/>
        <v>7289.5250000000005</v>
      </c>
      <c r="Y22" s="1">
        <f t="shared" si="6"/>
        <v>49.525000000000546</v>
      </c>
      <c r="Z22" s="1">
        <f t="shared" si="2"/>
        <v>0.2625736843733833</v>
      </c>
      <c r="AA22" s="1">
        <f t="shared" si="3"/>
        <v>0.47107050095382247</v>
      </c>
      <c r="AB22" s="1"/>
      <c r="AC22" s="1"/>
      <c r="AD22" s="1">
        <f t="shared" si="16"/>
        <v>20</v>
      </c>
      <c r="AE22">
        <f t="shared" si="17"/>
        <v>18220.519700000001</v>
      </c>
      <c r="AF22">
        <f t="shared" si="18"/>
        <v>-203292.60600000003</v>
      </c>
      <c r="AG22">
        <f t="shared" si="7"/>
        <v>5575.1053966074051</v>
      </c>
      <c r="AH22">
        <f t="shared" si="14"/>
        <v>-360401.12617389171</v>
      </c>
      <c r="AI22">
        <f t="shared" si="8"/>
        <v>29856.443131055028</v>
      </c>
      <c r="AJ22">
        <f t="shared" si="9"/>
        <v>9135.4593592326</v>
      </c>
      <c r="AK22">
        <f t="shared" si="15"/>
        <v>-309031.14307537279</v>
      </c>
      <c r="AW22">
        <f t="shared" si="10"/>
        <v>2.9562885607299989E-3</v>
      </c>
      <c r="AX22">
        <f t="shared" si="19"/>
        <v>-610.86735649635773</v>
      </c>
      <c r="AY22">
        <f t="shared" si="12"/>
        <v>-671.95409214599351</v>
      </c>
      <c r="AZ22">
        <f t="shared" si="13"/>
        <v>-61.086735649635784</v>
      </c>
    </row>
    <row r="23" spans="1:52" x14ac:dyDescent="0.35">
      <c r="A23" s="1">
        <v>22</v>
      </c>
      <c r="B23" s="1">
        <v>4102.942217502793</v>
      </c>
      <c r="C23" s="1">
        <v>4</v>
      </c>
      <c r="D23" s="1">
        <v>6995.57</v>
      </c>
      <c r="E23" s="1">
        <v>4102.9399999999996</v>
      </c>
      <c r="F23" s="1">
        <v>1869.19</v>
      </c>
      <c r="G23" s="1">
        <v>171.71799999999999</v>
      </c>
      <c r="H23" s="1">
        <v>3587.24</v>
      </c>
      <c r="I23" s="1">
        <v>1539.14</v>
      </c>
      <c r="J23" s="1">
        <v>2563.8000000000002</v>
      </c>
      <c r="K23" s="1">
        <v>10</v>
      </c>
      <c r="L23" s="1">
        <v>0</v>
      </c>
      <c r="M23" s="1">
        <f>C23*$S$18*1000</f>
        <v>10400</v>
      </c>
      <c r="N23" s="1">
        <f>$S$19*C23</f>
        <v>106</v>
      </c>
      <c r="O23" s="4">
        <f t="shared" si="4"/>
        <v>1.5152446476841773E-2</v>
      </c>
      <c r="P23" s="4">
        <f t="shared" si="0"/>
        <v>2650</v>
      </c>
      <c r="Q23" s="4"/>
      <c r="R23" s="65" t="s">
        <v>263</v>
      </c>
      <c r="S23" s="1">
        <v>2.5000000000000001E-2</v>
      </c>
      <c r="T23" s="46">
        <v>3.3</v>
      </c>
      <c r="U23" s="4"/>
      <c r="V23" s="1">
        <v>325.01499999999999</v>
      </c>
      <c r="W23" s="1">
        <f t="shared" si="5"/>
        <v>-10074.985000000001</v>
      </c>
      <c r="X23" s="1">
        <f t="shared" si="1"/>
        <v>8125.375</v>
      </c>
      <c r="Y23" s="1">
        <f t="shared" si="6"/>
        <v>-2274.625</v>
      </c>
      <c r="Z23" s="1">
        <f t="shared" si="2"/>
        <v>0.1165431017547495</v>
      </c>
      <c r="AA23" s="1">
        <f t="shared" si="3"/>
        <v>0.20381832952865786</v>
      </c>
      <c r="AB23" s="1"/>
      <c r="AC23" s="1"/>
      <c r="AD23" s="1">
        <f t="shared" si="16"/>
        <v>21</v>
      </c>
      <c r="AE23">
        <f t="shared" si="17"/>
        <v>18220.519700000001</v>
      </c>
      <c r="AF23">
        <f t="shared" si="18"/>
        <v>-185072.08630000002</v>
      </c>
      <c r="AG23">
        <f t="shared" si="7"/>
        <v>5254.5762456243219</v>
      </c>
      <c r="AH23">
        <f t="shared" si="14"/>
        <v>-355146.54992826737</v>
      </c>
      <c r="AI23">
        <f t="shared" si="8"/>
        <v>30602.854209331399</v>
      </c>
      <c r="AJ23">
        <f t="shared" si="9"/>
        <v>8825.4908984103804</v>
      </c>
      <c r="AK23">
        <f t="shared" si="15"/>
        <v>-300205.65217696241</v>
      </c>
      <c r="AW23">
        <f t="shared" si="10"/>
        <v>1.0144952861748048E-2</v>
      </c>
      <c r="AX23">
        <f t="shared" si="19"/>
        <v>-2096.2840430251858</v>
      </c>
      <c r="AY23">
        <f t="shared" si="12"/>
        <v>-2305.9124473277047</v>
      </c>
      <c r="AZ23">
        <f t="shared" si="13"/>
        <v>-209.6284043025189</v>
      </c>
    </row>
    <row r="24" spans="1:52" x14ac:dyDescent="0.35">
      <c r="A24" s="1">
        <v>23</v>
      </c>
      <c r="B24" s="62">
        <v>2916.9354826987528</v>
      </c>
      <c r="C24" s="62">
        <v>2</v>
      </c>
      <c r="D24" s="62">
        <v>3465.23</v>
      </c>
      <c r="E24" s="62">
        <v>2916.94</v>
      </c>
      <c r="F24" s="62">
        <v>1050.31</v>
      </c>
      <c r="G24" s="62">
        <v>98.870500000000007</v>
      </c>
      <c r="H24" s="62">
        <v>1426.38</v>
      </c>
      <c r="I24" s="62">
        <v>1031.08</v>
      </c>
      <c r="J24" s="62">
        <v>949.72299999999996</v>
      </c>
      <c r="K24" s="62">
        <v>5</v>
      </c>
      <c r="L24" s="62">
        <v>2</v>
      </c>
      <c r="M24" s="62">
        <f>(C24*$S$18*1000)+S30</f>
        <v>8600</v>
      </c>
      <c r="N24" s="62">
        <f>$S$38*C24</f>
        <v>71.2</v>
      </c>
      <c r="O24" s="56">
        <f t="shared" si="4"/>
        <v>2.0546976679758633E-2</v>
      </c>
      <c r="P24" s="56">
        <f t="shared" si="0"/>
        <v>1780</v>
      </c>
      <c r="Q24" s="56"/>
      <c r="R24" s="63"/>
      <c r="S24" s="4"/>
      <c r="T24" s="46">
        <v>4.2</v>
      </c>
      <c r="U24" s="56"/>
      <c r="V24" s="1">
        <v>235.66200000000001</v>
      </c>
      <c r="W24" s="1">
        <f t="shared" si="5"/>
        <v>-8364.3379999999997</v>
      </c>
      <c r="X24" s="1">
        <f t="shared" si="1"/>
        <v>5891.55</v>
      </c>
      <c r="Y24" s="1">
        <f t="shared" si="6"/>
        <v>-2708.45</v>
      </c>
      <c r="Z24" s="1">
        <f t="shared" si="2"/>
        <v>0.13847896456237396</v>
      </c>
      <c r="AA24" s="1">
        <f t="shared" si="3"/>
        <v>0.23999266990409021</v>
      </c>
      <c r="AB24" s="1"/>
      <c r="AC24" s="1"/>
      <c r="AD24" s="1">
        <f t="shared" si="16"/>
        <v>22</v>
      </c>
      <c r="AE24">
        <f t="shared" si="17"/>
        <v>18220.519700000001</v>
      </c>
      <c r="AF24">
        <f t="shared" si="18"/>
        <v>-166851.56660000002</v>
      </c>
      <c r="AG24">
        <f t="shared" si="7"/>
        <v>4952.4752550653357</v>
      </c>
      <c r="AH24">
        <f t="shared" si="14"/>
        <v>-350194.07467320201</v>
      </c>
      <c r="AI24">
        <f t="shared" si="8"/>
        <v>31367.925564564684</v>
      </c>
      <c r="AJ24">
        <f t="shared" si="9"/>
        <v>8526.0397463436748</v>
      </c>
      <c r="AK24">
        <f t="shared" si="15"/>
        <v>-291679.61243061873</v>
      </c>
      <c r="AW24">
        <f t="shared" si="10"/>
        <v>7.2124274250077204E-3</v>
      </c>
      <c r="AX24">
        <f t="shared" si="19"/>
        <v>-1490.3269368090243</v>
      </c>
      <c r="AY24">
        <f t="shared" si="12"/>
        <v>-1639.359630489927</v>
      </c>
      <c r="AZ24">
        <f t="shared" si="13"/>
        <v>-149.03269368090264</v>
      </c>
    </row>
    <row r="25" spans="1:52" x14ac:dyDescent="0.35">
      <c r="A25" s="1">
        <v>24</v>
      </c>
      <c r="B25" s="62">
        <v>4395.7178346280416</v>
      </c>
      <c r="C25" s="62">
        <v>4</v>
      </c>
      <c r="D25" s="62">
        <v>6930.46</v>
      </c>
      <c r="E25" s="62">
        <v>4395.72</v>
      </c>
      <c r="F25" s="62">
        <v>2268.81</v>
      </c>
      <c r="G25" s="62">
        <v>218.07400000000001</v>
      </c>
      <c r="H25" s="62">
        <v>2973.31</v>
      </c>
      <c r="I25" s="62">
        <v>1797.8</v>
      </c>
      <c r="J25" s="62">
        <v>1736.79</v>
      </c>
      <c r="K25" s="62">
        <v>10</v>
      </c>
      <c r="L25" s="62">
        <v>3.3</v>
      </c>
      <c r="M25" s="62">
        <f>(C25*$S$18*1000)+S31</f>
        <v>14096</v>
      </c>
      <c r="N25" s="62">
        <f>$S$38*C25</f>
        <v>142.4</v>
      </c>
      <c r="O25" s="56">
        <f t="shared" si="4"/>
        <v>2.0546976679758633E-2</v>
      </c>
      <c r="P25" s="56">
        <f t="shared" si="0"/>
        <v>3560</v>
      </c>
      <c r="Q25" s="56"/>
      <c r="R25" s="63"/>
      <c r="S25" s="4"/>
      <c r="T25" s="46">
        <v>5</v>
      </c>
      <c r="U25" s="56"/>
      <c r="V25" s="1">
        <v>486.286</v>
      </c>
      <c r="W25" s="1">
        <f t="shared" si="5"/>
        <v>-13609.714</v>
      </c>
      <c r="X25" s="1">
        <f t="shared" si="1"/>
        <v>12157.15</v>
      </c>
      <c r="Y25" s="1">
        <f t="shared" si="6"/>
        <v>-1938.8500000000004</v>
      </c>
      <c r="Z25" s="1">
        <f t="shared" si="2"/>
        <v>0.14881726635992215</v>
      </c>
      <c r="AA25" s="1">
        <f t="shared" si="3"/>
        <v>0.25922999342808173</v>
      </c>
      <c r="AB25" s="1"/>
      <c r="AC25" s="1"/>
      <c r="AD25" s="1">
        <f t="shared" si="16"/>
        <v>23</v>
      </c>
      <c r="AE25">
        <f t="shared" si="17"/>
        <v>18220.519700000001</v>
      </c>
      <c r="AF25">
        <f t="shared" si="18"/>
        <v>-148631.04690000002</v>
      </c>
      <c r="AG25">
        <f t="shared" si="7"/>
        <v>4667.7429359710995</v>
      </c>
      <c r="AH25">
        <f t="shared" si="14"/>
        <v>-345526.33173723088</v>
      </c>
      <c r="AI25">
        <f t="shared" si="8"/>
        <v>32152.123703678801</v>
      </c>
      <c r="AJ25">
        <f t="shared" si="9"/>
        <v>8236.7490480699998</v>
      </c>
      <c r="AK25">
        <f t="shared" si="15"/>
        <v>-283442.86338254873</v>
      </c>
      <c r="AW25">
        <f t="shared" si="10"/>
        <v>1.0868871132430546E-2</v>
      </c>
      <c r="AX25">
        <f t="shared" si="19"/>
        <v>-2245.8695896478857</v>
      </c>
      <c r="AY25">
        <f t="shared" si="12"/>
        <v>-2470.4565486126744</v>
      </c>
      <c r="AZ25">
        <f t="shared" si="13"/>
        <v>-224.58695896478866</v>
      </c>
    </row>
    <row r="26" spans="1:52" x14ac:dyDescent="0.35">
      <c r="A26" s="1">
        <v>25</v>
      </c>
      <c r="B26" s="1">
        <v>3480.4540913845358</v>
      </c>
      <c r="C26" s="1">
        <v>2</v>
      </c>
      <c r="D26" s="1">
        <v>3465.23</v>
      </c>
      <c r="E26" s="1">
        <v>3480.45</v>
      </c>
      <c r="F26" s="1">
        <v>621.553</v>
      </c>
      <c r="G26" s="1">
        <v>55.542900000000003</v>
      </c>
      <c r="H26" s="1">
        <v>1519.54</v>
      </c>
      <c r="I26" s="1">
        <v>1324.14</v>
      </c>
      <c r="J26" s="1">
        <v>2156.31</v>
      </c>
      <c r="K26" s="1">
        <v>5</v>
      </c>
      <c r="L26" s="1">
        <v>0</v>
      </c>
      <c r="M26" s="1">
        <f>C26*$S$18*1000</f>
        <v>5200</v>
      </c>
      <c r="N26" s="1">
        <f>$S$19*C26</f>
        <v>53</v>
      </c>
      <c r="O26" s="4">
        <f t="shared" si="4"/>
        <v>1.5294800056561902E-2</v>
      </c>
      <c r="P26" s="4">
        <f t="shared" si="0"/>
        <v>1325</v>
      </c>
      <c r="Q26" s="4"/>
      <c r="R26" s="63" t="s">
        <v>298</v>
      </c>
      <c r="S26" s="4">
        <v>1</v>
      </c>
      <c r="T26" s="46">
        <v>6</v>
      </c>
      <c r="U26" s="4"/>
      <c r="V26" s="1">
        <v>59.389600000000002</v>
      </c>
      <c r="W26" s="1">
        <f t="shared" si="5"/>
        <v>-5140.6103999999996</v>
      </c>
      <c r="X26" s="1">
        <f t="shared" si="1"/>
        <v>1484.74</v>
      </c>
      <c r="Y26" s="1">
        <f t="shared" si="6"/>
        <v>-3715.26</v>
      </c>
      <c r="Z26" s="1">
        <f t="shared" si="2"/>
        <v>7.505711685162611E-2</v>
      </c>
      <c r="AA26" s="1">
        <f t="shared" si="3"/>
        <v>0.12649942971852179</v>
      </c>
      <c r="AB26" s="1"/>
      <c r="AC26" s="1"/>
      <c r="AD26" s="1">
        <f>AD25+1</f>
        <v>24</v>
      </c>
      <c r="AE26">
        <f t="shared" si="17"/>
        <v>18220.519700000001</v>
      </c>
      <c r="AF26">
        <f t="shared" si="18"/>
        <v>-130410.52720000001</v>
      </c>
      <c r="AG26">
        <f t="shared" si="7"/>
        <v>4399.3807125081057</v>
      </c>
      <c r="AH26">
        <f t="shared" si="14"/>
        <v>-341126.95102472277</v>
      </c>
      <c r="AI26">
        <f t="shared" si="8"/>
        <v>32955.926796270767</v>
      </c>
      <c r="AJ26">
        <f t="shared" si="9"/>
        <v>7957.2740568065492</v>
      </c>
      <c r="AK26">
        <f t="shared" si="15"/>
        <v>-275485.58932574221</v>
      </c>
      <c r="AW26">
        <f t="shared" si="10"/>
        <v>8.6057860000925569E-3</v>
      </c>
      <c r="AX26">
        <f t="shared" si="19"/>
        <v>-1778.241073717036</v>
      </c>
      <c r="AY26">
        <f t="shared" si="12"/>
        <v>-1956.0651810887398</v>
      </c>
      <c r="AZ26">
        <f t="shared" si="13"/>
        <v>-177.8241073717038</v>
      </c>
    </row>
    <row r="27" spans="1:52" x14ac:dyDescent="0.35">
      <c r="A27" s="1">
        <v>26</v>
      </c>
      <c r="B27" s="1">
        <v>5233.1130996820621</v>
      </c>
      <c r="C27" s="1">
        <v>4</v>
      </c>
      <c r="D27" s="1">
        <v>6930.46</v>
      </c>
      <c r="E27" s="1">
        <v>5233.1099999999997</v>
      </c>
      <c r="F27" s="1">
        <v>1642.54</v>
      </c>
      <c r="G27" s="1">
        <v>148.89400000000001</v>
      </c>
      <c r="H27" s="1">
        <v>3427.61</v>
      </c>
      <c r="I27" s="1">
        <v>1860.31</v>
      </c>
      <c r="J27" s="1">
        <v>3372.81</v>
      </c>
      <c r="K27" s="1">
        <v>10</v>
      </c>
      <c r="L27" s="1">
        <v>0</v>
      </c>
      <c r="M27" s="1">
        <f>C27*$S$18*1000</f>
        <v>10400</v>
      </c>
      <c r="N27" s="1">
        <f>$S$19*C27</f>
        <v>106</v>
      </c>
      <c r="O27" s="4">
        <f t="shared" si="4"/>
        <v>1.5294800056561902E-2</v>
      </c>
      <c r="P27" s="4">
        <f t="shared" si="0"/>
        <v>2650</v>
      </c>
      <c r="Q27" s="4"/>
      <c r="R27" s="67" t="s">
        <v>259</v>
      </c>
      <c r="S27" s="76"/>
      <c r="T27" s="46"/>
      <c r="U27" s="4"/>
      <c r="V27" s="1">
        <v>212.84299999999999</v>
      </c>
      <c r="W27" s="1">
        <f t="shared" si="5"/>
        <v>-10187.156999999999</v>
      </c>
      <c r="X27" s="1">
        <f t="shared" si="1"/>
        <v>5321.0749999999998</v>
      </c>
      <c r="Y27" s="1">
        <f t="shared" si="6"/>
        <v>-5078.9250000000002</v>
      </c>
      <c r="Z27" s="1">
        <f t="shared" si="2"/>
        <v>9.4788591242782216E-2</v>
      </c>
      <c r="AA27" s="1">
        <f t="shared" si="3"/>
        <v>0.1632153975729371</v>
      </c>
      <c r="AB27" s="1"/>
      <c r="AC27" s="1"/>
      <c r="AD27" s="1">
        <f t="shared" si="16"/>
        <v>25</v>
      </c>
      <c r="AE27">
        <f t="shared" si="17"/>
        <v>18220.519700000001</v>
      </c>
      <c r="AF27">
        <f t="shared" si="18"/>
        <v>-112190.00750000001</v>
      </c>
      <c r="AG27">
        <f t="shared" si="7"/>
        <v>4146.4474198945381</v>
      </c>
      <c r="AH27">
        <f t="shared" si="14"/>
        <v>-336980.50360482826</v>
      </c>
      <c r="AI27">
        <f t="shared" si="8"/>
        <v>33779.824966177533</v>
      </c>
      <c r="AJ27">
        <f t="shared" si="9"/>
        <v>7687.2817231165991</v>
      </c>
      <c r="AK27">
        <f t="shared" si="15"/>
        <v>-267798.30760262563</v>
      </c>
      <c r="AW27">
        <f t="shared" si="10"/>
        <v>1.2939418325219101E-2</v>
      </c>
      <c r="AX27">
        <f t="shared" si="19"/>
        <v>-2673.713375589869</v>
      </c>
      <c r="AY27">
        <f t="shared" si="12"/>
        <v>-2941.0847131488563</v>
      </c>
      <c r="AZ27">
        <f t="shared" si="13"/>
        <v>-267.37133755898731</v>
      </c>
    </row>
    <row r="28" spans="1:52" x14ac:dyDescent="0.35">
      <c r="A28" s="1">
        <v>27</v>
      </c>
      <c r="B28" s="1">
        <v>6696.2920887280334</v>
      </c>
      <c r="C28" s="1">
        <v>4</v>
      </c>
      <c r="D28" s="1">
        <v>6930.46</v>
      </c>
      <c r="E28" s="1">
        <v>6696.29</v>
      </c>
      <c r="F28" s="1">
        <v>1385.43</v>
      </c>
      <c r="G28" s="1">
        <v>124.053</v>
      </c>
      <c r="H28" s="1">
        <v>3240.4</v>
      </c>
      <c r="I28" s="1">
        <v>2304.63</v>
      </c>
      <c r="J28" s="1">
        <v>4391.67</v>
      </c>
      <c r="K28" s="1">
        <v>10</v>
      </c>
      <c r="L28" s="1">
        <v>0</v>
      </c>
      <c r="M28" s="1">
        <f>C28*$S$18*1000</f>
        <v>10400</v>
      </c>
      <c r="N28" s="1">
        <f>$S$19*C28</f>
        <v>106</v>
      </c>
      <c r="O28" s="4">
        <f t="shared" si="4"/>
        <v>1.5294800056561902E-2</v>
      </c>
      <c r="P28" s="4">
        <f t="shared" si="0"/>
        <v>2650</v>
      </c>
      <c r="Q28" s="4"/>
      <c r="R28" s="50" t="s">
        <v>245</v>
      </c>
      <c r="S28" s="2" t="s">
        <v>246</v>
      </c>
      <c r="T28" s="46"/>
      <c r="U28" s="4"/>
      <c r="V28" s="1">
        <v>83.282200000000003</v>
      </c>
      <c r="W28" s="1">
        <f t="shared" si="5"/>
        <v>-10316.7178</v>
      </c>
      <c r="X28" s="1">
        <f t="shared" si="1"/>
        <v>2082.0550000000003</v>
      </c>
      <c r="Y28" s="1">
        <f t="shared" si="6"/>
        <v>-8317.9449999999997</v>
      </c>
      <c r="Z28" s="1">
        <f t="shared" si="2"/>
        <v>7.7418732896985462E-2</v>
      </c>
      <c r="AA28" s="1">
        <f t="shared" si="3"/>
        <v>0.13089388180491782</v>
      </c>
      <c r="AB28" s="1"/>
      <c r="AD28" s="1"/>
      <c r="AW28">
        <f t="shared" si="10"/>
        <v>1.6557281089371333E-2</v>
      </c>
      <c r="AX28">
        <f t="shared" si="19"/>
        <v>-3421.2839247782586</v>
      </c>
      <c r="AY28">
        <f t="shared" si="12"/>
        <v>-3763.4123172560849</v>
      </c>
      <c r="AZ28">
        <f t="shared" si="13"/>
        <v>-342.12839247782631</v>
      </c>
    </row>
    <row r="29" spans="1:52" x14ac:dyDescent="0.35">
      <c r="A29" s="1">
        <v>28</v>
      </c>
      <c r="B29" s="62">
        <v>8230.4847304692612</v>
      </c>
      <c r="C29" s="62">
        <v>6</v>
      </c>
      <c r="D29" s="62">
        <v>10395.700000000001</v>
      </c>
      <c r="E29" s="62">
        <v>8230.48</v>
      </c>
      <c r="F29" s="62">
        <v>2928.68</v>
      </c>
      <c r="G29" s="62">
        <v>274</v>
      </c>
      <c r="H29" s="62">
        <v>4210.74</v>
      </c>
      <c r="I29" s="62">
        <v>3393.9</v>
      </c>
      <c r="J29" s="62">
        <v>2532.5700000000002</v>
      </c>
      <c r="K29" s="62">
        <v>15</v>
      </c>
      <c r="L29" s="62">
        <v>5</v>
      </c>
      <c r="M29" s="62">
        <f>(C29*$S$18*1000)+S33</f>
        <v>19100</v>
      </c>
      <c r="N29" s="62">
        <f>$S$38*C29</f>
        <v>213.60000000000002</v>
      </c>
      <c r="O29" s="56">
        <f t="shared" si="4"/>
        <v>2.0546956914878269E-2</v>
      </c>
      <c r="P29" s="56">
        <f t="shared" si="0"/>
        <v>5340.0000000000009</v>
      </c>
      <c r="Q29" s="56"/>
      <c r="R29" s="63" t="s">
        <v>288</v>
      </c>
      <c r="S29" s="4">
        <f>(T21*T17*$S$26)</f>
        <v>2040</v>
      </c>
      <c r="T29" s="46" t="s">
        <v>289</v>
      </c>
      <c r="U29" s="56"/>
      <c r="V29" s="1">
        <v>774.16899999999998</v>
      </c>
      <c r="W29" s="1">
        <f t="shared" si="5"/>
        <v>-18325.830999999998</v>
      </c>
      <c r="X29" s="1">
        <f t="shared" si="1"/>
        <v>19354.224999999999</v>
      </c>
      <c r="Y29" s="1">
        <f t="shared" si="6"/>
        <v>254.22499999999854</v>
      </c>
      <c r="Z29" s="1">
        <f t="shared" si="2"/>
        <v>0.11337259538203578</v>
      </c>
      <c r="AA29" s="1">
        <f t="shared" si="3"/>
        <v>0.19327521282024138</v>
      </c>
      <c r="AB29" s="1"/>
      <c r="AC29" s="1"/>
      <c r="AE29" s="18" t="s">
        <v>51</v>
      </c>
      <c r="AF29" s="4">
        <f>AD5-(AF5/AE6)</f>
        <v>31.1573439916755</v>
      </c>
      <c r="AG29" s="4"/>
      <c r="AH29" s="10">
        <f>AD6-(AH6/AG7)</f>
        <v>41.244244492723453</v>
      </c>
      <c r="AI29" s="10"/>
      <c r="AJ29" s="10"/>
      <c r="AK29" s="10">
        <f>AD15-(AK15/AJ6)</f>
        <v>36.951502086969164</v>
      </c>
      <c r="AW29">
        <f t="shared" si="10"/>
        <v>2.0350732521592207E-2</v>
      </c>
      <c r="AX29">
        <f t="shared" si="19"/>
        <v>-4205.1369218029722</v>
      </c>
      <c r="AY29">
        <f t="shared" si="12"/>
        <v>-4625.65061398327</v>
      </c>
      <c r="AZ29">
        <f t="shared" si="13"/>
        <v>-420.51369218029777</v>
      </c>
    </row>
    <row r="30" spans="1:52" ht="15" thickBot="1" x14ac:dyDescent="0.4">
      <c r="A30" s="1">
        <v>29</v>
      </c>
      <c r="B30" s="62">
        <v>3184.1460343074909</v>
      </c>
      <c r="C30" s="62">
        <v>2</v>
      </c>
      <c r="D30" s="62">
        <v>3465.23</v>
      </c>
      <c r="E30" s="62">
        <v>3184.15</v>
      </c>
      <c r="F30" s="62">
        <v>1055.81</v>
      </c>
      <c r="G30" s="62">
        <v>98.489099999999993</v>
      </c>
      <c r="H30" s="62">
        <v>1177.54</v>
      </c>
      <c r="I30" s="62">
        <v>1255.03</v>
      </c>
      <c r="J30" s="62">
        <v>807.74400000000003</v>
      </c>
      <c r="K30" s="62">
        <v>5</v>
      </c>
      <c r="L30" s="62">
        <v>3.3</v>
      </c>
      <c r="M30" s="62">
        <f>(C30*$S$18*1000)+S31</f>
        <v>8896</v>
      </c>
      <c r="N30" s="62">
        <f>$S$38*C30</f>
        <v>71.2</v>
      </c>
      <c r="O30" s="56">
        <f t="shared" si="4"/>
        <v>2.0546976679758633E-2</v>
      </c>
      <c r="P30" s="56">
        <f t="shared" si="0"/>
        <v>1780</v>
      </c>
      <c r="Q30" s="56"/>
      <c r="R30" s="63" t="s">
        <v>288</v>
      </c>
      <c r="S30" s="4">
        <f>(T22*T17*$S$26)</f>
        <v>3400</v>
      </c>
      <c r="T30" s="46" t="s">
        <v>296</v>
      </c>
      <c r="U30" s="56"/>
      <c r="V30" s="1">
        <v>270.46199999999999</v>
      </c>
      <c r="W30" s="1">
        <f t="shared" si="5"/>
        <v>-8625.5380000000005</v>
      </c>
      <c r="X30" s="1">
        <f t="shared" si="1"/>
        <v>6761.5499999999993</v>
      </c>
      <c r="Y30" s="1">
        <f t="shared" si="6"/>
        <v>-2134.4500000000007</v>
      </c>
      <c r="Z30" s="1">
        <f t="shared" si="2"/>
        <v>0.13230064506243078</v>
      </c>
      <c r="AA30" s="1">
        <f t="shared" si="3"/>
        <v>0.22849616560556227</v>
      </c>
      <c r="AB30" s="1"/>
      <c r="AC30" s="1"/>
      <c r="AE30" s="4"/>
      <c r="AF30" s="4"/>
      <c r="AG30" s="4"/>
      <c r="AH30" s="4"/>
      <c r="AI30" s="4"/>
      <c r="AJ30" s="4"/>
      <c r="AK30" s="4"/>
      <c r="AP30" t="s">
        <v>6</v>
      </c>
      <c r="AW30">
        <f t="shared" si="10"/>
        <v>7.8731334029442709E-3</v>
      </c>
      <c r="AX30">
        <f t="shared" si="19"/>
        <v>-1626.8507252932511</v>
      </c>
      <c r="AY30">
        <f t="shared" si="12"/>
        <v>-1789.5357978225763</v>
      </c>
      <c r="AZ30">
        <f t="shared" si="13"/>
        <v>-162.68507252932523</v>
      </c>
    </row>
    <row r="31" spans="1:52" ht="15" customHeight="1" thickBot="1" x14ac:dyDescent="0.4">
      <c r="A31" s="1">
        <v>30</v>
      </c>
      <c r="B31" s="62">
        <v>2455.556329062375</v>
      </c>
      <c r="C31" s="62">
        <v>2</v>
      </c>
      <c r="D31" s="62">
        <v>3465.23</v>
      </c>
      <c r="E31" s="62">
        <v>2455.56</v>
      </c>
      <c r="F31" s="62">
        <v>981.01199999999994</v>
      </c>
      <c r="G31" s="62">
        <v>91.956100000000006</v>
      </c>
      <c r="H31" s="62">
        <v>1498.17</v>
      </c>
      <c r="I31" s="62">
        <v>1029.33</v>
      </c>
      <c r="J31" s="62">
        <v>829.81899999999996</v>
      </c>
      <c r="K31" s="62">
        <v>5</v>
      </c>
      <c r="L31" s="62">
        <v>1.2</v>
      </c>
      <c r="M31" s="62">
        <f>(C31*$S$18*1000)+S29</f>
        <v>7240</v>
      </c>
      <c r="N31" s="62">
        <f>$S$38*C31</f>
        <v>71.2</v>
      </c>
      <c r="O31" s="56">
        <f t="shared" si="4"/>
        <v>2.0546976679758633E-2</v>
      </c>
      <c r="P31" s="56">
        <f t="shared" si="0"/>
        <v>1780</v>
      </c>
      <c r="Q31" s="56"/>
      <c r="R31" s="63" t="s">
        <v>288</v>
      </c>
      <c r="S31" s="4">
        <f>(T23*T18*$S$26)</f>
        <v>3696</v>
      </c>
      <c r="T31" s="46" t="s">
        <v>290</v>
      </c>
      <c r="U31" s="56"/>
      <c r="V31" s="1">
        <v>253.29300000000001</v>
      </c>
      <c r="W31" s="1">
        <f t="shared" si="5"/>
        <v>-6986.7070000000003</v>
      </c>
      <c r="X31" s="1">
        <f t="shared" si="1"/>
        <v>6332.3249999999998</v>
      </c>
      <c r="Y31" s="1">
        <f t="shared" si="6"/>
        <v>-907.67500000000018</v>
      </c>
      <c r="Z31" s="1">
        <f t="shared" si="2"/>
        <v>0.13848359111310798</v>
      </c>
      <c r="AA31" s="1">
        <f t="shared" si="3"/>
        <v>0.24000127890535689</v>
      </c>
      <c r="AB31" s="1"/>
      <c r="AE31" s="4" t="s">
        <v>53</v>
      </c>
      <c r="AF31" s="9">
        <f>IRR(AE2:AE27)</f>
        <v>-1.6265611522537027E-2</v>
      </c>
      <c r="AG31" s="4"/>
      <c r="AH31" s="100" t="s">
        <v>54</v>
      </c>
      <c r="AI31" s="101"/>
      <c r="AJ31" s="101"/>
      <c r="AK31" s="102"/>
      <c r="AW31">
        <f t="shared" si="10"/>
        <v>6.0716193129492719E-3</v>
      </c>
      <c r="AX31">
        <f t="shared" si="19"/>
        <v>-1254.5981094747051</v>
      </c>
      <c r="AY31">
        <f t="shared" si="12"/>
        <v>-1380.0579204221758</v>
      </c>
      <c r="AZ31">
        <f t="shared" si="13"/>
        <v>-125.45981094747071</v>
      </c>
    </row>
    <row r="32" spans="1:52" ht="15" thickBot="1" x14ac:dyDescent="0.4">
      <c r="A32" s="1">
        <v>31</v>
      </c>
      <c r="B32" s="1">
        <v>1553.515228702383</v>
      </c>
      <c r="C32" s="1">
        <v>2</v>
      </c>
      <c r="D32" s="1">
        <v>3465.23</v>
      </c>
      <c r="E32" s="1">
        <v>1553.52</v>
      </c>
      <c r="F32" s="1">
        <v>992.22699999999998</v>
      </c>
      <c r="G32" s="1">
        <v>92.273499999999999</v>
      </c>
      <c r="H32" s="1">
        <v>1784.82</v>
      </c>
      <c r="I32" s="1">
        <v>688.178</v>
      </c>
      <c r="J32" s="1">
        <v>865.33699999999999</v>
      </c>
      <c r="K32" s="1">
        <v>5</v>
      </c>
      <c r="L32" s="1">
        <v>0</v>
      </c>
      <c r="M32" s="1">
        <f>C32*$S$18*1000</f>
        <v>5200</v>
      </c>
      <c r="N32" s="1">
        <f>$S$19*C32</f>
        <v>53</v>
      </c>
      <c r="O32" s="4">
        <f t="shared" si="4"/>
        <v>1.5294800056561902E-2</v>
      </c>
      <c r="P32" s="4">
        <f t="shared" si="0"/>
        <v>1325</v>
      </c>
      <c r="Q32" s="4"/>
      <c r="R32" s="63" t="s">
        <v>288</v>
      </c>
      <c r="S32" s="4">
        <f>(T24*T18*$S$26)</f>
        <v>4704</v>
      </c>
      <c r="T32" s="46" t="s">
        <v>291</v>
      </c>
      <c r="U32" s="4"/>
      <c r="V32" s="1">
        <v>220.10300000000001</v>
      </c>
      <c r="W32" s="1">
        <f t="shared" si="5"/>
        <v>-4979.8969999999999</v>
      </c>
      <c r="X32" s="1">
        <f t="shared" si="1"/>
        <v>5502.5749999999998</v>
      </c>
      <c r="Y32" s="1">
        <f t="shared" si="6"/>
        <v>302.57499999999982</v>
      </c>
      <c r="Z32" s="1">
        <f t="shared" si="2"/>
        <v>0.1491847009452309</v>
      </c>
      <c r="AA32" s="1">
        <f t="shared" si="3"/>
        <v>0.26443468689961436</v>
      </c>
      <c r="AB32" s="1"/>
      <c r="AC32" t="s">
        <v>6</v>
      </c>
      <c r="AE32" s="4"/>
      <c r="AF32" s="8"/>
      <c r="AG32" s="4"/>
      <c r="AH32" s="103"/>
      <c r="AI32" s="104"/>
      <c r="AJ32" s="104"/>
      <c r="AK32" s="105"/>
      <c r="AW32">
        <f t="shared" si="10"/>
        <v>3.841228545203777E-3</v>
      </c>
      <c r="AX32">
        <f t="shared" si="19"/>
        <v>-793.72533462280239</v>
      </c>
      <c r="AY32">
        <f t="shared" si="12"/>
        <v>-873.09786808508272</v>
      </c>
      <c r="AZ32">
        <f t="shared" si="13"/>
        <v>-79.37253346228033</v>
      </c>
    </row>
    <row r="33" spans="1:52" x14ac:dyDescent="0.35">
      <c r="A33" s="1">
        <v>32</v>
      </c>
      <c r="B33" s="62">
        <v>14627.53150971361</v>
      </c>
      <c r="C33" s="62">
        <v>10</v>
      </c>
      <c r="D33" s="62">
        <v>17326.099999999999</v>
      </c>
      <c r="E33" s="62">
        <v>14627.5</v>
      </c>
      <c r="F33" s="62">
        <v>6319.47</v>
      </c>
      <c r="G33" s="62">
        <v>606.04600000000005</v>
      </c>
      <c r="H33" s="62">
        <v>5835.93</v>
      </c>
      <c r="I33" s="62">
        <v>5167.72</v>
      </c>
      <c r="J33" s="62">
        <v>4764.6000000000004</v>
      </c>
      <c r="K33" s="62">
        <v>25</v>
      </c>
      <c r="L33" s="62">
        <f>19.4</f>
        <v>19.399999999999999</v>
      </c>
      <c r="M33" s="62">
        <f>(C33*$S$18*1000)+S37</f>
        <v>42000</v>
      </c>
      <c r="N33" s="62">
        <f>$S$38*C33</f>
        <v>356</v>
      </c>
      <c r="O33" s="56">
        <f t="shared" si="4"/>
        <v>2.0547035974627877E-2</v>
      </c>
      <c r="P33" s="56">
        <f t="shared" si="0"/>
        <v>8900</v>
      </c>
      <c r="Q33" s="56"/>
      <c r="R33" s="63" t="s">
        <v>288</v>
      </c>
      <c r="S33" s="4">
        <f>(T25*T19*$S$26)</f>
        <v>3500</v>
      </c>
      <c r="T33" s="46" t="s">
        <v>293</v>
      </c>
      <c r="U33" s="56"/>
      <c r="V33" s="1">
        <v>1176.7</v>
      </c>
      <c r="W33" s="1">
        <f t="shared" si="5"/>
        <v>-40823.300000000003</v>
      </c>
      <c r="X33" s="1">
        <f t="shared" si="1"/>
        <v>29417.5</v>
      </c>
      <c r="Y33" s="1">
        <f t="shared" si="6"/>
        <v>-12582.5</v>
      </c>
      <c r="Z33" s="1">
        <f t="shared" si="2"/>
        <v>0.13539895059086871</v>
      </c>
      <c r="AA33" s="1">
        <f t="shared" si="3"/>
        <v>0.23426138501273194</v>
      </c>
      <c r="AB33" s="1"/>
      <c r="AW33">
        <f t="shared" si="10"/>
        <v>3.6168098350675297E-2</v>
      </c>
      <c r="AX33">
        <f t="shared" si="19"/>
        <v>-7473.5297908542543</v>
      </c>
      <c r="AY33">
        <f t="shared" si="12"/>
        <v>-8220.8827699396807</v>
      </c>
      <c r="AZ33">
        <f t="shared" si="13"/>
        <v>-747.35297908542634</v>
      </c>
    </row>
    <row r="34" spans="1:52" x14ac:dyDescent="0.35">
      <c r="A34" s="1">
        <v>33</v>
      </c>
      <c r="B34" s="62">
        <v>4264.5516094210579</v>
      </c>
      <c r="C34" s="62">
        <v>4</v>
      </c>
      <c r="D34" s="62">
        <v>6930.46</v>
      </c>
      <c r="E34" s="62">
        <v>4264.55</v>
      </c>
      <c r="F34" s="62">
        <v>2602.7800000000002</v>
      </c>
      <c r="G34" s="62">
        <v>255.268</v>
      </c>
      <c r="H34" s="62">
        <v>2529.48</v>
      </c>
      <c r="I34" s="62">
        <v>1820.92</v>
      </c>
      <c r="J34" s="62">
        <v>1578.24</v>
      </c>
      <c r="K34" s="62">
        <v>10</v>
      </c>
      <c r="L34" s="62">
        <v>6</v>
      </c>
      <c r="M34" s="62">
        <f>(C34*$S$18*1000)+S34</f>
        <v>14600</v>
      </c>
      <c r="N34" s="62">
        <f>$S$38*C34</f>
        <v>142.4</v>
      </c>
      <c r="O34" s="56">
        <f t="shared" si="4"/>
        <v>2.0546976679758633E-2</v>
      </c>
      <c r="P34" s="56">
        <f t="shared" si="0"/>
        <v>3560</v>
      </c>
      <c r="Q34" s="56"/>
      <c r="R34" s="63" t="s">
        <v>288</v>
      </c>
      <c r="S34" s="4">
        <f>(T26*T19*$S$26)</f>
        <v>4200</v>
      </c>
      <c r="T34" s="46" t="s">
        <v>292</v>
      </c>
      <c r="U34" s="56"/>
      <c r="V34" s="1">
        <v>513.029</v>
      </c>
      <c r="W34" s="1">
        <f t="shared" si="5"/>
        <v>-14086.971</v>
      </c>
      <c r="X34" s="1">
        <f t="shared" ref="X34:X65" si="20">V34*$S$47</f>
        <v>12825.725</v>
      </c>
      <c r="Y34" s="1">
        <f t="shared" si="6"/>
        <v>-1774.2749999999996</v>
      </c>
      <c r="Z34" s="1">
        <f t="shared" ref="Z34:Z65" si="21">(M34/($S$47*B34))+O34</f>
        <v>0.15748986153308134</v>
      </c>
      <c r="AA34" s="1">
        <f t="shared" ref="AA34:AA65" si="22">(M34/($S$50*B34))+O34</f>
        <v>0.27536780043021791</v>
      </c>
      <c r="AB34" s="1"/>
      <c r="AW34">
        <f t="shared" si="10"/>
        <v>1.0544548950630927E-2</v>
      </c>
      <c r="AX34">
        <f t="shared" si="19"/>
        <v>-2178.8538603713964</v>
      </c>
      <c r="AY34">
        <f t="shared" si="12"/>
        <v>-2396.7392464085365</v>
      </c>
      <c r="AZ34">
        <f t="shared" si="13"/>
        <v>-217.88538603714005</v>
      </c>
    </row>
    <row r="35" spans="1:52" x14ac:dyDescent="0.35">
      <c r="A35" s="1">
        <v>34</v>
      </c>
      <c r="B35" s="1">
        <v>5041.8344142687847</v>
      </c>
      <c r="C35" s="1">
        <v>4</v>
      </c>
      <c r="D35" s="1">
        <v>7106.6</v>
      </c>
      <c r="E35" s="1">
        <v>5041.83</v>
      </c>
      <c r="F35" s="1">
        <v>1667.85</v>
      </c>
      <c r="G35" s="1">
        <v>152.785</v>
      </c>
      <c r="H35" s="1">
        <v>3300.83</v>
      </c>
      <c r="I35" s="1">
        <v>2137.92</v>
      </c>
      <c r="J35" s="1">
        <v>2903.92</v>
      </c>
      <c r="K35" s="1">
        <v>10</v>
      </c>
      <c r="L35" s="1">
        <v>0</v>
      </c>
      <c r="M35" s="1">
        <f>C35*$S$18*1000</f>
        <v>10400</v>
      </c>
      <c r="N35" s="1">
        <f>$S$19*C35</f>
        <v>106</v>
      </c>
      <c r="O35" s="4">
        <f t="shared" si="4"/>
        <v>1.4915712154898262E-2</v>
      </c>
      <c r="P35" s="4">
        <f t="shared" si="0"/>
        <v>2650</v>
      </c>
      <c r="Q35" s="4"/>
      <c r="R35" s="63" t="s">
        <v>288</v>
      </c>
      <c r="S35" s="4">
        <f xml:space="preserve"> 8000 *S26</f>
        <v>8000</v>
      </c>
      <c r="T35" s="46" t="s">
        <v>294</v>
      </c>
      <c r="U35" s="4"/>
      <c r="V35" s="1">
        <v>321.40800000000002</v>
      </c>
      <c r="W35" s="1">
        <f t="shared" si="5"/>
        <v>-10078.592000000001</v>
      </c>
      <c r="X35" s="1">
        <f t="shared" si="20"/>
        <v>8035.2000000000007</v>
      </c>
      <c r="Y35" s="1">
        <f t="shared" si="6"/>
        <v>-2364.7999999999993</v>
      </c>
      <c r="Z35" s="1">
        <f t="shared" si="21"/>
        <v>9.7425363567226989E-2</v>
      </c>
      <c r="AA35" s="1">
        <f t="shared" si="22"/>
        <v>0.1684481674027381</v>
      </c>
      <c r="AB35" s="1"/>
      <c r="AW35">
        <f t="shared" si="10"/>
        <v>1.2466461811550257E-2</v>
      </c>
      <c r="AX35">
        <f t="shared" ref="AX35:AX50" si="23">AW35*$AV$2</f>
        <v>-2575.9848591383902</v>
      </c>
      <c r="AY35">
        <f t="shared" si="12"/>
        <v>-2833.5833450522296</v>
      </c>
      <c r="AZ35">
        <f t="shared" si="13"/>
        <v>-257.59848591383934</v>
      </c>
    </row>
    <row r="36" spans="1:52" x14ac:dyDescent="0.35">
      <c r="A36" s="1">
        <v>35</v>
      </c>
      <c r="B36" s="62">
        <v>1680.154057549307</v>
      </c>
      <c r="C36" s="62">
        <v>2</v>
      </c>
      <c r="D36" s="62">
        <v>3553.3</v>
      </c>
      <c r="E36" s="62">
        <v>1680.15</v>
      </c>
      <c r="F36" s="62">
        <v>1252.81</v>
      </c>
      <c r="G36" s="62">
        <v>122.58499999999999</v>
      </c>
      <c r="H36" s="62">
        <v>1604.06</v>
      </c>
      <c r="I36" s="62">
        <v>745.89400000000001</v>
      </c>
      <c r="J36" s="62">
        <v>657.86699999999996</v>
      </c>
      <c r="K36" s="62">
        <v>5</v>
      </c>
      <c r="L36" s="62">
        <v>1.2</v>
      </c>
      <c r="M36" s="62">
        <f>(C36*$S$18*1000)+S29</f>
        <v>7240</v>
      </c>
      <c r="N36" s="62">
        <f>$S$38*C36</f>
        <v>71.2</v>
      </c>
      <c r="O36" s="56">
        <f t="shared" si="4"/>
        <v>2.0037711423184081E-2</v>
      </c>
      <c r="P36" s="56">
        <f t="shared" si="0"/>
        <v>1780</v>
      </c>
      <c r="Q36" s="56"/>
      <c r="R36" s="63" t="s">
        <v>288</v>
      </c>
      <c r="S36" s="4">
        <f>7300*S26</f>
        <v>7300</v>
      </c>
      <c r="T36" s="46" t="s">
        <v>295</v>
      </c>
      <c r="U36" s="56"/>
      <c r="V36" s="1">
        <v>275.78899999999999</v>
      </c>
      <c r="W36" s="1">
        <f t="shared" si="5"/>
        <v>-6964.2110000000002</v>
      </c>
      <c r="X36" s="1">
        <f t="shared" si="20"/>
        <v>6894.7249999999995</v>
      </c>
      <c r="Y36" s="1">
        <f t="shared" si="6"/>
        <v>-345.27500000000055</v>
      </c>
      <c r="Z36" s="1">
        <f t="shared" si="21"/>
        <v>0.19240285776126101</v>
      </c>
      <c r="AA36" s="1">
        <f t="shared" si="22"/>
        <v>0.34077163361842333</v>
      </c>
      <c r="AB36" s="1"/>
      <c r="AW36">
        <f t="shared" si="10"/>
        <v>4.1543562669733927E-3</v>
      </c>
      <c r="AX36">
        <f t="shared" si="23"/>
        <v>-858.42791683483767</v>
      </c>
      <c r="AY36">
        <f t="shared" si="12"/>
        <v>-944.2707085183215</v>
      </c>
      <c r="AZ36">
        <f t="shared" si="13"/>
        <v>-85.842791683483824</v>
      </c>
    </row>
    <row r="37" spans="1:52" x14ac:dyDescent="0.35">
      <c r="A37" s="1">
        <v>36</v>
      </c>
      <c r="B37" s="1">
        <v>5659.8657296841702</v>
      </c>
      <c r="C37" s="1">
        <v>4</v>
      </c>
      <c r="D37" s="1">
        <v>7106.6</v>
      </c>
      <c r="E37" s="1">
        <v>5659.87</v>
      </c>
      <c r="F37" s="1">
        <v>1537.84</v>
      </c>
      <c r="G37" s="1">
        <v>139.857</v>
      </c>
      <c r="H37" s="1">
        <v>3205.84</v>
      </c>
      <c r="I37" s="1">
        <v>2362.91</v>
      </c>
      <c r="J37" s="1">
        <v>3296.95</v>
      </c>
      <c r="K37" s="1">
        <v>10</v>
      </c>
      <c r="L37" s="1">
        <v>0</v>
      </c>
      <c r="M37" s="1">
        <f>C37*$S$18*1000</f>
        <v>10400</v>
      </c>
      <c r="N37" s="1">
        <f>$S$19*C37</f>
        <v>106</v>
      </c>
      <c r="O37" s="4">
        <f t="shared" si="4"/>
        <v>1.4915712154898262E-2</v>
      </c>
      <c r="P37" s="4">
        <f t="shared" si="0"/>
        <v>2650</v>
      </c>
      <c r="Q37" s="4"/>
      <c r="R37" s="63" t="s">
        <v>288</v>
      </c>
      <c r="S37" s="4">
        <f>16000*S26</f>
        <v>16000</v>
      </c>
      <c r="T37" s="46" t="s">
        <v>297</v>
      </c>
      <c r="U37" s="4"/>
      <c r="V37" s="1">
        <v>274.303</v>
      </c>
      <c r="W37" s="1">
        <f t="shared" si="5"/>
        <v>-10125.697</v>
      </c>
      <c r="X37" s="1">
        <f t="shared" si="20"/>
        <v>6857.5749999999998</v>
      </c>
      <c r="Y37" s="1">
        <f t="shared" si="6"/>
        <v>-3542.4250000000002</v>
      </c>
      <c r="Z37" s="1">
        <f t="shared" si="21"/>
        <v>8.841568898618847E-2</v>
      </c>
      <c r="AA37" s="1">
        <f t="shared" si="22"/>
        <v>0.15168312918317045</v>
      </c>
      <c r="AB37" s="1"/>
      <c r="AW37">
        <f t="shared" si="10"/>
        <v>1.399460874358025E-2</v>
      </c>
      <c r="AX37">
        <f t="shared" si="23"/>
        <v>-2891.7507451575384</v>
      </c>
      <c r="AY37">
        <f t="shared" si="12"/>
        <v>-3180.9258196732926</v>
      </c>
      <c r="AZ37">
        <f t="shared" si="13"/>
        <v>-289.1750745157542</v>
      </c>
    </row>
    <row r="38" spans="1:52" x14ac:dyDescent="0.35">
      <c r="A38" s="1">
        <v>37</v>
      </c>
      <c r="B38" s="62">
        <v>7074.8321611913698</v>
      </c>
      <c r="C38" s="62">
        <v>6</v>
      </c>
      <c r="D38" s="62">
        <v>10659.9</v>
      </c>
      <c r="E38" s="62">
        <v>7074.83</v>
      </c>
      <c r="F38" s="62">
        <v>3404.59</v>
      </c>
      <c r="G38" s="62">
        <v>327.08699999999999</v>
      </c>
      <c r="H38" s="62">
        <v>4373.93</v>
      </c>
      <c r="I38" s="62">
        <v>3025.14</v>
      </c>
      <c r="J38" s="62">
        <v>2437.81</v>
      </c>
      <c r="K38" s="62">
        <v>15</v>
      </c>
      <c r="L38" s="62">
        <v>5</v>
      </c>
      <c r="M38" s="62">
        <f>(C38*$S$18*1000)+S33</f>
        <v>19100</v>
      </c>
      <c r="N38" s="62">
        <f>$S$38*C38</f>
        <v>213.60000000000002</v>
      </c>
      <c r="O38" s="56">
        <f t="shared" si="4"/>
        <v>2.0037711423184085E-2</v>
      </c>
      <c r="P38" s="56">
        <f t="shared" si="0"/>
        <v>5340.0000000000009</v>
      </c>
      <c r="Q38" s="56"/>
      <c r="R38" s="65" t="s">
        <v>248</v>
      </c>
      <c r="S38" s="1">
        <v>35.6</v>
      </c>
      <c r="T38" s="30"/>
      <c r="U38" s="56"/>
      <c r="V38" s="1">
        <v>798.74900000000002</v>
      </c>
      <c r="W38" s="1">
        <f>V38-M38</f>
        <v>-18301.251</v>
      </c>
      <c r="X38" s="1">
        <f t="shared" si="20"/>
        <v>19968.725000000002</v>
      </c>
      <c r="Y38" s="1">
        <f t="shared" si="6"/>
        <v>868.72500000000218</v>
      </c>
      <c r="Z38" s="1">
        <f t="shared" si="21"/>
        <v>0.12802613893541298</v>
      </c>
      <c r="AA38" s="1">
        <f t="shared" si="22"/>
        <v>0.22098060877529327</v>
      </c>
      <c r="AB38" s="1"/>
      <c r="AC38" s="1" t="s">
        <v>287</v>
      </c>
      <c r="AD38" s="1">
        <v>0</v>
      </c>
      <c r="AE38">
        <f>-AC41</f>
        <v>-15950</v>
      </c>
      <c r="AF38">
        <f>AE38</f>
        <v>-15950</v>
      </c>
      <c r="AH38">
        <f>AE38</f>
        <v>-15950</v>
      </c>
      <c r="AI38">
        <f>AE38</f>
        <v>-15950</v>
      </c>
      <c r="AK38">
        <f>AE38</f>
        <v>-15950</v>
      </c>
      <c r="AW38">
        <f t="shared" si="10"/>
        <v>1.7493260927215738E-2</v>
      </c>
      <c r="AX38">
        <f t="shared" si="23"/>
        <v>-3614.6884309800203</v>
      </c>
      <c r="AY38">
        <f t="shared" si="12"/>
        <v>-3976.1572740780225</v>
      </c>
      <c r="AZ38">
        <f t="shared" si="13"/>
        <v>-361.46884309800225</v>
      </c>
    </row>
    <row r="39" spans="1:52" x14ac:dyDescent="0.35">
      <c r="A39" s="1">
        <v>38</v>
      </c>
      <c r="B39" s="1">
        <v>1036.155497852058</v>
      </c>
      <c r="C39" s="1">
        <v>2</v>
      </c>
      <c r="D39" s="1">
        <v>3553.3</v>
      </c>
      <c r="E39" s="1">
        <v>1036.1600000000001</v>
      </c>
      <c r="F39" s="1">
        <v>1206.4100000000001</v>
      </c>
      <c r="G39" s="1">
        <v>115.129</v>
      </c>
      <c r="H39" s="1">
        <v>1906.9</v>
      </c>
      <c r="I39" s="1">
        <v>439.99</v>
      </c>
      <c r="J39" s="1">
        <v>596.16499999999996</v>
      </c>
      <c r="K39" s="1">
        <v>5</v>
      </c>
      <c r="L39" s="1">
        <v>0</v>
      </c>
      <c r="M39" s="1">
        <f>C39*$S$18*1000</f>
        <v>5200</v>
      </c>
      <c r="N39" s="1">
        <f>$S$19*C39</f>
        <v>53</v>
      </c>
      <c r="O39" s="4">
        <f t="shared" si="4"/>
        <v>1.4915712154898262E-2</v>
      </c>
      <c r="P39" s="4">
        <f t="shared" si="0"/>
        <v>1325</v>
      </c>
      <c r="Q39" s="4"/>
      <c r="R39" s="68" t="s">
        <v>260</v>
      </c>
      <c r="S39" s="1">
        <v>220</v>
      </c>
      <c r="T39" s="78">
        <f>S39*S15</f>
        <v>9900</v>
      </c>
      <c r="U39" s="4"/>
      <c r="V39" s="1">
        <v>256.82299999999998</v>
      </c>
      <c r="W39" s="1">
        <f t="shared" si="5"/>
        <v>-4943.1769999999997</v>
      </c>
      <c r="X39" s="1">
        <f t="shared" si="20"/>
        <v>6420.5749999999998</v>
      </c>
      <c r="Y39" s="1">
        <f t="shared" si="6"/>
        <v>1220.5749999999998</v>
      </c>
      <c r="Z39" s="1">
        <f t="shared" si="21"/>
        <v>0.21565778265607527</v>
      </c>
      <c r="AA39" s="1">
        <f t="shared" si="22"/>
        <v>0.38845289753895179</v>
      </c>
      <c r="AB39" s="1"/>
      <c r="AC39" s="1"/>
      <c r="AD39" s="1">
        <v>1</v>
      </c>
      <c r="AE39">
        <f>AC44</f>
        <v>4685.0797199999997</v>
      </c>
      <c r="AF39">
        <f>AF38+AE39</f>
        <v>-11264.92028</v>
      </c>
      <c r="AG39">
        <f t="shared" ref="AG39:AG63" si="24">AE39/(1+$S$20)^AD39</f>
        <v>4415.7207540056552</v>
      </c>
      <c r="AH39">
        <f>AH38+AG39</f>
        <v>-11534.279245994345</v>
      </c>
      <c r="AI39">
        <f>$AC$44*((1+$S$44)^AD39)</f>
        <v>4802.2067129999996</v>
      </c>
      <c r="AJ39">
        <f t="shared" ref="AJ39:AJ63" si="25">AI39/(1+$S$20)^AD39</f>
        <v>4526.113772855796</v>
      </c>
      <c r="AK39">
        <f>AK38+AJ39</f>
        <v>-11423.886227144205</v>
      </c>
      <c r="AW39">
        <f t="shared" si="10"/>
        <v>2.562002613224239E-3</v>
      </c>
      <c r="AX39">
        <f t="shared" si="23"/>
        <v>-529.39479063931219</v>
      </c>
      <c r="AY39">
        <f t="shared" si="12"/>
        <v>-582.33426970324342</v>
      </c>
      <c r="AZ39">
        <f t="shared" si="13"/>
        <v>-52.93947906393123</v>
      </c>
    </row>
    <row r="40" spans="1:52" ht="29" x14ac:dyDescent="0.35">
      <c r="A40" s="1">
        <v>39</v>
      </c>
      <c r="B40" s="62">
        <v>1397.7981728371551</v>
      </c>
      <c r="C40" s="62">
        <v>2</v>
      </c>
      <c r="D40" s="62">
        <v>3553.3</v>
      </c>
      <c r="E40" s="62">
        <v>1397.8</v>
      </c>
      <c r="F40" s="62">
        <v>1337.82</v>
      </c>
      <c r="G40" s="62">
        <v>132.495</v>
      </c>
      <c r="H40" s="62">
        <v>1638.51</v>
      </c>
      <c r="I40" s="62">
        <v>629.24800000000005</v>
      </c>
      <c r="J40" s="62">
        <v>605.05899999999997</v>
      </c>
      <c r="K40" s="62">
        <v>5</v>
      </c>
      <c r="L40" s="62">
        <v>1.2</v>
      </c>
      <c r="M40" s="62">
        <f>(C40*$S$18*1000)+S29</f>
        <v>7240</v>
      </c>
      <c r="N40" s="62">
        <f>$S$38*C40</f>
        <v>71.2</v>
      </c>
      <c r="O40" s="56">
        <f t="shared" si="4"/>
        <v>2.0037711423184081E-2</v>
      </c>
      <c r="P40" s="56">
        <f t="shared" si="0"/>
        <v>1780</v>
      </c>
      <c r="Q40" s="56"/>
      <c r="R40" s="68" t="s">
        <v>261</v>
      </c>
      <c r="S40" s="1">
        <v>165</v>
      </c>
      <c r="T40" s="78">
        <f>S40*S15</f>
        <v>7425</v>
      </c>
      <c r="U40" s="56"/>
      <c r="V40" s="1">
        <v>278.79599999999999</v>
      </c>
      <c r="W40" s="1">
        <f t="shared" si="5"/>
        <v>-6961.2039999999997</v>
      </c>
      <c r="X40" s="1">
        <f t="shared" si="20"/>
        <v>6969.9</v>
      </c>
      <c r="Y40" s="1">
        <f t="shared" si="6"/>
        <v>-270.10000000000036</v>
      </c>
      <c r="Z40" s="1">
        <f t="shared" si="21"/>
        <v>0.22722069794275418</v>
      </c>
      <c r="AA40" s="1">
        <f t="shared" si="22"/>
        <v>0.40556003592032402</v>
      </c>
      <c r="AB40" s="1"/>
      <c r="AC40" s="6" t="s">
        <v>285</v>
      </c>
      <c r="AD40" s="1">
        <f>AD39+1</f>
        <v>2</v>
      </c>
      <c r="AE40">
        <f>AE39</f>
        <v>4685.0797199999997</v>
      </c>
      <c r="AF40">
        <f>AF39+AE40</f>
        <v>-6579.8405600000006</v>
      </c>
      <c r="AG40">
        <f t="shared" si="24"/>
        <v>4161.8480245105138</v>
      </c>
      <c r="AH40">
        <f t="shared" ref="AH40:AH63" si="26">AH39+AG40</f>
        <v>-7372.431221483831</v>
      </c>
      <c r="AI40">
        <f t="shared" ref="AI40:AI63" si="27">$AC$44*((1+$S$44)^AD40)</f>
        <v>4922.261880824999</v>
      </c>
      <c r="AJ40">
        <f t="shared" si="25"/>
        <v>4372.5415807513573</v>
      </c>
      <c r="AK40">
        <f>AK39+AJ40</f>
        <v>-7051.3446463928476</v>
      </c>
      <c r="AW40">
        <f t="shared" si="10"/>
        <v>3.4562018722021732E-3</v>
      </c>
      <c r="AX40">
        <f t="shared" si="23"/>
        <v>-714.16604225825756</v>
      </c>
      <c r="AY40">
        <f t="shared" si="12"/>
        <v>-785.5826464840834</v>
      </c>
      <c r="AZ40">
        <f t="shared" si="13"/>
        <v>-71.416604225825836</v>
      </c>
    </row>
    <row r="41" spans="1:52" x14ac:dyDescent="0.35">
      <c r="A41" s="1">
        <v>40</v>
      </c>
      <c r="B41" s="62">
        <v>2769.3097556877569</v>
      </c>
      <c r="C41" s="62">
        <v>2</v>
      </c>
      <c r="D41" s="62">
        <v>3553.3</v>
      </c>
      <c r="E41" s="62">
        <v>2769.31</v>
      </c>
      <c r="F41" s="62">
        <v>1224.25</v>
      </c>
      <c r="G41" s="62">
        <v>117.764</v>
      </c>
      <c r="H41" s="62">
        <v>1185.83</v>
      </c>
      <c r="I41" s="62">
        <v>1159.6300000000001</v>
      </c>
      <c r="J41" s="62">
        <v>850.86400000000003</v>
      </c>
      <c r="K41" s="62">
        <v>5</v>
      </c>
      <c r="L41" s="62">
        <v>3.3</v>
      </c>
      <c r="M41" s="62">
        <f>(C41*$S$18*1000)+S31</f>
        <v>8896</v>
      </c>
      <c r="N41" s="62">
        <f>$S$38*C41</f>
        <v>71.2</v>
      </c>
      <c r="O41" s="56">
        <f t="shared" si="4"/>
        <v>2.0037711423184081E-2</v>
      </c>
      <c r="P41" s="56">
        <f t="shared" si="0"/>
        <v>1780</v>
      </c>
      <c r="Q41" s="56"/>
      <c r="R41" s="65" t="s">
        <v>250</v>
      </c>
      <c r="S41" s="1">
        <v>3.1E-2</v>
      </c>
      <c r="T41" s="30"/>
      <c r="U41" s="56"/>
      <c r="V41" s="1">
        <v>268.85399999999998</v>
      </c>
      <c r="W41" s="1">
        <f t="shared" si="5"/>
        <v>-8627.1460000000006</v>
      </c>
      <c r="X41" s="1">
        <f t="shared" si="20"/>
        <v>6721.3499999999995</v>
      </c>
      <c r="Y41" s="1">
        <f t="shared" si="6"/>
        <v>-2174.6500000000005</v>
      </c>
      <c r="Z41" s="1">
        <f t="shared" si="21"/>
        <v>0.14853182417787206</v>
      </c>
      <c r="AA41" s="1">
        <f t="shared" si="22"/>
        <v>0.25913721406842516</v>
      </c>
      <c r="AB41" s="1"/>
      <c r="AC41" s="1">
        <f>(T10*55/99)</f>
        <v>15950</v>
      </c>
      <c r="AD41" s="1">
        <f t="shared" ref="AD41:AD55" si="28">AD40+1</f>
        <v>3</v>
      </c>
      <c r="AE41">
        <f t="shared" ref="AE41:AE63" si="29">AE40</f>
        <v>4685.0797199999997</v>
      </c>
      <c r="AF41">
        <f t="shared" ref="AF41:AF63" si="30">AF40+AE41</f>
        <v>-1894.7608400000008</v>
      </c>
      <c r="AG41">
        <f t="shared" si="24"/>
        <v>3922.5711823850274</v>
      </c>
      <c r="AH41">
        <f t="shared" si="26"/>
        <v>-3449.8600390988036</v>
      </c>
      <c r="AI41">
        <f t="shared" si="27"/>
        <v>5045.3184278456238</v>
      </c>
      <c r="AJ41">
        <f t="shared" si="25"/>
        <v>4224.1801322056008</v>
      </c>
      <c r="AK41">
        <f t="shared" ref="AK41:AK63" si="31">AK40+AJ41</f>
        <v>-2827.1645141872468</v>
      </c>
      <c r="AW41">
        <f t="shared" si="10"/>
        <v>6.8474074070998467E-3</v>
      </c>
      <c r="AX41">
        <f t="shared" si="23"/>
        <v>-1414.9016835473551</v>
      </c>
      <c r="AY41">
        <f t="shared" si="12"/>
        <v>-1556.3918519020908</v>
      </c>
      <c r="AZ41">
        <f t="shared" si="13"/>
        <v>-141.49016835473572</v>
      </c>
    </row>
    <row r="42" spans="1:52" x14ac:dyDescent="0.35">
      <c r="A42" s="1">
        <v>41</v>
      </c>
      <c r="B42" s="1">
        <v>975.76163139608616</v>
      </c>
      <c r="C42" s="1">
        <v>2</v>
      </c>
      <c r="D42" s="1">
        <v>3553.3</v>
      </c>
      <c r="E42" s="1">
        <v>975.76199999999994</v>
      </c>
      <c r="F42" s="1">
        <v>1216.8800000000001</v>
      </c>
      <c r="G42" s="1">
        <v>117.163</v>
      </c>
      <c r="H42" s="1">
        <v>1888.06</v>
      </c>
      <c r="I42" s="1">
        <v>448.36099999999999</v>
      </c>
      <c r="J42" s="1">
        <v>527.40099999999995</v>
      </c>
      <c r="K42" s="1">
        <v>5</v>
      </c>
      <c r="L42" s="1">
        <v>0</v>
      </c>
      <c r="M42" s="1">
        <f>C42*$S$18*1000</f>
        <v>5200</v>
      </c>
      <c r="N42" s="1">
        <f>$S$19*C42</f>
        <v>53</v>
      </c>
      <c r="O42" s="4">
        <f t="shared" si="4"/>
        <v>1.4915712154898262E-2</v>
      </c>
      <c r="P42" s="4">
        <f t="shared" si="0"/>
        <v>1325</v>
      </c>
      <c r="Q42" s="4"/>
      <c r="R42" s="65" t="s">
        <v>251</v>
      </c>
      <c r="S42" s="1" t="s">
        <v>252</v>
      </c>
      <c r="T42" s="30"/>
      <c r="U42" s="4"/>
      <c r="V42" s="1">
        <v>269.17599999999999</v>
      </c>
      <c r="W42" s="1">
        <f t="shared" si="5"/>
        <v>-4930.8239999999996</v>
      </c>
      <c r="X42" s="1">
        <f t="shared" si="20"/>
        <v>6729.4</v>
      </c>
      <c r="Y42" s="1">
        <f t="shared" si="6"/>
        <v>1529.3999999999996</v>
      </c>
      <c r="Z42" s="1">
        <f t="shared" si="21"/>
        <v>0.22808252801175949</v>
      </c>
      <c r="AA42" s="1">
        <f t="shared" si="22"/>
        <v>0.41157263720133941</v>
      </c>
      <c r="AB42" s="1"/>
      <c r="AC42" s="1"/>
      <c r="AD42" s="1">
        <f t="shared" si="28"/>
        <v>4</v>
      </c>
      <c r="AE42">
        <f t="shared" si="29"/>
        <v>4685.0797199999997</v>
      </c>
      <c r="AF42">
        <f t="shared" si="30"/>
        <v>2790.3188799999989</v>
      </c>
      <c r="AG42">
        <f t="shared" si="24"/>
        <v>3697.0510672808928</v>
      </c>
      <c r="AH42">
        <f t="shared" si="26"/>
        <v>247.19102818208921</v>
      </c>
      <c r="AI42">
        <f t="shared" si="27"/>
        <v>5171.4513885417646</v>
      </c>
      <c r="AJ42">
        <f t="shared" si="25"/>
        <v>4080.8526253635632</v>
      </c>
      <c r="AK42">
        <f t="shared" si="31"/>
        <v>1253.6881111763164</v>
      </c>
      <c r="AW42">
        <f t="shared" si="10"/>
        <v>2.412672475031981E-3</v>
      </c>
      <c r="AX42">
        <f t="shared" si="23"/>
        <v>-498.53822677931635</v>
      </c>
      <c r="AY42">
        <f t="shared" si="12"/>
        <v>-548.39204945724805</v>
      </c>
      <c r="AZ42">
        <f t="shared" si="13"/>
        <v>-49.853822677931703</v>
      </c>
    </row>
    <row r="43" spans="1:52" ht="29" x14ac:dyDescent="0.35">
      <c r="A43" s="1">
        <v>42</v>
      </c>
      <c r="B43" s="62">
        <v>1220.838737866377</v>
      </c>
      <c r="C43" s="62">
        <v>2</v>
      </c>
      <c r="D43" s="62">
        <v>3553.3</v>
      </c>
      <c r="E43" s="62">
        <v>1220.8399999999999</v>
      </c>
      <c r="F43" s="62">
        <v>1565.05</v>
      </c>
      <c r="G43" s="62">
        <v>159.86699999999999</v>
      </c>
      <c r="H43" s="62">
        <v>1546.75</v>
      </c>
      <c r="I43" s="62">
        <v>497.50700000000001</v>
      </c>
      <c r="J43" s="62">
        <v>659.64099999999996</v>
      </c>
      <c r="K43" s="62">
        <v>5</v>
      </c>
      <c r="L43" s="62">
        <v>2</v>
      </c>
      <c r="M43" s="62">
        <f>(C43*$S$18*1000)+S30</f>
        <v>8600</v>
      </c>
      <c r="N43" s="62">
        <f>$S$38*C43</f>
        <v>71.2</v>
      </c>
      <c r="O43" s="56">
        <f t="shared" si="4"/>
        <v>2.0037711423184081E-2</v>
      </c>
      <c r="P43" s="56">
        <f t="shared" si="0"/>
        <v>1780</v>
      </c>
      <c r="Q43" s="56"/>
      <c r="R43" s="65" t="s">
        <v>262</v>
      </c>
      <c r="S43" s="1">
        <v>7.0000000000000007E-2</v>
      </c>
      <c r="T43" s="30"/>
      <c r="U43" s="56"/>
      <c r="V43" s="1">
        <v>269.30700000000002</v>
      </c>
      <c r="W43" s="1">
        <f t="shared" si="5"/>
        <v>-8330.6929999999993</v>
      </c>
      <c r="X43" s="1">
        <f t="shared" si="20"/>
        <v>6732.6750000000002</v>
      </c>
      <c r="Y43" s="1">
        <f t="shared" si="6"/>
        <v>-1867.3249999999998</v>
      </c>
      <c r="Z43" s="1">
        <f t="shared" si="21"/>
        <v>0.30181120806140382</v>
      </c>
      <c r="AA43" s="1">
        <f t="shared" si="22"/>
        <v>0.54435669740996329</v>
      </c>
      <c r="AB43" s="1"/>
      <c r="AC43" s="6" t="s">
        <v>328</v>
      </c>
      <c r="AD43" s="1">
        <f t="shared" si="28"/>
        <v>5</v>
      </c>
      <c r="AE43">
        <f t="shared" si="29"/>
        <v>4685.0797199999997</v>
      </c>
      <c r="AF43">
        <f t="shared" si="30"/>
        <v>7475.3985999999986</v>
      </c>
      <c r="AG43">
        <f t="shared" si="24"/>
        <v>3484.4967646379764</v>
      </c>
      <c r="AH43">
        <f t="shared" si="26"/>
        <v>3731.6877928200656</v>
      </c>
      <c r="AI43">
        <f t="shared" si="27"/>
        <v>5300.7376732553075</v>
      </c>
      <c r="AJ43">
        <f t="shared" si="25"/>
        <v>3942.3882573022161</v>
      </c>
      <c r="AK43">
        <f t="shared" si="31"/>
        <v>5196.0763684785325</v>
      </c>
      <c r="AW43">
        <f t="shared" si="10"/>
        <v>3.018651199769655E-3</v>
      </c>
      <c r="AX43">
        <f t="shared" si="23"/>
        <v>-623.75354797317505</v>
      </c>
      <c r="AY43">
        <f t="shared" si="12"/>
        <v>-686.12890277049257</v>
      </c>
      <c r="AZ43">
        <f t="shared" si="13"/>
        <v>-62.375354797317527</v>
      </c>
    </row>
    <row r="44" spans="1:52" x14ac:dyDescent="0.35">
      <c r="A44" s="1">
        <v>43</v>
      </c>
      <c r="B44" s="62">
        <v>3438.0361146713012</v>
      </c>
      <c r="C44" s="62">
        <v>10</v>
      </c>
      <c r="D44" s="62">
        <v>17766.5</v>
      </c>
      <c r="E44" s="62">
        <v>3438.04</v>
      </c>
      <c r="F44" s="62">
        <v>8491</v>
      </c>
      <c r="G44" s="62">
        <v>881.13699999999994</v>
      </c>
      <c r="H44" s="62">
        <v>7948</v>
      </c>
      <c r="I44" s="62">
        <v>1634.71</v>
      </c>
      <c r="J44" s="62">
        <v>1636.63</v>
      </c>
      <c r="K44" s="62">
        <v>25</v>
      </c>
      <c r="L44" s="62">
        <v>9.6999999999999993</v>
      </c>
      <c r="M44" s="62">
        <f>(C44*$S$18*1000)+S35</f>
        <v>34000</v>
      </c>
      <c r="N44" s="62">
        <f>$S$38*C44</f>
        <v>356</v>
      </c>
      <c r="O44" s="56">
        <f t="shared" si="4"/>
        <v>2.0037711423184081E-2</v>
      </c>
      <c r="P44" s="56">
        <f t="shared" si="0"/>
        <v>8900</v>
      </c>
      <c r="Q44" s="56"/>
      <c r="R44" s="65" t="s">
        <v>263</v>
      </c>
      <c r="S44" s="1">
        <v>2.5000000000000001E-2</v>
      </c>
      <c r="T44" s="46"/>
      <c r="U44" s="56"/>
      <c r="V44" s="1">
        <v>1572.32</v>
      </c>
      <c r="W44" s="1">
        <f t="shared" si="5"/>
        <v>-32427.68</v>
      </c>
      <c r="X44" s="1">
        <f t="shared" si="20"/>
        <v>39308</v>
      </c>
      <c r="Y44" s="1">
        <f t="shared" si="6"/>
        <v>5308</v>
      </c>
      <c r="Z44" s="1">
        <f t="shared" si="21"/>
        <v>0.41561238098421771</v>
      </c>
      <c r="AA44" s="1">
        <f t="shared" si="22"/>
        <v>0.75611584545931365</v>
      </c>
      <c r="AB44" s="1"/>
      <c r="AC44" s="1">
        <f>SUM(V47:V100)</f>
        <v>4685.0797199999997</v>
      </c>
      <c r="AD44" s="1">
        <f t="shared" si="28"/>
        <v>6</v>
      </c>
      <c r="AE44">
        <f t="shared" si="29"/>
        <v>4685.0797199999997</v>
      </c>
      <c r="AF44">
        <f t="shared" si="30"/>
        <v>12160.478319999998</v>
      </c>
      <c r="AG44">
        <f t="shared" si="24"/>
        <v>3284.1628318925318</v>
      </c>
      <c r="AH44">
        <f t="shared" si="26"/>
        <v>7015.850624712597</v>
      </c>
      <c r="AI44">
        <f t="shared" si="27"/>
        <v>5433.2561150866904</v>
      </c>
      <c r="AJ44">
        <f t="shared" si="25"/>
        <v>3808.6220204851757</v>
      </c>
      <c r="AK44">
        <f t="shared" si="31"/>
        <v>9004.6983889637086</v>
      </c>
      <c r="AW44">
        <f t="shared" si="10"/>
        <v>8.5009031254542674E-3</v>
      </c>
      <c r="AX44">
        <f t="shared" si="23"/>
        <v>-1756.568790022169</v>
      </c>
      <c r="AY44">
        <f t="shared" si="12"/>
        <v>-1932.225669024386</v>
      </c>
      <c r="AZ44">
        <f t="shared" si="13"/>
        <v>-175.65687900221701</v>
      </c>
    </row>
    <row r="45" spans="1:52" x14ac:dyDescent="0.35">
      <c r="A45" s="1">
        <v>44</v>
      </c>
      <c r="B45" s="1">
        <v>1279.200878938675</v>
      </c>
      <c r="C45" s="1">
        <v>2</v>
      </c>
      <c r="D45" s="1">
        <v>3553.3</v>
      </c>
      <c r="E45" s="1">
        <v>1279.2</v>
      </c>
      <c r="F45" s="1">
        <v>1135.29</v>
      </c>
      <c r="G45" s="1">
        <v>107.304</v>
      </c>
      <c r="H45" s="1">
        <v>1864.24</v>
      </c>
      <c r="I45" s="1">
        <v>553.76199999999994</v>
      </c>
      <c r="J45" s="1">
        <v>725.43899999999996</v>
      </c>
      <c r="K45" s="1">
        <v>5</v>
      </c>
      <c r="L45" s="1">
        <v>0</v>
      </c>
      <c r="M45" s="1">
        <f>C45*$S$18*1000</f>
        <v>5200</v>
      </c>
      <c r="N45" s="1">
        <f>$S$19*C45</f>
        <v>53</v>
      </c>
      <c r="O45" s="4">
        <f t="shared" si="4"/>
        <v>1.4915712154898262E-2</v>
      </c>
      <c r="P45" s="4">
        <f t="shared" si="0"/>
        <v>1325</v>
      </c>
      <c r="Q45" s="4"/>
      <c r="R45" s="63"/>
      <c r="S45" s="4"/>
      <c r="T45" s="30"/>
      <c r="U45" s="4"/>
      <c r="V45" s="1">
        <v>242.89599999999999</v>
      </c>
      <c r="W45" s="1">
        <f t="shared" si="5"/>
        <v>-4957.1040000000003</v>
      </c>
      <c r="X45" s="1">
        <f t="shared" si="20"/>
        <v>6072.4</v>
      </c>
      <c r="Y45" s="1">
        <f>X45-M45</f>
        <v>872.39999999999964</v>
      </c>
      <c r="Z45" s="1">
        <f t="shared" si="21"/>
        <v>0.17751722644761284</v>
      </c>
      <c r="AA45" s="1">
        <f t="shared" si="22"/>
        <v>0.31748164582513722</v>
      </c>
      <c r="AB45" s="1"/>
      <c r="AC45" s="1"/>
      <c r="AD45" s="1">
        <f t="shared" si="28"/>
        <v>7</v>
      </c>
      <c r="AE45">
        <f t="shared" si="29"/>
        <v>4685.0797199999997</v>
      </c>
      <c r="AF45">
        <f t="shared" si="30"/>
        <v>16845.558039999996</v>
      </c>
      <c r="AG45">
        <f t="shared" si="24"/>
        <v>3095.3466841588429</v>
      </c>
      <c r="AH45">
        <f t="shared" si="26"/>
        <v>10111.19730887144</v>
      </c>
      <c r="AI45">
        <f t="shared" si="27"/>
        <v>5569.0875179638579</v>
      </c>
      <c r="AJ45">
        <f t="shared" si="25"/>
        <v>3679.3945061237569</v>
      </c>
      <c r="AK45">
        <f t="shared" si="31"/>
        <v>12684.092895087466</v>
      </c>
      <c r="AW45">
        <f t="shared" si="10"/>
        <v>3.1629576848971781E-3</v>
      </c>
      <c r="AX45">
        <f t="shared" si="23"/>
        <v>-653.57205833989087</v>
      </c>
      <c r="AY45">
        <f t="shared" si="12"/>
        <v>-718.92926417388003</v>
      </c>
      <c r="AZ45">
        <f t="shared" si="13"/>
        <v>-65.357205833989156</v>
      </c>
    </row>
    <row r="46" spans="1:52" x14ac:dyDescent="0.35">
      <c r="A46" s="62">
        <v>45</v>
      </c>
      <c r="B46" s="62">
        <v>3266.9511427123548</v>
      </c>
      <c r="C46" s="62">
        <v>2</v>
      </c>
      <c r="D46" s="62">
        <v>3553.3</v>
      </c>
      <c r="E46" s="62">
        <v>3266.95</v>
      </c>
      <c r="F46" s="62">
        <v>1185.51</v>
      </c>
      <c r="G46" s="62">
        <v>112.761</v>
      </c>
      <c r="H46" s="62">
        <v>1014.2</v>
      </c>
      <c r="I46" s="62">
        <v>1335.02</v>
      </c>
      <c r="J46" s="62">
        <v>888.14800000000002</v>
      </c>
      <c r="K46" s="62">
        <v>5</v>
      </c>
      <c r="L46" s="62">
        <v>4.2</v>
      </c>
      <c r="M46" s="62">
        <f>(C46*$S$18*1000)+S32</f>
        <v>9904</v>
      </c>
      <c r="N46" s="62">
        <f>$S$38*C46</f>
        <v>71.2</v>
      </c>
      <c r="O46" s="56">
        <f t="shared" si="4"/>
        <v>2.0037711423184081E-2</v>
      </c>
      <c r="P46" s="56">
        <f t="shared" si="0"/>
        <v>1780</v>
      </c>
      <c r="Q46" s="4"/>
      <c r="R46" s="63"/>
      <c r="S46" s="4"/>
      <c r="T46" s="30"/>
      <c r="U46" s="56"/>
      <c r="V46" s="1">
        <v>270.36200000000002</v>
      </c>
      <c r="W46" s="1">
        <f t="shared" si="5"/>
        <v>-9633.6380000000008</v>
      </c>
      <c r="X46" s="1">
        <f t="shared" si="20"/>
        <v>6759.05</v>
      </c>
      <c r="Y46" s="1">
        <f t="shared" si="6"/>
        <v>-3144.95</v>
      </c>
      <c r="Z46" s="1">
        <f t="shared" si="21"/>
        <v>0.14130062069065846</v>
      </c>
      <c r="AA46" s="1">
        <f t="shared" si="22"/>
        <v>0.24568152243981223</v>
      </c>
      <c r="AB46" s="1"/>
      <c r="AC46" s="1"/>
      <c r="AD46" s="1">
        <f t="shared" si="28"/>
        <v>8</v>
      </c>
      <c r="AE46">
        <f t="shared" si="29"/>
        <v>4685.0797199999997</v>
      </c>
      <c r="AF46">
        <f t="shared" si="30"/>
        <v>21530.637759999998</v>
      </c>
      <c r="AG46">
        <f t="shared" si="24"/>
        <v>2917.3861302156861</v>
      </c>
      <c r="AH46">
        <f t="shared" si="26"/>
        <v>13028.583439087126</v>
      </c>
      <c r="AI46">
        <f t="shared" si="27"/>
        <v>5708.3147059129533</v>
      </c>
      <c r="AJ46">
        <f t="shared" si="25"/>
        <v>3554.551714210038</v>
      </c>
      <c r="AK46">
        <f t="shared" si="31"/>
        <v>16238.644609297504</v>
      </c>
      <c r="AW46" s="79">
        <f t="shared" si="10"/>
        <v>8.0778776759432135E-3</v>
      </c>
      <c r="AX46" s="79">
        <f t="shared" si="23"/>
        <v>-1669.1576889861824</v>
      </c>
      <c r="AY46" s="79">
        <f t="shared" si="12"/>
        <v>-1836.0734578848007</v>
      </c>
      <c r="AZ46" s="79">
        <f t="shared" si="13"/>
        <v>-166.91576889861835</v>
      </c>
    </row>
    <row r="47" spans="1:52" x14ac:dyDescent="0.35">
      <c r="A47" s="70">
        <v>46</v>
      </c>
      <c r="B47" s="70">
        <v>1763.99702425654</v>
      </c>
      <c r="C47" s="70">
        <v>0</v>
      </c>
      <c r="D47" s="70"/>
      <c r="E47" s="70">
        <v>1764</v>
      </c>
      <c r="F47" s="70"/>
      <c r="G47" s="70"/>
      <c r="H47" s="70"/>
      <c r="I47" s="70"/>
      <c r="J47" s="70"/>
      <c r="K47" s="70">
        <v>0</v>
      </c>
      <c r="L47" s="70">
        <v>0</v>
      </c>
      <c r="M47" s="71">
        <f t="shared" ref="M47:M78" si="32">$S$18*C47*1000</f>
        <v>0</v>
      </c>
      <c r="N47" s="71">
        <f t="shared" ref="N47:N78" si="33">$S$19*C47</f>
        <v>0</v>
      </c>
      <c r="O47" s="71">
        <f t="shared" ref="O47:O78" si="34">$S$19*D47</f>
        <v>0</v>
      </c>
      <c r="P47" s="71">
        <f t="shared" ref="P47:P78" si="35">$S$19*K47</f>
        <v>0</v>
      </c>
      <c r="Q47" s="71"/>
      <c r="R47" s="50" t="s">
        <v>49</v>
      </c>
      <c r="S47" s="4">
        <v>25</v>
      </c>
      <c r="T47" s="30"/>
      <c r="U47" s="71"/>
      <c r="V47" s="70">
        <v>36.3322</v>
      </c>
      <c r="W47" s="70">
        <f t="shared" si="5"/>
        <v>36.3322</v>
      </c>
      <c r="X47" s="70">
        <f t="shared" si="20"/>
        <v>908.30500000000006</v>
      </c>
      <c r="Y47" s="70">
        <f t="shared" si="6"/>
        <v>908.30500000000006</v>
      </c>
      <c r="Z47" s="70">
        <f t="shared" si="21"/>
        <v>0</v>
      </c>
      <c r="AA47" s="70">
        <f t="shared" si="22"/>
        <v>0</v>
      </c>
      <c r="AB47" s="4"/>
      <c r="AC47" s="1"/>
      <c r="AD47" s="1">
        <f t="shared" si="28"/>
        <v>9</v>
      </c>
      <c r="AE47">
        <f t="shared" si="29"/>
        <v>4685.0797199999997</v>
      </c>
      <c r="AF47">
        <f t="shared" si="30"/>
        <v>26215.717479999999</v>
      </c>
      <c r="AG47">
        <f t="shared" si="24"/>
        <v>2749.6570501561605</v>
      </c>
      <c r="AH47">
        <f t="shared" si="26"/>
        <v>15778.240489243286</v>
      </c>
      <c r="AI47">
        <f t="shared" si="27"/>
        <v>5851.0225735607764</v>
      </c>
      <c r="AJ47">
        <f t="shared" si="25"/>
        <v>3433.9448699955592</v>
      </c>
      <c r="AK47">
        <f t="shared" si="31"/>
        <v>19672.589479293063</v>
      </c>
      <c r="AW47">
        <f t="shared" si="10"/>
        <v>4.3616667529474519E-3</v>
      </c>
      <c r="AX47">
        <f>AW47*$AV$2</f>
        <v>-901.26514531894668</v>
      </c>
      <c r="AY47">
        <f t="shared" ref="AY47:AY78" si="36">AW47*$AV$10</f>
        <v>-487.83914011160874</v>
      </c>
      <c r="AZ47">
        <f>AX47-AY47</f>
        <v>-413.42600520733794</v>
      </c>
    </row>
    <row r="48" spans="1:52" x14ac:dyDescent="0.35">
      <c r="A48" s="1">
        <v>47</v>
      </c>
      <c r="B48" s="1">
        <v>2322.9032263370332</v>
      </c>
      <c r="C48" s="1">
        <v>0</v>
      </c>
      <c r="D48" s="1"/>
      <c r="E48" s="1">
        <v>2322.9</v>
      </c>
      <c r="F48" s="1"/>
      <c r="G48" s="1"/>
      <c r="H48" s="1"/>
      <c r="I48" s="1"/>
      <c r="J48" s="1"/>
      <c r="K48" s="1">
        <v>0</v>
      </c>
      <c r="L48" s="1">
        <v>0</v>
      </c>
      <c r="M48" s="4">
        <f t="shared" si="32"/>
        <v>0</v>
      </c>
      <c r="N48" s="4">
        <f t="shared" si="33"/>
        <v>0</v>
      </c>
      <c r="O48" s="4">
        <f t="shared" si="34"/>
        <v>0</v>
      </c>
      <c r="P48" s="4">
        <f t="shared" si="35"/>
        <v>0</v>
      </c>
      <c r="Q48" s="4"/>
      <c r="R48" s="65"/>
      <c r="S48" s="4"/>
      <c r="T48" s="46"/>
      <c r="U48" s="4"/>
      <c r="V48" s="1">
        <v>48.805199999999999</v>
      </c>
      <c r="W48" s="1">
        <f>V48-M48</f>
        <v>48.805199999999999</v>
      </c>
      <c r="X48" s="1">
        <f t="shared" si="20"/>
        <v>1220.1299999999999</v>
      </c>
      <c r="Y48" s="1">
        <f t="shared" si="6"/>
        <v>1220.1299999999999</v>
      </c>
      <c r="Z48" s="1">
        <f t="shared" si="21"/>
        <v>0</v>
      </c>
      <c r="AA48" s="1">
        <f t="shared" si="22"/>
        <v>0</v>
      </c>
      <c r="AB48" s="4"/>
      <c r="AC48" s="1"/>
      <c r="AD48" s="1">
        <f t="shared" si="28"/>
        <v>10</v>
      </c>
      <c r="AE48">
        <f t="shared" si="29"/>
        <v>4685.0797199999997</v>
      </c>
      <c r="AF48">
        <f t="shared" si="30"/>
        <v>30900.797200000001</v>
      </c>
      <c r="AG48">
        <f t="shared" si="24"/>
        <v>2591.5712065562302</v>
      </c>
      <c r="AH48">
        <f t="shared" si="26"/>
        <v>18369.811695799515</v>
      </c>
      <c r="AI48">
        <f t="shared" si="27"/>
        <v>5997.2981378997956</v>
      </c>
      <c r="AJ48">
        <f t="shared" si="25"/>
        <v>3317.4302466969348</v>
      </c>
      <c r="AK48">
        <f t="shared" si="31"/>
        <v>22990.019725989998</v>
      </c>
      <c r="AW48">
        <f t="shared" si="10"/>
        <v>5.7436206712983317E-3</v>
      </c>
      <c r="AX48">
        <f t="shared" si="23"/>
        <v>-1186.8227015455718</v>
      </c>
      <c r="AY48">
        <f t="shared" si="36"/>
        <v>-642.40647626735279</v>
      </c>
      <c r="AZ48">
        <f t="shared" ref="AZ48:AZ102" si="37">AX48-AY48</f>
        <v>-544.41622527821903</v>
      </c>
    </row>
    <row r="49" spans="1:52" x14ac:dyDescent="0.35">
      <c r="A49" s="1">
        <v>48</v>
      </c>
      <c r="B49" s="1">
        <v>1052.7350255677291</v>
      </c>
      <c r="C49" s="1">
        <v>0</v>
      </c>
      <c r="D49" s="1"/>
      <c r="E49" s="1">
        <v>1052.74</v>
      </c>
      <c r="F49" s="1"/>
      <c r="G49" s="1"/>
      <c r="H49" s="1"/>
      <c r="I49" s="1"/>
      <c r="J49" s="1"/>
      <c r="K49" s="1">
        <v>0</v>
      </c>
      <c r="L49" s="1">
        <v>0</v>
      </c>
      <c r="M49" s="4">
        <f t="shared" si="32"/>
        <v>0</v>
      </c>
      <c r="N49" s="4">
        <f t="shared" si="33"/>
        <v>0</v>
      </c>
      <c r="O49" s="4">
        <f t="shared" si="34"/>
        <v>0</v>
      </c>
      <c r="P49" s="4">
        <f t="shared" si="35"/>
        <v>0</v>
      </c>
      <c r="Q49" s="4"/>
      <c r="R49" s="63"/>
      <c r="S49" s="4"/>
      <c r="T49" s="46"/>
      <c r="U49" s="4"/>
      <c r="V49" s="1">
        <v>22.118400000000001</v>
      </c>
      <c r="W49" s="1">
        <f t="shared" si="5"/>
        <v>22.118400000000001</v>
      </c>
      <c r="X49" s="1">
        <f t="shared" si="20"/>
        <v>552.96</v>
      </c>
      <c r="Y49" s="1">
        <f t="shared" si="6"/>
        <v>552.96</v>
      </c>
      <c r="Z49" s="1">
        <f t="shared" si="21"/>
        <v>0</v>
      </c>
      <c r="AA49" s="1">
        <f t="shared" si="22"/>
        <v>0</v>
      </c>
      <c r="AB49" s="4"/>
      <c r="AC49" s="1"/>
      <c r="AD49" s="1">
        <f t="shared" si="28"/>
        <v>11</v>
      </c>
      <c r="AE49">
        <f t="shared" si="29"/>
        <v>4685.0797199999997</v>
      </c>
      <c r="AF49">
        <f t="shared" si="30"/>
        <v>35585.876920000002</v>
      </c>
      <c r="AG49">
        <f t="shared" si="24"/>
        <v>2442.5741814856087</v>
      </c>
      <c r="AH49">
        <f t="shared" si="26"/>
        <v>20812.385877285124</v>
      </c>
      <c r="AI49">
        <f t="shared" si="27"/>
        <v>6147.230591347291</v>
      </c>
      <c r="AJ49">
        <f t="shared" si="25"/>
        <v>3204.8689942171154</v>
      </c>
      <c r="AK49">
        <f t="shared" si="31"/>
        <v>26194.888720207113</v>
      </c>
      <c r="AW49">
        <f t="shared" si="10"/>
        <v>2.602997225926316E-3</v>
      </c>
      <c r="AX49">
        <f t="shared" si="23"/>
        <v>-537.86563852086203</v>
      </c>
      <c r="AY49">
        <f t="shared" si="36"/>
        <v>-291.13731065095322</v>
      </c>
      <c r="AZ49">
        <f t="shared" si="37"/>
        <v>-246.72832786990881</v>
      </c>
    </row>
    <row r="50" spans="1:52" x14ac:dyDescent="0.35">
      <c r="A50" s="1">
        <v>49</v>
      </c>
      <c r="B50" s="1">
        <v>2650.8063291642311</v>
      </c>
      <c r="C50" s="1">
        <v>0</v>
      </c>
      <c r="D50" s="1"/>
      <c r="E50" s="1">
        <v>2650.81</v>
      </c>
      <c r="F50" s="1"/>
      <c r="G50" s="1"/>
      <c r="H50" s="1"/>
      <c r="I50" s="1"/>
      <c r="J50" s="1"/>
      <c r="K50" s="1">
        <v>0</v>
      </c>
      <c r="L50" s="1">
        <v>0</v>
      </c>
      <c r="M50" s="4">
        <f t="shared" si="32"/>
        <v>0</v>
      </c>
      <c r="N50" s="4">
        <f t="shared" si="33"/>
        <v>0</v>
      </c>
      <c r="O50" s="4">
        <f t="shared" si="34"/>
        <v>0</v>
      </c>
      <c r="P50" s="4">
        <f t="shared" si="35"/>
        <v>0</v>
      </c>
      <c r="Q50" s="4"/>
      <c r="R50" s="50" t="s">
        <v>280</v>
      </c>
      <c r="S50" s="1">
        <f>1+((1-(1+$S$20)^(1-$S$47))/$S$20)</f>
        <v>13.43521330378282</v>
      </c>
      <c r="T50" s="46"/>
      <c r="U50" s="4"/>
      <c r="V50" s="4">
        <v>53.152200000000001</v>
      </c>
      <c r="W50" s="1">
        <f t="shared" si="5"/>
        <v>53.152200000000001</v>
      </c>
      <c r="X50" s="1">
        <f t="shared" si="20"/>
        <v>1328.8050000000001</v>
      </c>
      <c r="Y50" s="1">
        <f t="shared" si="6"/>
        <v>1328.8050000000001</v>
      </c>
      <c r="Z50" s="1">
        <f t="shared" si="21"/>
        <v>0</v>
      </c>
      <c r="AA50" s="1">
        <f t="shared" si="22"/>
        <v>0</v>
      </c>
      <c r="AB50" s="4"/>
      <c r="AC50" s="1"/>
      <c r="AD50" s="1">
        <f t="shared" si="28"/>
        <v>12</v>
      </c>
      <c r="AE50">
        <f t="shared" si="29"/>
        <v>4685.0797199999997</v>
      </c>
      <c r="AF50">
        <f t="shared" si="30"/>
        <v>40270.956640000004</v>
      </c>
      <c r="AG50">
        <f t="shared" si="24"/>
        <v>2302.1434321259271</v>
      </c>
      <c r="AH50">
        <f t="shared" si="26"/>
        <v>23114.529309411049</v>
      </c>
      <c r="AI50">
        <f t="shared" si="27"/>
        <v>6300.9113561309723</v>
      </c>
      <c r="AJ50">
        <f t="shared" si="25"/>
        <v>3096.1269736781742</v>
      </c>
      <c r="AK50">
        <f t="shared" si="31"/>
        <v>29291.015693885289</v>
      </c>
      <c r="AW50">
        <f t="shared" si="10"/>
        <v>6.554395316676476E-3</v>
      </c>
      <c r="AX50">
        <f t="shared" si="23"/>
        <v>-1354.3556585496472</v>
      </c>
      <c r="AY50">
        <f t="shared" si="36"/>
        <v>-733.08915062762696</v>
      </c>
      <c r="AZ50">
        <f t="shared" si="37"/>
        <v>-621.2665079220202</v>
      </c>
    </row>
    <row r="51" spans="1:52" x14ac:dyDescent="0.35">
      <c r="A51" s="1">
        <v>50</v>
      </c>
      <c r="B51" s="1">
        <v>2336.365059758562</v>
      </c>
      <c r="C51" s="1">
        <v>0</v>
      </c>
      <c r="D51" s="1"/>
      <c r="E51" s="1">
        <v>2336.37</v>
      </c>
      <c r="F51" s="1"/>
      <c r="G51" s="1"/>
      <c r="H51" s="1"/>
      <c r="I51" s="1"/>
      <c r="J51" s="1"/>
      <c r="K51" s="1">
        <v>0</v>
      </c>
      <c r="L51" s="1">
        <v>0</v>
      </c>
      <c r="M51" s="4">
        <f t="shared" si="32"/>
        <v>0</v>
      </c>
      <c r="N51" s="4">
        <f t="shared" si="33"/>
        <v>0</v>
      </c>
      <c r="O51" s="4">
        <f t="shared" si="34"/>
        <v>0</v>
      </c>
      <c r="P51" s="4">
        <f t="shared" si="35"/>
        <v>0</v>
      </c>
      <c r="Q51" s="4"/>
      <c r="R51" s="63"/>
      <c r="S51" s="4"/>
      <c r="T51" s="46"/>
      <c r="U51" s="4"/>
      <c r="V51" s="4">
        <v>49.088000000000001</v>
      </c>
      <c r="W51" s="1">
        <f t="shared" si="5"/>
        <v>49.088000000000001</v>
      </c>
      <c r="X51" s="1">
        <f t="shared" si="20"/>
        <v>1227.2</v>
      </c>
      <c r="Y51" s="1">
        <f t="shared" si="6"/>
        <v>1227.2</v>
      </c>
      <c r="Z51" s="1">
        <f t="shared" si="21"/>
        <v>0</v>
      </c>
      <c r="AA51" s="1">
        <f t="shared" si="22"/>
        <v>0</v>
      </c>
      <c r="AB51" s="4"/>
      <c r="AC51" s="1"/>
      <c r="AD51" s="1">
        <f t="shared" si="28"/>
        <v>13</v>
      </c>
      <c r="AE51">
        <f t="shared" si="29"/>
        <v>4685.0797199999997</v>
      </c>
      <c r="AF51">
        <f t="shared" si="30"/>
        <v>44956.036360000006</v>
      </c>
      <c r="AG51">
        <f t="shared" si="24"/>
        <v>2169.7864581771223</v>
      </c>
      <c r="AH51">
        <f t="shared" si="26"/>
        <v>25284.31576758817</v>
      </c>
      <c r="AI51">
        <f t="shared" si="27"/>
        <v>6458.4341400342464</v>
      </c>
      <c r="AJ51">
        <f t="shared" si="25"/>
        <v>2991.0745975684522</v>
      </c>
      <c r="AK51">
        <f t="shared" si="31"/>
        <v>32282.09029145374</v>
      </c>
      <c r="AW51">
        <f t="shared" si="10"/>
        <v>5.7769064594606701E-3</v>
      </c>
      <c r="AX51">
        <f t="shared" ref="AX51:AX66" si="38">AW51*$AV$2</f>
        <v>-1193.7006503675245</v>
      </c>
      <c r="AY51">
        <f t="shared" si="36"/>
        <v>-646.12939028046014</v>
      </c>
      <c r="AZ51">
        <f t="shared" si="37"/>
        <v>-547.57126008706439</v>
      </c>
    </row>
    <row r="52" spans="1:52" ht="15" thickBot="1" x14ac:dyDescent="0.4">
      <c r="A52" s="1">
        <v>51</v>
      </c>
      <c r="B52" s="1">
        <v>586.05584352134008</v>
      </c>
      <c r="C52" s="1">
        <v>0</v>
      </c>
      <c r="D52" s="1"/>
      <c r="E52" s="1">
        <v>586.05600000000004</v>
      </c>
      <c r="F52" s="1"/>
      <c r="G52" s="1"/>
      <c r="H52" s="1"/>
      <c r="I52" s="1"/>
      <c r="J52" s="1"/>
      <c r="K52" s="1">
        <v>0</v>
      </c>
      <c r="L52" s="1">
        <v>0</v>
      </c>
      <c r="M52" s="4">
        <f t="shared" si="32"/>
        <v>0</v>
      </c>
      <c r="N52" s="4">
        <f t="shared" si="33"/>
        <v>0</v>
      </c>
      <c r="O52" s="4">
        <f t="shared" si="34"/>
        <v>0</v>
      </c>
      <c r="P52" s="4">
        <f t="shared" si="35"/>
        <v>0</v>
      </c>
      <c r="Q52" s="4"/>
      <c r="R52" s="66"/>
      <c r="S52" s="52"/>
      <c r="T52" s="53"/>
      <c r="U52" s="4"/>
      <c r="V52" s="4">
        <v>11.751200000000001</v>
      </c>
      <c r="W52" s="1">
        <f t="shared" si="5"/>
        <v>11.751200000000001</v>
      </c>
      <c r="X52" s="1">
        <f t="shared" si="20"/>
        <v>293.78000000000003</v>
      </c>
      <c r="Y52" s="1">
        <f t="shared" si="6"/>
        <v>293.78000000000003</v>
      </c>
      <c r="Z52" s="1">
        <f t="shared" si="21"/>
        <v>0</v>
      </c>
      <c r="AA52" s="1">
        <f t="shared" si="22"/>
        <v>0</v>
      </c>
      <c r="AB52" s="4"/>
      <c r="AC52" s="1" t="s">
        <v>6</v>
      </c>
      <c r="AD52" s="1">
        <f t="shared" si="28"/>
        <v>14</v>
      </c>
      <c r="AE52">
        <f t="shared" si="29"/>
        <v>4685.0797199999997</v>
      </c>
      <c r="AF52">
        <f t="shared" si="30"/>
        <v>49641.116080000007</v>
      </c>
      <c r="AG52">
        <f t="shared" si="24"/>
        <v>2045.0390746249975</v>
      </c>
      <c r="AH52">
        <f t="shared" si="26"/>
        <v>27329.354842213168</v>
      </c>
      <c r="AI52">
        <f t="shared" si="27"/>
        <v>6619.894993535102</v>
      </c>
      <c r="AJ52">
        <f t="shared" si="25"/>
        <v>2889.5866753135379</v>
      </c>
      <c r="AK52">
        <f t="shared" si="31"/>
        <v>35171.676966767278</v>
      </c>
      <c r="AW52">
        <f t="shared" si="10"/>
        <v>1.4490842404538294E-3</v>
      </c>
      <c r="AX52">
        <f t="shared" si="38"/>
        <v>-299.42890929699377</v>
      </c>
      <c r="AY52">
        <f t="shared" si="36"/>
        <v>-162.07565819524601</v>
      </c>
      <c r="AZ52">
        <f t="shared" si="37"/>
        <v>-137.35325110174776</v>
      </c>
    </row>
    <row r="53" spans="1:52" x14ac:dyDescent="0.35">
      <c r="A53" s="1">
        <v>52</v>
      </c>
      <c r="B53" s="1">
        <v>5329.6971333659421</v>
      </c>
      <c r="C53" s="1">
        <v>0</v>
      </c>
      <c r="D53" s="1"/>
      <c r="E53" s="1">
        <v>5329.7</v>
      </c>
      <c r="F53" s="1"/>
      <c r="G53" s="1"/>
      <c r="H53" s="1"/>
      <c r="I53" s="1"/>
      <c r="J53" s="1"/>
      <c r="K53" s="1">
        <v>0</v>
      </c>
      <c r="L53" s="1">
        <v>0</v>
      </c>
      <c r="M53" s="4">
        <f t="shared" si="32"/>
        <v>0</v>
      </c>
      <c r="N53" s="4">
        <f t="shared" si="33"/>
        <v>0</v>
      </c>
      <c r="O53" s="4">
        <f t="shared" si="34"/>
        <v>0</v>
      </c>
      <c r="P53" s="4">
        <f t="shared" si="35"/>
        <v>0</v>
      </c>
      <c r="Q53" s="4"/>
      <c r="R53" s="4"/>
      <c r="S53" s="4"/>
      <c r="T53" s="4"/>
      <c r="U53" s="4"/>
      <c r="V53" s="4">
        <v>110.047</v>
      </c>
      <c r="W53" s="1">
        <f t="shared" si="5"/>
        <v>110.047</v>
      </c>
      <c r="X53" s="1">
        <f t="shared" si="20"/>
        <v>2751.1749999999997</v>
      </c>
      <c r="Y53" s="1">
        <f t="shared" si="6"/>
        <v>2751.1749999999997</v>
      </c>
      <c r="Z53" s="1">
        <f t="shared" si="21"/>
        <v>0</v>
      </c>
      <c r="AA53" s="1">
        <f t="shared" si="22"/>
        <v>0</v>
      </c>
      <c r="AB53" s="4"/>
      <c r="AC53" s="1"/>
      <c r="AD53" s="1">
        <f t="shared" si="28"/>
        <v>15</v>
      </c>
      <c r="AE53">
        <f t="shared" si="29"/>
        <v>4685.0797199999997</v>
      </c>
      <c r="AF53">
        <f t="shared" si="30"/>
        <v>54326.195800000009</v>
      </c>
      <c r="AG53">
        <f t="shared" si="24"/>
        <v>1927.4637838124388</v>
      </c>
      <c r="AH53">
        <f t="shared" si="26"/>
        <v>29256.818626025608</v>
      </c>
      <c r="AI53">
        <f t="shared" si="27"/>
        <v>6785.3923683734802</v>
      </c>
      <c r="AJ53">
        <f t="shared" si="25"/>
        <v>2791.5422640870656</v>
      </c>
      <c r="AK53">
        <f t="shared" si="31"/>
        <v>37963.219230854345</v>
      </c>
      <c r="AW53">
        <f t="shared" si="10"/>
        <v>1.3178232429093275E-2</v>
      </c>
      <c r="AX53">
        <f t="shared" si="38"/>
        <v>-2723.0602973570863</v>
      </c>
      <c r="AY53">
        <f t="shared" si="36"/>
        <v>-1473.9451545800462</v>
      </c>
      <c r="AZ53">
        <f t="shared" si="37"/>
        <v>-1249.1151427770401</v>
      </c>
    </row>
    <row r="54" spans="1:52" x14ac:dyDescent="0.35">
      <c r="A54" s="1">
        <v>53</v>
      </c>
      <c r="B54" s="1">
        <v>5328.3833046167756</v>
      </c>
      <c r="C54" s="1">
        <v>0</v>
      </c>
      <c r="D54" s="1"/>
      <c r="E54" s="1">
        <v>5328.38</v>
      </c>
      <c r="F54" s="1"/>
      <c r="G54" s="1"/>
      <c r="H54" s="1"/>
      <c r="I54" s="1"/>
      <c r="J54" s="1"/>
      <c r="K54" s="1">
        <v>0</v>
      </c>
      <c r="L54" s="1">
        <v>0</v>
      </c>
      <c r="M54" s="4">
        <f t="shared" si="32"/>
        <v>0</v>
      </c>
      <c r="N54" s="4">
        <f t="shared" si="33"/>
        <v>0</v>
      </c>
      <c r="O54" s="4">
        <f t="shared" si="34"/>
        <v>0</v>
      </c>
      <c r="P54" s="4">
        <f t="shared" si="35"/>
        <v>0</v>
      </c>
      <c r="Q54" s="4"/>
      <c r="R54" s="4"/>
      <c r="S54" s="4"/>
      <c r="T54" s="4"/>
      <c r="U54" s="4"/>
      <c r="V54" s="4">
        <v>104.018</v>
      </c>
      <c r="W54" s="1">
        <f t="shared" si="5"/>
        <v>104.018</v>
      </c>
      <c r="X54" s="1">
        <f t="shared" si="20"/>
        <v>2600.4499999999998</v>
      </c>
      <c r="Y54" s="1">
        <f t="shared" si="6"/>
        <v>2600.4499999999998</v>
      </c>
      <c r="Z54" s="1">
        <f t="shared" si="21"/>
        <v>0</v>
      </c>
      <c r="AA54" s="1">
        <f t="shared" si="22"/>
        <v>0</v>
      </c>
      <c r="AB54" s="4"/>
      <c r="AC54" s="1"/>
      <c r="AD54" s="1">
        <f t="shared" si="28"/>
        <v>16</v>
      </c>
      <c r="AE54">
        <f t="shared" si="29"/>
        <v>4685.0797199999997</v>
      </c>
      <c r="AF54">
        <f t="shared" si="30"/>
        <v>59011.27552000001</v>
      </c>
      <c r="AG54">
        <f t="shared" si="24"/>
        <v>1816.648241105032</v>
      </c>
      <c r="AH54">
        <f t="shared" si="26"/>
        <v>31073.466867130639</v>
      </c>
      <c r="AI54">
        <f t="shared" si="27"/>
        <v>6955.0271775828169</v>
      </c>
      <c r="AJ54">
        <f t="shared" si="25"/>
        <v>2696.8245246835459</v>
      </c>
      <c r="AK54">
        <f t="shared" si="31"/>
        <v>40660.043755537889</v>
      </c>
      <c r="AW54">
        <f t="shared" si="10"/>
        <v>1.3174983850385086E-2</v>
      </c>
      <c r="AX54">
        <f t="shared" si="38"/>
        <v>-2722.3890331529751</v>
      </c>
      <c r="AY54">
        <f t="shared" si="36"/>
        <v>-1473.5818109471295</v>
      </c>
      <c r="AZ54">
        <f t="shared" si="37"/>
        <v>-1248.8072222058456</v>
      </c>
    </row>
    <row r="55" spans="1:52" x14ac:dyDescent="0.35">
      <c r="A55" s="1">
        <v>54</v>
      </c>
      <c r="B55" s="1">
        <v>1132.850191183687</v>
      </c>
      <c r="C55" s="1">
        <v>0</v>
      </c>
      <c r="D55" s="1"/>
      <c r="E55" s="1">
        <v>1132.8499999999999</v>
      </c>
      <c r="F55" s="1"/>
      <c r="G55" s="1"/>
      <c r="H55" s="1"/>
      <c r="I55" s="1"/>
      <c r="J55" s="1"/>
      <c r="K55" s="1">
        <v>0</v>
      </c>
      <c r="L55" s="1">
        <v>0</v>
      </c>
      <c r="M55" s="4">
        <f t="shared" si="32"/>
        <v>0</v>
      </c>
      <c r="N55" s="4">
        <f t="shared" si="33"/>
        <v>0</v>
      </c>
      <c r="O55" s="4">
        <f t="shared" si="34"/>
        <v>0</v>
      </c>
      <c r="P55" s="4">
        <f t="shared" si="35"/>
        <v>0</v>
      </c>
      <c r="Q55" s="4"/>
      <c r="R55" s="4"/>
      <c r="S55" s="4"/>
      <c r="T55" s="4"/>
      <c r="U55" s="4"/>
      <c r="V55" s="4">
        <v>23.8017</v>
      </c>
      <c r="W55" s="1">
        <f t="shared" si="5"/>
        <v>23.8017</v>
      </c>
      <c r="X55" s="1">
        <f t="shared" si="20"/>
        <v>595.04250000000002</v>
      </c>
      <c r="Y55" s="1">
        <f t="shared" si="6"/>
        <v>595.04250000000002</v>
      </c>
      <c r="Z55" s="1">
        <f t="shared" si="21"/>
        <v>0</v>
      </c>
      <c r="AA55" s="1">
        <f t="shared" si="22"/>
        <v>0</v>
      </c>
      <c r="AB55" s="4"/>
      <c r="AC55" s="1"/>
      <c r="AD55" s="1">
        <f t="shared" si="28"/>
        <v>17</v>
      </c>
      <c r="AE55">
        <f t="shared" si="29"/>
        <v>4685.0797199999997</v>
      </c>
      <c r="AF55">
        <f t="shared" si="30"/>
        <v>63696.355240000012</v>
      </c>
      <c r="AG55">
        <f t="shared" si="24"/>
        <v>1712.2038087700587</v>
      </c>
      <c r="AH55">
        <f t="shared" si="26"/>
        <v>32785.670675900699</v>
      </c>
      <c r="AI55">
        <f t="shared" si="27"/>
        <v>7128.9028570223863</v>
      </c>
      <c r="AJ55">
        <f t="shared" si="25"/>
        <v>2605.3205822814652</v>
      </c>
      <c r="AK55">
        <f t="shared" si="31"/>
        <v>43265.364337819352</v>
      </c>
      <c r="AW55">
        <f t="shared" si="10"/>
        <v>2.8010903346271524E-3</v>
      </c>
      <c r="AX55">
        <f t="shared" si="38"/>
        <v>-578.79825087124266</v>
      </c>
      <c r="AY55">
        <f t="shared" si="36"/>
        <v>-313.29342144170715</v>
      </c>
      <c r="AZ55">
        <f t="shared" si="37"/>
        <v>-265.5048294295355</v>
      </c>
    </row>
    <row r="56" spans="1:52" x14ac:dyDescent="0.35">
      <c r="A56" s="1">
        <v>55</v>
      </c>
      <c r="B56" s="1">
        <v>1734.337401732017</v>
      </c>
      <c r="C56" s="1">
        <v>0</v>
      </c>
      <c r="D56" s="1"/>
      <c r="E56" s="1">
        <v>1734.34</v>
      </c>
      <c r="F56" s="1"/>
      <c r="G56" s="1"/>
      <c r="H56" s="1"/>
      <c r="I56" s="1"/>
      <c r="J56" s="1"/>
      <c r="K56" s="1">
        <v>0</v>
      </c>
      <c r="L56" s="1">
        <v>0</v>
      </c>
      <c r="M56" s="4">
        <f t="shared" si="32"/>
        <v>0</v>
      </c>
      <c r="N56" s="4">
        <f t="shared" si="33"/>
        <v>0</v>
      </c>
      <c r="O56" s="4">
        <f t="shared" si="34"/>
        <v>0</v>
      </c>
      <c r="P56" s="4">
        <f t="shared" si="35"/>
        <v>0</v>
      </c>
      <c r="Q56" s="4"/>
      <c r="R56" s="4"/>
      <c r="S56" s="4"/>
      <c r="T56" s="4"/>
      <c r="U56" s="4"/>
      <c r="V56" s="4">
        <v>36.4392</v>
      </c>
      <c r="W56" s="1">
        <f t="shared" si="5"/>
        <v>36.4392</v>
      </c>
      <c r="X56" s="1">
        <f t="shared" si="20"/>
        <v>910.98</v>
      </c>
      <c r="Y56" s="1">
        <f t="shared" si="6"/>
        <v>910.98</v>
      </c>
      <c r="Z56" s="1">
        <f t="shared" si="21"/>
        <v>0</v>
      </c>
      <c r="AA56" s="1">
        <f t="shared" si="22"/>
        <v>0</v>
      </c>
      <c r="AB56" s="4"/>
      <c r="AC56" s="1"/>
      <c r="AD56" s="1">
        <f>AD55+1</f>
        <v>18</v>
      </c>
      <c r="AE56">
        <f t="shared" si="29"/>
        <v>4685.0797199999997</v>
      </c>
      <c r="AF56">
        <f t="shared" si="30"/>
        <v>68381.434960000013</v>
      </c>
      <c r="AG56">
        <f t="shared" si="24"/>
        <v>1613.7641929972278</v>
      </c>
      <c r="AH56">
        <f t="shared" si="26"/>
        <v>34399.43486889793</v>
      </c>
      <c r="AI56">
        <f t="shared" si="27"/>
        <v>7307.1254284479464</v>
      </c>
      <c r="AJ56">
        <f t="shared" si="25"/>
        <v>2516.9213919307276</v>
      </c>
      <c r="AK56">
        <f t="shared" si="31"/>
        <v>45782.285729750081</v>
      </c>
      <c r="AW56">
        <f t="shared" si="10"/>
        <v>4.2883302406453942E-3</v>
      </c>
      <c r="AX56">
        <f t="shared" si="38"/>
        <v>-886.11138732667598</v>
      </c>
      <c r="AY56">
        <f t="shared" si="36"/>
        <v>-479.63667460320096</v>
      </c>
      <c r="AZ56">
        <f t="shared" si="37"/>
        <v>-406.47471272347502</v>
      </c>
    </row>
    <row r="57" spans="1:52" x14ac:dyDescent="0.35">
      <c r="A57" s="1">
        <v>56</v>
      </c>
      <c r="B57" s="1">
        <v>1696.5437943175671</v>
      </c>
      <c r="C57" s="1">
        <v>0</v>
      </c>
      <c r="D57" s="1"/>
      <c r="E57" s="1">
        <v>1696.54</v>
      </c>
      <c r="F57" s="1"/>
      <c r="G57" s="1"/>
      <c r="H57" s="1"/>
      <c r="I57" s="1"/>
      <c r="J57" s="1"/>
      <c r="K57" s="1">
        <v>0</v>
      </c>
      <c r="L57" s="1">
        <v>0</v>
      </c>
      <c r="M57" s="4">
        <f t="shared" si="32"/>
        <v>0</v>
      </c>
      <c r="N57" s="4">
        <f t="shared" si="33"/>
        <v>0</v>
      </c>
      <c r="O57" s="4">
        <f t="shared" si="34"/>
        <v>0</v>
      </c>
      <c r="P57" s="4">
        <f t="shared" si="35"/>
        <v>0</v>
      </c>
      <c r="Q57" s="4"/>
      <c r="R57" s="4"/>
      <c r="S57" s="4"/>
      <c r="T57" s="4"/>
      <c r="U57" s="4"/>
      <c r="V57" s="4">
        <v>33.6798</v>
      </c>
      <c r="W57" s="1">
        <f t="shared" si="5"/>
        <v>33.6798</v>
      </c>
      <c r="X57" s="1">
        <f t="shared" si="20"/>
        <v>841.995</v>
      </c>
      <c r="Y57" s="1">
        <f t="shared" si="6"/>
        <v>841.995</v>
      </c>
      <c r="Z57" s="1">
        <f t="shared" si="21"/>
        <v>0</v>
      </c>
      <c r="AA57" s="1">
        <f t="shared" si="22"/>
        <v>0</v>
      </c>
      <c r="AB57" s="4"/>
      <c r="AC57" s="1"/>
      <c r="AD57" s="1">
        <f t="shared" ref="AD57:AD61" si="39">AD56+1</f>
        <v>19</v>
      </c>
      <c r="AE57">
        <f t="shared" si="29"/>
        <v>4685.0797199999997</v>
      </c>
      <c r="AF57">
        <f t="shared" si="30"/>
        <v>73066.514680000008</v>
      </c>
      <c r="AG57">
        <f t="shared" si="24"/>
        <v>1520.9841592810819</v>
      </c>
      <c r="AH57">
        <f t="shared" si="26"/>
        <v>35920.419028179014</v>
      </c>
      <c r="AI57">
        <f t="shared" si="27"/>
        <v>7489.803564159145</v>
      </c>
      <c r="AJ57">
        <f t="shared" si="25"/>
        <v>2431.5216086041432</v>
      </c>
      <c r="AK57">
        <f t="shared" si="31"/>
        <v>48213.807338354221</v>
      </c>
      <c r="AW57">
        <f t="shared" si="10"/>
        <v>4.1948816017492885E-3</v>
      </c>
      <c r="AX57">
        <f t="shared" si="38"/>
        <v>-866.80179631822898</v>
      </c>
      <c r="AY57">
        <f t="shared" si="36"/>
        <v>-469.18472899940861</v>
      </c>
      <c r="AZ57">
        <f t="shared" si="37"/>
        <v>-397.61706731882038</v>
      </c>
    </row>
    <row r="58" spans="1:52" x14ac:dyDescent="0.35">
      <c r="A58" s="1">
        <v>57</v>
      </c>
      <c r="B58" s="1">
        <v>2227.6855671211929</v>
      </c>
      <c r="C58" s="1">
        <v>0</v>
      </c>
      <c r="D58" s="1"/>
      <c r="E58" s="1">
        <v>2227.69</v>
      </c>
      <c r="F58" s="1"/>
      <c r="G58" s="1"/>
      <c r="H58" s="1"/>
      <c r="I58" s="1"/>
      <c r="J58" s="1"/>
      <c r="K58" s="1">
        <v>0</v>
      </c>
      <c r="L58" s="1">
        <v>0</v>
      </c>
      <c r="M58" s="4">
        <f t="shared" si="32"/>
        <v>0</v>
      </c>
      <c r="N58" s="4">
        <f t="shared" si="33"/>
        <v>0</v>
      </c>
      <c r="O58" s="4">
        <f t="shared" si="34"/>
        <v>0</v>
      </c>
      <c r="P58" s="4">
        <f t="shared" si="35"/>
        <v>0</v>
      </c>
      <c r="Q58" s="4"/>
      <c r="R58" s="4"/>
      <c r="S58" s="4"/>
      <c r="T58" s="4"/>
      <c r="U58" s="4"/>
      <c r="V58" s="4">
        <v>43.985100000000003</v>
      </c>
      <c r="W58" s="1">
        <f t="shared" si="5"/>
        <v>43.985100000000003</v>
      </c>
      <c r="X58" s="1">
        <f t="shared" si="20"/>
        <v>1099.6275000000001</v>
      </c>
      <c r="Y58" s="1">
        <f t="shared" si="6"/>
        <v>1099.6275000000001</v>
      </c>
      <c r="Z58" s="1">
        <f t="shared" si="21"/>
        <v>0</v>
      </c>
      <c r="AA58" s="1">
        <f t="shared" si="22"/>
        <v>0</v>
      </c>
      <c r="AB58" s="4"/>
      <c r="AC58" s="1"/>
      <c r="AD58" s="1">
        <f t="shared" si="39"/>
        <v>20</v>
      </c>
      <c r="AE58">
        <f t="shared" si="29"/>
        <v>4685.0797199999997</v>
      </c>
      <c r="AF58">
        <f t="shared" si="30"/>
        <v>77751.594400000002</v>
      </c>
      <c r="AG58">
        <f t="shared" si="24"/>
        <v>1433.538321659832</v>
      </c>
      <c r="AH58">
        <f t="shared" si="26"/>
        <v>37353.957349838849</v>
      </c>
      <c r="AI58">
        <f t="shared" si="27"/>
        <v>7677.048653263123</v>
      </c>
      <c r="AJ58">
        <f t="shared" si="25"/>
        <v>2349.019461658102</v>
      </c>
      <c r="AK58">
        <f t="shared" si="31"/>
        <v>50562.826800012321</v>
      </c>
      <c r="AW58">
        <f t="shared" si="10"/>
        <v>5.5081850709065181E-3</v>
      </c>
      <c r="AX58">
        <f t="shared" si="38"/>
        <v>-1138.1738907539195</v>
      </c>
      <c r="AY58">
        <f t="shared" si="36"/>
        <v>-616.07372153106121</v>
      </c>
      <c r="AZ58">
        <f t="shared" si="37"/>
        <v>-522.10016922285831</v>
      </c>
    </row>
    <row r="59" spans="1:52" x14ac:dyDescent="0.35">
      <c r="A59" s="1">
        <v>58</v>
      </c>
      <c r="B59" s="1">
        <v>404.30530639696019</v>
      </c>
      <c r="C59" s="1">
        <v>0</v>
      </c>
      <c r="D59" s="1"/>
      <c r="E59" s="1">
        <v>404.30500000000001</v>
      </c>
      <c r="F59" s="1"/>
      <c r="G59" s="1"/>
      <c r="H59" s="1"/>
      <c r="I59" s="1"/>
      <c r="J59" s="1"/>
      <c r="K59" s="1">
        <v>0</v>
      </c>
      <c r="L59" s="1">
        <v>0</v>
      </c>
      <c r="M59" s="4">
        <f t="shared" si="32"/>
        <v>0</v>
      </c>
      <c r="N59" s="4">
        <f t="shared" si="33"/>
        <v>0</v>
      </c>
      <c r="O59" s="4">
        <f t="shared" si="34"/>
        <v>0</v>
      </c>
      <c r="P59" s="4">
        <f t="shared" si="35"/>
        <v>0</v>
      </c>
      <c r="Q59" s="4"/>
      <c r="R59" s="4"/>
      <c r="S59" s="4"/>
      <c r="T59" s="4"/>
      <c r="U59" s="4"/>
      <c r="V59" s="4">
        <v>7.2637200000000002</v>
      </c>
      <c r="W59" s="1">
        <f t="shared" si="5"/>
        <v>7.2637200000000002</v>
      </c>
      <c r="X59" s="1">
        <f t="shared" si="20"/>
        <v>181.59300000000002</v>
      </c>
      <c r="Y59" s="1">
        <f t="shared" si="6"/>
        <v>181.59300000000002</v>
      </c>
      <c r="Z59" s="1">
        <f t="shared" si="21"/>
        <v>0</v>
      </c>
      <c r="AA59" s="1">
        <f t="shared" si="22"/>
        <v>0</v>
      </c>
      <c r="AB59" s="4"/>
      <c r="AC59" s="1"/>
      <c r="AD59" s="1">
        <f t="shared" si="39"/>
        <v>21</v>
      </c>
      <c r="AE59">
        <f t="shared" si="29"/>
        <v>4685.0797199999997</v>
      </c>
      <c r="AF59">
        <f t="shared" si="30"/>
        <v>82436.674119999996</v>
      </c>
      <c r="AG59">
        <f t="shared" si="24"/>
        <v>1351.1200015644035</v>
      </c>
      <c r="AH59">
        <f t="shared" si="26"/>
        <v>38705.077351403255</v>
      </c>
      <c r="AI59">
        <f t="shared" si="27"/>
        <v>7868.9748695947001</v>
      </c>
      <c r="AJ59">
        <f t="shared" si="25"/>
        <v>2269.3166335528317</v>
      </c>
      <c r="AK59">
        <f t="shared" si="31"/>
        <v>52832.14343356515</v>
      </c>
      <c r="AW59">
        <f t="shared" si="10"/>
        <v>9.9968706789348551E-4</v>
      </c>
      <c r="AX59">
        <f t="shared" si="38"/>
        <v>-206.56853481748533</v>
      </c>
      <c r="AY59">
        <f t="shared" si="36"/>
        <v>-111.81195336674747</v>
      </c>
      <c r="AZ59">
        <f t="shared" si="37"/>
        <v>-94.756581450737855</v>
      </c>
    </row>
    <row r="60" spans="1:52" x14ac:dyDescent="0.35">
      <c r="A60" s="1">
        <v>59</v>
      </c>
      <c r="B60" s="1">
        <v>3141.552121160008</v>
      </c>
      <c r="C60" s="1">
        <v>0</v>
      </c>
      <c r="D60" s="1"/>
      <c r="E60" s="1">
        <v>3141.55</v>
      </c>
      <c r="F60" s="1"/>
      <c r="G60" s="1"/>
      <c r="H60" s="1"/>
      <c r="I60" s="1"/>
      <c r="J60" s="1"/>
      <c r="K60" s="1">
        <v>0</v>
      </c>
      <c r="L60" s="1">
        <v>0</v>
      </c>
      <c r="M60" s="4">
        <f t="shared" si="32"/>
        <v>0</v>
      </c>
      <c r="N60" s="4">
        <f t="shared" si="33"/>
        <v>0</v>
      </c>
      <c r="O60" s="4">
        <f t="shared" si="34"/>
        <v>0</v>
      </c>
      <c r="P60" s="4">
        <f t="shared" si="35"/>
        <v>0</v>
      </c>
      <c r="Q60" s="4"/>
      <c r="R60" s="4"/>
      <c r="S60" s="4"/>
      <c r="T60" s="4"/>
      <c r="U60" s="4"/>
      <c r="V60" s="4">
        <v>63.6265</v>
      </c>
      <c r="W60" s="1">
        <f t="shared" si="5"/>
        <v>63.6265</v>
      </c>
      <c r="X60" s="1">
        <f t="shared" si="20"/>
        <v>1590.6624999999999</v>
      </c>
      <c r="Y60" s="1">
        <f t="shared" si="6"/>
        <v>1590.6624999999999</v>
      </c>
      <c r="Z60" s="1">
        <f t="shared" si="21"/>
        <v>0</v>
      </c>
      <c r="AA60" s="1">
        <f t="shared" si="22"/>
        <v>0</v>
      </c>
      <c r="AB60" s="4"/>
      <c r="AC60" s="1"/>
      <c r="AD60" s="1">
        <f t="shared" si="39"/>
        <v>22</v>
      </c>
      <c r="AE60">
        <f t="shared" si="29"/>
        <v>4685.0797199999997</v>
      </c>
      <c r="AF60">
        <f t="shared" si="30"/>
        <v>87121.75383999999</v>
      </c>
      <c r="AG60">
        <f t="shared" si="24"/>
        <v>1273.4401522755923</v>
      </c>
      <c r="AH60">
        <f t="shared" si="26"/>
        <v>39978.51750367885</v>
      </c>
      <c r="AI60">
        <f t="shared" si="27"/>
        <v>8065.699241334567</v>
      </c>
      <c r="AJ60">
        <f t="shared" si="25"/>
        <v>2192.3181426877022</v>
      </c>
      <c r="AK60">
        <f t="shared" si="31"/>
        <v>55024.461576252856</v>
      </c>
      <c r="AW60">
        <f t="shared" si="10"/>
        <v>7.7678155071096069E-3</v>
      </c>
      <c r="AX60">
        <f t="shared" si="38"/>
        <v>-1605.0885517778233</v>
      </c>
      <c r="AY60">
        <f t="shared" si="36"/>
        <v>-868.80650269147793</v>
      </c>
      <c r="AZ60">
        <f t="shared" si="37"/>
        <v>-736.28204908634541</v>
      </c>
    </row>
    <row r="61" spans="1:52" x14ac:dyDescent="0.35">
      <c r="A61" s="1">
        <v>60</v>
      </c>
      <c r="B61" s="1">
        <v>2862.8042339526478</v>
      </c>
      <c r="C61" s="1">
        <v>0</v>
      </c>
      <c r="D61" s="1"/>
      <c r="E61" s="1">
        <v>2862.8</v>
      </c>
      <c r="F61" s="1"/>
      <c r="G61" s="1"/>
      <c r="H61" s="1"/>
      <c r="I61" s="1"/>
      <c r="J61" s="1"/>
      <c r="K61" s="1">
        <v>0</v>
      </c>
      <c r="L61" s="1">
        <v>0</v>
      </c>
      <c r="M61" s="4">
        <f t="shared" si="32"/>
        <v>0</v>
      </c>
      <c r="N61" s="4">
        <f t="shared" si="33"/>
        <v>0</v>
      </c>
      <c r="O61" s="4">
        <f t="shared" si="34"/>
        <v>0</v>
      </c>
      <c r="P61" s="4">
        <f t="shared" si="35"/>
        <v>0</v>
      </c>
      <c r="Q61" s="4"/>
      <c r="R61" s="4"/>
      <c r="S61" s="4"/>
      <c r="T61" s="4"/>
      <c r="U61" s="4"/>
      <c r="V61" s="4">
        <v>59.825899999999997</v>
      </c>
      <c r="W61" s="1">
        <f t="shared" si="5"/>
        <v>59.825899999999997</v>
      </c>
      <c r="X61" s="1">
        <f t="shared" si="20"/>
        <v>1495.6475</v>
      </c>
      <c r="Y61" s="1">
        <f t="shared" si="6"/>
        <v>1495.6475</v>
      </c>
      <c r="Z61" s="1">
        <f t="shared" si="21"/>
        <v>0</v>
      </c>
      <c r="AA61" s="1">
        <f t="shared" si="22"/>
        <v>0</v>
      </c>
      <c r="AB61" s="4"/>
      <c r="AC61" s="1"/>
      <c r="AD61" s="1">
        <f t="shared" si="39"/>
        <v>23</v>
      </c>
      <c r="AE61">
        <f t="shared" si="29"/>
        <v>4685.0797199999997</v>
      </c>
      <c r="AF61">
        <f t="shared" si="30"/>
        <v>91806.833559999985</v>
      </c>
      <c r="AG61">
        <f t="shared" si="24"/>
        <v>1200.2263452173352</v>
      </c>
      <c r="AH61">
        <f t="shared" si="26"/>
        <v>41178.743848896185</v>
      </c>
      <c r="AI61">
        <f t="shared" si="27"/>
        <v>8267.3417223679317</v>
      </c>
      <c r="AJ61">
        <f t="shared" si="25"/>
        <v>2117.9322302119658</v>
      </c>
      <c r="AK61">
        <f t="shared" si="31"/>
        <v>57142.393806464825</v>
      </c>
      <c r="AW61">
        <f t="shared" si="10"/>
        <v>7.0785822627399868E-3</v>
      </c>
      <c r="AX61">
        <f t="shared" si="38"/>
        <v>-1462.6700830294571</v>
      </c>
      <c r="AY61">
        <f t="shared" si="36"/>
        <v>-791.71786380305423</v>
      </c>
      <c r="AZ61">
        <f t="shared" si="37"/>
        <v>-670.95221922640292</v>
      </c>
    </row>
    <row r="62" spans="1:52" x14ac:dyDescent="0.35">
      <c r="A62" s="1">
        <v>61</v>
      </c>
      <c r="B62" s="1">
        <v>2954.0094942934988</v>
      </c>
      <c r="C62" s="1">
        <v>0</v>
      </c>
      <c r="D62" s="1"/>
      <c r="E62" s="1">
        <v>2954.01</v>
      </c>
      <c r="F62" s="1"/>
      <c r="G62" s="1"/>
      <c r="H62" s="1"/>
      <c r="I62" s="1"/>
      <c r="J62" s="1"/>
      <c r="K62" s="1">
        <v>0</v>
      </c>
      <c r="L62" s="1">
        <v>0</v>
      </c>
      <c r="M62" s="4">
        <f t="shared" si="32"/>
        <v>0</v>
      </c>
      <c r="N62" s="4">
        <f t="shared" si="33"/>
        <v>0</v>
      </c>
      <c r="O62" s="4">
        <f t="shared" si="34"/>
        <v>0</v>
      </c>
      <c r="P62" s="4">
        <f t="shared" si="35"/>
        <v>0</v>
      </c>
      <c r="Q62" s="4"/>
      <c r="R62" s="4"/>
      <c r="S62" s="4"/>
      <c r="T62" s="4"/>
      <c r="U62" s="4"/>
      <c r="V62" s="4">
        <v>64.215500000000006</v>
      </c>
      <c r="W62" s="1">
        <f t="shared" si="5"/>
        <v>64.215500000000006</v>
      </c>
      <c r="X62" s="1">
        <f t="shared" si="20"/>
        <v>1605.3875</v>
      </c>
      <c r="Y62" s="1">
        <f t="shared" si="6"/>
        <v>1605.3875</v>
      </c>
      <c r="Z62" s="1">
        <f t="shared" si="21"/>
        <v>0</v>
      </c>
      <c r="AA62" s="1">
        <f t="shared" si="22"/>
        <v>0</v>
      </c>
      <c r="AB62" s="4"/>
      <c r="AC62" s="1"/>
      <c r="AD62" s="1">
        <f>AD61+1</f>
        <v>24</v>
      </c>
      <c r="AE62">
        <f t="shared" si="29"/>
        <v>4685.0797199999997</v>
      </c>
      <c r="AF62">
        <f t="shared" si="30"/>
        <v>96491.913279999979</v>
      </c>
      <c r="AG62">
        <f t="shared" si="24"/>
        <v>1131.2218145309473</v>
      </c>
      <c r="AH62">
        <f t="shared" si="26"/>
        <v>42309.96566342713</v>
      </c>
      <c r="AI62">
        <f t="shared" si="27"/>
        <v>8474.0252654271299</v>
      </c>
      <c r="AJ62">
        <f t="shared" si="25"/>
        <v>2046.0702506760272</v>
      </c>
      <c r="AK62">
        <f t="shared" si="31"/>
        <v>59188.464057140853</v>
      </c>
      <c r="AW62">
        <f t="shared" si="10"/>
        <v>7.3040967881345346E-3</v>
      </c>
      <c r="AX62">
        <f t="shared" si="38"/>
        <v>-1509.2688703769552</v>
      </c>
      <c r="AY62">
        <f t="shared" si="36"/>
        <v>-816.94097652178959</v>
      </c>
      <c r="AZ62">
        <f t="shared" si="37"/>
        <v>-692.3278938551656</v>
      </c>
    </row>
    <row r="63" spans="1:52" x14ac:dyDescent="0.35">
      <c r="A63" s="1">
        <v>62</v>
      </c>
      <c r="B63" s="1">
        <v>1204.0745303370161</v>
      </c>
      <c r="C63" s="1">
        <v>0</v>
      </c>
      <c r="D63" s="1"/>
      <c r="E63" s="1">
        <v>1204.07</v>
      </c>
      <c r="F63" s="1"/>
      <c r="G63" s="1"/>
      <c r="H63" s="1"/>
      <c r="I63" s="1"/>
      <c r="J63" s="1"/>
      <c r="K63" s="1">
        <v>0</v>
      </c>
      <c r="L63" s="1">
        <v>0</v>
      </c>
      <c r="M63" s="4">
        <f t="shared" si="32"/>
        <v>0</v>
      </c>
      <c r="N63" s="4">
        <f t="shared" si="33"/>
        <v>0</v>
      </c>
      <c r="O63" s="4">
        <f t="shared" si="34"/>
        <v>0</v>
      </c>
      <c r="P63" s="4">
        <f t="shared" si="35"/>
        <v>0</v>
      </c>
      <c r="Q63" s="4"/>
      <c r="R63" s="4"/>
      <c r="S63" s="4"/>
      <c r="T63" s="4"/>
      <c r="U63" s="4"/>
      <c r="V63" s="4">
        <v>25.6633</v>
      </c>
      <c r="W63" s="1">
        <f t="shared" si="5"/>
        <v>25.6633</v>
      </c>
      <c r="X63" s="1">
        <f t="shared" si="20"/>
        <v>641.58249999999998</v>
      </c>
      <c r="Y63" s="1">
        <f>X63-M63</f>
        <v>641.58249999999998</v>
      </c>
      <c r="Z63" s="1">
        <f t="shared" si="21"/>
        <v>0</v>
      </c>
      <c r="AA63" s="1">
        <f t="shared" si="22"/>
        <v>0</v>
      </c>
      <c r="AB63" s="4"/>
      <c r="AC63" s="1"/>
      <c r="AD63" s="1">
        <f t="shared" ref="AD63" si="40">AD62+1</f>
        <v>25</v>
      </c>
      <c r="AE63">
        <f t="shared" si="29"/>
        <v>4685.0797199999997</v>
      </c>
      <c r="AF63">
        <f t="shared" si="30"/>
        <v>101176.99299999997</v>
      </c>
      <c r="AG63">
        <f t="shared" si="24"/>
        <v>1066.1845565795923</v>
      </c>
      <c r="AH63">
        <f t="shared" si="26"/>
        <v>43376.150220006726</v>
      </c>
      <c r="AI63">
        <f t="shared" si="27"/>
        <v>8685.875897062806</v>
      </c>
      <c r="AJ63">
        <f t="shared" si="25"/>
        <v>1976.6465663929569</v>
      </c>
      <c r="AK63">
        <f t="shared" si="31"/>
        <v>61165.110623533808</v>
      </c>
      <c r="AW63">
        <f t="shared" si="10"/>
        <v>2.9771999469529777E-3</v>
      </c>
      <c r="AX63">
        <f t="shared" si="38"/>
        <v>-615.18834308487635</v>
      </c>
      <c r="AY63">
        <f t="shared" si="36"/>
        <v>-332.99074512751196</v>
      </c>
      <c r="AZ63">
        <f t="shared" si="37"/>
        <v>-282.19759795736439</v>
      </c>
    </row>
    <row r="64" spans="1:52" x14ac:dyDescent="0.35">
      <c r="A64" s="1">
        <v>63</v>
      </c>
      <c r="B64" s="1">
        <v>13474.18710799874</v>
      </c>
      <c r="C64" s="1">
        <v>0</v>
      </c>
      <c r="D64" s="1"/>
      <c r="E64" s="1">
        <v>13474.2</v>
      </c>
      <c r="F64" s="1"/>
      <c r="G64" s="1"/>
      <c r="H64" s="1"/>
      <c r="I64" s="1"/>
      <c r="J64" s="1"/>
      <c r="K64" s="1">
        <v>0</v>
      </c>
      <c r="L64" s="1">
        <v>0</v>
      </c>
      <c r="M64" s="4">
        <f t="shared" si="32"/>
        <v>0</v>
      </c>
      <c r="N64" s="4">
        <f t="shared" si="33"/>
        <v>0</v>
      </c>
      <c r="O64" s="4">
        <f t="shared" si="34"/>
        <v>0</v>
      </c>
      <c r="P64" s="4">
        <f t="shared" si="35"/>
        <v>0</v>
      </c>
      <c r="Q64" s="4"/>
      <c r="R64" s="4"/>
      <c r="S64" s="4"/>
      <c r="T64" s="4"/>
      <c r="U64" s="4"/>
      <c r="V64" s="4">
        <v>279.54399999999998</v>
      </c>
      <c r="W64" s="1">
        <f t="shared" si="5"/>
        <v>279.54399999999998</v>
      </c>
      <c r="X64" s="1">
        <f t="shared" si="20"/>
        <v>6988.5999999999995</v>
      </c>
      <c r="Y64" s="1">
        <f t="shared" si="6"/>
        <v>6988.5999999999995</v>
      </c>
      <c r="Z64" s="1">
        <f t="shared" si="21"/>
        <v>0</v>
      </c>
      <c r="AA64" s="1">
        <f t="shared" si="22"/>
        <v>0</v>
      </c>
      <c r="AB64" s="4"/>
      <c r="AW64">
        <f t="shared" si="10"/>
        <v>3.33163339415046E-2</v>
      </c>
      <c r="AX64">
        <f t="shared" si="38"/>
        <v>-6884.2605939561226</v>
      </c>
      <c r="AY64">
        <f t="shared" si="36"/>
        <v>-3726.3304654606241</v>
      </c>
      <c r="AZ64">
        <f t="shared" si="37"/>
        <v>-3157.9301284954986</v>
      </c>
    </row>
    <row r="65" spans="1:52" x14ac:dyDescent="0.35">
      <c r="A65" s="1">
        <v>64</v>
      </c>
      <c r="B65" s="1">
        <v>3713.6923624805509</v>
      </c>
      <c r="C65" s="1">
        <v>0</v>
      </c>
      <c r="D65" s="1"/>
      <c r="E65" s="1">
        <v>3713.69</v>
      </c>
      <c r="F65" s="1"/>
      <c r="G65" s="1"/>
      <c r="H65" s="1"/>
      <c r="I65" s="1"/>
      <c r="J65" s="1"/>
      <c r="K65" s="1">
        <v>0</v>
      </c>
      <c r="L65" s="1">
        <v>0</v>
      </c>
      <c r="M65" s="4">
        <f t="shared" si="32"/>
        <v>0</v>
      </c>
      <c r="N65" s="4">
        <f t="shared" si="33"/>
        <v>0</v>
      </c>
      <c r="O65" s="4">
        <f t="shared" si="34"/>
        <v>0</v>
      </c>
      <c r="P65" s="4">
        <f t="shared" si="35"/>
        <v>0</v>
      </c>
      <c r="Q65" s="4"/>
      <c r="R65" s="4"/>
      <c r="S65" s="4"/>
      <c r="T65" s="4"/>
      <c r="U65" s="4"/>
      <c r="V65" s="4">
        <v>78.026300000000006</v>
      </c>
      <c r="W65" s="1">
        <f t="shared" si="5"/>
        <v>78.026300000000006</v>
      </c>
      <c r="X65" s="1">
        <f t="shared" si="20"/>
        <v>1950.6575000000003</v>
      </c>
      <c r="Y65" s="1">
        <f t="shared" si="6"/>
        <v>1950.6575000000003</v>
      </c>
      <c r="Z65" s="1">
        <f t="shared" si="21"/>
        <v>0</v>
      </c>
      <c r="AA65" s="1">
        <f t="shared" si="22"/>
        <v>0</v>
      </c>
      <c r="AB65" s="4"/>
      <c r="AE65" s="18" t="s">
        <v>51</v>
      </c>
      <c r="AF65" s="4">
        <f>AD41-(AF41/AE42)</f>
        <v>3.4044244608926313</v>
      </c>
      <c r="AG65" s="4"/>
      <c r="AH65" s="10">
        <f>AD42-(AH42/AG43)</f>
        <v>3.9290597624624941</v>
      </c>
      <c r="AI65" s="10"/>
      <c r="AJ65" s="10"/>
      <c r="AK65" s="10">
        <f>AD41-(AK41/AJ42)</f>
        <v>3.6927877024070122</v>
      </c>
      <c r="AW65">
        <f t="shared" si="10"/>
        <v>9.1824919687339673E-3</v>
      </c>
      <c r="AX65">
        <f t="shared" si="38"/>
        <v>-1897.4076717343346</v>
      </c>
      <c r="AY65">
        <f t="shared" si="36"/>
        <v>-1027.0337556352281</v>
      </c>
      <c r="AZ65">
        <f t="shared" si="37"/>
        <v>-870.37391609910651</v>
      </c>
    </row>
    <row r="66" spans="1:52" x14ac:dyDescent="0.35">
      <c r="A66" s="1">
        <v>65</v>
      </c>
      <c r="B66" s="1">
        <v>1118.1009256975681</v>
      </c>
      <c r="C66" s="1">
        <v>0</v>
      </c>
      <c r="D66" s="1"/>
      <c r="E66" s="1">
        <v>1118.0999999999999</v>
      </c>
      <c r="F66" s="1"/>
      <c r="G66" s="1"/>
      <c r="H66" s="1"/>
      <c r="I66" s="1"/>
      <c r="J66" s="1"/>
      <c r="K66" s="1">
        <v>0</v>
      </c>
      <c r="L66" s="1">
        <v>0</v>
      </c>
      <c r="M66" s="4">
        <f t="shared" si="32"/>
        <v>0</v>
      </c>
      <c r="N66" s="4">
        <f t="shared" si="33"/>
        <v>0</v>
      </c>
      <c r="O66" s="4">
        <f t="shared" si="34"/>
        <v>0</v>
      </c>
      <c r="P66" s="4">
        <f t="shared" si="35"/>
        <v>0</v>
      </c>
      <c r="Q66" s="4"/>
      <c r="R66" s="4"/>
      <c r="S66" s="4"/>
      <c r="T66" s="4"/>
      <c r="U66" s="4"/>
      <c r="V66" s="4">
        <v>23.491800000000001</v>
      </c>
      <c r="W66" s="1">
        <f t="shared" si="5"/>
        <v>23.491800000000001</v>
      </c>
      <c r="X66" s="1">
        <f t="shared" ref="X66:X100" si="41">V66*$S$47</f>
        <v>587.29500000000007</v>
      </c>
      <c r="Y66" s="1">
        <f t="shared" si="6"/>
        <v>587.29500000000007</v>
      </c>
      <c r="Z66" s="1">
        <f t="shared" ref="Z66:Z100" si="42">(M66/($S$47*B66))+O66</f>
        <v>0</v>
      </c>
      <c r="AA66" s="1">
        <f t="shared" ref="AA66:AA100" si="43">(M66/($S$50*B66))+O66</f>
        <v>0</v>
      </c>
      <c r="AB66" s="4"/>
      <c r="AW66">
        <f t="shared" si="10"/>
        <v>2.7646212363142946E-3</v>
      </c>
      <c r="AX66">
        <f t="shared" si="38"/>
        <v>-571.26252449591198</v>
      </c>
      <c r="AY66">
        <f t="shared" si="36"/>
        <v>-309.21446388504194</v>
      </c>
      <c r="AZ66">
        <f t="shared" si="37"/>
        <v>-262.04806061087004</v>
      </c>
    </row>
    <row r="67" spans="1:52" x14ac:dyDescent="0.35">
      <c r="A67" s="1">
        <v>66</v>
      </c>
      <c r="B67" s="1">
        <v>789.18834550043005</v>
      </c>
      <c r="C67" s="1">
        <v>0</v>
      </c>
      <c r="D67" s="1"/>
      <c r="E67" s="1">
        <v>789.18799999999999</v>
      </c>
      <c r="F67" s="1"/>
      <c r="G67" s="1"/>
      <c r="H67" s="1"/>
      <c r="I67" s="1"/>
      <c r="J67" s="1"/>
      <c r="K67" s="1">
        <v>0</v>
      </c>
      <c r="L67" s="1">
        <v>0</v>
      </c>
      <c r="M67" s="4">
        <f t="shared" si="32"/>
        <v>0</v>
      </c>
      <c r="N67" s="4">
        <f t="shared" si="33"/>
        <v>0</v>
      </c>
      <c r="O67" s="4">
        <f t="shared" si="34"/>
        <v>0</v>
      </c>
      <c r="P67" s="4">
        <f t="shared" si="35"/>
        <v>0</v>
      </c>
      <c r="Q67" s="4"/>
      <c r="R67" s="1" t="s">
        <v>247</v>
      </c>
      <c r="S67" s="1">
        <v>24000</v>
      </c>
      <c r="T67" s="4" t="s">
        <v>268</v>
      </c>
      <c r="U67" s="4"/>
      <c r="V67" s="4">
        <v>16.784199999999998</v>
      </c>
      <c r="W67" s="1">
        <f t="shared" ref="W67:W100" si="44">V67-M67</f>
        <v>16.784199999999998</v>
      </c>
      <c r="X67" s="1">
        <f t="shared" si="41"/>
        <v>419.60499999999996</v>
      </c>
      <c r="Y67" s="1">
        <f t="shared" ref="Y67:Y80" si="45">X67-M67</f>
        <v>419.60499999999996</v>
      </c>
      <c r="Z67" s="1">
        <f t="shared" si="42"/>
        <v>0</v>
      </c>
      <c r="AA67" s="1">
        <f t="shared" si="43"/>
        <v>0</v>
      </c>
      <c r="AB67" s="4"/>
      <c r="AW67">
        <f t="shared" ref="AW67:AW103" si="46">B67/$B$102</f>
        <v>1.9513505527786158E-3</v>
      </c>
      <c r="AX67">
        <f t="shared" ref="AX67:AX103" si="47">AW67*$AV$2</f>
        <v>-403.21380314756345</v>
      </c>
      <c r="AY67">
        <f t="shared" si="36"/>
        <v>-218.25261526010513</v>
      </c>
      <c r="AZ67">
        <f t="shared" si="37"/>
        <v>-184.96118788745832</v>
      </c>
    </row>
    <row r="68" spans="1:52" x14ac:dyDescent="0.35">
      <c r="A68" s="1">
        <v>67</v>
      </c>
      <c r="B68" s="1">
        <v>1631.3808757786551</v>
      </c>
      <c r="C68" s="1">
        <v>0</v>
      </c>
      <c r="D68" s="1"/>
      <c r="E68" s="1">
        <v>1631.38</v>
      </c>
      <c r="F68" s="1"/>
      <c r="G68" s="1"/>
      <c r="H68" s="1"/>
      <c r="I68" s="1"/>
      <c r="J68" s="1"/>
      <c r="K68" s="1">
        <v>0</v>
      </c>
      <c r="L68" s="1">
        <v>0</v>
      </c>
      <c r="M68" s="4">
        <f t="shared" si="32"/>
        <v>0</v>
      </c>
      <c r="N68" s="4">
        <f t="shared" si="33"/>
        <v>0</v>
      </c>
      <c r="O68" s="4">
        <f t="shared" si="34"/>
        <v>0</v>
      </c>
      <c r="P68" s="4">
        <f t="shared" si="35"/>
        <v>0</v>
      </c>
      <c r="Q68" s="4"/>
      <c r="R68" s="4" t="s">
        <v>247</v>
      </c>
      <c r="S68" s="4">
        <v>26000</v>
      </c>
      <c r="T68" s="4" t="s">
        <v>264</v>
      </c>
      <c r="U68" s="4"/>
      <c r="V68" s="4">
        <v>31.626000000000001</v>
      </c>
      <c r="W68" s="1">
        <f t="shared" si="44"/>
        <v>31.626000000000001</v>
      </c>
      <c r="X68" s="1">
        <f t="shared" si="41"/>
        <v>790.65</v>
      </c>
      <c r="Y68" s="1">
        <f t="shared" si="45"/>
        <v>790.65</v>
      </c>
      <c r="Z68" s="1">
        <f t="shared" si="42"/>
        <v>0</v>
      </c>
      <c r="AA68" s="1">
        <f t="shared" si="43"/>
        <v>0</v>
      </c>
      <c r="AB68" s="4"/>
      <c r="AW68">
        <f t="shared" si="46"/>
        <v>4.0337594845303078E-3</v>
      </c>
      <c r="AX68">
        <f t="shared" si="47"/>
        <v>-833.50861813323104</v>
      </c>
      <c r="AY68">
        <f t="shared" si="36"/>
        <v>-451.16371098744031</v>
      </c>
      <c r="AZ68">
        <f t="shared" si="37"/>
        <v>-382.34490714579073</v>
      </c>
    </row>
    <row r="69" spans="1:52" x14ac:dyDescent="0.35">
      <c r="A69" s="1">
        <v>68</v>
      </c>
      <c r="B69" s="1">
        <v>4258.9353884654111</v>
      </c>
      <c r="C69" s="1">
        <v>0</v>
      </c>
      <c r="D69" s="1"/>
      <c r="E69" s="1">
        <v>4258.9399999999996</v>
      </c>
      <c r="F69" s="1"/>
      <c r="G69" s="1"/>
      <c r="H69" s="1"/>
      <c r="I69" s="1"/>
      <c r="J69" s="1"/>
      <c r="K69" s="1">
        <v>0</v>
      </c>
      <c r="L69" s="1">
        <v>0</v>
      </c>
      <c r="M69" s="4">
        <f t="shared" si="32"/>
        <v>0</v>
      </c>
      <c r="N69" s="4">
        <f t="shared" si="33"/>
        <v>0</v>
      </c>
      <c r="O69" s="4">
        <f t="shared" si="34"/>
        <v>0</v>
      </c>
      <c r="P69" s="4">
        <f t="shared" si="35"/>
        <v>0</v>
      </c>
      <c r="Q69" s="4"/>
      <c r="R69" s="4" t="s">
        <v>247</v>
      </c>
      <c r="S69" s="4">
        <v>32500</v>
      </c>
      <c r="T69" s="4" t="s">
        <v>265</v>
      </c>
      <c r="U69" s="4"/>
      <c r="V69" s="4">
        <v>86.851900000000001</v>
      </c>
      <c r="W69" s="1">
        <f t="shared" si="44"/>
        <v>86.851900000000001</v>
      </c>
      <c r="X69" s="1">
        <f t="shared" si="41"/>
        <v>2171.2975000000001</v>
      </c>
      <c r="Y69" s="1">
        <f t="shared" si="45"/>
        <v>2171.2975000000001</v>
      </c>
      <c r="Z69" s="1">
        <f t="shared" si="42"/>
        <v>0</v>
      </c>
      <c r="AA69" s="1">
        <f t="shared" si="43"/>
        <v>0</v>
      </c>
      <c r="AB69" s="4"/>
      <c r="AW69">
        <f t="shared" si="46"/>
        <v>1.053066225814641E-2</v>
      </c>
      <c r="AX69">
        <f t="shared" si="47"/>
        <v>-2175.984408707855</v>
      </c>
      <c r="AY69">
        <f t="shared" si="36"/>
        <v>-1177.822495803546</v>
      </c>
      <c r="AZ69">
        <f t="shared" si="37"/>
        <v>-998.16191290430902</v>
      </c>
    </row>
    <row r="70" spans="1:52" x14ac:dyDescent="0.35">
      <c r="A70" s="1">
        <v>69</v>
      </c>
      <c r="B70" s="1">
        <v>4490.8701254733214</v>
      </c>
      <c r="C70" s="1">
        <v>0</v>
      </c>
      <c r="D70" s="1"/>
      <c r="E70" s="1">
        <v>4490.87</v>
      </c>
      <c r="F70" s="1"/>
      <c r="G70" s="1"/>
      <c r="H70" s="1"/>
      <c r="I70" s="1"/>
      <c r="J70" s="1"/>
      <c r="K70" s="1">
        <v>0</v>
      </c>
      <c r="L70" s="1">
        <v>0</v>
      </c>
      <c r="M70" s="4">
        <f t="shared" si="32"/>
        <v>0</v>
      </c>
      <c r="N70" s="4">
        <f t="shared" si="33"/>
        <v>0</v>
      </c>
      <c r="O70" s="4">
        <f t="shared" si="34"/>
        <v>0</v>
      </c>
      <c r="P70" s="4">
        <f t="shared" si="35"/>
        <v>0</v>
      </c>
      <c r="Q70" s="4"/>
      <c r="R70" s="4" t="s">
        <v>247</v>
      </c>
      <c r="S70" s="4">
        <v>34600</v>
      </c>
      <c r="T70" s="4" t="s">
        <v>266</v>
      </c>
      <c r="U70" s="4"/>
      <c r="V70" s="4">
        <v>90.9893</v>
      </c>
      <c r="W70" s="1">
        <f t="shared" si="44"/>
        <v>90.9893</v>
      </c>
      <c r="X70" s="1">
        <f t="shared" si="41"/>
        <v>2274.7325000000001</v>
      </c>
      <c r="Y70" s="1">
        <f t="shared" si="45"/>
        <v>2274.7325000000001</v>
      </c>
      <c r="Z70" s="1">
        <f t="shared" si="42"/>
        <v>0</v>
      </c>
      <c r="AA70" s="1">
        <f t="shared" si="43"/>
        <v>0</v>
      </c>
      <c r="AB70" s="4"/>
      <c r="AW70">
        <f t="shared" si="46"/>
        <v>1.1104145102703576E-2</v>
      </c>
      <c r="AX70">
        <f t="shared" si="47"/>
        <v>-2294.4850022913656</v>
      </c>
      <c r="AY70">
        <f t="shared" si="36"/>
        <v>-1241.964805063755</v>
      </c>
      <c r="AZ70">
        <f t="shared" si="37"/>
        <v>-1052.5201972276107</v>
      </c>
    </row>
    <row r="71" spans="1:52" x14ac:dyDescent="0.35">
      <c r="A71" s="1">
        <v>70</v>
      </c>
      <c r="B71" s="1">
        <v>6097.7538980173758</v>
      </c>
      <c r="C71" s="1">
        <v>0</v>
      </c>
      <c r="D71" s="1"/>
      <c r="E71" s="1">
        <v>6097.75</v>
      </c>
      <c r="F71" s="1"/>
      <c r="G71" s="1"/>
      <c r="H71" s="1"/>
      <c r="I71" s="1"/>
      <c r="J71" s="1"/>
      <c r="K71" s="1">
        <v>0</v>
      </c>
      <c r="L71" s="1">
        <v>0</v>
      </c>
      <c r="M71" s="4">
        <f t="shared" si="32"/>
        <v>0</v>
      </c>
      <c r="N71" s="4">
        <f t="shared" si="33"/>
        <v>0</v>
      </c>
      <c r="O71" s="4">
        <f t="shared" si="34"/>
        <v>0</v>
      </c>
      <c r="P71" s="4">
        <f t="shared" si="35"/>
        <v>0</v>
      </c>
      <c r="Q71" s="4"/>
      <c r="R71" s="4"/>
      <c r="S71" s="4"/>
      <c r="T71" s="4"/>
      <c r="U71" s="4"/>
      <c r="V71" s="4">
        <v>124.14400000000001</v>
      </c>
      <c r="W71" s="1">
        <f t="shared" si="44"/>
        <v>124.14400000000001</v>
      </c>
      <c r="X71" s="1">
        <f t="shared" si="41"/>
        <v>3103.6000000000004</v>
      </c>
      <c r="Y71" s="1">
        <f t="shared" si="45"/>
        <v>3103.6000000000004</v>
      </c>
      <c r="Z71" s="1">
        <f t="shared" si="42"/>
        <v>0</v>
      </c>
      <c r="AA71" s="1">
        <f t="shared" si="43"/>
        <v>0</v>
      </c>
      <c r="AB71" s="4"/>
      <c r="AW71">
        <f t="shared" si="46"/>
        <v>1.5077332942694453E-2</v>
      </c>
      <c r="AX71">
        <f t="shared" si="47"/>
        <v>-3115.4775078671328</v>
      </c>
      <c r="AY71">
        <f t="shared" si="36"/>
        <v>-1686.353762118586</v>
      </c>
      <c r="AZ71">
        <f t="shared" si="37"/>
        <v>-1429.1237457485468</v>
      </c>
    </row>
    <row r="72" spans="1:52" x14ac:dyDescent="0.35">
      <c r="A72" s="1">
        <v>71</v>
      </c>
      <c r="B72" s="1">
        <v>4593.5313049109664</v>
      </c>
      <c r="C72" s="1">
        <v>0</v>
      </c>
      <c r="D72" s="1"/>
      <c r="E72" s="1">
        <v>4593.53</v>
      </c>
      <c r="F72" s="1"/>
      <c r="G72" s="1"/>
      <c r="H72" s="1"/>
      <c r="I72" s="1"/>
      <c r="J72" s="1"/>
      <c r="K72" s="1">
        <v>0</v>
      </c>
      <c r="L72" s="1">
        <v>0</v>
      </c>
      <c r="M72" s="4">
        <f t="shared" si="32"/>
        <v>0</v>
      </c>
      <c r="N72" s="4">
        <f t="shared" si="33"/>
        <v>0</v>
      </c>
      <c r="O72" s="4">
        <f t="shared" si="34"/>
        <v>0</v>
      </c>
      <c r="P72" s="4">
        <f t="shared" si="35"/>
        <v>0</v>
      </c>
      <c r="Q72" s="4"/>
      <c r="R72" s="4"/>
      <c r="S72" s="4"/>
      <c r="T72" s="4"/>
      <c r="U72" s="4"/>
      <c r="V72" s="4">
        <v>96.512100000000004</v>
      </c>
      <c r="W72" s="1">
        <f t="shared" si="44"/>
        <v>96.512100000000004</v>
      </c>
      <c r="X72" s="1">
        <f t="shared" si="41"/>
        <v>2412.8025000000002</v>
      </c>
      <c r="Y72" s="1">
        <f t="shared" si="45"/>
        <v>2412.8025000000002</v>
      </c>
      <c r="Z72" s="1">
        <f t="shared" si="42"/>
        <v>0</v>
      </c>
      <c r="AA72" s="1">
        <f t="shared" si="43"/>
        <v>0</v>
      </c>
      <c r="AB72" s="4"/>
      <c r="AW72">
        <f t="shared" si="46"/>
        <v>1.1357985583732882E-2</v>
      </c>
      <c r="AX72">
        <f t="shared" si="47"/>
        <v>-2346.9368724091619</v>
      </c>
      <c r="AY72">
        <f t="shared" si="36"/>
        <v>-1270.3560896356844</v>
      </c>
      <c r="AZ72">
        <f t="shared" si="37"/>
        <v>-1076.5807827734775</v>
      </c>
    </row>
    <row r="73" spans="1:52" x14ac:dyDescent="0.35">
      <c r="A73" s="1">
        <v>72</v>
      </c>
      <c r="B73" s="1">
        <v>8062.2213477933838</v>
      </c>
      <c r="C73" s="1">
        <v>0</v>
      </c>
      <c r="D73" s="1"/>
      <c r="E73" s="1">
        <v>8062.22</v>
      </c>
      <c r="F73" s="1"/>
      <c r="G73" s="1"/>
      <c r="H73" s="1"/>
      <c r="I73" s="1"/>
      <c r="J73" s="1"/>
      <c r="K73" s="1">
        <v>0</v>
      </c>
      <c r="L73" s="1">
        <v>0</v>
      </c>
      <c r="M73" s="4">
        <f t="shared" si="32"/>
        <v>0</v>
      </c>
      <c r="N73" s="4">
        <f t="shared" si="33"/>
        <v>0</v>
      </c>
      <c r="O73" s="4">
        <f t="shared" si="34"/>
        <v>0</v>
      </c>
      <c r="P73" s="4">
        <f t="shared" si="35"/>
        <v>0</v>
      </c>
      <c r="Q73" s="4"/>
      <c r="R73" s="4"/>
      <c r="S73" s="4"/>
      <c r="T73" s="4"/>
      <c r="U73" s="4"/>
      <c r="V73" s="4">
        <v>174.48599999999999</v>
      </c>
      <c r="W73" s="1">
        <f t="shared" si="44"/>
        <v>174.48599999999999</v>
      </c>
      <c r="X73" s="1">
        <f t="shared" si="41"/>
        <v>4362.1499999999996</v>
      </c>
      <c r="Y73" s="1">
        <f t="shared" si="45"/>
        <v>4362.1499999999996</v>
      </c>
      <c r="Z73" s="1">
        <f t="shared" si="42"/>
        <v>0</v>
      </c>
      <c r="AA73" s="1">
        <f t="shared" si="43"/>
        <v>0</v>
      </c>
      <c r="AB73" s="4"/>
      <c r="AW73">
        <f t="shared" si="46"/>
        <v>1.9934683746076182E-2</v>
      </c>
      <c r="AX73">
        <f t="shared" si="47"/>
        <v>-4119.1674332188595</v>
      </c>
      <c r="AY73">
        <f t="shared" si="36"/>
        <v>-2229.6336533530284</v>
      </c>
      <c r="AZ73">
        <f t="shared" si="37"/>
        <v>-1889.5337798658311</v>
      </c>
    </row>
    <row r="74" spans="1:52" x14ac:dyDescent="0.35">
      <c r="A74" s="1">
        <v>73</v>
      </c>
      <c r="B74" s="1">
        <v>4657.9117518025187</v>
      </c>
      <c r="C74" s="1">
        <v>0</v>
      </c>
      <c r="D74" s="1"/>
      <c r="E74" s="1">
        <v>4657.91</v>
      </c>
      <c r="F74" s="1"/>
      <c r="G74" s="1"/>
      <c r="H74" s="1"/>
      <c r="I74" s="1"/>
      <c r="J74" s="1"/>
      <c r="K74" s="1">
        <v>0</v>
      </c>
      <c r="L74" s="1">
        <v>0</v>
      </c>
      <c r="M74" s="4">
        <f t="shared" si="32"/>
        <v>0</v>
      </c>
      <c r="N74" s="4">
        <f t="shared" si="33"/>
        <v>0</v>
      </c>
      <c r="O74" s="4">
        <f t="shared" si="34"/>
        <v>0</v>
      </c>
      <c r="P74" s="4">
        <f t="shared" si="35"/>
        <v>0</v>
      </c>
      <c r="Q74" s="4"/>
      <c r="R74" s="4"/>
      <c r="S74" s="4"/>
      <c r="T74" s="4"/>
      <c r="U74" s="4"/>
      <c r="V74" s="4">
        <v>98.659400000000005</v>
      </c>
      <c r="W74" s="1">
        <f t="shared" si="44"/>
        <v>98.659400000000005</v>
      </c>
      <c r="X74" s="1">
        <f t="shared" si="41"/>
        <v>2466.4850000000001</v>
      </c>
      <c r="Y74" s="1">
        <f t="shared" si="45"/>
        <v>2466.4850000000001</v>
      </c>
      <c r="Z74" s="1">
        <f t="shared" si="42"/>
        <v>0</v>
      </c>
      <c r="AA74" s="1">
        <f t="shared" si="43"/>
        <v>0</v>
      </c>
      <c r="AB74" s="4"/>
      <c r="AW74">
        <f t="shared" si="46"/>
        <v>1.1517172958136269E-2</v>
      </c>
      <c r="AX74">
        <f t="shared" si="47"/>
        <v>-2379.8302685008412</v>
      </c>
      <c r="AY74">
        <f t="shared" si="36"/>
        <v>-1288.1607125572073</v>
      </c>
      <c r="AZ74">
        <f t="shared" si="37"/>
        <v>-1091.6695559436339</v>
      </c>
    </row>
    <row r="75" spans="1:52" x14ac:dyDescent="0.35">
      <c r="A75" s="1">
        <v>74</v>
      </c>
      <c r="B75" s="1">
        <v>4129.0607113934348</v>
      </c>
      <c r="C75" s="1">
        <v>0</v>
      </c>
      <c r="D75" s="1"/>
      <c r="E75" s="1">
        <v>4129.0600000000004</v>
      </c>
      <c r="F75" s="1"/>
      <c r="G75" s="1"/>
      <c r="H75" s="1"/>
      <c r="I75" s="1"/>
      <c r="J75" s="1"/>
      <c r="K75" s="1">
        <v>0</v>
      </c>
      <c r="L75" s="1">
        <v>0</v>
      </c>
      <c r="M75" s="4">
        <f t="shared" si="32"/>
        <v>0</v>
      </c>
      <c r="N75" s="4">
        <f t="shared" si="33"/>
        <v>0</v>
      </c>
      <c r="O75" s="4">
        <f t="shared" si="34"/>
        <v>0</v>
      </c>
      <c r="P75" s="4">
        <f t="shared" si="35"/>
        <v>0</v>
      </c>
      <c r="Q75" s="4"/>
      <c r="R75" s="4"/>
      <c r="S75" s="4"/>
      <c r="T75" s="4"/>
      <c r="U75" s="4"/>
      <c r="V75" s="4">
        <v>86.753399999999999</v>
      </c>
      <c r="W75" s="1">
        <f t="shared" si="44"/>
        <v>86.753399999999999</v>
      </c>
      <c r="X75" s="1">
        <f t="shared" si="41"/>
        <v>2168.835</v>
      </c>
      <c r="Y75" s="1">
        <f t="shared" si="45"/>
        <v>2168.835</v>
      </c>
      <c r="Z75" s="1">
        <f t="shared" si="42"/>
        <v>0</v>
      </c>
      <c r="AA75" s="1">
        <f t="shared" si="43"/>
        <v>0</v>
      </c>
      <c r="AB75" s="4"/>
      <c r="AW75">
        <f t="shared" si="46"/>
        <v>1.0209533563911015E-2</v>
      </c>
      <c r="AX75">
        <f t="shared" si="47"/>
        <v>-2109.6285599762741</v>
      </c>
      <c r="AY75">
        <f t="shared" si="36"/>
        <v>-1141.9052295531856</v>
      </c>
      <c r="AZ75">
        <f t="shared" si="37"/>
        <v>-967.72333042308856</v>
      </c>
    </row>
    <row r="76" spans="1:52" x14ac:dyDescent="0.35">
      <c r="A76" s="1">
        <v>75</v>
      </c>
      <c r="B76" s="1">
        <v>14350.316193396229</v>
      </c>
      <c r="C76" s="1">
        <v>0</v>
      </c>
      <c r="D76" s="1"/>
      <c r="E76" s="1">
        <v>14350.3</v>
      </c>
      <c r="F76" s="1"/>
      <c r="G76" s="1"/>
      <c r="H76" s="1"/>
      <c r="I76" s="1"/>
      <c r="J76" s="1"/>
      <c r="K76" s="1">
        <v>0</v>
      </c>
      <c r="L76" s="1">
        <v>0</v>
      </c>
      <c r="M76" s="4">
        <f t="shared" si="32"/>
        <v>0</v>
      </c>
      <c r="N76" s="4">
        <f t="shared" si="33"/>
        <v>0</v>
      </c>
      <c r="O76" s="4">
        <f t="shared" si="34"/>
        <v>0</v>
      </c>
      <c r="P76" s="4">
        <f t="shared" si="35"/>
        <v>0</v>
      </c>
      <c r="Q76" s="4"/>
      <c r="R76" s="4"/>
      <c r="S76" s="4"/>
      <c r="T76" s="4"/>
      <c r="U76" s="4"/>
      <c r="V76" s="4">
        <v>250.209</v>
      </c>
      <c r="W76" s="1">
        <f t="shared" si="44"/>
        <v>250.209</v>
      </c>
      <c r="X76" s="1">
        <f t="shared" si="41"/>
        <v>6255.2250000000004</v>
      </c>
      <c r="Y76" s="1">
        <f t="shared" si="45"/>
        <v>6255.2250000000004</v>
      </c>
      <c r="Z76" s="1">
        <f t="shared" si="42"/>
        <v>0</v>
      </c>
      <c r="AA76" s="1">
        <f t="shared" si="43"/>
        <v>0</v>
      </c>
      <c r="AB76" s="4"/>
      <c r="AW76">
        <f t="shared" si="46"/>
        <v>3.5482654547787408E-2</v>
      </c>
      <c r="AX76">
        <f t="shared" si="47"/>
        <v>-7331.8943465140237</v>
      </c>
      <c r="AY76">
        <f t="shared" si="36"/>
        <v>-3968.6268263783645</v>
      </c>
      <c r="AZ76">
        <f t="shared" si="37"/>
        <v>-3363.2675201356592</v>
      </c>
    </row>
    <row r="77" spans="1:52" x14ac:dyDescent="0.35">
      <c r="A77" s="1">
        <v>76</v>
      </c>
      <c r="B77" s="1">
        <v>5149.4780654648821</v>
      </c>
      <c r="C77" s="1">
        <v>0</v>
      </c>
      <c r="D77" s="1"/>
      <c r="E77" s="1">
        <v>5149.4799999999996</v>
      </c>
      <c r="F77" s="1"/>
      <c r="G77" s="1"/>
      <c r="H77" s="1"/>
      <c r="I77" s="1"/>
      <c r="J77" s="1"/>
      <c r="K77" s="1">
        <v>0</v>
      </c>
      <c r="L77" s="1">
        <v>0</v>
      </c>
      <c r="M77" s="4">
        <f t="shared" si="32"/>
        <v>0</v>
      </c>
      <c r="N77" s="4">
        <f t="shared" si="33"/>
        <v>0</v>
      </c>
      <c r="O77" s="4">
        <f t="shared" si="34"/>
        <v>0</v>
      </c>
      <c r="P77" s="4">
        <f t="shared" si="35"/>
        <v>0</v>
      </c>
      <c r="Q77" s="4"/>
      <c r="R77" s="4"/>
      <c r="S77" s="4"/>
      <c r="T77" s="4"/>
      <c r="U77" s="4"/>
      <c r="V77" s="4">
        <v>108.91500000000001</v>
      </c>
      <c r="W77" s="1">
        <f t="shared" si="44"/>
        <v>108.91500000000001</v>
      </c>
      <c r="X77" s="1">
        <f t="shared" si="41"/>
        <v>2722.875</v>
      </c>
      <c r="Y77" s="1">
        <f t="shared" si="45"/>
        <v>2722.875</v>
      </c>
      <c r="Z77" s="1">
        <f t="shared" si="42"/>
        <v>0</v>
      </c>
      <c r="AA77" s="1">
        <f t="shared" si="43"/>
        <v>0</v>
      </c>
      <c r="AB77" s="4"/>
      <c r="AW77">
        <f t="shared" si="46"/>
        <v>1.2732621974028859E-2</v>
      </c>
      <c r="AX77">
        <f t="shared" si="47"/>
        <v>-2630.9823844198181</v>
      </c>
      <c r="AY77">
        <f t="shared" si="36"/>
        <v>-1424.1049825686318</v>
      </c>
      <c r="AZ77">
        <f t="shared" si="37"/>
        <v>-1206.8774018511863</v>
      </c>
    </row>
    <row r="78" spans="1:52" x14ac:dyDescent="0.35">
      <c r="A78" s="1">
        <v>77</v>
      </c>
      <c r="B78" s="1">
        <v>4612.9275296437472</v>
      </c>
      <c r="C78" s="1">
        <v>0</v>
      </c>
      <c r="D78" s="1"/>
      <c r="E78" s="1">
        <v>4612.93</v>
      </c>
      <c r="F78" s="1"/>
      <c r="G78" s="1"/>
      <c r="H78" s="1"/>
      <c r="I78" s="1"/>
      <c r="J78" s="1"/>
      <c r="K78" s="1">
        <v>0</v>
      </c>
      <c r="L78" s="1">
        <v>0</v>
      </c>
      <c r="M78" s="4">
        <f t="shared" si="32"/>
        <v>0</v>
      </c>
      <c r="N78" s="4">
        <f t="shared" si="33"/>
        <v>0</v>
      </c>
      <c r="O78" s="4">
        <f t="shared" si="34"/>
        <v>0</v>
      </c>
      <c r="P78" s="4">
        <f t="shared" si="35"/>
        <v>0</v>
      </c>
      <c r="Q78" s="4"/>
      <c r="R78" s="4"/>
      <c r="S78" s="4"/>
      <c r="T78" s="4"/>
      <c r="U78" s="4"/>
      <c r="V78" s="4">
        <v>98.416499999999999</v>
      </c>
      <c r="W78" s="1">
        <f t="shared" si="44"/>
        <v>98.416499999999999</v>
      </c>
      <c r="X78" s="1">
        <f t="shared" si="41"/>
        <v>2460.4124999999999</v>
      </c>
      <c r="Y78" s="1">
        <f t="shared" si="45"/>
        <v>2460.4124999999999</v>
      </c>
      <c r="Z78" s="1">
        <f t="shared" si="42"/>
        <v>0</v>
      </c>
      <c r="AA78" s="1">
        <f t="shared" si="43"/>
        <v>0</v>
      </c>
      <c r="AB78" s="4"/>
      <c r="AW78">
        <f t="shared" si="46"/>
        <v>1.1405944773791791E-2</v>
      </c>
      <c r="AX78">
        <f t="shared" si="47"/>
        <v>-2356.8468331755621</v>
      </c>
      <c r="AY78">
        <f t="shared" si="36"/>
        <v>-1275.7201789538278</v>
      </c>
      <c r="AZ78">
        <f t="shared" si="37"/>
        <v>-1081.1266542217343</v>
      </c>
    </row>
    <row r="79" spans="1:52" x14ac:dyDescent="0.35">
      <c r="A79" s="1">
        <v>78</v>
      </c>
      <c r="B79" s="1">
        <v>4299.5858542619962</v>
      </c>
      <c r="C79" s="1">
        <v>0</v>
      </c>
      <c r="D79" s="1"/>
      <c r="E79" s="1">
        <v>4299.59</v>
      </c>
      <c r="F79" s="1"/>
      <c r="G79" s="1"/>
      <c r="H79" s="1"/>
      <c r="I79" s="1"/>
      <c r="J79" s="1"/>
      <c r="K79" s="1">
        <v>0</v>
      </c>
      <c r="L79" s="1">
        <v>0</v>
      </c>
      <c r="M79" s="4">
        <f t="shared" ref="M79:M100" si="48">$S$18*C79*1000</f>
        <v>0</v>
      </c>
      <c r="N79" s="4">
        <f t="shared" ref="N79:N100" si="49">$S$19*C79</f>
        <v>0</v>
      </c>
      <c r="O79" s="4">
        <f t="shared" ref="O79:O100" si="50">$S$19*D79</f>
        <v>0</v>
      </c>
      <c r="P79" s="4">
        <f t="shared" ref="P79:P100" si="51">$S$19*K79</f>
        <v>0</v>
      </c>
      <c r="Q79" s="4"/>
      <c r="R79" s="4"/>
      <c r="S79" s="4"/>
      <c r="T79" s="4"/>
      <c r="U79" s="4"/>
      <c r="V79" s="4">
        <v>78.811800000000005</v>
      </c>
      <c r="W79" s="1">
        <f t="shared" si="44"/>
        <v>78.811800000000005</v>
      </c>
      <c r="X79" s="1">
        <f t="shared" si="41"/>
        <v>1970.2950000000001</v>
      </c>
      <c r="Y79" s="1">
        <f t="shared" si="45"/>
        <v>1970.2950000000001</v>
      </c>
      <c r="Z79" s="1">
        <f t="shared" si="42"/>
        <v>0</v>
      </c>
      <c r="AA79" s="1">
        <f t="shared" si="43"/>
        <v>0</v>
      </c>
      <c r="AB79" s="4"/>
      <c r="AW79">
        <f t="shared" si="46"/>
        <v>1.0631174777566062E-2</v>
      </c>
      <c r="AX79">
        <f t="shared" si="47"/>
        <v>-2196.7536319319606</v>
      </c>
      <c r="AY79">
        <f t="shared" ref="AY79:AY103" si="52">AW79*$AV$10</f>
        <v>-1189.064514926396</v>
      </c>
      <c r="AZ79">
        <f t="shared" si="37"/>
        <v>-1007.6891170055646</v>
      </c>
    </row>
    <row r="80" spans="1:52" x14ac:dyDescent="0.35">
      <c r="A80" s="1">
        <v>79</v>
      </c>
      <c r="B80" s="1">
        <v>3153.09355833985</v>
      </c>
      <c r="C80" s="1">
        <v>0</v>
      </c>
      <c r="D80" s="1"/>
      <c r="E80" s="1">
        <v>3153.09</v>
      </c>
      <c r="F80" s="1"/>
      <c r="G80" s="1"/>
      <c r="H80" s="1"/>
      <c r="I80" s="1"/>
      <c r="J80" s="1"/>
      <c r="K80" s="1">
        <v>0</v>
      </c>
      <c r="L80" s="1">
        <v>0</v>
      </c>
      <c r="M80" s="4">
        <f t="shared" si="48"/>
        <v>0</v>
      </c>
      <c r="N80" s="4">
        <f t="shared" si="49"/>
        <v>0</v>
      </c>
      <c r="O80" s="4">
        <f t="shared" si="50"/>
        <v>0</v>
      </c>
      <c r="P80" s="4">
        <f t="shared" si="51"/>
        <v>0</v>
      </c>
      <c r="Q80" s="4"/>
      <c r="R80" s="4"/>
      <c r="S80" s="4"/>
      <c r="T80" s="4"/>
      <c r="U80" s="4"/>
      <c r="V80" s="4">
        <v>66.247900000000001</v>
      </c>
      <c r="W80" s="1">
        <f t="shared" si="44"/>
        <v>66.247900000000001</v>
      </c>
      <c r="X80" s="1">
        <f t="shared" si="41"/>
        <v>1656.1975</v>
      </c>
      <c r="Y80" s="1">
        <f t="shared" si="45"/>
        <v>1656.1975</v>
      </c>
      <c r="Z80" s="1">
        <f t="shared" si="42"/>
        <v>0</v>
      </c>
      <c r="AA80" s="1">
        <f t="shared" si="43"/>
        <v>0</v>
      </c>
      <c r="AB80" s="4"/>
      <c r="AW80">
        <f t="shared" si="46"/>
        <v>7.7963529151303286E-3</v>
      </c>
      <c r="AX80">
        <f t="shared" si="47"/>
        <v>-1610.9853276306419</v>
      </c>
      <c r="AY80">
        <f t="shared" si="52"/>
        <v>-871.99832484993044</v>
      </c>
      <c r="AZ80">
        <f t="shared" si="37"/>
        <v>-738.98700278071146</v>
      </c>
    </row>
    <row r="81" spans="1:52" x14ac:dyDescent="0.35">
      <c r="A81" s="1">
        <v>80</v>
      </c>
      <c r="B81" s="1">
        <v>4296.4999200900902</v>
      </c>
      <c r="C81" s="1">
        <v>0</v>
      </c>
      <c r="D81" s="1"/>
      <c r="E81" s="1">
        <v>4296.5</v>
      </c>
      <c r="F81" s="1"/>
      <c r="G81" s="1"/>
      <c r="H81" s="1"/>
      <c r="I81" s="1"/>
      <c r="J81" s="1"/>
      <c r="K81" s="1">
        <v>0</v>
      </c>
      <c r="L81" s="1">
        <v>0</v>
      </c>
      <c r="M81" s="4">
        <f t="shared" si="48"/>
        <v>0</v>
      </c>
      <c r="N81" s="4">
        <f t="shared" si="49"/>
        <v>0</v>
      </c>
      <c r="O81" s="4">
        <f t="shared" si="50"/>
        <v>0</v>
      </c>
      <c r="P81" s="4">
        <f t="shared" si="51"/>
        <v>0</v>
      </c>
      <c r="Q81" s="4"/>
      <c r="R81" s="4"/>
      <c r="S81" s="4"/>
      <c r="T81" s="4"/>
      <c r="U81" s="4"/>
      <c r="V81" s="4">
        <v>89.923500000000004</v>
      </c>
      <c r="W81" s="1">
        <f t="shared" si="44"/>
        <v>89.923500000000004</v>
      </c>
      <c r="X81" s="1">
        <f t="shared" si="41"/>
        <v>2248.0875000000001</v>
      </c>
      <c r="Y81" s="1">
        <f>X81-M81</f>
        <v>2248.0875000000001</v>
      </c>
      <c r="Z81" s="1">
        <f t="shared" si="42"/>
        <v>0</v>
      </c>
      <c r="AA81" s="1">
        <f t="shared" si="43"/>
        <v>0</v>
      </c>
      <c r="AB81" s="4"/>
      <c r="AW81">
        <f t="shared" si="46"/>
        <v>1.0623544483243395E-2</v>
      </c>
      <c r="AX81">
        <f t="shared" si="47"/>
        <v>-2195.1769598221767</v>
      </c>
      <c r="AY81">
        <f t="shared" si="52"/>
        <v>-1188.2110897492771</v>
      </c>
      <c r="AZ81">
        <f t="shared" si="37"/>
        <v>-1006.9658700728996</v>
      </c>
    </row>
    <row r="82" spans="1:52" x14ac:dyDescent="0.35">
      <c r="A82" s="1">
        <v>81</v>
      </c>
      <c r="B82" s="1">
        <v>1722.7511821559251</v>
      </c>
      <c r="C82" s="1">
        <v>0</v>
      </c>
      <c r="D82" s="1"/>
      <c r="E82" s="1">
        <v>1722.75</v>
      </c>
      <c r="F82" s="1"/>
      <c r="G82" s="1"/>
      <c r="H82" s="1"/>
      <c r="I82" s="1"/>
      <c r="J82" s="1"/>
      <c r="K82" s="1">
        <v>0</v>
      </c>
      <c r="L82" s="1">
        <v>0</v>
      </c>
      <c r="M82" s="4">
        <f t="shared" si="48"/>
        <v>0</v>
      </c>
      <c r="N82" s="4">
        <f t="shared" si="49"/>
        <v>0</v>
      </c>
      <c r="O82" s="4">
        <f t="shared" si="50"/>
        <v>0</v>
      </c>
      <c r="P82" s="4">
        <f t="shared" si="51"/>
        <v>0</v>
      </c>
      <c r="Q82" s="4"/>
      <c r="R82" s="4"/>
      <c r="S82" s="4"/>
      <c r="T82" s="4"/>
      <c r="U82" s="4"/>
      <c r="V82" s="4">
        <v>30.037500000000001</v>
      </c>
      <c r="W82" s="1">
        <f t="shared" si="44"/>
        <v>30.037500000000001</v>
      </c>
      <c r="X82" s="1">
        <f t="shared" si="41"/>
        <v>750.9375</v>
      </c>
      <c r="Y82" s="1">
        <f t="shared" ref="Y82:Y96" si="53">X82-M82</f>
        <v>750.9375</v>
      </c>
      <c r="Z82" s="1">
        <f t="shared" si="42"/>
        <v>0</v>
      </c>
      <c r="AA82" s="1">
        <f t="shared" si="43"/>
        <v>0</v>
      </c>
      <c r="AB82" s="4"/>
      <c r="AW82">
        <f t="shared" si="46"/>
        <v>4.2596821034759516E-3</v>
      </c>
      <c r="AX82">
        <f t="shared" si="47"/>
        <v>-880.19173115585852</v>
      </c>
      <c r="AY82">
        <f t="shared" si="52"/>
        <v>-476.43246772675951</v>
      </c>
      <c r="AZ82">
        <f t="shared" si="37"/>
        <v>-403.75926342909901</v>
      </c>
    </row>
    <row r="83" spans="1:52" x14ac:dyDescent="0.35">
      <c r="A83" s="1">
        <v>82</v>
      </c>
      <c r="B83" s="1">
        <v>8378.7212496204556</v>
      </c>
      <c r="C83" s="1">
        <v>0</v>
      </c>
      <c r="D83" s="1"/>
      <c r="E83" s="1">
        <v>8378.7199999999993</v>
      </c>
      <c r="F83" s="1"/>
      <c r="G83" s="1"/>
      <c r="H83" s="1"/>
      <c r="I83" s="1"/>
      <c r="J83" s="1"/>
      <c r="K83" s="1">
        <v>0</v>
      </c>
      <c r="L83" s="1">
        <v>0</v>
      </c>
      <c r="M83" s="4">
        <f t="shared" si="48"/>
        <v>0</v>
      </c>
      <c r="N83" s="4">
        <f t="shared" si="49"/>
        <v>0</v>
      </c>
      <c r="O83" s="4">
        <f t="shared" si="50"/>
        <v>0</v>
      </c>
      <c r="P83" s="4">
        <f t="shared" si="51"/>
        <v>0</v>
      </c>
      <c r="Q83" s="4"/>
      <c r="R83" s="4"/>
      <c r="S83" s="4"/>
      <c r="T83" s="4"/>
      <c r="U83" s="4"/>
      <c r="V83" s="4">
        <v>122.405</v>
      </c>
      <c r="W83" s="1">
        <f t="shared" si="44"/>
        <v>122.405</v>
      </c>
      <c r="X83" s="1">
        <f t="shared" si="41"/>
        <v>3060.125</v>
      </c>
      <c r="Y83" s="1">
        <f t="shared" si="53"/>
        <v>3060.125</v>
      </c>
      <c r="Z83" s="1">
        <f t="shared" si="42"/>
        <v>0</v>
      </c>
      <c r="AA83" s="1">
        <f t="shared" si="43"/>
        <v>0</v>
      </c>
      <c r="AB83" s="4"/>
      <c r="AW83">
        <f t="shared" si="46"/>
        <v>2.0717262786815824E-2</v>
      </c>
      <c r="AX83">
        <f t="shared" si="47"/>
        <v>-4280.874242295723</v>
      </c>
      <c r="AY83">
        <f t="shared" si="52"/>
        <v>-2317.1627352219739</v>
      </c>
      <c r="AZ83">
        <f t="shared" si="37"/>
        <v>-1963.7115070737491</v>
      </c>
    </row>
    <row r="84" spans="1:52" x14ac:dyDescent="0.35">
      <c r="A84" s="1">
        <v>83</v>
      </c>
      <c r="B84" s="1">
        <v>4180.060549855245</v>
      </c>
      <c r="C84" s="1">
        <v>0</v>
      </c>
      <c r="D84" s="1"/>
      <c r="E84" s="1">
        <v>4180.0600000000004</v>
      </c>
      <c r="F84" s="1"/>
      <c r="G84" s="1"/>
      <c r="H84" s="1"/>
      <c r="I84" s="1"/>
      <c r="J84" s="1"/>
      <c r="K84" s="1">
        <v>0</v>
      </c>
      <c r="L84" s="1">
        <v>0</v>
      </c>
      <c r="M84" s="4">
        <f t="shared" si="48"/>
        <v>0</v>
      </c>
      <c r="N84" s="4">
        <f t="shared" si="49"/>
        <v>0</v>
      </c>
      <c r="O84" s="4">
        <f t="shared" si="50"/>
        <v>0</v>
      </c>
      <c r="P84" s="4">
        <f t="shared" si="51"/>
        <v>0</v>
      </c>
      <c r="Q84" s="4"/>
      <c r="R84" s="4"/>
      <c r="S84" s="4"/>
      <c r="T84" s="4"/>
      <c r="U84" s="4"/>
      <c r="V84" s="4">
        <v>92.304299999999998</v>
      </c>
      <c r="W84" s="1">
        <f t="shared" si="44"/>
        <v>92.304299999999998</v>
      </c>
      <c r="X84" s="1">
        <f t="shared" si="41"/>
        <v>2307.6075000000001</v>
      </c>
      <c r="Y84" s="1">
        <f t="shared" si="53"/>
        <v>2307.6075000000001</v>
      </c>
      <c r="Z84" s="1">
        <f t="shared" si="42"/>
        <v>0</v>
      </c>
      <c r="AA84" s="1">
        <f t="shared" si="43"/>
        <v>0</v>
      </c>
      <c r="AB84" s="4"/>
      <c r="AW84">
        <f t="shared" si="46"/>
        <v>1.0335635987421803E-2</v>
      </c>
      <c r="AX84">
        <f t="shared" si="47"/>
        <v>-2135.6855068931195</v>
      </c>
      <c r="AY84">
        <f t="shared" si="52"/>
        <v>-1156.0094014984452</v>
      </c>
      <c r="AZ84">
        <f t="shared" si="37"/>
        <v>-979.67610539467432</v>
      </c>
    </row>
    <row r="85" spans="1:52" x14ac:dyDescent="0.35">
      <c r="A85" s="1">
        <v>84</v>
      </c>
      <c r="B85" s="1">
        <v>3330.950005722922</v>
      </c>
      <c r="C85" s="1">
        <v>0</v>
      </c>
      <c r="D85" s="1"/>
      <c r="E85" s="1">
        <v>3330.95</v>
      </c>
      <c r="F85" s="1"/>
      <c r="G85" s="1"/>
      <c r="H85" s="1"/>
      <c r="I85" s="1"/>
      <c r="J85" s="1"/>
      <c r="K85" s="1">
        <v>0</v>
      </c>
      <c r="L85" s="1">
        <v>0</v>
      </c>
      <c r="M85" s="4">
        <f t="shared" si="48"/>
        <v>0</v>
      </c>
      <c r="N85" s="4">
        <f t="shared" si="49"/>
        <v>0</v>
      </c>
      <c r="O85" s="4">
        <f t="shared" si="50"/>
        <v>0</v>
      </c>
      <c r="P85" s="4">
        <f t="shared" si="51"/>
        <v>0</v>
      </c>
      <c r="Q85" s="4"/>
      <c r="R85" s="4"/>
      <c r="S85" s="4"/>
      <c r="T85" s="4"/>
      <c r="U85" s="4"/>
      <c r="V85" s="4">
        <v>57.065800000000003</v>
      </c>
      <c r="W85" s="1">
        <f t="shared" si="44"/>
        <v>57.065800000000003</v>
      </c>
      <c r="X85" s="1">
        <f t="shared" si="41"/>
        <v>1426.645</v>
      </c>
      <c r="Y85" s="1">
        <f t="shared" si="53"/>
        <v>1426.645</v>
      </c>
      <c r="Z85" s="1">
        <f t="shared" si="42"/>
        <v>0</v>
      </c>
      <c r="AA85" s="1">
        <f t="shared" si="43"/>
        <v>0</v>
      </c>
      <c r="AB85" s="4"/>
      <c r="AW85">
        <f t="shared" si="46"/>
        <v>8.2361215443744976E-3</v>
      </c>
      <c r="AX85">
        <f t="shared" si="47"/>
        <v>-1701.8561254224776</v>
      </c>
      <c r="AY85">
        <f t="shared" si="52"/>
        <v>-921.18510643831303</v>
      </c>
      <c r="AZ85">
        <f t="shared" si="37"/>
        <v>-780.67101898416456</v>
      </c>
    </row>
    <row r="86" spans="1:52" x14ac:dyDescent="0.35">
      <c r="A86" s="1">
        <v>85</v>
      </c>
      <c r="B86" s="1">
        <v>2875.5642031497382</v>
      </c>
      <c r="C86" s="1">
        <v>0</v>
      </c>
      <c r="D86" s="1"/>
      <c r="E86" s="1">
        <v>2875.56</v>
      </c>
      <c r="F86" s="1"/>
      <c r="G86" s="1"/>
      <c r="H86" s="1"/>
      <c r="I86" s="1"/>
      <c r="J86" s="1"/>
      <c r="K86" s="1">
        <v>0</v>
      </c>
      <c r="L86" s="1">
        <v>0</v>
      </c>
      <c r="M86" s="4">
        <f t="shared" si="48"/>
        <v>0</v>
      </c>
      <c r="N86" s="4">
        <f t="shared" si="49"/>
        <v>0</v>
      </c>
      <c r="O86" s="4">
        <f t="shared" si="50"/>
        <v>0</v>
      </c>
      <c r="P86" s="4">
        <f t="shared" si="51"/>
        <v>0</v>
      </c>
      <c r="Q86" s="4"/>
      <c r="R86" s="4"/>
      <c r="S86" s="4"/>
      <c r="T86" s="4"/>
      <c r="U86" s="4"/>
      <c r="V86" s="4">
        <v>62.269399999999997</v>
      </c>
      <c r="W86" s="1">
        <f t="shared" si="44"/>
        <v>62.269399999999997</v>
      </c>
      <c r="X86" s="1">
        <f t="shared" si="41"/>
        <v>1556.7349999999999</v>
      </c>
      <c r="Y86" s="1">
        <f t="shared" si="53"/>
        <v>1556.7349999999999</v>
      </c>
      <c r="Z86" s="1">
        <f t="shared" si="42"/>
        <v>0</v>
      </c>
      <c r="AA86" s="1">
        <f t="shared" si="43"/>
        <v>0</v>
      </c>
      <c r="AB86" s="4"/>
      <c r="AW86">
        <f t="shared" si="46"/>
        <v>7.1101326183529955E-3</v>
      </c>
      <c r="AX86">
        <f t="shared" si="47"/>
        <v>-1469.1894338756003</v>
      </c>
      <c r="AY86">
        <f t="shared" si="52"/>
        <v>-795.24667497187284</v>
      </c>
      <c r="AZ86">
        <f t="shared" si="37"/>
        <v>-673.94275890372751</v>
      </c>
    </row>
    <row r="87" spans="1:52" x14ac:dyDescent="0.35">
      <c r="A87" s="1">
        <v>86</v>
      </c>
      <c r="B87" s="1">
        <v>2673.7959050516761</v>
      </c>
      <c r="C87" s="1">
        <v>0</v>
      </c>
      <c r="D87" s="1"/>
      <c r="E87" s="1">
        <v>2673.8</v>
      </c>
      <c r="F87" s="1"/>
      <c r="G87" s="1"/>
      <c r="H87" s="1"/>
      <c r="I87" s="1"/>
      <c r="J87" s="1"/>
      <c r="K87" s="1">
        <v>0</v>
      </c>
      <c r="L87" s="1">
        <v>0</v>
      </c>
      <c r="M87" s="4">
        <f t="shared" si="48"/>
        <v>0</v>
      </c>
      <c r="N87" s="4">
        <f t="shared" si="49"/>
        <v>0</v>
      </c>
      <c r="O87" s="4">
        <f t="shared" si="50"/>
        <v>0</v>
      </c>
      <c r="P87" s="4">
        <f t="shared" si="51"/>
        <v>0</v>
      </c>
      <c r="Q87" s="4"/>
      <c r="R87" s="4"/>
      <c r="S87" s="4"/>
      <c r="T87" s="4"/>
      <c r="U87" s="4"/>
      <c r="V87" s="4">
        <v>54.038899999999998</v>
      </c>
      <c r="W87" s="1">
        <f t="shared" si="44"/>
        <v>54.038899999999998</v>
      </c>
      <c r="X87" s="1">
        <f t="shared" si="41"/>
        <v>1350.9724999999999</v>
      </c>
      <c r="Y87" s="1">
        <f t="shared" si="53"/>
        <v>1350.9724999999999</v>
      </c>
      <c r="Z87" s="1">
        <f t="shared" si="42"/>
        <v>0</v>
      </c>
      <c r="AA87" s="1">
        <f t="shared" si="43"/>
        <v>0</v>
      </c>
      <c r="AB87" s="4"/>
      <c r="AW87">
        <f t="shared" si="46"/>
        <v>6.611239442507637E-3</v>
      </c>
      <c r="AX87">
        <f t="shared" si="47"/>
        <v>-1366.1015419996218</v>
      </c>
      <c r="AY87">
        <f t="shared" si="52"/>
        <v>-739.44699294722432</v>
      </c>
      <c r="AZ87">
        <f t="shared" si="37"/>
        <v>-626.65454905239744</v>
      </c>
    </row>
    <row r="88" spans="1:52" x14ac:dyDescent="0.35">
      <c r="A88" s="1">
        <v>87</v>
      </c>
      <c r="B88" s="1">
        <v>19513.44492845656</v>
      </c>
      <c r="C88" s="1">
        <v>0</v>
      </c>
      <c r="D88" s="1"/>
      <c r="E88" s="1">
        <v>19513.400000000001</v>
      </c>
      <c r="F88" s="1"/>
      <c r="G88" s="1"/>
      <c r="H88" s="1"/>
      <c r="I88" s="1"/>
      <c r="J88" s="1"/>
      <c r="K88" s="1">
        <v>0</v>
      </c>
      <c r="L88" s="1">
        <v>0</v>
      </c>
      <c r="M88" s="4">
        <f t="shared" si="48"/>
        <v>0</v>
      </c>
      <c r="N88" s="4">
        <f t="shared" si="49"/>
        <v>0</v>
      </c>
      <c r="O88" s="4">
        <f t="shared" si="50"/>
        <v>0</v>
      </c>
      <c r="P88" s="4">
        <f t="shared" si="51"/>
        <v>0</v>
      </c>
      <c r="Q88" s="4"/>
      <c r="R88" s="4"/>
      <c r="S88" s="4"/>
      <c r="T88" s="4"/>
      <c r="U88" s="4"/>
      <c r="V88" s="4">
        <v>382.77600000000001</v>
      </c>
      <c r="W88" s="1">
        <f t="shared" si="44"/>
        <v>382.77600000000001</v>
      </c>
      <c r="X88" s="1">
        <f t="shared" si="41"/>
        <v>9569.4</v>
      </c>
      <c r="Y88" s="1">
        <f t="shared" si="53"/>
        <v>9569.4</v>
      </c>
      <c r="Z88" s="1">
        <f t="shared" si="42"/>
        <v>0</v>
      </c>
      <c r="AA88" s="1">
        <f t="shared" si="43"/>
        <v>0</v>
      </c>
      <c r="AB88" s="4"/>
      <c r="AW88">
        <f t="shared" si="46"/>
        <v>4.8249029227127677E-2</v>
      </c>
      <c r="AX88">
        <f t="shared" si="47"/>
        <v>-9969.8511603390325</v>
      </c>
      <c r="AY88">
        <f t="shared" si="52"/>
        <v>-5396.5069462209367</v>
      </c>
      <c r="AZ88">
        <f t="shared" si="37"/>
        <v>-4573.3442141180958</v>
      </c>
    </row>
    <row r="89" spans="1:52" x14ac:dyDescent="0.35">
      <c r="A89" s="1">
        <v>88</v>
      </c>
      <c r="B89" s="1">
        <v>5533.3813285011611</v>
      </c>
      <c r="C89" s="1">
        <v>0</v>
      </c>
      <c r="D89" s="1"/>
      <c r="E89" s="1">
        <v>5533.38</v>
      </c>
      <c r="F89" s="1"/>
      <c r="G89" s="1"/>
      <c r="H89" s="1"/>
      <c r="I89" s="1"/>
      <c r="J89" s="1"/>
      <c r="K89" s="1">
        <v>0</v>
      </c>
      <c r="L89" s="1">
        <v>0</v>
      </c>
      <c r="M89" s="4">
        <f t="shared" si="48"/>
        <v>0</v>
      </c>
      <c r="N89" s="4">
        <f t="shared" si="49"/>
        <v>0</v>
      </c>
      <c r="O89" s="4">
        <f t="shared" si="50"/>
        <v>0</v>
      </c>
      <c r="P89" s="4">
        <f t="shared" si="51"/>
        <v>0</v>
      </c>
      <c r="Q89" s="4"/>
      <c r="R89" s="4"/>
      <c r="S89" s="4"/>
      <c r="T89" s="4"/>
      <c r="U89" s="4"/>
      <c r="V89" s="4">
        <v>110.304</v>
      </c>
      <c r="W89" s="1">
        <f t="shared" si="44"/>
        <v>110.304</v>
      </c>
      <c r="X89" s="1">
        <f t="shared" si="41"/>
        <v>2757.6</v>
      </c>
      <c r="Y89" s="1">
        <f t="shared" si="53"/>
        <v>2757.6</v>
      </c>
      <c r="Z89" s="1">
        <f t="shared" si="42"/>
        <v>0</v>
      </c>
      <c r="AA89" s="1">
        <f t="shared" si="43"/>
        <v>0</v>
      </c>
      <c r="AB89" s="4"/>
      <c r="AW89">
        <f t="shared" si="46"/>
        <v>1.3681862860327463E-2</v>
      </c>
      <c r="AX89">
        <f t="shared" si="47"/>
        <v>-2827.1270634589655</v>
      </c>
      <c r="AY89">
        <f t="shared" si="52"/>
        <v>-1530.2746841896378</v>
      </c>
      <c r="AZ89">
        <f t="shared" si="37"/>
        <v>-1296.8523792693277</v>
      </c>
    </row>
    <row r="90" spans="1:52" x14ac:dyDescent="0.35">
      <c r="A90" s="1">
        <v>89</v>
      </c>
      <c r="B90" s="1">
        <v>7532.7075080212007</v>
      </c>
      <c r="C90" s="1">
        <v>0</v>
      </c>
      <c r="D90" s="1"/>
      <c r="E90" s="1">
        <v>7532.71</v>
      </c>
      <c r="F90" s="1"/>
      <c r="G90" s="1"/>
      <c r="H90" s="1"/>
      <c r="I90" s="1"/>
      <c r="J90" s="1"/>
      <c r="K90" s="1">
        <v>0</v>
      </c>
      <c r="L90" s="1">
        <v>0</v>
      </c>
      <c r="M90" s="4">
        <f t="shared" si="48"/>
        <v>0</v>
      </c>
      <c r="N90" s="4">
        <f t="shared" si="49"/>
        <v>0</v>
      </c>
      <c r="O90" s="4">
        <f t="shared" si="50"/>
        <v>0</v>
      </c>
      <c r="P90" s="4">
        <f t="shared" si="51"/>
        <v>0</v>
      </c>
      <c r="Q90" s="4"/>
      <c r="R90" s="4"/>
      <c r="S90" s="4"/>
      <c r="T90" s="4"/>
      <c r="U90" s="4"/>
      <c r="V90" s="4">
        <v>158.81</v>
      </c>
      <c r="W90" s="1">
        <f t="shared" si="44"/>
        <v>158.81</v>
      </c>
      <c r="X90" s="1">
        <f t="shared" si="41"/>
        <v>3970.25</v>
      </c>
      <c r="Y90" s="1">
        <f t="shared" si="53"/>
        <v>3970.25</v>
      </c>
      <c r="Z90" s="1">
        <f t="shared" si="42"/>
        <v>0</v>
      </c>
      <c r="AA90" s="1">
        <f t="shared" si="43"/>
        <v>0</v>
      </c>
      <c r="AB90" s="4"/>
      <c r="AW90">
        <f t="shared" si="46"/>
        <v>1.8625405511248506E-2</v>
      </c>
      <c r="AX90">
        <f t="shared" si="47"/>
        <v>-3848.6270858212752</v>
      </c>
      <c r="AY90">
        <f t="shared" si="52"/>
        <v>-2083.194871019748</v>
      </c>
      <c r="AZ90">
        <f t="shared" si="37"/>
        <v>-1765.4322148015272</v>
      </c>
    </row>
    <row r="91" spans="1:52" x14ac:dyDescent="0.35">
      <c r="A91" s="1">
        <v>90</v>
      </c>
      <c r="B91" s="1">
        <v>4797.2959806436729</v>
      </c>
      <c r="C91" s="1">
        <v>0</v>
      </c>
      <c r="D91" s="1"/>
      <c r="E91" s="1">
        <v>4797.3</v>
      </c>
      <c r="F91" s="1"/>
      <c r="G91" s="1"/>
      <c r="H91" s="1"/>
      <c r="I91" s="1"/>
      <c r="J91" s="1"/>
      <c r="K91" s="1">
        <v>0</v>
      </c>
      <c r="L91" s="1">
        <v>0</v>
      </c>
      <c r="M91" s="4">
        <f t="shared" si="48"/>
        <v>0</v>
      </c>
      <c r="N91" s="4">
        <f t="shared" si="49"/>
        <v>0</v>
      </c>
      <c r="O91" s="4">
        <f t="shared" si="50"/>
        <v>0</v>
      </c>
      <c r="P91" s="4">
        <f t="shared" si="51"/>
        <v>0</v>
      </c>
      <c r="Q91" s="4"/>
      <c r="R91" s="4"/>
      <c r="S91" s="4"/>
      <c r="T91" s="4"/>
      <c r="U91" s="4"/>
      <c r="V91" s="4">
        <v>100.91</v>
      </c>
      <c r="W91" s="1">
        <f t="shared" si="44"/>
        <v>100.91</v>
      </c>
      <c r="X91" s="1">
        <f t="shared" si="41"/>
        <v>2522.75</v>
      </c>
      <c r="Y91" s="1">
        <f t="shared" si="53"/>
        <v>2522.75</v>
      </c>
      <c r="Z91" s="1">
        <f t="shared" si="42"/>
        <v>0</v>
      </c>
      <c r="AA91" s="1">
        <f t="shared" si="43"/>
        <v>0</v>
      </c>
      <c r="AB91" s="4"/>
      <c r="AW91">
        <f t="shared" si="46"/>
        <v>1.1861815011644215E-2</v>
      </c>
      <c r="AX91">
        <f t="shared" si="47"/>
        <v>-2451.0447578306275</v>
      </c>
      <c r="AY91">
        <f t="shared" si="52"/>
        <v>-1326.7078764174448</v>
      </c>
      <c r="AZ91">
        <f t="shared" si="37"/>
        <v>-1124.3368814131827</v>
      </c>
    </row>
    <row r="92" spans="1:52" x14ac:dyDescent="0.35">
      <c r="A92" s="1">
        <v>91</v>
      </c>
      <c r="B92" s="1">
        <v>5147.5629031179114</v>
      </c>
      <c r="C92" s="1">
        <v>0</v>
      </c>
      <c r="D92" s="1"/>
      <c r="E92" s="1">
        <v>5147.5600000000004</v>
      </c>
      <c r="F92" s="1"/>
      <c r="G92" s="1"/>
      <c r="H92" s="1"/>
      <c r="I92" s="1"/>
      <c r="J92" s="1"/>
      <c r="K92" s="1">
        <v>0</v>
      </c>
      <c r="L92" s="1">
        <v>0</v>
      </c>
      <c r="M92" s="4">
        <f t="shared" si="48"/>
        <v>0</v>
      </c>
      <c r="N92" s="4">
        <f t="shared" si="49"/>
        <v>0</v>
      </c>
      <c r="O92" s="4">
        <f t="shared" si="50"/>
        <v>0</v>
      </c>
      <c r="P92" s="4">
        <f t="shared" si="51"/>
        <v>0</v>
      </c>
      <c r="Q92" s="4"/>
      <c r="R92" s="4"/>
      <c r="S92" s="4"/>
      <c r="T92" s="4" t="s">
        <v>6</v>
      </c>
      <c r="U92" s="4"/>
      <c r="V92" s="4">
        <v>83.866</v>
      </c>
      <c r="W92" s="1">
        <f t="shared" si="44"/>
        <v>83.866</v>
      </c>
      <c r="X92" s="1">
        <f t="shared" si="41"/>
        <v>2096.65</v>
      </c>
      <c r="Y92" s="1">
        <f t="shared" si="53"/>
        <v>2096.65</v>
      </c>
      <c r="Z92" s="1">
        <f t="shared" si="42"/>
        <v>0</v>
      </c>
      <c r="AA92" s="1">
        <f t="shared" si="43"/>
        <v>0</v>
      </c>
      <c r="AB92" s="4"/>
      <c r="AW92">
        <f t="shared" si="46"/>
        <v>1.2727886535238195E-2</v>
      </c>
      <c r="AX92">
        <f t="shared" si="47"/>
        <v>-2630.0038855634043</v>
      </c>
      <c r="AY92">
        <f t="shared" si="52"/>
        <v>-1423.57533816466</v>
      </c>
      <c r="AZ92">
        <f t="shared" si="37"/>
        <v>-1206.4285473987443</v>
      </c>
    </row>
    <row r="93" spans="1:52" x14ac:dyDescent="0.35">
      <c r="A93" s="1">
        <v>92</v>
      </c>
      <c r="B93" s="1">
        <v>2534.563494353717</v>
      </c>
      <c r="C93" s="1">
        <v>0</v>
      </c>
      <c r="D93" s="1"/>
      <c r="E93" s="1">
        <v>2534.56</v>
      </c>
      <c r="F93" s="1"/>
      <c r="G93" s="1"/>
      <c r="H93" s="1"/>
      <c r="I93" s="1"/>
      <c r="J93" s="1"/>
      <c r="K93" s="1">
        <v>0</v>
      </c>
      <c r="L93" s="1">
        <v>0</v>
      </c>
      <c r="M93" s="4">
        <f t="shared" si="48"/>
        <v>0</v>
      </c>
      <c r="N93" s="4">
        <f t="shared" si="49"/>
        <v>0</v>
      </c>
      <c r="O93" s="4">
        <f t="shared" si="50"/>
        <v>0</v>
      </c>
      <c r="P93" s="4">
        <f t="shared" si="51"/>
        <v>0</v>
      </c>
      <c r="Q93" s="4"/>
      <c r="R93" s="4"/>
      <c r="S93" s="4"/>
      <c r="T93" s="4"/>
      <c r="U93" s="4"/>
      <c r="V93" s="4">
        <v>53.252299999999998</v>
      </c>
      <c r="W93" s="1">
        <f t="shared" si="44"/>
        <v>53.252299999999998</v>
      </c>
      <c r="X93" s="1">
        <f t="shared" si="41"/>
        <v>1331.3074999999999</v>
      </c>
      <c r="Y93" s="1">
        <f t="shared" si="53"/>
        <v>1331.3074999999999</v>
      </c>
      <c r="Z93" s="1">
        <f t="shared" si="42"/>
        <v>0</v>
      </c>
      <c r="AA93" s="1">
        <f t="shared" si="43"/>
        <v>0</v>
      </c>
      <c r="AB93" s="4"/>
      <c r="AW93">
        <f t="shared" si="46"/>
        <v>6.2669727752041804E-3</v>
      </c>
      <c r="AX93">
        <f t="shared" si="47"/>
        <v>-1294.9646199213712</v>
      </c>
      <c r="AY93">
        <f t="shared" si="52"/>
        <v>-700.94181489048356</v>
      </c>
      <c r="AZ93">
        <f t="shared" si="37"/>
        <v>-594.02280503088764</v>
      </c>
    </row>
    <row r="94" spans="1:52" x14ac:dyDescent="0.35">
      <c r="A94" s="1">
        <v>93</v>
      </c>
      <c r="B94" s="1">
        <v>5159.4345472126533</v>
      </c>
      <c r="C94" s="1">
        <v>0</v>
      </c>
      <c r="D94" s="1"/>
      <c r="E94" s="1">
        <v>5159.43</v>
      </c>
      <c r="F94" s="1"/>
      <c r="G94" s="1"/>
      <c r="H94" s="1"/>
      <c r="I94" s="1"/>
      <c r="J94" s="1"/>
      <c r="K94" s="1">
        <v>0</v>
      </c>
      <c r="L94" s="1">
        <v>0</v>
      </c>
      <c r="M94" s="4">
        <f t="shared" si="48"/>
        <v>0</v>
      </c>
      <c r="N94" s="4">
        <f t="shared" si="49"/>
        <v>0</v>
      </c>
      <c r="O94" s="4">
        <f t="shared" si="50"/>
        <v>0</v>
      </c>
      <c r="P94" s="4">
        <f t="shared" si="51"/>
        <v>0</v>
      </c>
      <c r="Q94" s="4"/>
      <c r="R94" s="4"/>
      <c r="S94" s="4"/>
      <c r="T94" s="4"/>
      <c r="U94" s="4"/>
      <c r="V94" s="4">
        <v>109.45699999999999</v>
      </c>
      <c r="W94" s="1">
        <f t="shared" si="44"/>
        <v>109.45699999999999</v>
      </c>
      <c r="X94" s="1">
        <f t="shared" si="41"/>
        <v>2736.4249999999997</v>
      </c>
      <c r="Y94" s="1">
        <f t="shared" si="53"/>
        <v>2736.4249999999997</v>
      </c>
      <c r="Z94" s="1">
        <f t="shared" si="42"/>
        <v>0</v>
      </c>
      <c r="AA94" s="1">
        <f t="shared" si="43"/>
        <v>0</v>
      </c>
      <c r="AB94" s="4"/>
      <c r="AW94">
        <f t="shared" si="46"/>
        <v>1.2757240414320097E-2</v>
      </c>
      <c r="AX94">
        <f t="shared" si="47"/>
        <v>-2636.0693714418358</v>
      </c>
      <c r="AY94">
        <f t="shared" si="52"/>
        <v>-1426.8584801242282</v>
      </c>
      <c r="AZ94">
        <f t="shared" si="37"/>
        <v>-1209.2108913176075</v>
      </c>
    </row>
    <row r="95" spans="1:52" x14ac:dyDescent="0.35">
      <c r="A95" s="1">
        <v>94</v>
      </c>
      <c r="B95" s="1">
        <v>4317.7330751348463</v>
      </c>
      <c r="C95" s="1">
        <v>0</v>
      </c>
      <c r="D95" s="1"/>
      <c r="E95" s="1">
        <v>4317.7299999999996</v>
      </c>
      <c r="F95" s="1"/>
      <c r="G95" s="1"/>
      <c r="H95" s="1"/>
      <c r="I95" s="1"/>
      <c r="J95" s="1"/>
      <c r="K95" s="1">
        <v>0</v>
      </c>
      <c r="L95" s="1">
        <v>0</v>
      </c>
      <c r="M95" s="4">
        <f t="shared" si="48"/>
        <v>0</v>
      </c>
      <c r="N95" s="4">
        <f t="shared" si="49"/>
        <v>0</v>
      </c>
      <c r="O95" s="4">
        <f t="shared" si="50"/>
        <v>0</v>
      </c>
      <c r="P95" s="4">
        <f t="shared" si="51"/>
        <v>0</v>
      </c>
      <c r="Q95" s="4"/>
      <c r="R95" s="4"/>
      <c r="S95" s="4"/>
      <c r="T95" s="4"/>
      <c r="U95" s="4"/>
      <c r="V95" s="4">
        <v>97.187200000000004</v>
      </c>
      <c r="W95" s="1">
        <f t="shared" si="44"/>
        <v>97.187200000000004</v>
      </c>
      <c r="X95" s="1">
        <f t="shared" si="41"/>
        <v>2429.6800000000003</v>
      </c>
      <c r="Y95" s="1">
        <f t="shared" si="53"/>
        <v>2429.6800000000003</v>
      </c>
      <c r="Z95" s="1">
        <f t="shared" si="42"/>
        <v>0</v>
      </c>
      <c r="AA95" s="1">
        <f t="shared" si="43"/>
        <v>0</v>
      </c>
      <c r="AB95" s="4"/>
      <c r="AW95">
        <f t="shared" si="46"/>
        <v>1.067604567522127E-2</v>
      </c>
      <c r="AX95">
        <f t="shared" si="47"/>
        <v>-2206.0254489657782</v>
      </c>
      <c r="AY95">
        <f t="shared" si="52"/>
        <v>-1194.0831881465269</v>
      </c>
      <c r="AZ95">
        <f t="shared" si="37"/>
        <v>-1011.9422608192513</v>
      </c>
    </row>
    <row r="96" spans="1:52" x14ac:dyDescent="0.35">
      <c r="A96" s="1">
        <v>95</v>
      </c>
      <c r="B96" s="1">
        <v>6988.6643510423764</v>
      </c>
      <c r="C96" s="1">
        <v>0</v>
      </c>
      <c r="D96" s="1"/>
      <c r="E96" s="1">
        <v>6988.66</v>
      </c>
      <c r="F96" s="1"/>
      <c r="G96" s="1"/>
      <c r="H96" s="1"/>
      <c r="I96" s="1"/>
      <c r="J96" s="1"/>
      <c r="K96" s="1">
        <v>0</v>
      </c>
      <c r="L96" s="1">
        <v>0</v>
      </c>
      <c r="M96" s="4">
        <f t="shared" si="48"/>
        <v>0</v>
      </c>
      <c r="N96" s="4">
        <f t="shared" si="49"/>
        <v>0</v>
      </c>
      <c r="O96" s="4">
        <f t="shared" si="50"/>
        <v>0</v>
      </c>
      <c r="P96" s="4">
        <f t="shared" si="51"/>
        <v>0</v>
      </c>
      <c r="Q96" s="4"/>
      <c r="R96" s="4"/>
      <c r="S96" s="4"/>
      <c r="T96" s="4"/>
      <c r="U96" s="4"/>
      <c r="V96" s="4">
        <v>114.952</v>
      </c>
      <c r="W96" s="1">
        <f t="shared" si="44"/>
        <v>114.952</v>
      </c>
      <c r="X96" s="1">
        <f t="shared" si="41"/>
        <v>2873.8</v>
      </c>
      <c r="Y96" s="1">
        <f t="shared" si="53"/>
        <v>2873.8</v>
      </c>
      <c r="Z96" s="1">
        <f t="shared" si="42"/>
        <v>0</v>
      </c>
      <c r="AA96" s="1">
        <f t="shared" si="43"/>
        <v>0</v>
      </c>
      <c r="AB96" s="4"/>
      <c r="AW96">
        <f t="shared" si="46"/>
        <v>1.7280202023185243E-2</v>
      </c>
      <c r="AX96">
        <f t="shared" si="47"/>
        <v>-3570.6633884953376</v>
      </c>
      <c r="AY96">
        <f t="shared" si="52"/>
        <v>-1932.7379585450719</v>
      </c>
      <c r="AZ96">
        <f t="shared" si="37"/>
        <v>-1637.9254299502657</v>
      </c>
    </row>
    <row r="97" spans="1:52" x14ac:dyDescent="0.35">
      <c r="A97" s="1">
        <v>96</v>
      </c>
      <c r="B97" s="1">
        <v>2938.8092172996649</v>
      </c>
      <c r="C97" s="1">
        <v>0</v>
      </c>
      <c r="D97" s="1"/>
      <c r="E97" s="1">
        <v>2938.81</v>
      </c>
      <c r="F97" s="1"/>
      <c r="G97" s="1"/>
      <c r="H97" s="1"/>
      <c r="I97" s="1"/>
      <c r="J97" s="1"/>
      <c r="K97" s="1">
        <v>0</v>
      </c>
      <c r="L97" s="1">
        <v>0</v>
      </c>
      <c r="M97" s="4">
        <f t="shared" si="48"/>
        <v>0</v>
      </c>
      <c r="N97" s="4">
        <f t="shared" si="49"/>
        <v>0</v>
      </c>
      <c r="O97" s="4">
        <f t="shared" si="50"/>
        <v>0</v>
      </c>
      <c r="P97" s="4">
        <f t="shared" si="51"/>
        <v>0</v>
      </c>
      <c r="Q97" s="4"/>
      <c r="R97" s="4"/>
      <c r="S97" s="4"/>
      <c r="T97" s="4"/>
      <c r="U97" s="4"/>
      <c r="V97" s="4">
        <v>61.982599999999998</v>
      </c>
      <c r="W97" s="1">
        <f t="shared" si="44"/>
        <v>61.982599999999998</v>
      </c>
      <c r="X97" s="1">
        <f t="shared" si="41"/>
        <v>1549.5650000000001</v>
      </c>
      <c r="Y97" s="1">
        <f>X97-M97</f>
        <v>1549.5650000000001</v>
      </c>
      <c r="Z97" s="1">
        <f t="shared" si="42"/>
        <v>0</v>
      </c>
      <c r="AA97" s="1">
        <f t="shared" si="43"/>
        <v>0</v>
      </c>
      <c r="AB97" s="4"/>
      <c r="AW97">
        <f t="shared" si="46"/>
        <v>7.2665125167962422E-3</v>
      </c>
      <c r="AX97">
        <f t="shared" si="47"/>
        <v>-1501.5027122341942</v>
      </c>
      <c r="AY97">
        <f t="shared" si="52"/>
        <v>-812.73729025919192</v>
      </c>
      <c r="AZ97">
        <f t="shared" si="37"/>
        <v>-688.76542197500225</v>
      </c>
    </row>
    <row r="98" spans="1:52" x14ac:dyDescent="0.35">
      <c r="A98" s="1">
        <v>97</v>
      </c>
      <c r="B98" s="1">
        <v>6184.3427862351964</v>
      </c>
      <c r="C98" s="1">
        <v>0</v>
      </c>
      <c r="D98" s="1"/>
      <c r="E98" s="1">
        <v>6184.34</v>
      </c>
      <c r="F98" s="1"/>
      <c r="G98" s="1"/>
      <c r="H98" s="1"/>
      <c r="I98" s="1"/>
      <c r="J98" s="1"/>
      <c r="K98" s="1">
        <v>0</v>
      </c>
      <c r="L98" s="1">
        <v>0</v>
      </c>
      <c r="M98" s="4">
        <f t="shared" si="48"/>
        <v>0</v>
      </c>
      <c r="N98" s="4">
        <f t="shared" si="49"/>
        <v>0</v>
      </c>
      <c r="O98" s="4">
        <f t="shared" si="50"/>
        <v>0</v>
      </c>
      <c r="P98" s="4">
        <f t="shared" si="51"/>
        <v>0</v>
      </c>
      <c r="Q98" s="4"/>
      <c r="R98" s="4"/>
      <c r="S98" s="4"/>
      <c r="T98" s="4"/>
      <c r="U98" s="4"/>
      <c r="V98" s="4">
        <v>129.93600000000001</v>
      </c>
      <c r="W98" s="1">
        <f t="shared" si="44"/>
        <v>129.93600000000001</v>
      </c>
      <c r="X98" s="1">
        <f t="shared" si="41"/>
        <v>3248.4</v>
      </c>
      <c r="Y98" s="1">
        <f t="shared" ref="Y98:Y100" si="54">X98-M98</f>
        <v>3248.4</v>
      </c>
      <c r="Z98" s="1">
        <f t="shared" si="42"/>
        <v>0</v>
      </c>
      <c r="AA98" s="1">
        <f t="shared" si="43"/>
        <v>0</v>
      </c>
      <c r="AB98" s="4"/>
      <c r="AW98">
        <f t="shared" si="46"/>
        <v>1.5291433006198544E-2</v>
      </c>
      <c r="AX98">
        <f t="shared" si="47"/>
        <v>-3159.71768846241</v>
      </c>
      <c r="AY98">
        <f t="shared" si="52"/>
        <v>-1710.3002020448127</v>
      </c>
      <c r="AZ98">
        <f t="shared" si="37"/>
        <v>-1449.4174864175973</v>
      </c>
    </row>
    <row r="99" spans="1:52" x14ac:dyDescent="0.35">
      <c r="A99" s="1">
        <v>98</v>
      </c>
      <c r="B99" s="1">
        <v>3973.5840486666689</v>
      </c>
      <c r="C99" s="1">
        <v>0</v>
      </c>
      <c r="D99" s="1"/>
      <c r="E99" s="1">
        <v>3973.58</v>
      </c>
      <c r="F99" s="1"/>
      <c r="G99" s="1"/>
      <c r="H99" s="1"/>
      <c r="I99" s="1"/>
      <c r="J99" s="1"/>
      <c r="K99" s="1">
        <v>0</v>
      </c>
      <c r="L99" s="1">
        <v>0</v>
      </c>
      <c r="M99" s="4">
        <f t="shared" si="48"/>
        <v>0</v>
      </c>
      <c r="N99" s="4">
        <f t="shared" si="49"/>
        <v>0</v>
      </c>
      <c r="O99" s="4">
        <f t="shared" si="50"/>
        <v>0</v>
      </c>
      <c r="P99" s="4">
        <f t="shared" si="51"/>
        <v>0</v>
      </c>
      <c r="Q99" s="4"/>
      <c r="R99" s="4"/>
      <c r="S99" s="4"/>
      <c r="T99" s="4"/>
      <c r="U99" s="4"/>
      <c r="V99" s="4">
        <v>82.931700000000006</v>
      </c>
      <c r="W99" s="1">
        <f t="shared" si="44"/>
        <v>82.931700000000006</v>
      </c>
      <c r="X99" s="1">
        <f t="shared" si="41"/>
        <v>2073.2925</v>
      </c>
      <c r="Y99" s="1">
        <f t="shared" si="54"/>
        <v>2073.2925</v>
      </c>
      <c r="Z99" s="1">
        <f t="shared" si="42"/>
        <v>0</v>
      </c>
      <c r="AA99" s="1">
        <f t="shared" si="43"/>
        <v>0</v>
      </c>
      <c r="AB99" s="4"/>
      <c r="AW99">
        <f t="shared" si="46"/>
        <v>9.8251012880343769E-3</v>
      </c>
      <c r="AX99">
        <f t="shared" si="47"/>
        <v>-2030.1920897899363</v>
      </c>
      <c r="AY99">
        <f t="shared" si="52"/>
        <v>-1098.9076505272146</v>
      </c>
      <c r="AZ99">
        <f t="shared" si="37"/>
        <v>-931.28443926272166</v>
      </c>
    </row>
    <row r="100" spans="1:52" x14ac:dyDescent="0.35">
      <c r="A100" s="1">
        <v>99</v>
      </c>
      <c r="B100" s="1">
        <v>6386.1720264839241</v>
      </c>
      <c r="C100" s="1">
        <v>0</v>
      </c>
      <c r="D100" s="1"/>
      <c r="E100" s="1">
        <v>6386.17</v>
      </c>
      <c r="F100" s="1"/>
      <c r="G100" s="1"/>
      <c r="H100" s="1"/>
      <c r="I100" s="1"/>
      <c r="J100" s="1"/>
      <c r="K100" s="1">
        <v>0</v>
      </c>
      <c r="L100" s="1">
        <v>0</v>
      </c>
      <c r="M100" s="4">
        <f t="shared" si="48"/>
        <v>0</v>
      </c>
      <c r="N100" s="4">
        <f t="shared" si="49"/>
        <v>0</v>
      </c>
      <c r="O100" s="4">
        <f t="shared" si="50"/>
        <v>0</v>
      </c>
      <c r="P100" s="4">
        <f t="shared" si="51"/>
        <v>0</v>
      </c>
      <c r="Q100" s="4"/>
      <c r="R100" s="4"/>
      <c r="S100" s="4"/>
      <c r="T100" s="4"/>
      <c r="U100" s="4"/>
      <c r="V100" s="4">
        <v>106.389</v>
      </c>
      <c r="W100" s="1">
        <f t="shared" si="44"/>
        <v>106.389</v>
      </c>
      <c r="X100" s="1">
        <f t="shared" si="41"/>
        <v>2659.7249999999999</v>
      </c>
      <c r="Y100" s="1">
        <f t="shared" si="54"/>
        <v>2659.7249999999999</v>
      </c>
      <c r="Z100" s="1">
        <f t="shared" si="42"/>
        <v>0</v>
      </c>
      <c r="AA100" s="1">
        <f t="shared" si="43"/>
        <v>0</v>
      </c>
      <c r="AB100" s="4"/>
      <c r="AW100">
        <f t="shared" si="46"/>
        <v>1.5790476867872029E-2</v>
      </c>
      <c r="AX100">
        <f t="shared" si="47"/>
        <v>-3262.8367170327938</v>
      </c>
      <c r="AY100">
        <f t="shared" si="52"/>
        <v>-1766.1167378203286</v>
      </c>
      <c r="AZ100">
        <f t="shared" si="37"/>
        <v>-1496.7199792124652</v>
      </c>
    </row>
    <row r="101" spans="1:52" x14ac:dyDescent="0.35">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W101">
        <f t="shared" si="46"/>
        <v>0</v>
      </c>
      <c r="AX101">
        <f t="shared" si="47"/>
        <v>0</v>
      </c>
      <c r="AY101">
        <f t="shared" si="52"/>
        <v>0</v>
      </c>
      <c r="AZ101">
        <f t="shared" si="37"/>
        <v>0</v>
      </c>
    </row>
    <row r="102" spans="1:52" x14ac:dyDescent="0.35">
      <c r="A102" s="1" t="s">
        <v>57</v>
      </c>
      <c r="B102" s="1">
        <f>SUM(B2:B100)</f>
        <v>404431.86611276446</v>
      </c>
      <c r="C102" s="1">
        <f t="shared" ref="C102:Y102" si="55">SUM(C2:C100)</f>
        <v>162</v>
      </c>
      <c r="D102" s="1"/>
      <c r="E102" s="1"/>
      <c r="F102" s="1"/>
      <c r="G102" s="1"/>
      <c r="H102" s="1"/>
      <c r="I102" s="1"/>
      <c r="J102" s="1"/>
      <c r="K102" s="1">
        <f t="shared" si="55"/>
        <v>405</v>
      </c>
      <c r="L102" s="1">
        <f t="shared" si="55"/>
        <v>125.40000000000002</v>
      </c>
      <c r="M102" s="1">
        <f t="shared" si="55"/>
        <v>537328</v>
      </c>
      <c r="N102" s="1">
        <f t="shared" si="55"/>
        <v>5293.9999999999991</v>
      </c>
      <c r="O102" s="1"/>
      <c r="P102" s="1">
        <f t="shared" si="55"/>
        <v>132350</v>
      </c>
      <c r="Q102" s="1">
        <f t="shared" si="55"/>
        <v>0</v>
      </c>
      <c r="R102" s="1">
        <f t="shared" si="55"/>
        <v>0</v>
      </c>
      <c r="S102" s="1">
        <f t="shared" si="55"/>
        <v>170764.70121330378</v>
      </c>
      <c r="T102" s="1">
        <f t="shared" si="55"/>
        <v>49601.7</v>
      </c>
      <c r="U102" s="1">
        <f t="shared" si="55"/>
        <v>0</v>
      </c>
      <c r="V102" s="1">
        <f t="shared" si="55"/>
        <v>22905.599420000006</v>
      </c>
      <c r="W102" s="1">
        <f t="shared" si="55"/>
        <v>-514422.40058000013</v>
      </c>
      <c r="X102" s="1">
        <f t="shared" si="55"/>
        <v>572639.98549999995</v>
      </c>
      <c r="Y102" s="1">
        <f t="shared" si="55"/>
        <v>35311.985499999973</v>
      </c>
      <c r="Z102" s="1"/>
      <c r="AA102" s="1"/>
      <c r="AB102" s="4"/>
      <c r="AW102">
        <f t="shared" si="46"/>
        <v>1</v>
      </c>
      <c r="AX102">
        <f t="shared" si="47"/>
        <v>-206633.19697909182</v>
      </c>
      <c r="AY102">
        <f t="shared" si="52"/>
        <v>-111846.95386962913</v>
      </c>
      <c r="AZ102">
        <f t="shared" si="37"/>
        <v>-94786.243109462695</v>
      </c>
    </row>
    <row r="103" spans="1:52" x14ac:dyDescent="0.35">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W103">
        <f t="shared" si="46"/>
        <v>0</v>
      </c>
      <c r="AX103">
        <f t="shared" si="47"/>
        <v>0</v>
      </c>
      <c r="AY103">
        <f t="shared" si="52"/>
        <v>0</v>
      </c>
    </row>
    <row r="104" spans="1:52" x14ac:dyDescent="0.35">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sheetData>
  <mergeCells count="2">
    <mergeCell ref="R16:S16"/>
    <mergeCell ref="AH31:AK32"/>
  </mergeCell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28125-CA5B-45E7-9762-FCA111784405}">
  <dimension ref="A1:AO104"/>
  <sheetViews>
    <sheetView topLeftCell="Q1" zoomScale="80" zoomScaleNormal="80" workbookViewId="0">
      <selection activeCell="Y16" sqref="Y16"/>
    </sheetView>
  </sheetViews>
  <sheetFormatPr defaultRowHeight="14.5" x14ac:dyDescent="0.35"/>
  <cols>
    <col min="1" max="1" width="23.26953125" style="1" bestFit="1" customWidth="1"/>
    <col min="2" max="2" width="25.54296875" style="1" bestFit="1" customWidth="1"/>
    <col min="3" max="3" width="16.7265625" bestFit="1" customWidth="1"/>
    <col min="4" max="9" width="16.7265625" customWidth="1"/>
    <col min="10" max="10" width="16.1796875" bestFit="1" customWidth="1"/>
    <col min="11" max="11" width="20.54296875" customWidth="1"/>
    <col min="12" max="12" width="12" customWidth="1"/>
    <col min="13" max="14" width="12.26953125" customWidth="1"/>
    <col min="15" max="15" width="13" customWidth="1"/>
    <col min="16" max="16" width="8.7265625" customWidth="1"/>
    <col min="17" max="17" width="24.08984375" bestFit="1" customWidth="1"/>
    <col min="18" max="18" width="12.6328125" bestFit="1" customWidth="1"/>
    <col min="19" max="19" width="21.6328125" bestFit="1" customWidth="1"/>
    <col min="21" max="21" width="12.453125" customWidth="1"/>
    <col min="23" max="23" width="14.36328125" customWidth="1"/>
    <col min="24" max="24" width="10.36328125" customWidth="1"/>
    <col min="25" max="25" width="12.453125" customWidth="1"/>
    <col min="26" max="26" width="11.1796875" customWidth="1"/>
    <col min="28" max="28" width="14" customWidth="1"/>
    <col min="31" max="31" width="20.54296875" customWidth="1"/>
    <col min="32" max="32" width="19.81640625" customWidth="1"/>
    <col min="33" max="33" width="18.1796875" customWidth="1"/>
    <col min="34" max="34" width="16" customWidth="1"/>
    <col min="35" max="35" width="15.26953125" bestFit="1" customWidth="1"/>
    <col min="36" max="36" width="14.81640625" bestFit="1" customWidth="1"/>
  </cols>
  <sheetData>
    <row r="1" spans="1:36" ht="63" customHeight="1" x14ac:dyDescent="0.35">
      <c r="A1" s="57" t="s">
        <v>7</v>
      </c>
      <c r="B1" s="60" t="s">
        <v>8</v>
      </c>
      <c r="C1" s="60" t="s">
        <v>253</v>
      </c>
      <c r="D1" s="61" t="s">
        <v>281</v>
      </c>
      <c r="E1" s="61" t="s">
        <v>301</v>
      </c>
      <c r="F1" s="61" t="s">
        <v>304</v>
      </c>
      <c r="G1" s="61" t="s">
        <v>305</v>
      </c>
      <c r="H1" s="61" t="s">
        <v>306</v>
      </c>
      <c r="I1" s="61" t="s">
        <v>307</v>
      </c>
      <c r="J1" s="60" t="s">
        <v>254</v>
      </c>
      <c r="K1" s="61" t="s">
        <v>255</v>
      </c>
      <c r="L1" s="61" t="s">
        <v>256</v>
      </c>
      <c r="M1" s="61" t="s">
        <v>257</v>
      </c>
      <c r="N1" s="61" t="s">
        <v>282</v>
      </c>
      <c r="O1" s="61" t="s">
        <v>275</v>
      </c>
      <c r="P1" s="69"/>
      <c r="Q1" s="69"/>
      <c r="R1" s="69"/>
      <c r="S1" s="69"/>
      <c r="T1" s="69"/>
      <c r="U1" s="61" t="s">
        <v>276</v>
      </c>
      <c r="V1" s="61" t="s">
        <v>277</v>
      </c>
      <c r="W1" s="61" t="s">
        <v>278</v>
      </c>
      <c r="X1" s="61" t="s">
        <v>279</v>
      </c>
      <c r="Y1" s="61" t="s">
        <v>31</v>
      </c>
      <c r="Z1" s="12" t="s">
        <v>283</v>
      </c>
      <c r="AA1" s="1"/>
      <c r="AB1" s="6" t="s">
        <v>33</v>
      </c>
      <c r="AC1" s="6" t="s">
        <v>34</v>
      </c>
      <c r="AD1" s="6" t="s">
        <v>35</v>
      </c>
      <c r="AE1" s="6" t="s">
        <v>36</v>
      </c>
      <c r="AF1" s="6" t="s">
        <v>37</v>
      </c>
      <c r="AG1" s="6" t="s">
        <v>38</v>
      </c>
      <c r="AH1" s="12" t="s">
        <v>39</v>
      </c>
      <c r="AI1" s="12" t="s">
        <v>40</v>
      </c>
      <c r="AJ1" s="12" t="s">
        <v>41</v>
      </c>
    </row>
    <row r="2" spans="1:36" x14ac:dyDescent="0.35">
      <c r="A2" s="1">
        <v>1</v>
      </c>
      <c r="B2" s="62">
        <v>1079.529030351737</v>
      </c>
      <c r="C2" s="62">
        <v>2</v>
      </c>
      <c r="D2" s="62">
        <v>3494.71</v>
      </c>
      <c r="E2" s="62">
        <v>1079.53</v>
      </c>
      <c r="F2" s="62">
        <v>1395.84</v>
      </c>
      <c r="G2" s="62">
        <v>1682.91</v>
      </c>
      <c r="H2" s="62">
        <v>473.57100000000003</v>
      </c>
      <c r="I2" s="62">
        <v>556.52700000000004</v>
      </c>
      <c r="J2" s="62">
        <v>5</v>
      </c>
      <c r="K2" s="62">
        <v>1.2</v>
      </c>
      <c r="L2" s="62">
        <f>(C2*$R$11*1000)+R22</f>
        <v>7240</v>
      </c>
      <c r="M2" s="62">
        <f>$R$31*C2</f>
        <v>71.2</v>
      </c>
      <c r="N2" s="56">
        <f>M2/D2</f>
        <v>2.0373650460267088E-2</v>
      </c>
      <c r="O2" s="56">
        <f t="shared" ref="O2:O46" si="0">M2*25</f>
        <v>1780</v>
      </c>
      <c r="P2" s="56"/>
      <c r="Q2" s="56"/>
      <c r="R2" s="56"/>
      <c r="S2" s="56"/>
      <c r="T2" s="56">
        <f>(E2*$R$4)+((D2-E2)*$R$5)</f>
        <v>478.88537000000008</v>
      </c>
      <c r="U2" s="1">
        <f>(E2*$R$4)</f>
        <v>167.32714999999999</v>
      </c>
      <c r="V2" s="1">
        <f>U2-L2</f>
        <v>-7072.6728499999999</v>
      </c>
      <c r="W2" s="1">
        <f t="shared" ref="W2:W33" si="1">U2*$R$40</f>
        <v>4183.17875</v>
      </c>
      <c r="X2" s="1">
        <f>W2-L2</f>
        <v>-3056.82125</v>
      </c>
      <c r="Y2" s="1">
        <f t="shared" ref="Y2:Y33" si="2">(L2/($R$40*B2))+N2</f>
        <v>0.28863878447490421</v>
      </c>
      <c r="Z2" s="1">
        <f t="shared" ref="Z2:Z33" si="3">(L2/($R$43*B2))+N2</f>
        <v>0.51955652152622989</v>
      </c>
      <c r="AA2" s="1"/>
      <c r="AB2" s="1" t="s">
        <v>284</v>
      </c>
      <c r="AC2" s="1">
        <v>0</v>
      </c>
      <c r="AD2">
        <f>-AB5</f>
        <v>-537328</v>
      </c>
      <c r="AE2">
        <f>AD2</f>
        <v>-537328</v>
      </c>
      <c r="AG2">
        <f>AD2</f>
        <v>-537328</v>
      </c>
      <c r="AH2">
        <f>AD2</f>
        <v>-537328</v>
      </c>
      <c r="AJ2">
        <f>AD2</f>
        <v>-537328</v>
      </c>
    </row>
    <row r="3" spans="1:36" x14ac:dyDescent="0.35">
      <c r="A3" s="1">
        <v>2</v>
      </c>
      <c r="B3" s="62">
        <v>3886.3217817133332</v>
      </c>
      <c r="C3" s="62">
        <v>4</v>
      </c>
      <c r="D3" s="62">
        <v>6989.42</v>
      </c>
      <c r="E3" s="62">
        <v>3886.32</v>
      </c>
      <c r="F3" s="62">
        <v>2567.4899999999998</v>
      </c>
      <c r="G3" s="62">
        <v>3085.9</v>
      </c>
      <c r="H3" s="62">
        <v>1442.46</v>
      </c>
      <c r="I3" s="62">
        <v>2007.51</v>
      </c>
      <c r="J3" s="62">
        <v>10</v>
      </c>
      <c r="K3" s="62">
        <v>3.3</v>
      </c>
      <c r="L3" s="62">
        <f>(C3*$R$11*1000)+R24</f>
        <v>14096</v>
      </c>
      <c r="M3" s="62">
        <f>$R$31*C3</f>
        <v>142.4</v>
      </c>
      <c r="N3" s="56">
        <f t="shared" ref="N3:N46" si="4">M3/D3</f>
        <v>2.0373650460267088E-2</v>
      </c>
      <c r="O3" s="56">
        <f t="shared" si="0"/>
        <v>3560</v>
      </c>
      <c r="P3" s="56"/>
      <c r="Q3" s="56" t="s">
        <v>267</v>
      </c>
      <c r="R3" s="56"/>
      <c r="S3" s="56"/>
      <c r="T3" s="56"/>
      <c r="U3" s="1">
        <f t="shared" ref="U3:U46" si="5">(E3*$R$4)+((D3-E3)*$R$5)</f>
        <v>1002.6795</v>
      </c>
      <c r="V3" s="1">
        <f t="shared" ref="V3:V66" si="6">U3-L3</f>
        <v>-13093.3205</v>
      </c>
      <c r="W3" s="1">
        <f t="shared" si="1"/>
        <v>25066.987499999999</v>
      </c>
      <c r="X3" s="1">
        <f t="shared" ref="X3:X66" si="7">W3-L3</f>
        <v>10970.987499999999</v>
      </c>
      <c r="Y3" s="1">
        <f t="shared" si="2"/>
        <v>0.16545685037775415</v>
      </c>
      <c r="Z3" s="1">
        <f t="shared" si="3"/>
        <v>0.29034182408918408</v>
      </c>
      <c r="AA3" s="1"/>
      <c r="AB3" s="1"/>
      <c r="AC3" s="1">
        <v>1</v>
      </c>
      <c r="AD3">
        <f>AB8</f>
        <v>40669.702250000017</v>
      </c>
      <c r="AE3">
        <f>AE2+AD3</f>
        <v>-496658.29774999997</v>
      </c>
      <c r="AF3">
        <f>AD3/(1+$R$13)^AC3</f>
        <v>38331.481856738945</v>
      </c>
      <c r="AG3">
        <f>AG2+AF3</f>
        <v>-498996.51814326108</v>
      </c>
      <c r="AH3">
        <f t="shared" ref="AH3:AH27" si="8">$AB$8*((1+$R$37)^AC3)</f>
        <v>41686.444806250016</v>
      </c>
      <c r="AI3">
        <f>AH3/(1+$R$13)^AC3</f>
        <v>39289.768903157419</v>
      </c>
      <c r="AJ3">
        <f>AJ2+AI3</f>
        <v>-498038.23109684256</v>
      </c>
    </row>
    <row r="4" spans="1:36" ht="29" x14ac:dyDescent="0.35">
      <c r="A4" s="1">
        <v>3</v>
      </c>
      <c r="B4" s="1">
        <v>3457.332910813851</v>
      </c>
      <c r="C4" s="1">
        <v>2</v>
      </c>
      <c r="D4" s="1">
        <v>3494.71</v>
      </c>
      <c r="E4" s="1">
        <v>3457.33</v>
      </c>
      <c r="F4" s="1">
        <v>613.53200000000004</v>
      </c>
      <c r="G4" s="1">
        <v>1498.2</v>
      </c>
      <c r="H4" s="1">
        <v>1382.98</v>
      </c>
      <c r="I4" s="1">
        <v>2074.35</v>
      </c>
      <c r="J4" s="1">
        <v>5</v>
      </c>
      <c r="K4" s="1">
        <v>0</v>
      </c>
      <c r="L4" s="1">
        <f>C4*$R$11*1000</f>
        <v>5200</v>
      </c>
      <c r="M4" s="1">
        <f>$R$12*C4</f>
        <v>53</v>
      </c>
      <c r="N4" s="4">
        <f t="shared" si="4"/>
        <v>1.5165779134749377E-2</v>
      </c>
      <c r="O4" s="4">
        <f t="shared" si="0"/>
        <v>1325</v>
      </c>
      <c r="P4" s="4"/>
      <c r="Q4" s="4" t="s">
        <v>302</v>
      </c>
      <c r="R4" s="4">
        <v>0.155</v>
      </c>
      <c r="T4" s="4"/>
      <c r="U4" s="1">
        <f t="shared" si="5"/>
        <v>540.70817</v>
      </c>
      <c r="V4" s="1">
        <f t="shared" si="6"/>
        <v>-4659.2918300000001</v>
      </c>
      <c r="W4" s="1">
        <f t="shared" si="1"/>
        <v>13517.704250000001</v>
      </c>
      <c r="X4" s="1">
        <f t="shared" si="7"/>
        <v>8317.7042500000007</v>
      </c>
      <c r="Y4" s="1">
        <f t="shared" si="2"/>
        <v>7.5327761033980797E-2</v>
      </c>
      <c r="Z4" s="1">
        <f t="shared" si="3"/>
        <v>0.12711409833689449</v>
      </c>
      <c r="AA4" s="1"/>
      <c r="AB4" s="73" t="s">
        <v>285</v>
      </c>
      <c r="AC4" s="1">
        <f>AC3+1</f>
        <v>2</v>
      </c>
      <c r="AD4">
        <f>AD3</f>
        <v>40669.702250000017</v>
      </c>
      <c r="AE4">
        <f>AE3+AD4</f>
        <v>-455988.59549999994</v>
      </c>
      <c r="AF4">
        <f t="shared" ref="AF4:AF27" si="9">AD4/(1+$R$13)^AC4</f>
        <v>36127.692607671008</v>
      </c>
      <c r="AG4">
        <f t="shared" ref="AG4:AG27" si="10">AG3+AF4</f>
        <v>-462868.82553559006</v>
      </c>
      <c r="AH4">
        <f t="shared" si="8"/>
        <v>42728.605926406264</v>
      </c>
      <c r="AI4">
        <f t="shared" ref="AI4:AI27" si="11">AH4/(1+$R$13)^AC4</f>
        <v>37956.657045934349</v>
      </c>
      <c r="AJ4">
        <f t="shared" ref="AJ4:AJ27" si="12">AJ3+AI4</f>
        <v>-460081.57405090821</v>
      </c>
    </row>
    <row r="5" spans="1:36" x14ac:dyDescent="0.35">
      <c r="A5" s="1">
        <v>4</v>
      </c>
      <c r="B5" s="62">
        <v>1453.8912212817379</v>
      </c>
      <c r="C5" s="62">
        <v>2</v>
      </c>
      <c r="D5" s="62">
        <v>3494.71</v>
      </c>
      <c r="E5" s="62">
        <v>1453.89</v>
      </c>
      <c r="F5" s="62">
        <v>1292.6199999999999</v>
      </c>
      <c r="G5" s="62">
        <v>1638.92</v>
      </c>
      <c r="H5" s="62">
        <v>615.08299999999997</v>
      </c>
      <c r="I5" s="62">
        <v>724.553</v>
      </c>
      <c r="J5" s="62">
        <v>5</v>
      </c>
      <c r="K5" s="62">
        <v>1.2</v>
      </c>
      <c r="L5" s="62">
        <f>(C5*$R$11*1000)+R22</f>
        <v>7240</v>
      </c>
      <c r="M5" s="62">
        <f>$R$31*C5</f>
        <v>71.2</v>
      </c>
      <c r="N5" s="56">
        <f t="shared" si="4"/>
        <v>2.0373650460267088E-2</v>
      </c>
      <c r="O5" s="56">
        <f t="shared" si="0"/>
        <v>1780</v>
      </c>
      <c r="P5" s="56"/>
      <c r="Q5" s="56" t="s">
        <v>303</v>
      </c>
      <c r="R5" s="56">
        <v>0.129</v>
      </c>
      <c r="S5" s="4" t="s">
        <v>6</v>
      </c>
      <c r="T5" s="56"/>
      <c r="U5" s="1">
        <f t="shared" si="5"/>
        <v>488.61873000000003</v>
      </c>
      <c r="V5" s="1">
        <f t="shared" si="6"/>
        <v>-6751.3812699999999</v>
      </c>
      <c r="W5" s="1">
        <f t="shared" si="1"/>
        <v>12215.46825</v>
      </c>
      <c r="X5" s="1">
        <f t="shared" si="7"/>
        <v>4975.4682499999999</v>
      </c>
      <c r="Y5" s="1">
        <f t="shared" si="2"/>
        <v>0.2195632430246208</v>
      </c>
      <c r="Z5" s="1">
        <f t="shared" si="3"/>
        <v>0.39102201320019814</v>
      </c>
      <c r="AA5" s="1"/>
      <c r="AB5" s="1">
        <f>SUM(L2:L46)</f>
        <v>537328</v>
      </c>
      <c r="AC5" s="1">
        <f t="shared" ref="AC5:AC27" si="13">AC4+1</f>
        <v>3</v>
      </c>
      <c r="AD5">
        <f t="shared" ref="AD5:AD27" si="14">AD4</f>
        <v>40669.702250000017</v>
      </c>
      <c r="AE5">
        <f t="shared" ref="AE5:AE27" si="15">AE4+AD5</f>
        <v>-415318.89324999991</v>
      </c>
      <c r="AF5">
        <f t="shared" si="9"/>
        <v>34050.605662272399</v>
      </c>
      <c r="AG5">
        <f t="shared" si="10"/>
        <v>-428818.21987331763</v>
      </c>
      <c r="AH5">
        <f t="shared" si="8"/>
        <v>43796.821074566418</v>
      </c>
      <c r="AI5">
        <f t="shared" si="11"/>
        <v>36668.778013273055</v>
      </c>
      <c r="AJ5">
        <f t="shared" si="12"/>
        <v>-423412.79603763518</v>
      </c>
    </row>
    <row r="6" spans="1:36" x14ac:dyDescent="0.35">
      <c r="A6" s="1">
        <v>5</v>
      </c>
      <c r="B6" s="1">
        <v>3955.020115733626</v>
      </c>
      <c r="C6" s="1">
        <v>4</v>
      </c>
      <c r="D6" s="1">
        <v>6989.42</v>
      </c>
      <c r="E6" s="1">
        <v>3955.02</v>
      </c>
      <c r="F6" s="1">
        <v>1833.18</v>
      </c>
      <c r="G6" s="1">
        <v>3471.67</v>
      </c>
      <c r="H6" s="1">
        <v>1684.57</v>
      </c>
      <c r="I6" s="1">
        <v>2270.4499999999998</v>
      </c>
      <c r="J6" s="1">
        <v>10</v>
      </c>
      <c r="K6" s="1">
        <v>0</v>
      </c>
      <c r="L6" s="1">
        <f t="shared" ref="L6:L45" si="16">C6*$R$11*1000</f>
        <v>10400</v>
      </c>
      <c r="M6" s="1">
        <f>$R$12*C6</f>
        <v>106</v>
      </c>
      <c r="N6" s="4">
        <f t="shared" si="4"/>
        <v>1.5165779134749377E-2</v>
      </c>
      <c r="O6" s="4">
        <f t="shared" si="0"/>
        <v>2650</v>
      </c>
      <c r="P6" s="4"/>
      <c r="Q6" s="4"/>
      <c r="R6" s="4"/>
      <c r="S6" s="4"/>
      <c r="T6" s="4"/>
      <c r="U6" s="1">
        <f t="shared" si="5"/>
        <v>1004.4657</v>
      </c>
      <c r="V6" s="1">
        <f t="shared" si="6"/>
        <v>-9395.5342999999993</v>
      </c>
      <c r="W6" s="1">
        <f t="shared" si="1"/>
        <v>25111.642499999998</v>
      </c>
      <c r="X6" s="1">
        <f t="shared" si="7"/>
        <v>14711.642499999998</v>
      </c>
      <c r="Y6" s="1">
        <f t="shared" si="2"/>
        <v>0.12034855642204902</v>
      </c>
      <c r="Z6" s="1">
        <f t="shared" si="3"/>
        <v>0.21088797369358894</v>
      </c>
      <c r="AA6" s="1"/>
      <c r="AB6" s="1"/>
      <c r="AC6" s="1">
        <f t="shared" si="13"/>
        <v>4</v>
      </c>
      <c r="AD6">
        <f t="shared" si="14"/>
        <v>40669.702250000017</v>
      </c>
      <c r="AE6">
        <f t="shared" si="15"/>
        <v>-374649.19099999988</v>
      </c>
      <c r="AF6">
        <f t="shared" si="9"/>
        <v>32092.936533715736</v>
      </c>
      <c r="AG6">
        <f t="shared" si="10"/>
        <v>-396725.28333960188</v>
      </c>
      <c r="AH6">
        <f t="shared" si="8"/>
        <v>44891.741601430578</v>
      </c>
      <c r="AI6">
        <f t="shared" si="11"/>
        <v>35424.597043925431</v>
      </c>
      <c r="AJ6">
        <f t="shared" si="12"/>
        <v>-387988.19899370975</v>
      </c>
    </row>
    <row r="7" spans="1:36" ht="29" x14ac:dyDescent="0.35">
      <c r="A7" s="1">
        <v>6</v>
      </c>
      <c r="B7" s="62">
        <v>2105.0165005377999</v>
      </c>
      <c r="C7" s="62">
        <v>2</v>
      </c>
      <c r="D7" s="62">
        <v>3494.71</v>
      </c>
      <c r="E7" s="62">
        <v>2105.02</v>
      </c>
      <c r="F7" s="62">
        <v>1453.58</v>
      </c>
      <c r="G7" s="62">
        <v>1123.08</v>
      </c>
      <c r="H7" s="62">
        <v>912.81600000000003</v>
      </c>
      <c r="I7" s="62">
        <v>775.86</v>
      </c>
      <c r="J7" s="62">
        <v>5</v>
      </c>
      <c r="K7" s="62">
        <v>4.2</v>
      </c>
      <c r="L7" s="62">
        <f>(C7*$R$11*1000)+R25</f>
        <v>9904</v>
      </c>
      <c r="M7" s="62">
        <f>$R$31*C7</f>
        <v>71.2</v>
      </c>
      <c r="N7" s="56">
        <f t="shared" si="4"/>
        <v>2.0373650460267088E-2</v>
      </c>
      <c r="O7" s="56">
        <f t="shared" si="0"/>
        <v>1780</v>
      </c>
      <c r="P7" s="56"/>
      <c r="Q7" s="56"/>
      <c r="R7" s="56"/>
      <c r="S7" s="56"/>
      <c r="T7" s="56"/>
      <c r="U7" s="1">
        <f t="shared" si="5"/>
        <v>505.54811000000001</v>
      </c>
      <c r="V7" s="1">
        <f t="shared" si="6"/>
        <v>-9398.4518900000003</v>
      </c>
      <c r="W7" s="1">
        <f t="shared" si="1"/>
        <v>12638.70275</v>
      </c>
      <c r="X7" s="1">
        <f t="shared" si="7"/>
        <v>2734.7027500000004</v>
      </c>
      <c r="Y7" s="1">
        <f t="shared" si="2"/>
        <v>0.20857170016618964</v>
      </c>
      <c r="Z7" s="1">
        <f t="shared" si="3"/>
        <v>0.37056915061829859</v>
      </c>
      <c r="AA7" s="1"/>
      <c r="AB7" s="73" t="s">
        <v>286</v>
      </c>
      <c r="AC7" s="1">
        <f t="shared" si="13"/>
        <v>5</v>
      </c>
      <c r="AD7">
        <f t="shared" si="14"/>
        <v>40669.702250000017</v>
      </c>
      <c r="AE7">
        <f t="shared" si="15"/>
        <v>-333979.48874999984</v>
      </c>
      <c r="AF7">
        <f t="shared" si="9"/>
        <v>30247.819541673645</v>
      </c>
      <c r="AG7">
        <f t="shared" si="10"/>
        <v>-366477.46379792824</v>
      </c>
      <c r="AH7">
        <f t="shared" si="8"/>
        <v>46014.035141466338</v>
      </c>
      <c r="AI7">
        <f t="shared" si="11"/>
        <v>34222.631451483096</v>
      </c>
      <c r="AJ7">
        <f t="shared" si="12"/>
        <v>-353765.56754222664</v>
      </c>
    </row>
    <row r="8" spans="1:36" x14ac:dyDescent="0.35">
      <c r="A8" s="1">
        <v>7</v>
      </c>
      <c r="B8" s="1">
        <v>1617.7934488334181</v>
      </c>
      <c r="C8" s="1">
        <v>2</v>
      </c>
      <c r="D8" s="1">
        <v>3494.71</v>
      </c>
      <c r="E8" s="1">
        <v>1617.79</v>
      </c>
      <c r="F8" s="1">
        <v>1038.05</v>
      </c>
      <c r="G8" s="1">
        <v>1831.46</v>
      </c>
      <c r="H8" s="1">
        <v>625.19600000000003</v>
      </c>
      <c r="I8" s="1">
        <v>992.59699999999998</v>
      </c>
      <c r="J8" s="1">
        <v>5</v>
      </c>
      <c r="K8" s="1">
        <v>0</v>
      </c>
      <c r="L8" s="1">
        <f t="shared" si="16"/>
        <v>5200</v>
      </c>
      <c r="M8" s="1">
        <f>$R$12*C8</f>
        <v>53</v>
      </c>
      <c r="N8" s="4">
        <f t="shared" si="4"/>
        <v>1.5165779134749377E-2</v>
      </c>
      <c r="O8" s="4">
        <f t="shared" si="0"/>
        <v>1325</v>
      </c>
      <c r="P8" s="4"/>
      <c r="Q8" s="4"/>
      <c r="R8" s="4"/>
      <c r="S8" s="4"/>
      <c r="T8" s="4"/>
      <c r="U8" s="1">
        <f t="shared" si="5"/>
        <v>492.88013000000001</v>
      </c>
      <c r="V8" s="1">
        <f t="shared" si="6"/>
        <v>-4707.1198700000004</v>
      </c>
      <c r="W8" s="1">
        <f t="shared" si="1"/>
        <v>12322.00325</v>
      </c>
      <c r="X8" s="1">
        <f t="shared" si="7"/>
        <v>7122.0032499999998</v>
      </c>
      <c r="Y8" s="1">
        <f t="shared" si="2"/>
        <v>0.14373596227524091</v>
      </c>
      <c r="Z8" s="1">
        <f t="shared" si="3"/>
        <v>0.25440683216717741</v>
      </c>
      <c r="AA8" s="1"/>
      <c r="AB8" s="1">
        <f>SUM(U2:U46)</f>
        <v>40669.702250000017</v>
      </c>
      <c r="AC8" s="1">
        <f t="shared" si="13"/>
        <v>6</v>
      </c>
      <c r="AD8">
        <f t="shared" si="14"/>
        <v>40669.702250000017</v>
      </c>
      <c r="AE8">
        <f t="shared" si="15"/>
        <v>-293309.78649999981</v>
      </c>
      <c r="AF8">
        <f t="shared" si="9"/>
        <v>28508.783733905413</v>
      </c>
      <c r="AG8">
        <f t="shared" si="10"/>
        <v>-337968.68006402283</v>
      </c>
      <c r="AH8">
        <f t="shared" si="8"/>
        <v>47164.386020002989</v>
      </c>
      <c r="AI8">
        <f t="shared" si="11"/>
        <v>33061.448857464813</v>
      </c>
      <c r="AJ8">
        <f t="shared" si="12"/>
        <v>-320704.11868476181</v>
      </c>
    </row>
    <row r="9" spans="1:36" x14ac:dyDescent="0.35">
      <c r="A9" s="1">
        <v>8</v>
      </c>
      <c r="B9" s="62">
        <v>10161.74794678937</v>
      </c>
      <c r="C9" s="62">
        <v>10</v>
      </c>
      <c r="D9" s="62">
        <v>17473.5</v>
      </c>
      <c r="E9" s="62">
        <v>10161.700000000001</v>
      </c>
      <c r="F9" s="62">
        <v>6690.31</v>
      </c>
      <c r="G9" s="62">
        <v>7473.12</v>
      </c>
      <c r="H9" s="62">
        <v>3557.92</v>
      </c>
      <c r="I9" s="62">
        <v>5438.81</v>
      </c>
      <c r="J9" s="62">
        <v>25</v>
      </c>
      <c r="K9" s="62">
        <v>9.6999999999999993</v>
      </c>
      <c r="L9" s="62">
        <f>(C9*$R$11*1000)+R28</f>
        <v>34000</v>
      </c>
      <c r="M9" s="62">
        <f>$R$31*C9</f>
        <v>356</v>
      </c>
      <c r="N9" s="56">
        <f t="shared" si="4"/>
        <v>2.0373708758977881E-2</v>
      </c>
      <c r="O9" s="56">
        <f t="shared" si="0"/>
        <v>8900</v>
      </c>
      <c r="P9" s="56"/>
      <c r="Q9" s="107" t="s">
        <v>258</v>
      </c>
      <c r="R9" s="107"/>
      <c r="S9" s="4" t="s">
        <v>299</v>
      </c>
      <c r="T9" s="56"/>
      <c r="U9" s="1">
        <f t="shared" si="5"/>
        <v>2518.2857000000004</v>
      </c>
      <c r="V9" s="1">
        <f t="shared" si="6"/>
        <v>-31481.7143</v>
      </c>
      <c r="W9" s="1">
        <f t="shared" si="1"/>
        <v>62957.142500000009</v>
      </c>
      <c r="X9" s="1">
        <f t="shared" si="7"/>
        <v>28957.142500000009</v>
      </c>
      <c r="Y9" s="1">
        <f t="shared" si="2"/>
        <v>0.15420895119182088</v>
      </c>
      <c r="Z9" s="1">
        <f t="shared" si="3"/>
        <v>0.26941188814381944</v>
      </c>
      <c r="AA9" s="1"/>
      <c r="AB9" s="1"/>
      <c r="AC9" s="1">
        <f t="shared" si="13"/>
        <v>7</v>
      </c>
      <c r="AD9">
        <f t="shared" si="14"/>
        <v>40669.702250000017</v>
      </c>
      <c r="AE9">
        <f t="shared" si="15"/>
        <v>-252640.08424999978</v>
      </c>
      <c r="AF9">
        <f t="shared" si="9"/>
        <v>26869.730192182298</v>
      </c>
      <c r="AG9">
        <f t="shared" si="10"/>
        <v>-311098.94987184054</v>
      </c>
      <c r="AH9">
        <f t="shared" si="8"/>
        <v>48343.495670503071</v>
      </c>
      <c r="AI9">
        <f t="shared" si="11"/>
        <v>31939.665484355741</v>
      </c>
      <c r="AJ9">
        <f t="shared" si="12"/>
        <v>-288764.45320040605</v>
      </c>
    </row>
    <row r="10" spans="1:36" x14ac:dyDescent="0.35">
      <c r="A10" s="1">
        <v>9</v>
      </c>
      <c r="B10" s="62">
        <v>5057.043251595851</v>
      </c>
      <c r="C10" s="62">
        <v>4</v>
      </c>
      <c r="D10" s="62">
        <v>6989.42</v>
      </c>
      <c r="E10" s="62">
        <v>5057.04</v>
      </c>
      <c r="F10" s="62">
        <v>2433.36</v>
      </c>
      <c r="G10" s="62">
        <v>2459.33</v>
      </c>
      <c r="H10" s="62">
        <v>2123.7399999999998</v>
      </c>
      <c r="I10" s="62">
        <v>1740.61</v>
      </c>
      <c r="J10" s="62">
        <v>10</v>
      </c>
      <c r="K10" s="62">
        <v>6</v>
      </c>
      <c r="L10" s="62">
        <f>(C10*$R$11*1000)+R27</f>
        <v>14600</v>
      </c>
      <c r="M10" s="62">
        <f>$R$31*C10</f>
        <v>142.4</v>
      </c>
      <c r="N10" s="56">
        <f t="shared" si="4"/>
        <v>2.0373650460267088E-2</v>
      </c>
      <c r="O10" s="56">
        <f t="shared" si="0"/>
        <v>3560</v>
      </c>
      <c r="P10" s="56"/>
      <c r="Q10" s="2" t="s">
        <v>245</v>
      </c>
      <c r="R10" s="2" t="s">
        <v>246</v>
      </c>
      <c r="S10" s="4">
        <v>1700</v>
      </c>
      <c r="T10" s="56"/>
      <c r="U10" s="1">
        <f t="shared" si="5"/>
        <v>1033.1182200000001</v>
      </c>
      <c r="V10" s="1">
        <f t="shared" si="6"/>
        <v>-13566.88178</v>
      </c>
      <c r="W10" s="1">
        <f t="shared" si="1"/>
        <v>25827.9555</v>
      </c>
      <c r="X10" s="1">
        <f t="shared" si="7"/>
        <v>11227.9555</v>
      </c>
      <c r="Y10" s="1">
        <f t="shared" si="2"/>
        <v>0.1358561509936978</v>
      </c>
      <c r="Z10" s="1">
        <f t="shared" si="3"/>
        <v>0.23526138227788448</v>
      </c>
      <c r="AA10" s="1"/>
      <c r="AB10" s="1"/>
      <c r="AC10" s="1">
        <f t="shared" si="13"/>
        <v>8</v>
      </c>
      <c r="AD10">
        <f t="shared" si="14"/>
        <v>40669.702250000017</v>
      </c>
      <c r="AE10">
        <f t="shared" si="15"/>
        <v>-211970.38199999975</v>
      </c>
      <c r="AF10">
        <f t="shared" si="9"/>
        <v>25324.91064296164</v>
      </c>
      <c r="AG10">
        <f t="shared" si="10"/>
        <v>-285774.03922887892</v>
      </c>
      <c r="AH10">
        <f t="shared" si="8"/>
        <v>49552.083062265643</v>
      </c>
      <c r="AI10">
        <f t="shared" si="11"/>
        <v>30855.944506564218</v>
      </c>
      <c r="AJ10">
        <f t="shared" si="12"/>
        <v>-257908.50869384184</v>
      </c>
    </row>
    <row r="11" spans="1:36" x14ac:dyDescent="0.35">
      <c r="A11" s="1">
        <v>10</v>
      </c>
      <c r="B11" s="1">
        <v>507.10444675644749</v>
      </c>
      <c r="C11" s="1">
        <v>2</v>
      </c>
      <c r="D11" s="1">
        <v>3494.71</v>
      </c>
      <c r="E11" s="1">
        <v>507.10399999999998</v>
      </c>
      <c r="F11" s="1">
        <v>1300.33</v>
      </c>
      <c r="G11" s="1">
        <v>1951.2</v>
      </c>
      <c r="H11" s="1">
        <v>243.18299999999999</v>
      </c>
      <c r="I11" s="1">
        <v>263.92099999999999</v>
      </c>
      <c r="J11" s="1">
        <v>5</v>
      </c>
      <c r="K11" s="1">
        <v>0</v>
      </c>
      <c r="L11" s="1">
        <f t="shared" si="16"/>
        <v>5200</v>
      </c>
      <c r="M11" s="1">
        <f>$R$12*C11</f>
        <v>53</v>
      </c>
      <c r="N11" s="4">
        <f t="shared" si="4"/>
        <v>1.5165779134749377E-2</v>
      </c>
      <c r="O11" s="4">
        <f t="shared" si="0"/>
        <v>1325</v>
      </c>
      <c r="P11" s="4"/>
      <c r="Q11" s="1" t="s">
        <v>247</v>
      </c>
      <c r="R11" s="1">
        <v>2.6</v>
      </c>
      <c r="S11" s="4">
        <v>1120</v>
      </c>
      <c r="T11" s="4"/>
      <c r="U11" s="1">
        <f t="shared" si="5"/>
        <v>464.00229400000001</v>
      </c>
      <c r="V11" s="1">
        <f t="shared" si="6"/>
        <v>-4735.9977060000001</v>
      </c>
      <c r="W11" s="1">
        <f t="shared" si="1"/>
        <v>11600.057350000001</v>
      </c>
      <c r="X11" s="1">
        <f t="shared" si="7"/>
        <v>6400.057350000001</v>
      </c>
      <c r="Y11" s="1">
        <f t="shared" si="2"/>
        <v>0.42533769012944511</v>
      </c>
      <c r="Z11" s="1">
        <f t="shared" si="3"/>
        <v>0.7784061939318998</v>
      </c>
      <c r="AA11" s="1"/>
      <c r="AB11" s="1"/>
      <c r="AC11" s="1">
        <f t="shared" si="13"/>
        <v>9</v>
      </c>
      <c r="AD11">
        <f t="shared" si="14"/>
        <v>40669.702250000017</v>
      </c>
      <c r="AE11">
        <f t="shared" si="15"/>
        <v>-171300.67974999972</v>
      </c>
      <c r="AF11">
        <f t="shared" si="9"/>
        <v>23868.907297796079</v>
      </c>
      <c r="AG11">
        <f t="shared" si="10"/>
        <v>-261905.13193108284</v>
      </c>
      <c r="AH11">
        <f t="shared" si="8"/>
        <v>50790.885138822276</v>
      </c>
      <c r="AI11">
        <f t="shared" si="11"/>
        <v>29808.994457331119</v>
      </c>
      <c r="AJ11">
        <f t="shared" si="12"/>
        <v>-228099.51423651073</v>
      </c>
    </row>
    <row r="12" spans="1:36" x14ac:dyDescent="0.35">
      <c r="A12" s="1">
        <v>11</v>
      </c>
      <c r="B12" s="1">
        <v>480.82648360578531</v>
      </c>
      <c r="C12" s="1">
        <v>2</v>
      </c>
      <c r="D12" s="1">
        <v>3494.71</v>
      </c>
      <c r="E12" s="1">
        <v>480.82600000000002</v>
      </c>
      <c r="F12" s="1">
        <v>1315.33</v>
      </c>
      <c r="G12" s="1">
        <v>1959.92</v>
      </c>
      <c r="H12" s="1">
        <v>219.46199999999999</v>
      </c>
      <c r="I12" s="1">
        <v>261.36500000000001</v>
      </c>
      <c r="J12" s="1">
        <v>5</v>
      </c>
      <c r="K12" s="1">
        <v>0</v>
      </c>
      <c r="L12" s="1">
        <f t="shared" si="16"/>
        <v>5200</v>
      </c>
      <c r="M12" s="1">
        <f>$R$12*C12</f>
        <v>53</v>
      </c>
      <c r="N12" s="4">
        <f t="shared" si="4"/>
        <v>1.5165779134749377E-2</v>
      </c>
      <c r="O12" s="4">
        <f t="shared" si="0"/>
        <v>1325</v>
      </c>
      <c r="P12" s="4"/>
      <c r="Q12" s="1" t="s">
        <v>248</v>
      </c>
      <c r="R12" s="1">
        <v>26.5</v>
      </c>
      <c r="S12" s="4">
        <v>700</v>
      </c>
      <c r="T12" s="4"/>
      <c r="U12" s="1">
        <f t="shared" si="5"/>
        <v>463.31906600000002</v>
      </c>
      <c r="V12" s="1">
        <f t="shared" si="6"/>
        <v>-4736.680934</v>
      </c>
      <c r="W12" s="1">
        <f t="shared" si="1"/>
        <v>11582.976650000001</v>
      </c>
      <c r="X12" s="1">
        <f t="shared" si="7"/>
        <v>6382.9766500000005</v>
      </c>
      <c r="Y12" s="1">
        <f t="shared" si="2"/>
        <v>0.44775426394569157</v>
      </c>
      <c r="Z12" s="1">
        <f t="shared" si="3"/>
        <v>0.82011854584881139</v>
      </c>
      <c r="AA12" s="1"/>
      <c r="AB12" s="1"/>
      <c r="AC12" s="1">
        <f t="shared" si="13"/>
        <v>10</v>
      </c>
      <c r="AD12">
        <f t="shared" si="14"/>
        <v>40669.702250000017</v>
      </c>
      <c r="AE12">
        <f t="shared" si="15"/>
        <v>-130630.9774999997</v>
      </c>
      <c r="AF12">
        <f t="shared" si="9"/>
        <v>22496.6138527767</v>
      </c>
      <c r="AG12">
        <f t="shared" si="10"/>
        <v>-239408.51807830614</v>
      </c>
      <c r="AH12">
        <f t="shared" si="8"/>
        <v>52060.657267292831</v>
      </c>
      <c r="AI12">
        <f t="shared" si="11"/>
        <v>28797.567689693115</v>
      </c>
      <c r="AJ12">
        <f t="shared" si="12"/>
        <v>-199301.94654681761</v>
      </c>
    </row>
    <row r="13" spans="1:36" x14ac:dyDescent="0.35">
      <c r="A13" s="1">
        <v>12</v>
      </c>
      <c r="B13" s="1">
        <v>569.06841271947087</v>
      </c>
      <c r="C13" s="1">
        <v>2</v>
      </c>
      <c r="D13" s="1">
        <v>3497.79</v>
      </c>
      <c r="E13" s="1">
        <v>569.06799999999998</v>
      </c>
      <c r="F13" s="1">
        <v>1277.03</v>
      </c>
      <c r="G13" s="1">
        <v>1953.43</v>
      </c>
      <c r="H13" s="1">
        <v>267.33100000000002</v>
      </c>
      <c r="I13" s="1">
        <v>301.738</v>
      </c>
      <c r="J13" s="1">
        <v>5</v>
      </c>
      <c r="K13" s="1">
        <v>0</v>
      </c>
      <c r="L13" s="1">
        <f t="shared" si="16"/>
        <v>5200</v>
      </c>
      <c r="M13" s="1">
        <f>$R$12*C13</f>
        <v>53</v>
      </c>
      <c r="N13" s="4">
        <f t="shared" si="4"/>
        <v>1.5152424816812901E-2</v>
      </c>
      <c r="O13" s="4">
        <f t="shared" si="0"/>
        <v>1325</v>
      </c>
      <c r="P13" s="4"/>
      <c r="Q13" s="1" t="s">
        <v>250</v>
      </c>
      <c r="R13" s="1">
        <v>6.0999999999999999E-2</v>
      </c>
      <c r="S13" t="s">
        <v>300</v>
      </c>
      <c r="T13" s="4"/>
      <c r="U13" s="1">
        <f t="shared" si="5"/>
        <v>466.01067799999998</v>
      </c>
      <c r="V13" s="1">
        <f t="shared" si="6"/>
        <v>-4733.9893220000004</v>
      </c>
      <c r="W13" s="1">
        <f t="shared" si="1"/>
        <v>11650.266949999999</v>
      </c>
      <c r="X13" s="1">
        <f t="shared" si="7"/>
        <v>6450.2669499999993</v>
      </c>
      <c r="Y13" s="1">
        <f t="shared" si="2"/>
        <v>0.38066208121472672</v>
      </c>
      <c r="Z13" s="1">
        <f t="shared" si="3"/>
        <v>0.69528613042571619</v>
      </c>
      <c r="AA13" s="1"/>
      <c r="AB13" s="1"/>
      <c r="AC13" s="1">
        <f t="shared" si="13"/>
        <v>11</v>
      </c>
      <c r="AD13">
        <f t="shared" si="14"/>
        <v>40669.702250000017</v>
      </c>
      <c r="AE13">
        <f t="shared" si="15"/>
        <v>-89961.275249999686</v>
      </c>
      <c r="AF13">
        <f t="shared" si="9"/>
        <v>21203.217580373897</v>
      </c>
      <c r="AG13">
        <f t="shared" si="10"/>
        <v>-218205.30049793224</v>
      </c>
      <c r="AH13">
        <f t="shared" si="8"/>
        <v>53362.173698975152</v>
      </c>
      <c r="AI13">
        <f t="shared" si="11"/>
        <v>27820.458889665832</v>
      </c>
      <c r="AJ13">
        <f t="shared" si="12"/>
        <v>-171481.48765715177</v>
      </c>
    </row>
    <row r="14" spans="1:36" x14ac:dyDescent="0.35">
      <c r="A14" s="1">
        <v>13</v>
      </c>
      <c r="B14" s="62">
        <v>4563.0069277860366</v>
      </c>
      <c r="C14" s="62">
        <v>6</v>
      </c>
      <c r="D14" s="62">
        <v>10493.4</v>
      </c>
      <c r="E14" s="62">
        <v>4563.01</v>
      </c>
      <c r="F14" s="62">
        <v>4058.52</v>
      </c>
      <c r="G14" s="62">
        <v>4703.5600000000004</v>
      </c>
      <c r="H14" s="62">
        <v>1886.93</v>
      </c>
      <c r="I14" s="62">
        <v>2197.59</v>
      </c>
      <c r="J14" s="62">
        <v>15</v>
      </c>
      <c r="K14" s="62">
        <v>5</v>
      </c>
      <c r="L14" s="62">
        <f>(C14*$R$11*1000)+R26</f>
        <v>19100</v>
      </c>
      <c r="M14" s="62">
        <f>$R$31*C14</f>
        <v>213.60000000000002</v>
      </c>
      <c r="N14" s="56">
        <f t="shared" si="4"/>
        <v>2.0355652124192353E-2</v>
      </c>
      <c r="O14" s="56">
        <f t="shared" si="0"/>
        <v>5340.0000000000009</v>
      </c>
      <c r="P14" s="56"/>
      <c r="Q14" s="1" t="s">
        <v>251</v>
      </c>
      <c r="R14" s="1" t="s">
        <v>252</v>
      </c>
      <c r="S14" s="4">
        <v>1.2</v>
      </c>
      <c r="T14" s="56"/>
      <c r="U14" s="1">
        <f t="shared" si="5"/>
        <v>1472.2868600000002</v>
      </c>
      <c r="V14" s="1">
        <f t="shared" si="6"/>
        <v>-17627.71314</v>
      </c>
      <c r="W14" s="1">
        <f t="shared" si="1"/>
        <v>36807.171500000004</v>
      </c>
      <c r="X14" s="1">
        <f t="shared" si="7"/>
        <v>17707.171500000004</v>
      </c>
      <c r="Y14" s="1">
        <f t="shared" si="2"/>
        <v>0.18778910381318453</v>
      </c>
      <c r="Z14" s="1">
        <f t="shared" si="3"/>
        <v>0.33191276681817639</v>
      </c>
      <c r="AA14" s="1"/>
      <c r="AB14" s="1"/>
      <c r="AC14" s="1">
        <f t="shared" si="13"/>
        <v>12</v>
      </c>
      <c r="AD14">
        <f t="shared" si="14"/>
        <v>40669.702250000017</v>
      </c>
      <c r="AE14">
        <f t="shared" si="15"/>
        <v>-49291.572999999669</v>
      </c>
      <c r="AF14">
        <f t="shared" si="9"/>
        <v>19984.18245087078</v>
      </c>
      <c r="AG14">
        <f t="shared" si="10"/>
        <v>-198221.11804706146</v>
      </c>
      <c r="AH14">
        <f t="shared" si="8"/>
        <v>54696.228041449525</v>
      </c>
      <c r="AI14">
        <f t="shared" si="11"/>
        <v>26876.503639875096</v>
      </c>
      <c r="AJ14">
        <f t="shared" si="12"/>
        <v>-144604.98401727667</v>
      </c>
    </row>
    <row r="15" spans="1:36" x14ac:dyDescent="0.35">
      <c r="A15" s="1">
        <v>14</v>
      </c>
      <c r="B15" s="62">
        <v>2172.7675547581462</v>
      </c>
      <c r="C15" s="62">
        <v>2</v>
      </c>
      <c r="D15" s="62">
        <v>3497.79</v>
      </c>
      <c r="E15" s="62">
        <v>2172.77</v>
      </c>
      <c r="F15" s="62">
        <v>1243.8900000000001</v>
      </c>
      <c r="G15" s="62">
        <v>1461.09</v>
      </c>
      <c r="H15" s="62">
        <v>834.95399999999995</v>
      </c>
      <c r="I15" s="62">
        <v>850.149</v>
      </c>
      <c r="J15" s="62">
        <v>5</v>
      </c>
      <c r="K15" s="62">
        <v>2</v>
      </c>
      <c r="L15" s="62">
        <f>(C15*$R$11*1000)+R23</f>
        <v>8600</v>
      </c>
      <c r="M15" s="62">
        <f>$R$31*C15</f>
        <v>71.2</v>
      </c>
      <c r="N15" s="56">
        <f t="shared" si="4"/>
        <v>2.0355710319944882E-2</v>
      </c>
      <c r="O15" s="56">
        <f t="shared" si="0"/>
        <v>1780</v>
      </c>
      <c r="P15" s="56"/>
      <c r="Q15" s="1" t="s">
        <v>262</v>
      </c>
      <c r="R15" s="1">
        <v>7.0000000000000007E-2</v>
      </c>
      <c r="S15" s="4">
        <v>2</v>
      </c>
      <c r="T15" s="56"/>
      <c r="U15" s="1">
        <f t="shared" si="5"/>
        <v>507.70693000000006</v>
      </c>
      <c r="V15" s="1">
        <f t="shared" si="6"/>
        <v>-8092.2930699999997</v>
      </c>
      <c r="W15" s="1">
        <f t="shared" si="1"/>
        <v>12692.673250000002</v>
      </c>
      <c r="X15" s="1">
        <f t="shared" si="7"/>
        <v>4092.6732500000016</v>
      </c>
      <c r="Y15" s="1">
        <f t="shared" si="2"/>
        <v>0.1786791348605378</v>
      </c>
      <c r="Z15" s="1">
        <f t="shared" si="3"/>
        <v>0.31496105256638202</v>
      </c>
      <c r="AA15" s="1"/>
      <c r="AB15" s="1"/>
      <c r="AC15" s="1">
        <f t="shared" si="13"/>
        <v>13</v>
      </c>
      <c r="AD15">
        <f t="shared" si="14"/>
        <v>40669.702250000017</v>
      </c>
      <c r="AE15">
        <f t="shared" si="15"/>
        <v>-8621.8707499996526</v>
      </c>
      <c r="AF15">
        <f t="shared" si="9"/>
        <v>18835.233224194886</v>
      </c>
      <c r="AG15">
        <f t="shared" si="10"/>
        <v>-179385.88482286659</v>
      </c>
      <c r="AH15">
        <f t="shared" si="8"/>
        <v>56063.633742485756</v>
      </c>
      <c r="AI15">
        <f t="shared" si="11"/>
        <v>25964.577031924568</v>
      </c>
      <c r="AJ15">
        <f t="shared" si="12"/>
        <v>-118640.40698535211</v>
      </c>
    </row>
    <row r="16" spans="1:36" x14ac:dyDescent="0.35">
      <c r="A16" s="1">
        <v>15</v>
      </c>
      <c r="B16" s="62">
        <v>4548.2349752288228</v>
      </c>
      <c r="C16" s="62">
        <v>4</v>
      </c>
      <c r="D16" s="62">
        <v>6995.57</v>
      </c>
      <c r="E16" s="62">
        <v>4548.2299999999996</v>
      </c>
      <c r="F16" s="62">
        <v>2204.15</v>
      </c>
      <c r="G16" s="62">
        <v>2953.48</v>
      </c>
      <c r="H16" s="62">
        <v>1935.56</v>
      </c>
      <c r="I16" s="62">
        <v>1638.43</v>
      </c>
      <c r="J16" s="62">
        <v>10</v>
      </c>
      <c r="K16" s="62">
        <v>3.3</v>
      </c>
      <c r="L16" s="62">
        <f>(C16*$R$11*1000)+R24</f>
        <v>14096</v>
      </c>
      <c r="M16" s="62">
        <f>$R$31*C16</f>
        <v>142.4</v>
      </c>
      <c r="N16" s="56">
        <f t="shared" si="4"/>
        <v>2.0355739417945929E-2</v>
      </c>
      <c r="O16" s="56">
        <f t="shared" si="0"/>
        <v>3560</v>
      </c>
      <c r="P16" s="56"/>
      <c r="Q16" s="1" t="s">
        <v>263</v>
      </c>
      <c r="R16" s="1">
        <v>2.5000000000000001E-2</v>
      </c>
      <c r="S16" s="4">
        <v>3.3</v>
      </c>
      <c r="T16" s="56"/>
      <c r="U16" s="1">
        <f t="shared" si="5"/>
        <v>1020.68251</v>
      </c>
      <c r="V16" s="1">
        <f t="shared" si="6"/>
        <v>-13075.317489999999</v>
      </c>
      <c r="W16" s="1">
        <f t="shared" si="1"/>
        <v>25517.062750000001</v>
      </c>
      <c r="X16" s="1">
        <f t="shared" si="7"/>
        <v>11421.062750000001</v>
      </c>
      <c r="Y16" s="1">
        <f t="shared" si="2"/>
        <v>0.14432470827528449</v>
      </c>
      <c r="Z16" s="1">
        <f t="shared" si="3"/>
        <v>0.25103493678959066</v>
      </c>
      <c r="AA16" s="1"/>
      <c r="AB16" s="1"/>
      <c r="AC16" s="1">
        <f t="shared" si="13"/>
        <v>14</v>
      </c>
      <c r="AD16">
        <f t="shared" si="14"/>
        <v>40669.702250000017</v>
      </c>
      <c r="AE16">
        <f t="shared" si="15"/>
        <v>32047.831500000364</v>
      </c>
      <c r="AF16">
        <f t="shared" si="9"/>
        <v>17752.340456357106</v>
      </c>
      <c r="AG16">
        <f t="shared" si="10"/>
        <v>-161633.54436650948</v>
      </c>
      <c r="AH16">
        <f t="shared" si="8"/>
        <v>57465.224586047894</v>
      </c>
      <c r="AI16">
        <f t="shared" si="11"/>
        <v>25083.592325846068</v>
      </c>
      <c r="AJ16">
        <f t="shared" si="12"/>
        <v>-93556.814659506039</v>
      </c>
    </row>
    <row r="17" spans="1:41" x14ac:dyDescent="0.35">
      <c r="A17" s="1">
        <v>16</v>
      </c>
      <c r="B17" s="1">
        <v>5476.90270703035</v>
      </c>
      <c r="C17" s="1">
        <v>4</v>
      </c>
      <c r="D17" s="1">
        <v>6995.57</v>
      </c>
      <c r="E17" s="1">
        <v>5476.9</v>
      </c>
      <c r="F17" s="1">
        <v>1485.71</v>
      </c>
      <c r="G17" s="1">
        <v>3239.46</v>
      </c>
      <c r="H17" s="1">
        <v>2270.4</v>
      </c>
      <c r="I17" s="1">
        <v>3206.5</v>
      </c>
      <c r="J17" s="1">
        <v>10</v>
      </c>
      <c r="K17" s="1">
        <v>0</v>
      </c>
      <c r="L17" s="1">
        <f t="shared" si="16"/>
        <v>10400</v>
      </c>
      <c r="M17" s="1">
        <f>$R$12*C17</f>
        <v>106</v>
      </c>
      <c r="N17" s="4">
        <f t="shared" si="4"/>
        <v>1.5152446476841773E-2</v>
      </c>
      <c r="O17" s="4">
        <f t="shared" si="0"/>
        <v>2650</v>
      </c>
      <c r="P17" s="4"/>
      <c r="Q17" s="4"/>
      <c r="R17" s="4"/>
      <c r="S17" s="4">
        <v>4.2</v>
      </c>
      <c r="T17" s="4"/>
      <c r="U17" s="1">
        <f t="shared" si="5"/>
        <v>1044.8279299999999</v>
      </c>
      <c r="V17" s="1">
        <f t="shared" si="6"/>
        <v>-9355.1720700000005</v>
      </c>
      <c r="W17" s="1">
        <f t="shared" si="1"/>
        <v>26120.698249999998</v>
      </c>
      <c r="X17" s="1">
        <f t="shared" si="7"/>
        <v>15720.698249999998</v>
      </c>
      <c r="Y17" s="1">
        <f t="shared" si="2"/>
        <v>9.1107785151382653E-2</v>
      </c>
      <c r="Z17" s="1">
        <f t="shared" si="3"/>
        <v>0.15648875606329785</v>
      </c>
      <c r="AA17" s="1"/>
      <c r="AB17" s="1"/>
      <c r="AC17" s="1">
        <f t="shared" si="13"/>
        <v>15</v>
      </c>
      <c r="AD17">
        <f t="shared" si="14"/>
        <v>40669.702250000017</v>
      </c>
      <c r="AE17">
        <f t="shared" si="15"/>
        <v>72717.533750000381</v>
      </c>
      <c r="AF17">
        <f t="shared" si="9"/>
        <v>16731.706367914332</v>
      </c>
      <c r="AG17">
        <f t="shared" si="10"/>
        <v>-144901.83799859515</v>
      </c>
      <c r="AH17">
        <f t="shared" si="8"/>
        <v>58901.855200699101</v>
      </c>
      <c r="AI17">
        <f t="shared" si="11"/>
        <v>24232.499655035088</v>
      </c>
      <c r="AJ17">
        <f t="shared" si="12"/>
        <v>-69324.315004470947</v>
      </c>
    </row>
    <row r="18" spans="1:41" x14ac:dyDescent="0.35">
      <c r="A18" s="1">
        <v>17</v>
      </c>
      <c r="B18" s="62">
        <v>2180.0429312531028</v>
      </c>
      <c r="C18" s="62">
        <v>2</v>
      </c>
      <c r="D18" s="62">
        <v>3497.79</v>
      </c>
      <c r="E18" s="62">
        <v>2180.04</v>
      </c>
      <c r="F18" s="62">
        <v>1266.75</v>
      </c>
      <c r="G18" s="62">
        <v>1479.9</v>
      </c>
      <c r="H18" s="62">
        <v>802.71100000000001</v>
      </c>
      <c r="I18" s="62">
        <v>951.178</v>
      </c>
      <c r="J18" s="62">
        <v>5</v>
      </c>
      <c r="K18" s="62">
        <v>2</v>
      </c>
      <c r="L18" s="62">
        <f>(C18*$R$11*1000)+R23</f>
        <v>8600</v>
      </c>
      <c r="M18" s="62">
        <f>$R$31*C18</f>
        <v>71.2</v>
      </c>
      <c r="N18" s="56">
        <f t="shared" si="4"/>
        <v>2.0355710319944882E-2</v>
      </c>
      <c r="O18" s="56">
        <f t="shared" si="0"/>
        <v>1780</v>
      </c>
      <c r="P18" s="56"/>
      <c r="Q18" s="4"/>
      <c r="R18" s="4"/>
      <c r="S18" s="4">
        <v>5</v>
      </c>
      <c r="T18" s="56"/>
      <c r="U18" s="1">
        <f t="shared" si="5"/>
        <v>507.89595000000003</v>
      </c>
      <c r="V18" s="1">
        <f t="shared" si="6"/>
        <v>-8092.1040499999999</v>
      </c>
      <c r="W18" s="1">
        <f t="shared" si="1"/>
        <v>12697.39875</v>
      </c>
      <c r="X18" s="1">
        <f t="shared" si="7"/>
        <v>4097.3987500000003</v>
      </c>
      <c r="Y18" s="1">
        <f t="shared" si="2"/>
        <v>0.17815076796234947</v>
      </c>
      <c r="Z18" s="1">
        <f t="shared" si="3"/>
        <v>0.31397787707403685</v>
      </c>
      <c r="AA18" s="1"/>
      <c r="AB18" s="1"/>
      <c r="AC18" s="1">
        <f t="shared" si="13"/>
        <v>16</v>
      </c>
      <c r="AD18">
        <f t="shared" si="14"/>
        <v>40669.702250000017</v>
      </c>
      <c r="AE18">
        <f t="shared" si="15"/>
        <v>113387.2360000004</v>
      </c>
      <c r="AF18">
        <f t="shared" si="9"/>
        <v>15769.751524895695</v>
      </c>
      <c r="AG18">
        <f t="shared" si="10"/>
        <v>-129132.08647369946</v>
      </c>
      <c r="AH18">
        <f t="shared" si="8"/>
        <v>60374.401580716578</v>
      </c>
      <c r="AI18">
        <f t="shared" si="11"/>
        <v>23410.284775128148</v>
      </c>
      <c r="AJ18">
        <f t="shared" si="12"/>
        <v>-45914.030229342796</v>
      </c>
    </row>
    <row r="19" spans="1:41" x14ac:dyDescent="0.35">
      <c r="A19" s="1">
        <v>18</v>
      </c>
      <c r="B19" s="62">
        <v>5524.0028847571884</v>
      </c>
      <c r="C19" s="62">
        <v>4</v>
      </c>
      <c r="D19" s="62">
        <v>6995.57</v>
      </c>
      <c r="E19" s="62">
        <v>5524</v>
      </c>
      <c r="F19" s="62">
        <v>2468.4299999999998</v>
      </c>
      <c r="G19" s="62">
        <v>2577.7199999999998</v>
      </c>
      <c r="H19" s="62">
        <v>1982.7</v>
      </c>
      <c r="I19" s="62">
        <v>2035.42</v>
      </c>
      <c r="J19" s="62">
        <v>10</v>
      </c>
      <c r="K19" s="62">
        <v>6</v>
      </c>
      <c r="L19" s="62">
        <f>(C19*$R$11*1000)+R27</f>
        <v>14600</v>
      </c>
      <c r="M19" s="62">
        <f>$R$31*C19</f>
        <v>142.4</v>
      </c>
      <c r="N19" s="56">
        <f t="shared" si="4"/>
        <v>2.0355739417945929E-2</v>
      </c>
      <c r="O19" s="56">
        <f t="shared" si="0"/>
        <v>3560</v>
      </c>
      <c r="P19" s="56"/>
      <c r="Q19" s="4" t="s">
        <v>298</v>
      </c>
      <c r="R19" s="4">
        <v>1</v>
      </c>
      <c r="S19" s="4">
        <v>6</v>
      </c>
      <c r="T19" s="56"/>
      <c r="U19" s="1">
        <f t="shared" si="5"/>
        <v>1046.0525299999999</v>
      </c>
      <c r="V19" s="1">
        <f t="shared" si="6"/>
        <v>-13553.947469999999</v>
      </c>
      <c r="W19" s="1">
        <f t="shared" si="1"/>
        <v>26151.313249999999</v>
      </c>
      <c r="X19" s="1">
        <f t="shared" si="7"/>
        <v>11551.313249999999</v>
      </c>
      <c r="Y19" s="1">
        <f t="shared" si="2"/>
        <v>0.12607617660516696</v>
      </c>
      <c r="Z19" s="1">
        <f t="shared" si="3"/>
        <v>0.21707840171734977</v>
      </c>
      <c r="AA19" s="1"/>
      <c r="AB19" s="1"/>
      <c r="AC19" s="1">
        <f t="shared" si="13"/>
        <v>17</v>
      </c>
      <c r="AD19">
        <f t="shared" si="14"/>
        <v>40669.702250000017</v>
      </c>
      <c r="AE19">
        <f t="shared" si="15"/>
        <v>154056.93825000041</v>
      </c>
      <c r="AF19">
        <f t="shared" si="9"/>
        <v>14863.102285481336</v>
      </c>
      <c r="AG19">
        <f t="shared" si="10"/>
        <v>-114268.98418821812</v>
      </c>
      <c r="AH19">
        <f t="shared" si="8"/>
        <v>61883.76162023448</v>
      </c>
      <c r="AI19">
        <f t="shared" si="11"/>
        <v>22615.96785533115</v>
      </c>
      <c r="AJ19">
        <f t="shared" si="12"/>
        <v>-23298.062374011646</v>
      </c>
    </row>
    <row r="20" spans="1:41" x14ac:dyDescent="0.35">
      <c r="A20" s="1">
        <v>19</v>
      </c>
      <c r="B20" s="1">
        <v>6393.5501464958952</v>
      </c>
      <c r="C20" s="1">
        <v>4</v>
      </c>
      <c r="D20" s="1">
        <v>6995.57</v>
      </c>
      <c r="E20" s="1">
        <v>6393.55</v>
      </c>
      <c r="F20" s="1">
        <v>1450.97</v>
      </c>
      <c r="G20" s="1">
        <v>3311.12</v>
      </c>
      <c r="H20" s="1">
        <v>2233.48</v>
      </c>
      <c r="I20" s="1">
        <v>4160.07</v>
      </c>
      <c r="J20" s="1">
        <v>10</v>
      </c>
      <c r="K20" s="1">
        <v>0</v>
      </c>
      <c r="L20" s="1">
        <f t="shared" si="16"/>
        <v>10400</v>
      </c>
      <c r="M20" s="1">
        <f>$R$12*C20</f>
        <v>106</v>
      </c>
      <c r="N20" s="4">
        <f t="shared" si="4"/>
        <v>1.5152446476841773E-2</v>
      </c>
      <c r="O20" s="4">
        <f t="shared" si="0"/>
        <v>2650</v>
      </c>
      <c r="P20" s="4"/>
      <c r="Q20" s="107" t="s">
        <v>259</v>
      </c>
      <c r="R20" s="107"/>
      <c r="S20" s="4"/>
      <c r="T20" s="4"/>
      <c r="U20" s="1">
        <f t="shared" si="5"/>
        <v>1068.66083</v>
      </c>
      <c r="V20" s="1">
        <f t="shared" si="6"/>
        <v>-9331.3391699999993</v>
      </c>
      <c r="W20" s="1">
        <f t="shared" si="1"/>
        <v>26716.52075</v>
      </c>
      <c r="X20" s="1">
        <f t="shared" si="7"/>
        <v>16316.52075</v>
      </c>
      <c r="Y20" s="1">
        <f t="shared" si="2"/>
        <v>8.0218018884684161E-2</v>
      </c>
      <c r="Z20" s="1">
        <f t="shared" si="3"/>
        <v>0.13622527750796973</v>
      </c>
      <c r="AA20" s="1"/>
      <c r="AB20" s="1"/>
      <c r="AC20" s="1">
        <f>AC19+1</f>
        <v>18</v>
      </c>
      <c r="AD20">
        <f t="shared" si="14"/>
        <v>40669.702250000017</v>
      </c>
      <c r="AE20">
        <f t="shared" si="15"/>
        <v>194726.64050000045</v>
      </c>
      <c r="AF20">
        <f t="shared" si="9"/>
        <v>14008.578968408423</v>
      </c>
      <c r="AG20">
        <f t="shared" si="10"/>
        <v>-100260.40521980971</v>
      </c>
      <c r="AH20">
        <f t="shared" si="8"/>
        <v>63430.855660740344</v>
      </c>
      <c r="AI20">
        <f t="shared" si="11"/>
        <v>21848.602310758179</v>
      </c>
      <c r="AJ20">
        <f t="shared" si="12"/>
        <v>-1449.4600632534675</v>
      </c>
    </row>
    <row r="21" spans="1:41" x14ac:dyDescent="0.35">
      <c r="A21" s="1">
        <v>20</v>
      </c>
      <c r="B21" s="62">
        <v>6287.6864400653858</v>
      </c>
      <c r="C21" s="62">
        <v>10</v>
      </c>
      <c r="D21" s="62">
        <v>17488.900000000001</v>
      </c>
      <c r="E21" s="62">
        <v>6287.69</v>
      </c>
      <c r="F21" s="62">
        <v>8120.34</v>
      </c>
      <c r="G21" s="62">
        <v>7131.35</v>
      </c>
      <c r="H21" s="62">
        <v>2494.35</v>
      </c>
      <c r="I21" s="62">
        <v>3382.63</v>
      </c>
      <c r="J21" s="62">
        <v>25</v>
      </c>
      <c r="K21" s="62">
        <v>13.5</v>
      </c>
      <c r="L21" s="62">
        <f>(C21*$R$11*1000)+R29</f>
        <v>33300</v>
      </c>
      <c r="M21" s="62">
        <f>$R$31*C21</f>
        <v>356</v>
      </c>
      <c r="N21" s="56">
        <f t="shared" si="4"/>
        <v>2.0355768516030166E-2</v>
      </c>
      <c r="O21" s="56">
        <f t="shared" si="0"/>
        <v>8900</v>
      </c>
      <c r="P21" s="56"/>
      <c r="Q21" s="2" t="s">
        <v>245</v>
      </c>
      <c r="R21" s="2" t="s">
        <v>246</v>
      </c>
      <c r="S21" s="4"/>
      <c r="T21" s="56"/>
      <c r="U21" s="1">
        <f t="shared" si="5"/>
        <v>2419.5480400000001</v>
      </c>
      <c r="V21" s="1">
        <f t="shared" si="6"/>
        <v>-30880.451959999999</v>
      </c>
      <c r="W21" s="1">
        <f t="shared" si="1"/>
        <v>60488.701000000001</v>
      </c>
      <c r="X21" s="1">
        <f t="shared" si="7"/>
        <v>27188.701000000001</v>
      </c>
      <c r="Y21" s="1">
        <f t="shared" si="2"/>
        <v>0.23219839341418722</v>
      </c>
      <c r="Z21" s="1">
        <f t="shared" si="3"/>
        <v>0.41454866316570171</v>
      </c>
      <c r="AA21" s="1"/>
      <c r="AB21" s="1"/>
      <c r="AC21" s="1">
        <f t="shared" si="13"/>
        <v>19</v>
      </c>
      <c r="AD21">
        <f t="shared" si="14"/>
        <v>40669.702250000017</v>
      </c>
      <c r="AE21">
        <f t="shared" si="15"/>
        <v>235396.34275000048</v>
      </c>
      <c r="AF21">
        <f t="shared" si="9"/>
        <v>13203.184701610202</v>
      </c>
      <c r="AG21">
        <f t="shared" si="10"/>
        <v>-87057.220518199509</v>
      </c>
      <c r="AH21">
        <f t="shared" si="8"/>
        <v>65016.627052258853</v>
      </c>
      <c r="AI21">
        <f t="shared" si="11"/>
        <v>21107.273674389384</v>
      </c>
      <c r="AJ21">
        <f t="shared" si="12"/>
        <v>19657.813611135916</v>
      </c>
    </row>
    <row r="22" spans="1:41" x14ac:dyDescent="0.35">
      <c r="A22" s="1">
        <v>21</v>
      </c>
      <c r="B22" s="62">
        <v>1195.617299383852</v>
      </c>
      <c r="C22" s="62">
        <v>2</v>
      </c>
      <c r="D22" s="62">
        <v>3497.79</v>
      </c>
      <c r="E22" s="62">
        <v>1195.6199999999999</v>
      </c>
      <c r="F22" s="62">
        <v>1334.89</v>
      </c>
      <c r="G22" s="62">
        <v>1658.19</v>
      </c>
      <c r="H22" s="62">
        <v>558.10699999999997</v>
      </c>
      <c r="I22" s="62">
        <v>464.2</v>
      </c>
      <c r="J22" s="62">
        <v>5</v>
      </c>
      <c r="K22" s="62">
        <v>1.2</v>
      </c>
      <c r="L22" s="62">
        <f>(C22*$R$11*1000)+R22</f>
        <v>7240</v>
      </c>
      <c r="M22" s="62">
        <f>$R$31*C22</f>
        <v>71.2</v>
      </c>
      <c r="N22" s="56">
        <f t="shared" si="4"/>
        <v>2.0355710319944882E-2</v>
      </c>
      <c r="O22" s="56">
        <f t="shared" si="0"/>
        <v>1780</v>
      </c>
      <c r="P22" s="56"/>
      <c r="Q22" s="4" t="s">
        <v>288</v>
      </c>
      <c r="R22" s="4">
        <f>(S14*S10*$R$19)</f>
        <v>2040</v>
      </c>
      <c r="S22" s="4" t="s">
        <v>289</v>
      </c>
      <c r="T22" s="56"/>
      <c r="U22" s="1">
        <f t="shared" si="5"/>
        <v>482.30102999999997</v>
      </c>
      <c r="V22" s="1">
        <f t="shared" si="6"/>
        <v>-6757.6989700000004</v>
      </c>
      <c r="W22" s="1">
        <f t="shared" si="1"/>
        <v>12057.525749999999</v>
      </c>
      <c r="X22" s="1">
        <f t="shared" si="7"/>
        <v>4817.5257499999989</v>
      </c>
      <c r="Y22" s="1">
        <f t="shared" si="2"/>
        <v>0.2625736843733833</v>
      </c>
      <c r="Z22" s="1">
        <f t="shared" si="3"/>
        <v>0.47107050095382247</v>
      </c>
      <c r="AA22" s="1"/>
      <c r="AB22" s="1"/>
      <c r="AC22" s="1">
        <f t="shared" si="13"/>
        <v>20</v>
      </c>
      <c r="AD22">
        <f t="shared" si="14"/>
        <v>40669.702250000017</v>
      </c>
      <c r="AE22">
        <f t="shared" si="15"/>
        <v>276066.04500000051</v>
      </c>
      <c r="AF22">
        <f t="shared" si="9"/>
        <v>12444.094911979453</v>
      </c>
      <c r="AG22">
        <f t="shared" si="10"/>
        <v>-74613.125606220055</v>
      </c>
      <c r="AH22">
        <f t="shared" si="8"/>
        <v>66642.042728565313</v>
      </c>
      <c r="AI22">
        <f t="shared" si="11"/>
        <v>20391.098507303595</v>
      </c>
      <c r="AJ22">
        <f t="shared" si="12"/>
        <v>40048.912118439512</v>
      </c>
    </row>
    <row r="23" spans="1:41" x14ac:dyDescent="0.35">
      <c r="A23" s="1">
        <v>22</v>
      </c>
      <c r="B23" s="1">
        <v>4102.942217502793</v>
      </c>
      <c r="C23" s="1">
        <v>4</v>
      </c>
      <c r="D23" s="1">
        <v>6995.57</v>
      </c>
      <c r="E23" s="1">
        <v>4102.9399999999996</v>
      </c>
      <c r="F23" s="1">
        <v>1869.19</v>
      </c>
      <c r="G23" s="1">
        <v>3587.24</v>
      </c>
      <c r="H23" s="1">
        <v>1539.14</v>
      </c>
      <c r="I23" s="1">
        <v>2563.8000000000002</v>
      </c>
      <c r="J23" s="1">
        <v>10</v>
      </c>
      <c r="K23" s="1">
        <v>0</v>
      </c>
      <c r="L23" s="1">
        <f t="shared" si="16"/>
        <v>10400</v>
      </c>
      <c r="M23" s="1">
        <f>$R$12*C23</f>
        <v>106</v>
      </c>
      <c r="N23" s="4">
        <f t="shared" si="4"/>
        <v>1.5152446476841773E-2</v>
      </c>
      <c r="O23" s="4">
        <f t="shared" si="0"/>
        <v>2650</v>
      </c>
      <c r="P23" s="4"/>
      <c r="Q23" s="4" t="s">
        <v>288</v>
      </c>
      <c r="R23" s="4">
        <f>(S15*S10*$R$19)</f>
        <v>3400</v>
      </c>
      <c r="S23" s="4" t="s">
        <v>296</v>
      </c>
      <c r="T23" s="4"/>
      <c r="U23" s="1">
        <f t="shared" si="5"/>
        <v>1009.10497</v>
      </c>
      <c r="V23" s="1">
        <f t="shared" si="6"/>
        <v>-9390.8950299999997</v>
      </c>
      <c r="W23" s="1">
        <f t="shared" si="1"/>
        <v>25227.624250000001</v>
      </c>
      <c r="X23" s="1">
        <f t="shared" si="7"/>
        <v>14827.624250000001</v>
      </c>
      <c r="Y23" s="1">
        <f t="shared" si="2"/>
        <v>0.1165431017547495</v>
      </c>
      <c r="Z23" s="1">
        <f t="shared" si="3"/>
        <v>0.20381832952865786</v>
      </c>
      <c r="AA23" s="1"/>
      <c r="AB23" s="1"/>
      <c r="AC23" s="1">
        <f t="shared" si="13"/>
        <v>21</v>
      </c>
      <c r="AD23">
        <f t="shared" si="14"/>
        <v>40669.702250000017</v>
      </c>
      <c r="AE23">
        <f t="shared" si="15"/>
        <v>316735.74725000054</v>
      </c>
      <c r="AF23">
        <f t="shared" si="9"/>
        <v>11728.647419396282</v>
      </c>
      <c r="AG23">
        <f t="shared" si="10"/>
        <v>-62884.478186823777</v>
      </c>
      <c r="AH23">
        <f t="shared" si="8"/>
        <v>68308.093796779445</v>
      </c>
      <c r="AI23">
        <f t="shared" si="11"/>
        <v>19699.223345887072</v>
      </c>
      <c r="AJ23">
        <f t="shared" si="12"/>
        <v>59748.13546432658</v>
      </c>
    </row>
    <row r="24" spans="1:41" x14ac:dyDescent="0.35">
      <c r="A24" s="1">
        <v>23</v>
      </c>
      <c r="B24" s="62">
        <v>2916.9354826987528</v>
      </c>
      <c r="C24" s="62">
        <v>2</v>
      </c>
      <c r="D24" s="62">
        <v>3465.23</v>
      </c>
      <c r="E24" s="62">
        <v>2916.94</v>
      </c>
      <c r="F24" s="62">
        <v>1050.31</v>
      </c>
      <c r="G24" s="62">
        <v>1426.38</v>
      </c>
      <c r="H24" s="62">
        <v>1031.08</v>
      </c>
      <c r="I24" s="62">
        <v>949.72299999999996</v>
      </c>
      <c r="J24" s="62">
        <v>5</v>
      </c>
      <c r="K24" s="62">
        <v>2</v>
      </c>
      <c r="L24" s="62">
        <f>(C24*$R$11*1000)+R23</f>
        <v>8600</v>
      </c>
      <c r="M24" s="62">
        <f>$R$31*C24</f>
        <v>71.2</v>
      </c>
      <c r="N24" s="56">
        <f t="shared" si="4"/>
        <v>2.0546976679758633E-2</v>
      </c>
      <c r="O24" s="56">
        <f t="shared" si="0"/>
        <v>1780</v>
      </c>
      <c r="P24" s="56"/>
      <c r="Q24" s="4" t="s">
        <v>288</v>
      </c>
      <c r="R24" s="4">
        <f>(S16*S11*$R$19)</f>
        <v>3696</v>
      </c>
      <c r="S24" s="4" t="s">
        <v>290</v>
      </c>
      <c r="T24" s="56"/>
      <c r="U24" s="1">
        <f t="shared" si="5"/>
        <v>522.85510999999997</v>
      </c>
      <c r="V24" s="1">
        <f t="shared" si="6"/>
        <v>-8077.1448899999996</v>
      </c>
      <c r="W24" s="1">
        <f t="shared" si="1"/>
        <v>13071.37775</v>
      </c>
      <c r="X24" s="1">
        <f t="shared" si="7"/>
        <v>4471.3777499999997</v>
      </c>
      <c r="Y24" s="1">
        <f t="shared" si="2"/>
        <v>0.13847896456237396</v>
      </c>
      <c r="Z24" s="1">
        <f t="shared" si="3"/>
        <v>0.23999266990409021</v>
      </c>
      <c r="AA24" s="1"/>
      <c r="AB24" s="1"/>
      <c r="AC24" s="1">
        <f t="shared" si="13"/>
        <v>22</v>
      </c>
      <c r="AD24">
        <f t="shared" si="14"/>
        <v>40669.702250000017</v>
      </c>
      <c r="AE24">
        <f t="shared" si="15"/>
        <v>357405.44950000057</v>
      </c>
      <c r="AF24">
        <f t="shared" si="9"/>
        <v>11054.333100279246</v>
      </c>
      <c r="AG24">
        <f t="shared" si="10"/>
        <v>-51830.145086544529</v>
      </c>
      <c r="AH24">
        <f t="shared" si="8"/>
        <v>70015.796141698927</v>
      </c>
      <c r="AI24">
        <f t="shared" si="11"/>
        <v>19030.823684763665</v>
      </c>
      <c r="AJ24">
        <f t="shared" si="12"/>
        <v>78778.959149090253</v>
      </c>
    </row>
    <row r="25" spans="1:41" x14ac:dyDescent="0.35">
      <c r="A25" s="1">
        <v>24</v>
      </c>
      <c r="B25" s="62">
        <v>4395.7178346280416</v>
      </c>
      <c r="C25" s="62">
        <v>4</v>
      </c>
      <c r="D25" s="62">
        <v>6930.46</v>
      </c>
      <c r="E25" s="62">
        <v>4395.72</v>
      </c>
      <c r="F25" s="62">
        <v>2268.81</v>
      </c>
      <c r="G25" s="62">
        <v>2973.31</v>
      </c>
      <c r="H25" s="62">
        <v>1797.8</v>
      </c>
      <c r="I25" s="62">
        <v>1736.79</v>
      </c>
      <c r="J25" s="62">
        <v>10</v>
      </c>
      <c r="K25" s="62">
        <v>3.3</v>
      </c>
      <c r="L25" s="62">
        <f>(C25*$R$11*1000)+R24</f>
        <v>14096</v>
      </c>
      <c r="M25" s="62">
        <f>$R$31*C25</f>
        <v>142.4</v>
      </c>
      <c r="N25" s="56">
        <f t="shared" si="4"/>
        <v>2.0546976679758633E-2</v>
      </c>
      <c r="O25" s="56">
        <f t="shared" si="0"/>
        <v>3560</v>
      </c>
      <c r="P25" s="56"/>
      <c r="Q25" s="4" t="s">
        <v>288</v>
      </c>
      <c r="R25" s="4">
        <f>(S17*S11*$R$19)</f>
        <v>4704</v>
      </c>
      <c r="S25" s="4" t="s">
        <v>291</v>
      </c>
      <c r="T25" s="56"/>
      <c r="U25" s="1">
        <f t="shared" si="5"/>
        <v>1008.3180600000001</v>
      </c>
      <c r="V25" s="1">
        <f t="shared" si="6"/>
        <v>-13087.68194</v>
      </c>
      <c r="W25" s="1">
        <f t="shared" si="1"/>
        <v>25207.951500000003</v>
      </c>
      <c r="X25" s="1">
        <f t="shared" si="7"/>
        <v>11111.951500000003</v>
      </c>
      <c r="Y25" s="1">
        <f t="shared" si="2"/>
        <v>0.14881726635992215</v>
      </c>
      <c r="Z25" s="1">
        <f t="shared" si="3"/>
        <v>0.25922999342808173</v>
      </c>
      <c r="AA25" s="1"/>
      <c r="AB25" s="1"/>
      <c r="AC25" s="1">
        <f t="shared" si="13"/>
        <v>23</v>
      </c>
      <c r="AD25">
        <f t="shared" si="14"/>
        <v>40669.702250000017</v>
      </c>
      <c r="AE25">
        <f t="shared" si="15"/>
        <v>398075.1517500006</v>
      </c>
      <c r="AF25">
        <f t="shared" si="9"/>
        <v>10418.787087916351</v>
      </c>
      <c r="AG25">
        <f t="shared" si="10"/>
        <v>-41411.357998628177</v>
      </c>
      <c r="AH25">
        <f t="shared" si="8"/>
        <v>71766.191045241401</v>
      </c>
      <c r="AI25">
        <f t="shared" si="11"/>
        <v>18385.102994234458</v>
      </c>
      <c r="AJ25">
        <f t="shared" si="12"/>
        <v>97164.062143324714</v>
      </c>
    </row>
    <row r="26" spans="1:41" x14ac:dyDescent="0.35">
      <c r="A26" s="1">
        <v>25</v>
      </c>
      <c r="B26" s="1">
        <v>3480.4540913845358</v>
      </c>
      <c r="C26" s="1">
        <v>2</v>
      </c>
      <c r="D26" s="1">
        <v>3465.23</v>
      </c>
      <c r="E26" s="1">
        <v>3480.45</v>
      </c>
      <c r="F26" s="1">
        <v>621.553</v>
      </c>
      <c r="G26" s="1">
        <v>1519.54</v>
      </c>
      <c r="H26" s="1">
        <v>1324.14</v>
      </c>
      <c r="I26" s="1">
        <v>2156.31</v>
      </c>
      <c r="J26" s="1">
        <v>5</v>
      </c>
      <c r="K26" s="1">
        <v>0</v>
      </c>
      <c r="L26" s="1">
        <f t="shared" si="16"/>
        <v>5200</v>
      </c>
      <c r="M26" s="1">
        <f>$R$12*C26</f>
        <v>53</v>
      </c>
      <c r="N26" s="4">
        <f t="shared" si="4"/>
        <v>1.5294800056561902E-2</v>
      </c>
      <c r="O26" s="4">
        <f t="shared" si="0"/>
        <v>1325</v>
      </c>
      <c r="P26" s="4"/>
      <c r="Q26" s="4" t="s">
        <v>288</v>
      </c>
      <c r="R26" s="4">
        <f>(S18*S12*$R$19)</f>
        <v>3500</v>
      </c>
      <c r="S26" s="4" t="s">
        <v>293</v>
      </c>
      <c r="T26" s="4"/>
      <c r="U26" s="1">
        <f t="shared" si="5"/>
        <v>537.50636999999995</v>
      </c>
      <c r="V26" s="1">
        <f t="shared" si="6"/>
        <v>-4662.4936299999999</v>
      </c>
      <c r="W26" s="1">
        <f t="shared" si="1"/>
        <v>13437.659249999999</v>
      </c>
      <c r="X26" s="1">
        <f t="shared" si="7"/>
        <v>8237.6592499999988</v>
      </c>
      <c r="Y26" s="1">
        <f t="shared" si="2"/>
        <v>7.505711685162611E-2</v>
      </c>
      <c r="Z26" s="1">
        <f t="shared" si="3"/>
        <v>0.12649942971852179</v>
      </c>
      <c r="AA26" s="1"/>
      <c r="AB26" s="1"/>
      <c r="AC26" s="1">
        <f>AC25+1</f>
        <v>24</v>
      </c>
      <c r="AD26">
        <f t="shared" si="14"/>
        <v>40669.702250000017</v>
      </c>
      <c r="AE26">
        <f t="shared" si="15"/>
        <v>438744.85400000063</v>
      </c>
      <c r="AF26">
        <f t="shared" si="9"/>
        <v>9819.7804787147525</v>
      </c>
      <c r="AG26">
        <f t="shared" si="10"/>
        <v>-31591.577519913422</v>
      </c>
      <c r="AH26">
        <f t="shared" si="8"/>
        <v>73560.345821372437</v>
      </c>
      <c r="AI26">
        <f t="shared" si="11"/>
        <v>17761.291771055909</v>
      </c>
      <c r="AJ26">
        <f t="shared" si="12"/>
        <v>114925.35391438063</v>
      </c>
    </row>
    <row r="27" spans="1:41" x14ac:dyDescent="0.35">
      <c r="A27" s="1">
        <v>26</v>
      </c>
      <c r="B27" s="1">
        <v>5233.1130996820621</v>
      </c>
      <c r="C27" s="1">
        <v>4</v>
      </c>
      <c r="D27" s="1">
        <v>6930.46</v>
      </c>
      <c r="E27" s="1">
        <v>5233.1099999999997</v>
      </c>
      <c r="F27" s="1">
        <v>1642.54</v>
      </c>
      <c r="G27" s="1">
        <v>3427.61</v>
      </c>
      <c r="H27" s="1">
        <v>1860.31</v>
      </c>
      <c r="I27" s="1">
        <v>3372.81</v>
      </c>
      <c r="J27" s="1">
        <v>10</v>
      </c>
      <c r="K27" s="1">
        <v>0</v>
      </c>
      <c r="L27" s="1">
        <f t="shared" si="16"/>
        <v>10400</v>
      </c>
      <c r="M27" s="1">
        <f>$R$12*C27</f>
        <v>106</v>
      </c>
      <c r="N27" s="4">
        <f t="shared" si="4"/>
        <v>1.5294800056561902E-2</v>
      </c>
      <c r="O27" s="4">
        <f t="shared" si="0"/>
        <v>2650</v>
      </c>
      <c r="P27" s="4"/>
      <c r="Q27" s="4" t="s">
        <v>288</v>
      </c>
      <c r="R27" s="4">
        <f>(S19*S12*$R$19)</f>
        <v>4200</v>
      </c>
      <c r="S27" s="4" t="s">
        <v>292</v>
      </c>
      <c r="T27" s="4"/>
      <c r="U27" s="1">
        <f t="shared" si="5"/>
        <v>1030.0902000000001</v>
      </c>
      <c r="V27" s="1">
        <f t="shared" si="6"/>
        <v>-9369.9097999999994</v>
      </c>
      <c r="W27" s="1">
        <f t="shared" si="1"/>
        <v>25752.255000000001</v>
      </c>
      <c r="X27" s="1">
        <f t="shared" si="7"/>
        <v>15352.255000000001</v>
      </c>
      <c r="Y27" s="1">
        <f t="shared" si="2"/>
        <v>9.4788591242782216E-2</v>
      </c>
      <c r="Z27" s="1">
        <f t="shared" si="3"/>
        <v>0.1632153975729371</v>
      </c>
      <c r="AA27" s="1"/>
      <c r="AB27" s="1"/>
      <c r="AC27" s="1">
        <f t="shared" si="13"/>
        <v>25</v>
      </c>
      <c r="AD27">
        <f t="shared" si="14"/>
        <v>40669.702250000017</v>
      </c>
      <c r="AE27">
        <f t="shared" si="15"/>
        <v>479414.55625000066</v>
      </c>
      <c r="AF27">
        <f t="shared" si="9"/>
        <v>9255.2125152825174</v>
      </c>
      <c r="AG27">
        <f t="shared" si="10"/>
        <v>-22336.365004630905</v>
      </c>
      <c r="AH27">
        <f t="shared" si="8"/>
        <v>75399.354466906734</v>
      </c>
      <c r="AI27">
        <f t="shared" si="11"/>
        <v>17158.646621425356</v>
      </c>
      <c r="AJ27">
        <f t="shared" si="12"/>
        <v>132084.00053580597</v>
      </c>
    </row>
    <row r="28" spans="1:41" x14ac:dyDescent="0.35">
      <c r="A28" s="1">
        <v>27</v>
      </c>
      <c r="B28" s="1">
        <v>6696.2920887280334</v>
      </c>
      <c r="C28" s="1">
        <v>4</v>
      </c>
      <c r="D28" s="1">
        <v>6930.46</v>
      </c>
      <c r="E28" s="1">
        <v>6696.29</v>
      </c>
      <c r="F28" s="1">
        <v>1385.43</v>
      </c>
      <c r="G28" s="1">
        <v>3240.4</v>
      </c>
      <c r="H28" s="1">
        <v>2304.63</v>
      </c>
      <c r="I28" s="1">
        <v>4391.67</v>
      </c>
      <c r="J28" s="1">
        <v>10</v>
      </c>
      <c r="K28" s="1">
        <v>0</v>
      </c>
      <c r="L28" s="1">
        <f t="shared" si="16"/>
        <v>10400</v>
      </c>
      <c r="M28" s="1">
        <f>$R$12*C28</f>
        <v>106</v>
      </c>
      <c r="N28" s="4">
        <f t="shared" si="4"/>
        <v>1.5294800056561902E-2</v>
      </c>
      <c r="O28" s="4">
        <f t="shared" si="0"/>
        <v>2650</v>
      </c>
      <c r="P28" s="4"/>
      <c r="Q28" s="4" t="s">
        <v>288</v>
      </c>
      <c r="R28" s="4">
        <f xml:space="preserve"> 8000 *R19</f>
        <v>8000</v>
      </c>
      <c r="S28" s="4" t="s">
        <v>294</v>
      </c>
      <c r="T28" s="4"/>
      <c r="U28" s="1">
        <f t="shared" si="5"/>
        <v>1068.1328800000001</v>
      </c>
      <c r="V28" s="1">
        <f t="shared" si="6"/>
        <v>-9331.867119999999</v>
      </c>
      <c r="W28" s="1">
        <f t="shared" si="1"/>
        <v>26703.322000000004</v>
      </c>
      <c r="X28" s="1">
        <f t="shared" si="7"/>
        <v>16303.322000000004</v>
      </c>
      <c r="Y28" s="1">
        <f t="shared" si="2"/>
        <v>7.7418732896985462E-2</v>
      </c>
      <c r="Z28" s="1">
        <f t="shared" si="3"/>
        <v>0.13089388180491782</v>
      </c>
      <c r="AA28" s="1"/>
      <c r="AB28" s="1"/>
      <c r="AC28" s="1"/>
    </row>
    <row r="29" spans="1:41" x14ac:dyDescent="0.35">
      <c r="A29" s="1">
        <v>28</v>
      </c>
      <c r="B29" s="62">
        <v>8230.4847304692612</v>
      </c>
      <c r="C29" s="62">
        <v>6</v>
      </c>
      <c r="D29" s="62">
        <v>10395.700000000001</v>
      </c>
      <c r="E29" s="62">
        <v>8230.48</v>
      </c>
      <c r="F29" s="62">
        <v>2928.68</v>
      </c>
      <c r="G29" s="62">
        <v>4210.74</v>
      </c>
      <c r="H29" s="62">
        <v>3393.9</v>
      </c>
      <c r="I29" s="62">
        <v>2532.5700000000002</v>
      </c>
      <c r="J29" s="62">
        <v>15</v>
      </c>
      <c r="K29" s="62">
        <v>5</v>
      </c>
      <c r="L29" s="62">
        <f>(C29*$R$11*1000)+R26</f>
        <v>19100</v>
      </c>
      <c r="M29" s="62">
        <f>$R$31*C29</f>
        <v>213.60000000000002</v>
      </c>
      <c r="N29" s="56">
        <f t="shared" si="4"/>
        <v>2.0546956914878269E-2</v>
      </c>
      <c r="O29" s="56">
        <f t="shared" si="0"/>
        <v>5340.0000000000009</v>
      </c>
      <c r="P29" s="56"/>
      <c r="Q29" s="4" t="s">
        <v>288</v>
      </c>
      <c r="R29" s="4">
        <f>7300*R19</f>
        <v>7300</v>
      </c>
      <c r="S29" s="4" t="s">
        <v>295</v>
      </c>
      <c r="T29" s="56"/>
      <c r="U29" s="1">
        <f t="shared" si="5"/>
        <v>1555.0377800000001</v>
      </c>
      <c r="V29" s="1">
        <f t="shared" si="6"/>
        <v>-17544.962220000001</v>
      </c>
      <c r="W29" s="1">
        <f t="shared" si="1"/>
        <v>38875.944500000005</v>
      </c>
      <c r="X29" s="1">
        <f t="shared" si="7"/>
        <v>19775.944500000005</v>
      </c>
      <c r="Y29" s="1">
        <f t="shared" si="2"/>
        <v>0.11337259538203578</v>
      </c>
      <c r="Z29" s="1">
        <f t="shared" si="3"/>
        <v>0.19327521282024138</v>
      </c>
      <c r="AA29" s="1"/>
      <c r="AB29" s="1"/>
    </row>
    <row r="30" spans="1:41" x14ac:dyDescent="0.35">
      <c r="A30" s="1">
        <v>29</v>
      </c>
      <c r="B30" s="62">
        <v>3184.1460343074909</v>
      </c>
      <c r="C30" s="62">
        <v>2</v>
      </c>
      <c r="D30" s="62">
        <v>3465.23</v>
      </c>
      <c r="E30" s="62">
        <v>3184.15</v>
      </c>
      <c r="F30" s="62">
        <v>1055.81</v>
      </c>
      <c r="G30" s="62">
        <v>1177.54</v>
      </c>
      <c r="H30" s="62">
        <v>1255.03</v>
      </c>
      <c r="I30" s="62">
        <v>807.74400000000003</v>
      </c>
      <c r="J30" s="62">
        <v>5</v>
      </c>
      <c r="K30" s="62">
        <v>3.3</v>
      </c>
      <c r="L30" s="62">
        <f>(C30*$R$11*1000)+R24</f>
        <v>8896</v>
      </c>
      <c r="M30" s="62">
        <f>$R$31*C30</f>
        <v>71.2</v>
      </c>
      <c r="N30" s="56">
        <f t="shared" si="4"/>
        <v>2.0546976679758633E-2</v>
      </c>
      <c r="O30" s="56">
        <f t="shared" si="0"/>
        <v>1780</v>
      </c>
      <c r="P30" s="56"/>
      <c r="Q30" s="4" t="s">
        <v>288</v>
      </c>
      <c r="R30" s="4">
        <f>16000*R19</f>
        <v>16000</v>
      </c>
      <c r="S30" s="4" t="s">
        <v>297</v>
      </c>
      <c r="T30" s="56"/>
      <c r="U30" s="1">
        <f t="shared" si="5"/>
        <v>529.80256999999995</v>
      </c>
      <c r="V30" s="1">
        <f t="shared" si="6"/>
        <v>-8366.1974300000002</v>
      </c>
      <c r="W30" s="1">
        <f t="shared" si="1"/>
        <v>13245.064249999999</v>
      </c>
      <c r="X30" s="1">
        <f t="shared" si="7"/>
        <v>4349.0642499999994</v>
      </c>
      <c r="Y30" s="1">
        <f t="shared" si="2"/>
        <v>0.13230064506243078</v>
      </c>
      <c r="Z30" s="1">
        <f t="shared" si="3"/>
        <v>0.22849616560556227</v>
      </c>
      <c r="AA30" s="1"/>
      <c r="AB30" s="1"/>
      <c r="AE30" t="s">
        <v>6</v>
      </c>
      <c r="AF30" t="s">
        <v>6</v>
      </c>
      <c r="AO30" t="s">
        <v>6</v>
      </c>
    </row>
    <row r="31" spans="1:41" x14ac:dyDescent="0.35">
      <c r="A31" s="1">
        <v>30</v>
      </c>
      <c r="B31" s="62">
        <v>2455.556329062375</v>
      </c>
      <c r="C31" s="62">
        <v>2</v>
      </c>
      <c r="D31" s="62">
        <v>3465.23</v>
      </c>
      <c r="E31" s="62">
        <v>2455.56</v>
      </c>
      <c r="F31" s="62">
        <v>981.01199999999994</v>
      </c>
      <c r="G31" s="62">
        <v>1498.17</v>
      </c>
      <c r="H31" s="62">
        <v>1029.33</v>
      </c>
      <c r="I31" s="62">
        <v>829.81899999999996</v>
      </c>
      <c r="J31" s="62">
        <v>5</v>
      </c>
      <c r="K31" s="62">
        <v>1.2</v>
      </c>
      <c r="L31" s="62">
        <f>(C31*$R$11*1000)+R22</f>
        <v>7240</v>
      </c>
      <c r="M31" s="62">
        <f>$R$31*C31</f>
        <v>71.2</v>
      </c>
      <c r="N31" s="56">
        <f t="shared" si="4"/>
        <v>2.0546976679758633E-2</v>
      </c>
      <c r="O31" s="56">
        <f t="shared" si="0"/>
        <v>1780</v>
      </c>
      <c r="P31" s="56"/>
      <c r="Q31" s="1" t="s">
        <v>248</v>
      </c>
      <c r="R31" s="1">
        <v>35.6</v>
      </c>
      <c r="T31" s="56"/>
      <c r="U31" s="1">
        <f t="shared" si="5"/>
        <v>510.85923000000003</v>
      </c>
      <c r="V31" s="1">
        <f t="shared" si="6"/>
        <v>-6729.14077</v>
      </c>
      <c r="W31" s="1">
        <f t="shared" si="1"/>
        <v>12771.480750000001</v>
      </c>
      <c r="X31" s="1">
        <f t="shared" si="7"/>
        <v>5531.4807500000006</v>
      </c>
      <c r="Y31" s="1">
        <f t="shared" si="2"/>
        <v>0.13848359111310798</v>
      </c>
      <c r="Z31" s="1">
        <f t="shared" si="3"/>
        <v>0.24000127890535689</v>
      </c>
      <c r="AA31" s="1"/>
      <c r="AB31" s="1" t="s">
        <v>287</v>
      </c>
      <c r="AC31" s="1">
        <v>0</v>
      </c>
      <c r="AD31">
        <f>-AB34</f>
        <v>-11000</v>
      </c>
      <c r="AE31">
        <f>AD31</f>
        <v>-11000</v>
      </c>
      <c r="AG31">
        <f>AD31</f>
        <v>-11000</v>
      </c>
      <c r="AH31">
        <f>AD31</f>
        <v>-11000</v>
      </c>
      <c r="AJ31">
        <f>AD31</f>
        <v>-11000</v>
      </c>
    </row>
    <row r="32" spans="1:41" ht="29" x14ac:dyDescent="0.35">
      <c r="A32" s="1">
        <v>31</v>
      </c>
      <c r="B32" s="1">
        <v>1553.515228702383</v>
      </c>
      <c r="C32" s="1">
        <v>2</v>
      </c>
      <c r="D32" s="1">
        <v>3465.23</v>
      </c>
      <c r="E32" s="1">
        <v>1553.52</v>
      </c>
      <c r="F32" s="1">
        <v>992.22699999999998</v>
      </c>
      <c r="G32" s="1">
        <v>1784.82</v>
      </c>
      <c r="H32" s="1">
        <v>688.178</v>
      </c>
      <c r="I32" s="1">
        <v>865.33699999999999</v>
      </c>
      <c r="J32" s="1">
        <v>5</v>
      </c>
      <c r="K32" s="1">
        <v>0</v>
      </c>
      <c r="L32" s="1">
        <f t="shared" si="16"/>
        <v>5200</v>
      </c>
      <c r="M32" s="1">
        <f>$R$12*C32</f>
        <v>53</v>
      </c>
      <c r="N32" s="4">
        <f t="shared" si="4"/>
        <v>1.5294800056561902E-2</v>
      </c>
      <c r="O32" s="4">
        <f t="shared" si="0"/>
        <v>1325</v>
      </c>
      <c r="P32" s="4"/>
      <c r="Q32" s="77" t="s">
        <v>260</v>
      </c>
      <c r="R32" s="1">
        <v>220</v>
      </c>
      <c r="T32" s="4"/>
      <c r="U32" s="1">
        <f t="shared" si="5"/>
        <v>487.40619000000004</v>
      </c>
      <c r="V32" s="1">
        <f t="shared" si="6"/>
        <v>-4712.5938100000003</v>
      </c>
      <c r="W32" s="1">
        <f t="shared" si="1"/>
        <v>12185.154750000002</v>
      </c>
      <c r="X32" s="1">
        <f t="shared" si="7"/>
        <v>6985.1547500000015</v>
      </c>
      <c r="Y32" s="1">
        <f t="shared" si="2"/>
        <v>0.1491847009452309</v>
      </c>
      <c r="Z32" s="1">
        <f t="shared" si="3"/>
        <v>0.26443468689961436</v>
      </c>
      <c r="AA32" s="1"/>
      <c r="AB32" s="1"/>
      <c r="AC32" s="1">
        <v>1</v>
      </c>
      <c r="AD32">
        <f>AB37</f>
        <v>0</v>
      </c>
      <c r="AE32">
        <f>AE31+AD32</f>
        <v>-11000</v>
      </c>
      <c r="AF32">
        <f>AD32/(1+$R$13)^AC32</f>
        <v>0</v>
      </c>
      <c r="AG32">
        <f>AG31+AF32</f>
        <v>-11000</v>
      </c>
      <c r="AH32">
        <f>$AB$37*((1+$R$37)^AC32)</f>
        <v>0</v>
      </c>
      <c r="AI32">
        <f>AH32/(1+$R$13)^AC32</f>
        <v>0</v>
      </c>
      <c r="AJ32">
        <f>AJ31+AI32</f>
        <v>-11000</v>
      </c>
    </row>
    <row r="33" spans="1:36" ht="29" x14ac:dyDescent="0.35">
      <c r="A33" s="1">
        <v>32</v>
      </c>
      <c r="B33" s="62">
        <v>14627.53150971361</v>
      </c>
      <c r="C33" s="62">
        <v>10</v>
      </c>
      <c r="D33" s="62">
        <v>17326.099999999999</v>
      </c>
      <c r="E33" s="62">
        <v>14627.5</v>
      </c>
      <c r="F33" s="62">
        <v>6319.47</v>
      </c>
      <c r="G33" s="62">
        <v>5835.93</v>
      </c>
      <c r="H33" s="62">
        <v>5167.72</v>
      </c>
      <c r="I33" s="62">
        <v>4764.6000000000004</v>
      </c>
      <c r="J33" s="62">
        <v>25</v>
      </c>
      <c r="K33" s="62">
        <f>19.4</f>
        <v>19.399999999999999</v>
      </c>
      <c r="L33" s="62">
        <f>(C33*$R$11*1000)+R30</f>
        <v>42000</v>
      </c>
      <c r="M33" s="62">
        <f>$R$31*C33</f>
        <v>356</v>
      </c>
      <c r="N33" s="56">
        <f t="shared" si="4"/>
        <v>2.0547035974627877E-2</v>
      </c>
      <c r="O33" s="56">
        <f t="shared" si="0"/>
        <v>8900</v>
      </c>
      <c r="P33" s="56"/>
      <c r="Q33" s="77" t="s">
        <v>261</v>
      </c>
      <c r="R33" s="1">
        <v>165</v>
      </c>
      <c r="T33" s="56"/>
      <c r="U33" s="1">
        <f t="shared" si="5"/>
        <v>2615.3818999999994</v>
      </c>
      <c r="V33" s="1">
        <f t="shared" si="6"/>
        <v>-39384.6181</v>
      </c>
      <c r="W33" s="1">
        <f t="shared" si="1"/>
        <v>65384.547499999986</v>
      </c>
      <c r="X33" s="1">
        <f t="shared" si="7"/>
        <v>23384.547499999986</v>
      </c>
      <c r="Y33" s="1">
        <f t="shared" si="2"/>
        <v>0.13539895059086871</v>
      </c>
      <c r="Z33" s="1">
        <f t="shared" si="3"/>
        <v>0.23426138501273194</v>
      </c>
      <c r="AA33" s="1"/>
      <c r="AB33" s="73" t="s">
        <v>285</v>
      </c>
      <c r="AC33" s="1">
        <f>AC32+1</f>
        <v>2</v>
      </c>
      <c r="AD33">
        <f>AD32</f>
        <v>0</v>
      </c>
      <c r="AE33">
        <f>AE32+AD33</f>
        <v>-11000</v>
      </c>
      <c r="AF33">
        <f t="shared" ref="AF33:AF56" si="17">AD33/(1+$R$13)^AC33</f>
        <v>0</v>
      </c>
      <c r="AG33">
        <f t="shared" ref="AG33:AG56" si="18">AG32+AF33</f>
        <v>-11000</v>
      </c>
      <c r="AH33">
        <f>$AB$8*((1+$R$37)^AC33)</f>
        <v>42728.605926406264</v>
      </c>
      <c r="AI33">
        <f t="shared" ref="AI33:AI56" si="19">AH33/(1+$R$13)^AC33</f>
        <v>37956.657045934349</v>
      </c>
      <c r="AJ33">
        <f t="shared" ref="AJ33:AJ56" si="20">AJ32+AI33</f>
        <v>26956.657045934349</v>
      </c>
    </row>
    <row r="34" spans="1:36" x14ac:dyDescent="0.35">
      <c r="A34" s="1">
        <v>33</v>
      </c>
      <c r="B34" s="62">
        <v>4264.5516094210579</v>
      </c>
      <c r="C34" s="62">
        <v>4</v>
      </c>
      <c r="D34" s="62">
        <v>6930.46</v>
      </c>
      <c r="E34" s="62">
        <v>4264.55</v>
      </c>
      <c r="F34" s="62">
        <v>2602.7800000000002</v>
      </c>
      <c r="G34" s="62">
        <v>2529.48</v>
      </c>
      <c r="H34" s="62">
        <v>1820.92</v>
      </c>
      <c r="I34" s="62">
        <v>1578.24</v>
      </c>
      <c r="J34" s="62">
        <v>10</v>
      </c>
      <c r="K34" s="62">
        <v>6</v>
      </c>
      <c r="L34" s="62">
        <f>(C34*$R$11*1000)+R27</f>
        <v>14600</v>
      </c>
      <c r="M34" s="62">
        <f>$R$31*C34</f>
        <v>142.4</v>
      </c>
      <c r="N34" s="56">
        <f t="shared" si="4"/>
        <v>2.0546976679758633E-2</v>
      </c>
      <c r="O34" s="56">
        <f t="shared" si="0"/>
        <v>3560</v>
      </c>
      <c r="P34" s="56"/>
      <c r="Q34" s="1" t="s">
        <v>250</v>
      </c>
      <c r="R34" s="1">
        <v>3.1E-2</v>
      </c>
      <c r="T34" s="56"/>
      <c r="U34" s="1">
        <f t="shared" si="5"/>
        <v>1004.90764</v>
      </c>
      <c r="V34" s="1">
        <f t="shared" si="6"/>
        <v>-13595.092360000001</v>
      </c>
      <c r="W34" s="1">
        <f t="shared" ref="W34:W65" si="21">U34*$R$40</f>
        <v>25122.690999999999</v>
      </c>
      <c r="X34" s="1">
        <f t="shared" si="7"/>
        <v>10522.690999999999</v>
      </c>
      <c r="Y34" s="1">
        <f t="shared" ref="Y34:Y65" si="22">(L34/($R$40*B34))+N34</f>
        <v>0.15748986153308134</v>
      </c>
      <c r="Z34" s="1">
        <f t="shared" ref="Z34:Z65" si="23">(L34/($R$43*B34))+N34</f>
        <v>0.27536780043021791</v>
      </c>
      <c r="AA34" s="1"/>
      <c r="AB34" s="1">
        <f>200*55</f>
        <v>11000</v>
      </c>
      <c r="AC34" s="1">
        <f t="shared" ref="AC34:AC48" si="24">AC33+1</f>
        <v>3</v>
      </c>
      <c r="AD34">
        <f t="shared" ref="AD34:AD56" si="25">AD33</f>
        <v>0</v>
      </c>
      <c r="AE34">
        <f t="shared" ref="AE34:AE56" si="26">AE33+AD34</f>
        <v>-11000</v>
      </c>
      <c r="AF34">
        <f t="shared" si="17"/>
        <v>0</v>
      </c>
      <c r="AG34">
        <f t="shared" si="18"/>
        <v>-11000</v>
      </c>
      <c r="AH34">
        <f>$AB$37*((1+$R$37)^AC34)</f>
        <v>0</v>
      </c>
      <c r="AI34">
        <f t="shared" si="19"/>
        <v>0</v>
      </c>
      <c r="AJ34">
        <f t="shared" si="20"/>
        <v>26956.657045934349</v>
      </c>
    </row>
    <row r="35" spans="1:36" x14ac:dyDescent="0.35">
      <c r="A35" s="1">
        <v>34</v>
      </c>
      <c r="B35" s="1">
        <v>5041.8344142687847</v>
      </c>
      <c r="C35" s="1">
        <v>4</v>
      </c>
      <c r="D35" s="1">
        <v>7106.6</v>
      </c>
      <c r="E35" s="1">
        <v>5041.83</v>
      </c>
      <c r="F35" s="1">
        <v>1667.85</v>
      </c>
      <c r="G35" s="1">
        <v>3300.83</v>
      </c>
      <c r="H35" s="1">
        <v>2137.92</v>
      </c>
      <c r="I35" s="1">
        <v>2903.92</v>
      </c>
      <c r="J35" s="1">
        <v>10</v>
      </c>
      <c r="K35" s="1">
        <v>0</v>
      </c>
      <c r="L35" s="1">
        <f t="shared" si="16"/>
        <v>10400</v>
      </c>
      <c r="M35" s="1">
        <f>$R$12*C35</f>
        <v>106</v>
      </c>
      <c r="N35" s="4">
        <f t="shared" si="4"/>
        <v>1.4915712154898262E-2</v>
      </c>
      <c r="O35" s="4">
        <f t="shared" si="0"/>
        <v>2650</v>
      </c>
      <c r="P35" s="4"/>
      <c r="Q35" s="1" t="s">
        <v>251</v>
      </c>
      <c r="R35" s="1" t="s">
        <v>252</v>
      </c>
      <c r="T35" s="4"/>
      <c r="U35" s="1">
        <f t="shared" si="5"/>
        <v>1047.83898</v>
      </c>
      <c r="V35" s="1">
        <f t="shared" si="6"/>
        <v>-9352.1610199999996</v>
      </c>
      <c r="W35" s="1">
        <f t="shared" si="21"/>
        <v>26195.9745</v>
      </c>
      <c r="X35" s="1">
        <f t="shared" si="7"/>
        <v>15795.9745</v>
      </c>
      <c r="Y35" s="1">
        <f t="shared" si="22"/>
        <v>9.7425363567226989E-2</v>
      </c>
      <c r="Z35" s="1">
        <f t="shared" si="23"/>
        <v>0.1684481674027381</v>
      </c>
      <c r="AA35" s="1"/>
      <c r="AB35" s="1"/>
      <c r="AC35" s="1">
        <f t="shared" si="24"/>
        <v>4</v>
      </c>
      <c r="AD35">
        <f t="shared" si="25"/>
        <v>0</v>
      </c>
      <c r="AE35">
        <f t="shared" si="26"/>
        <v>-11000</v>
      </c>
      <c r="AF35">
        <f t="shared" si="17"/>
        <v>0</v>
      </c>
      <c r="AG35">
        <f t="shared" si="18"/>
        <v>-11000</v>
      </c>
      <c r="AH35">
        <f t="shared" ref="AH35:AH56" si="27">$AB$8*((1+$R$37)^AC35)</f>
        <v>44891.741601430578</v>
      </c>
      <c r="AI35">
        <f t="shared" si="19"/>
        <v>35424.597043925431</v>
      </c>
      <c r="AJ35">
        <f t="shared" si="20"/>
        <v>62381.25408985978</v>
      </c>
    </row>
    <row r="36" spans="1:36" ht="29" x14ac:dyDescent="0.35">
      <c r="A36" s="1">
        <v>35</v>
      </c>
      <c r="B36" s="62">
        <v>1680.154057549307</v>
      </c>
      <c r="C36" s="62">
        <v>2</v>
      </c>
      <c r="D36" s="62">
        <v>3553.3</v>
      </c>
      <c r="E36" s="62">
        <v>1680.15</v>
      </c>
      <c r="F36" s="62">
        <v>1252.81</v>
      </c>
      <c r="G36" s="62">
        <v>1604.06</v>
      </c>
      <c r="H36" s="62">
        <v>745.89400000000001</v>
      </c>
      <c r="I36" s="62">
        <v>657.86699999999996</v>
      </c>
      <c r="J36" s="62">
        <v>5</v>
      </c>
      <c r="K36" s="62">
        <v>1.2</v>
      </c>
      <c r="L36" s="62">
        <f>(C36*$R$11*1000)+R22</f>
        <v>7240</v>
      </c>
      <c r="M36" s="62">
        <f>$R$31*C36</f>
        <v>71.2</v>
      </c>
      <c r="N36" s="56">
        <f t="shared" si="4"/>
        <v>2.0037711423184081E-2</v>
      </c>
      <c r="O36" s="56">
        <f t="shared" si="0"/>
        <v>1780</v>
      </c>
      <c r="P36" s="56"/>
      <c r="Q36" s="1" t="s">
        <v>262</v>
      </c>
      <c r="R36" s="1">
        <v>7.0000000000000007E-2</v>
      </c>
      <c r="T36" s="56"/>
      <c r="U36" s="1">
        <f t="shared" si="5"/>
        <v>502.05960000000005</v>
      </c>
      <c r="V36" s="1">
        <f t="shared" si="6"/>
        <v>-6737.9403999999995</v>
      </c>
      <c r="W36" s="1">
        <f t="shared" si="21"/>
        <v>12551.490000000002</v>
      </c>
      <c r="X36" s="1">
        <f t="shared" si="7"/>
        <v>5311.4900000000016</v>
      </c>
      <c r="Y36" s="1">
        <f t="shared" si="22"/>
        <v>0.19240285776126101</v>
      </c>
      <c r="Z36" s="1">
        <f t="shared" si="23"/>
        <v>0.34077163361842333</v>
      </c>
      <c r="AA36" s="1"/>
      <c r="AB36" s="73" t="s">
        <v>286</v>
      </c>
      <c r="AC36" s="1">
        <f t="shared" si="24"/>
        <v>5</v>
      </c>
      <c r="AD36">
        <f t="shared" si="25"/>
        <v>0</v>
      </c>
      <c r="AE36">
        <f t="shared" si="26"/>
        <v>-11000</v>
      </c>
      <c r="AF36">
        <f t="shared" si="17"/>
        <v>0</v>
      </c>
      <c r="AG36">
        <f t="shared" si="18"/>
        <v>-11000</v>
      </c>
      <c r="AH36">
        <f t="shared" si="27"/>
        <v>46014.035141466338</v>
      </c>
      <c r="AI36">
        <f t="shared" si="19"/>
        <v>34222.631451483096</v>
      </c>
      <c r="AJ36">
        <f t="shared" si="20"/>
        <v>96603.885541342868</v>
      </c>
    </row>
    <row r="37" spans="1:36" x14ac:dyDescent="0.35">
      <c r="A37" s="1">
        <v>36</v>
      </c>
      <c r="B37" s="1">
        <v>5659.8657296841702</v>
      </c>
      <c r="C37" s="1">
        <v>4</v>
      </c>
      <c r="D37" s="1">
        <v>7106.6</v>
      </c>
      <c r="E37" s="1">
        <v>5659.87</v>
      </c>
      <c r="F37" s="1">
        <v>1537.84</v>
      </c>
      <c r="G37" s="1">
        <v>3205.84</v>
      </c>
      <c r="H37" s="1">
        <v>2362.91</v>
      </c>
      <c r="I37" s="1">
        <v>3296.95</v>
      </c>
      <c r="J37" s="1">
        <v>10</v>
      </c>
      <c r="K37" s="1">
        <v>0</v>
      </c>
      <c r="L37" s="1">
        <f t="shared" si="16"/>
        <v>10400</v>
      </c>
      <c r="M37" s="1">
        <f>$R$12*C37</f>
        <v>106</v>
      </c>
      <c r="N37" s="4">
        <f t="shared" si="4"/>
        <v>1.4915712154898262E-2</v>
      </c>
      <c r="O37" s="4">
        <f t="shared" si="0"/>
        <v>2650</v>
      </c>
      <c r="P37" s="4"/>
      <c r="Q37" s="1" t="s">
        <v>263</v>
      </c>
      <c r="R37" s="1">
        <v>2.5000000000000001E-2</v>
      </c>
      <c r="S37" s="4"/>
      <c r="T37" s="4"/>
      <c r="U37" s="1">
        <f t="shared" si="5"/>
        <v>1063.9080200000001</v>
      </c>
      <c r="V37" s="1">
        <f t="shared" si="6"/>
        <v>-9336.0919799999992</v>
      </c>
      <c r="W37" s="1">
        <f t="shared" si="21"/>
        <v>26597.700500000003</v>
      </c>
      <c r="X37" s="1">
        <f t="shared" si="7"/>
        <v>16197.700500000003</v>
      </c>
      <c r="Y37" s="1">
        <f t="shared" si="22"/>
        <v>8.841568898618847E-2</v>
      </c>
      <c r="Z37" s="1">
        <f t="shared" si="23"/>
        <v>0.15168312918317045</v>
      </c>
      <c r="AA37" s="1"/>
      <c r="AB37" s="1">
        <f>SUM(U47:U100)</f>
        <v>0</v>
      </c>
      <c r="AC37" s="1">
        <f t="shared" si="24"/>
        <v>6</v>
      </c>
      <c r="AD37">
        <f t="shared" si="25"/>
        <v>0</v>
      </c>
      <c r="AE37">
        <f t="shared" si="26"/>
        <v>-11000</v>
      </c>
      <c r="AF37">
        <f t="shared" si="17"/>
        <v>0</v>
      </c>
      <c r="AG37">
        <f t="shared" si="18"/>
        <v>-11000</v>
      </c>
      <c r="AH37">
        <f t="shared" si="27"/>
        <v>47164.386020002989</v>
      </c>
      <c r="AI37">
        <f t="shared" si="19"/>
        <v>33061.448857464813</v>
      </c>
      <c r="AJ37">
        <f t="shared" si="20"/>
        <v>129665.33439880768</v>
      </c>
    </row>
    <row r="38" spans="1:36" x14ac:dyDescent="0.35">
      <c r="A38" s="1">
        <v>37</v>
      </c>
      <c r="B38" s="62">
        <v>7074.8321611913698</v>
      </c>
      <c r="C38" s="62">
        <v>6</v>
      </c>
      <c r="D38" s="62">
        <v>10659.9</v>
      </c>
      <c r="E38" s="62">
        <v>7074.83</v>
      </c>
      <c r="F38" s="62">
        <v>3404.59</v>
      </c>
      <c r="G38" s="62">
        <v>4373.93</v>
      </c>
      <c r="H38" s="62">
        <v>3025.14</v>
      </c>
      <c r="I38" s="62">
        <v>2437.81</v>
      </c>
      <c r="J38" s="62">
        <v>15</v>
      </c>
      <c r="K38" s="62">
        <v>5</v>
      </c>
      <c r="L38" s="62">
        <f>(C38*$R$11*1000)+R26</f>
        <v>19100</v>
      </c>
      <c r="M38" s="62">
        <f>$R$31*C38</f>
        <v>213.60000000000002</v>
      </c>
      <c r="N38" s="56">
        <f t="shared" si="4"/>
        <v>2.0037711423184085E-2</v>
      </c>
      <c r="O38" s="56">
        <f t="shared" si="0"/>
        <v>5340.0000000000009</v>
      </c>
      <c r="P38" s="56"/>
      <c r="Q38" s="4"/>
      <c r="R38" s="4"/>
      <c r="T38" s="56"/>
      <c r="U38" s="1">
        <f t="shared" si="5"/>
        <v>1559.0726799999998</v>
      </c>
      <c r="V38" s="1">
        <f>U38-L38</f>
        <v>-17540.927319999999</v>
      </c>
      <c r="W38" s="1">
        <f t="shared" si="21"/>
        <v>38976.816999999995</v>
      </c>
      <c r="X38" s="1">
        <f t="shared" si="7"/>
        <v>19876.816999999995</v>
      </c>
      <c r="Y38" s="1">
        <f t="shared" si="22"/>
        <v>0.12802613893541298</v>
      </c>
      <c r="Z38" s="1">
        <f t="shared" si="23"/>
        <v>0.22098060877529327</v>
      </c>
      <c r="AA38" s="1"/>
      <c r="AB38" s="1"/>
      <c r="AC38" s="1">
        <f t="shared" si="24"/>
        <v>7</v>
      </c>
      <c r="AD38">
        <f t="shared" si="25"/>
        <v>0</v>
      </c>
      <c r="AE38">
        <f t="shared" si="26"/>
        <v>-11000</v>
      </c>
      <c r="AF38">
        <f t="shared" si="17"/>
        <v>0</v>
      </c>
      <c r="AG38">
        <f t="shared" si="18"/>
        <v>-11000</v>
      </c>
      <c r="AH38">
        <f t="shared" si="27"/>
        <v>48343.495670503071</v>
      </c>
      <c r="AI38">
        <f t="shared" si="19"/>
        <v>31939.665484355741</v>
      </c>
      <c r="AJ38">
        <f t="shared" si="20"/>
        <v>161604.99988316343</v>
      </c>
    </row>
    <row r="39" spans="1:36" x14ac:dyDescent="0.35">
      <c r="A39" s="1">
        <v>38</v>
      </c>
      <c r="B39" s="1">
        <v>1036.155497852058</v>
      </c>
      <c r="C39" s="1">
        <v>2</v>
      </c>
      <c r="D39" s="1">
        <v>3553.3</v>
      </c>
      <c r="E39" s="1">
        <v>1036.1600000000001</v>
      </c>
      <c r="F39" s="1">
        <v>1206.4100000000001</v>
      </c>
      <c r="G39" s="1">
        <v>1906.9</v>
      </c>
      <c r="H39" s="1">
        <v>439.99</v>
      </c>
      <c r="I39" s="1">
        <v>596.16499999999996</v>
      </c>
      <c r="J39" s="1">
        <v>5</v>
      </c>
      <c r="K39" s="1">
        <v>0</v>
      </c>
      <c r="L39" s="1">
        <f t="shared" si="16"/>
        <v>5200</v>
      </c>
      <c r="M39" s="1">
        <f>$R$12*C39</f>
        <v>53</v>
      </c>
      <c r="N39" s="4">
        <f t="shared" si="4"/>
        <v>1.4915712154898262E-2</v>
      </c>
      <c r="O39" s="4">
        <f t="shared" si="0"/>
        <v>1325</v>
      </c>
      <c r="P39" s="4"/>
      <c r="Q39" s="4"/>
      <c r="R39" s="4"/>
      <c r="T39" s="4"/>
      <c r="U39" s="1">
        <f t="shared" si="5"/>
        <v>485.31586000000004</v>
      </c>
      <c r="V39" s="1">
        <f t="shared" si="6"/>
        <v>-4714.6841400000003</v>
      </c>
      <c r="W39" s="1">
        <f t="shared" si="21"/>
        <v>12132.896500000001</v>
      </c>
      <c r="X39" s="1">
        <f t="shared" si="7"/>
        <v>6932.8965000000007</v>
      </c>
      <c r="Y39" s="1">
        <f t="shared" si="22"/>
        <v>0.21565778265607527</v>
      </c>
      <c r="Z39" s="1">
        <f t="shared" si="23"/>
        <v>0.38845289753895179</v>
      </c>
      <c r="AA39" s="1"/>
      <c r="AB39" s="1"/>
      <c r="AC39" s="1">
        <f t="shared" si="24"/>
        <v>8</v>
      </c>
      <c r="AD39">
        <f t="shared" si="25"/>
        <v>0</v>
      </c>
      <c r="AE39">
        <f t="shared" si="26"/>
        <v>-11000</v>
      </c>
      <c r="AF39">
        <f t="shared" si="17"/>
        <v>0</v>
      </c>
      <c r="AG39">
        <f t="shared" si="18"/>
        <v>-11000</v>
      </c>
      <c r="AH39">
        <f t="shared" si="27"/>
        <v>49552.083062265643</v>
      </c>
      <c r="AI39">
        <f t="shared" si="19"/>
        <v>30855.944506564218</v>
      </c>
      <c r="AJ39">
        <f t="shared" si="20"/>
        <v>192460.94438972764</v>
      </c>
    </row>
    <row r="40" spans="1:36" x14ac:dyDescent="0.35">
      <c r="A40" s="1">
        <v>39</v>
      </c>
      <c r="B40" s="62">
        <v>1397.7981728371551</v>
      </c>
      <c r="C40" s="62">
        <v>2</v>
      </c>
      <c r="D40" s="62">
        <v>3553.3</v>
      </c>
      <c r="E40" s="62">
        <v>1397.8</v>
      </c>
      <c r="F40" s="62">
        <v>1337.82</v>
      </c>
      <c r="G40" s="62">
        <v>1638.51</v>
      </c>
      <c r="H40" s="62">
        <v>629.24800000000005</v>
      </c>
      <c r="I40" s="62">
        <v>605.05899999999997</v>
      </c>
      <c r="J40" s="62">
        <v>5</v>
      </c>
      <c r="K40" s="62">
        <v>1.2</v>
      </c>
      <c r="L40" s="62">
        <f>(C40*$R$11*1000)+R22</f>
        <v>7240</v>
      </c>
      <c r="M40" s="62">
        <f>$R$31*C40</f>
        <v>71.2</v>
      </c>
      <c r="N40" s="56">
        <f t="shared" si="4"/>
        <v>2.0037711423184081E-2</v>
      </c>
      <c r="O40" s="56">
        <f t="shared" si="0"/>
        <v>1780</v>
      </c>
      <c r="P40" s="56"/>
      <c r="Q40" s="2" t="s">
        <v>49</v>
      </c>
      <c r="R40" s="4">
        <v>25</v>
      </c>
      <c r="T40" s="56"/>
      <c r="U40" s="1">
        <f t="shared" si="5"/>
        <v>494.71850000000001</v>
      </c>
      <c r="V40" s="1">
        <f t="shared" si="6"/>
        <v>-6745.2815000000001</v>
      </c>
      <c r="W40" s="1">
        <f t="shared" si="21"/>
        <v>12367.9625</v>
      </c>
      <c r="X40" s="1">
        <f t="shared" si="7"/>
        <v>5127.9624999999996</v>
      </c>
      <c r="Y40" s="1">
        <f t="shared" si="22"/>
        <v>0.22722069794275418</v>
      </c>
      <c r="Z40" s="1">
        <f t="shared" si="23"/>
        <v>0.40556003592032402</v>
      </c>
      <c r="AA40" s="1"/>
      <c r="AB40" s="1"/>
      <c r="AC40" s="1">
        <f t="shared" si="24"/>
        <v>9</v>
      </c>
      <c r="AD40">
        <f t="shared" si="25"/>
        <v>0</v>
      </c>
      <c r="AE40">
        <f t="shared" si="26"/>
        <v>-11000</v>
      </c>
      <c r="AF40">
        <f t="shared" si="17"/>
        <v>0</v>
      </c>
      <c r="AG40">
        <f t="shared" si="18"/>
        <v>-11000</v>
      </c>
      <c r="AH40">
        <f t="shared" si="27"/>
        <v>50790.885138822276</v>
      </c>
      <c r="AI40">
        <f t="shared" si="19"/>
        <v>29808.994457331119</v>
      </c>
      <c r="AJ40">
        <f t="shared" si="20"/>
        <v>222269.93884705874</v>
      </c>
    </row>
    <row r="41" spans="1:36" x14ac:dyDescent="0.35">
      <c r="A41" s="1">
        <v>40</v>
      </c>
      <c r="B41" s="62">
        <v>2769.3097556877569</v>
      </c>
      <c r="C41" s="62">
        <v>2</v>
      </c>
      <c r="D41" s="62">
        <v>3553.3</v>
      </c>
      <c r="E41" s="62">
        <v>2769.31</v>
      </c>
      <c r="F41" s="62">
        <v>1224.25</v>
      </c>
      <c r="G41" s="62">
        <v>1185.83</v>
      </c>
      <c r="H41" s="62">
        <v>1159.6300000000001</v>
      </c>
      <c r="I41" s="62">
        <v>850.86400000000003</v>
      </c>
      <c r="J41" s="62">
        <v>5</v>
      </c>
      <c r="K41" s="62">
        <v>3.3</v>
      </c>
      <c r="L41" s="62">
        <f>(C41*$R$11*1000)+R24</f>
        <v>8896</v>
      </c>
      <c r="M41" s="62">
        <f>$R$31*C41</f>
        <v>71.2</v>
      </c>
      <c r="N41" s="56">
        <f t="shared" si="4"/>
        <v>2.0037711423184081E-2</v>
      </c>
      <c r="O41" s="56">
        <f t="shared" si="0"/>
        <v>1780</v>
      </c>
      <c r="P41" s="56"/>
      <c r="Q41" s="1"/>
      <c r="R41" s="4"/>
      <c r="S41" s="4"/>
      <c r="T41" s="56"/>
      <c r="U41" s="1">
        <f t="shared" si="5"/>
        <v>530.37775999999997</v>
      </c>
      <c r="V41" s="1">
        <f t="shared" si="6"/>
        <v>-8365.6222400000006</v>
      </c>
      <c r="W41" s="1">
        <f t="shared" si="21"/>
        <v>13259.444</v>
      </c>
      <c r="X41" s="1">
        <f t="shared" si="7"/>
        <v>4363.4439999999995</v>
      </c>
      <c r="Y41" s="1">
        <f t="shared" si="22"/>
        <v>0.14853182417787206</v>
      </c>
      <c r="Z41" s="1">
        <f t="shared" si="23"/>
        <v>0.25913721406842516</v>
      </c>
      <c r="AA41" s="1"/>
      <c r="AB41" s="1"/>
      <c r="AC41" s="1">
        <f t="shared" si="24"/>
        <v>10</v>
      </c>
      <c r="AD41">
        <f t="shared" si="25"/>
        <v>0</v>
      </c>
      <c r="AE41">
        <f t="shared" si="26"/>
        <v>-11000</v>
      </c>
      <c r="AF41">
        <f t="shared" si="17"/>
        <v>0</v>
      </c>
      <c r="AG41">
        <f t="shared" si="18"/>
        <v>-11000</v>
      </c>
      <c r="AH41">
        <f t="shared" si="27"/>
        <v>52060.657267292831</v>
      </c>
      <c r="AI41">
        <f t="shared" si="19"/>
        <v>28797.567689693115</v>
      </c>
      <c r="AJ41">
        <f t="shared" si="20"/>
        <v>251067.50653675187</v>
      </c>
    </row>
    <row r="42" spans="1:36" x14ac:dyDescent="0.35">
      <c r="A42" s="1">
        <v>41</v>
      </c>
      <c r="B42" s="1">
        <v>975.76163139608616</v>
      </c>
      <c r="C42" s="1">
        <v>2</v>
      </c>
      <c r="D42" s="1">
        <v>3553.3</v>
      </c>
      <c r="E42" s="1">
        <v>975.76199999999994</v>
      </c>
      <c r="F42" s="1">
        <v>1216.8800000000001</v>
      </c>
      <c r="G42" s="1">
        <v>1888.06</v>
      </c>
      <c r="H42" s="1">
        <v>448.36099999999999</v>
      </c>
      <c r="I42" s="1">
        <v>527.40099999999995</v>
      </c>
      <c r="J42" s="1">
        <v>5</v>
      </c>
      <c r="K42" s="1">
        <v>0</v>
      </c>
      <c r="L42" s="1">
        <f t="shared" si="16"/>
        <v>5200</v>
      </c>
      <c r="M42" s="1">
        <f>$R$12*C42</f>
        <v>53</v>
      </c>
      <c r="N42" s="4">
        <f t="shared" si="4"/>
        <v>1.4915712154898262E-2</v>
      </c>
      <c r="O42" s="4">
        <f t="shared" si="0"/>
        <v>1325</v>
      </c>
      <c r="P42" s="4"/>
      <c r="Q42" s="4"/>
      <c r="R42" s="4"/>
      <c r="S42" s="4"/>
      <c r="T42" s="4"/>
      <c r="U42" s="1">
        <f t="shared" si="5"/>
        <v>483.74551200000008</v>
      </c>
      <c r="V42" s="1">
        <f t="shared" si="6"/>
        <v>-4716.2544879999996</v>
      </c>
      <c r="W42" s="1">
        <f t="shared" si="21"/>
        <v>12093.637800000002</v>
      </c>
      <c r="X42" s="1">
        <f t="shared" si="7"/>
        <v>6893.6378000000022</v>
      </c>
      <c r="Y42" s="1">
        <f t="shared" si="22"/>
        <v>0.22808252801175949</v>
      </c>
      <c r="Z42" s="1">
        <f t="shared" si="23"/>
        <v>0.41157263720133941</v>
      </c>
      <c r="AA42" s="1"/>
      <c r="AB42" s="1"/>
      <c r="AC42" s="1">
        <f t="shared" si="24"/>
        <v>11</v>
      </c>
      <c r="AD42">
        <f t="shared" si="25"/>
        <v>0</v>
      </c>
      <c r="AE42">
        <f t="shared" si="26"/>
        <v>-11000</v>
      </c>
      <c r="AF42">
        <f t="shared" si="17"/>
        <v>0</v>
      </c>
      <c r="AG42">
        <f t="shared" si="18"/>
        <v>-11000</v>
      </c>
      <c r="AH42">
        <f t="shared" si="27"/>
        <v>53362.173698975152</v>
      </c>
      <c r="AI42">
        <f t="shared" si="19"/>
        <v>27820.458889665832</v>
      </c>
      <c r="AJ42">
        <f t="shared" si="20"/>
        <v>278887.96542641771</v>
      </c>
    </row>
    <row r="43" spans="1:36" x14ac:dyDescent="0.35">
      <c r="A43" s="1">
        <v>42</v>
      </c>
      <c r="B43" s="62">
        <v>1220.838737866377</v>
      </c>
      <c r="C43" s="62">
        <v>2</v>
      </c>
      <c r="D43" s="62">
        <v>3553.3</v>
      </c>
      <c r="E43" s="62">
        <v>1220.8399999999999</v>
      </c>
      <c r="F43" s="62">
        <v>1565.05</v>
      </c>
      <c r="G43" s="62">
        <v>1546.75</v>
      </c>
      <c r="H43" s="62">
        <v>497.50700000000001</v>
      </c>
      <c r="I43" s="62">
        <v>659.64099999999996</v>
      </c>
      <c r="J43" s="62">
        <v>5</v>
      </c>
      <c r="K43" s="62">
        <v>2</v>
      </c>
      <c r="L43" s="62">
        <f>(C43*$R$11*1000)+R23</f>
        <v>8600</v>
      </c>
      <c r="M43" s="62">
        <f>$R$31*C43</f>
        <v>71.2</v>
      </c>
      <c r="N43" s="56">
        <f t="shared" si="4"/>
        <v>2.0037711423184081E-2</v>
      </c>
      <c r="O43" s="56">
        <f t="shared" si="0"/>
        <v>1780</v>
      </c>
      <c r="P43" s="56"/>
      <c r="Q43" s="2" t="s">
        <v>280</v>
      </c>
      <c r="R43" s="1">
        <f>1+((1-(1+$R$13)^(1-$R$40))/$R$13)</f>
        <v>13.43521330378282</v>
      </c>
      <c r="S43" s="4"/>
      <c r="T43" s="56"/>
      <c r="U43" s="1">
        <f t="shared" si="5"/>
        <v>490.11753999999996</v>
      </c>
      <c r="V43" s="1">
        <f t="shared" si="6"/>
        <v>-8109.8824599999998</v>
      </c>
      <c r="W43" s="1">
        <f t="shared" si="21"/>
        <v>12252.938499999998</v>
      </c>
      <c r="X43" s="1">
        <f t="shared" si="7"/>
        <v>3652.9384999999984</v>
      </c>
      <c r="Y43" s="1">
        <f t="shared" si="22"/>
        <v>0.30181120806140382</v>
      </c>
      <c r="Z43" s="1">
        <f t="shared" si="23"/>
        <v>0.54435669740996329</v>
      </c>
      <c r="AA43" s="1"/>
      <c r="AB43" s="1"/>
      <c r="AC43" s="1">
        <f t="shared" si="24"/>
        <v>12</v>
      </c>
      <c r="AD43">
        <f t="shared" si="25"/>
        <v>0</v>
      </c>
      <c r="AE43">
        <f t="shared" si="26"/>
        <v>-11000</v>
      </c>
      <c r="AF43">
        <f t="shared" si="17"/>
        <v>0</v>
      </c>
      <c r="AG43">
        <f t="shared" si="18"/>
        <v>-11000</v>
      </c>
      <c r="AH43">
        <f t="shared" si="27"/>
        <v>54696.228041449525</v>
      </c>
      <c r="AI43">
        <f t="shared" si="19"/>
        <v>26876.503639875096</v>
      </c>
      <c r="AJ43">
        <f t="shared" si="20"/>
        <v>305764.4690662928</v>
      </c>
    </row>
    <row r="44" spans="1:36" x14ac:dyDescent="0.35">
      <c r="A44" s="1">
        <v>43</v>
      </c>
      <c r="B44" s="62">
        <v>3438.0361146713012</v>
      </c>
      <c r="C44" s="62">
        <v>10</v>
      </c>
      <c r="D44" s="62">
        <v>17766.5</v>
      </c>
      <c r="E44" s="62">
        <v>3438.04</v>
      </c>
      <c r="F44" s="62">
        <v>8491</v>
      </c>
      <c r="G44" s="62">
        <v>7948</v>
      </c>
      <c r="H44" s="62">
        <v>1634.71</v>
      </c>
      <c r="I44" s="62">
        <v>1636.63</v>
      </c>
      <c r="J44" s="62">
        <v>25</v>
      </c>
      <c r="K44" s="62">
        <v>9.6999999999999993</v>
      </c>
      <c r="L44" s="62">
        <f>(C44*$R$11*1000)+R28</f>
        <v>34000</v>
      </c>
      <c r="M44" s="62">
        <f>$R$31*C44</f>
        <v>356</v>
      </c>
      <c r="N44" s="56">
        <f t="shared" si="4"/>
        <v>2.0037711423184081E-2</v>
      </c>
      <c r="O44" s="56">
        <f t="shared" si="0"/>
        <v>8900</v>
      </c>
      <c r="P44" s="56"/>
      <c r="Q44" s="4"/>
      <c r="R44" s="4"/>
      <c r="S44" s="4"/>
      <c r="T44" s="56"/>
      <c r="U44" s="1">
        <f t="shared" si="5"/>
        <v>2381.2675399999998</v>
      </c>
      <c r="V44" s="1">
        <f t="shared" si="6"/>
        <v>-31618.732459999999</v>
      </c>
      <c r="W44" s="1">
        <f t="shared" si="21"/>
        <v>59531.688499999997</v>
      </c>
      <c r="X44" s="1">
        <f t="shared" si="7"/>
        <v>25531.688499999997</v>
      </c>
      <c r="Y44" s="1">
        <f t="shared" si="22"/>
        <v>0.41561238098421771</v>
      </c>
      <c r="Z44" s="1">
        <f t="shared" si="23"/>
        <v>0.75611584545931365</v>
      </c>
      <c r="AA44" s="1"/>
      <c r="AB44" s="1"/>
      <c r="AC44" s="1">
        <f t="shared" si="24"/>
        <v>13</v>
      </c>
      <c r="AD44">
        <f t="shared" si="25"/>
        <v>0</v>
      </c>
      <c r="AE44">
        <f t="shared" si="26"/>
        <v>-11000</v>
      </c>
      <c r="AF44">
        <f t="shared" si="17"/>
        <v>0</v>
      </c>
      <c r="AG44">
        <f t="shared" si="18"/>
        <v>-11000</v>
      </c>
      <c r="AH44">
        <f t="shared" si="27"/>
        <v>56063.633742485756</v>
      </c>
      <c r="AI44">
        <f t="shared" si="19"/>
        <v>25964.577031924568</v>
      </c>
      <c r="AJ44">
        <f t="shared" si="20"/>
        <v>331729.04609821737</v>
      </c>
    </row>
    <row r="45" spans="1:36" x14ac:dyDescent="0.35">
      <c r="A45" s="1">
        <v>44</v>
      </c>
      <c r="B45" s="1">
        <v>1279.200878938675</v>
      </c>
      <c r="C45" s="1">
        <v>2</v>
      </c>
      <c r="D45" s="1">
        <v>3553.3</v>
      </c>
      <c r="E45" s="1">
        <v>1279.2</v>
      </c>
      <c r="F45" s="1">
        <v>1135.29</v>
      </c>
      <c r="G45" s="1">
        <v>1864.24</v>
      </c>
      <c r="H45" s="1">
        <v>553.76199999999994</v>
      </c>
      <c r="I45" s="1">
        <v>725.43899999999996</v>
      </c>
      <c r="J45" s="1">
        <v>5</v>
      </c>
      <c r="K45" s="1">
        <v>0</v>
      </c>
      <c r="L45" s="1">
        <f t="shared" si="16"/>
        <v>5200</v>
      </c>
      <c r="M45" s="1">
        <f>$R$12*C45</f>
        <v>53</v>
      </c>
      <c r="N45" s="4">
        <f t="shared" si="4"/>
        <v>1.4915712154898262E-2</v>
      </c>
      <c r="O45" s="4">
        <f t="shared" si="0"/>
        <v>1325</v>
      </c>
      <c r="P45" s="4"/>
      <c r="T45" s="4"/>
      <c r="U45" s="1">
        <f t="shared" si="5"/>
        <v>491.63490000000007</v>
      </c>
      <c r="V45" s="1">
        <f t="shared" si="6"/>
        <v>-4708.3651</v>
      </c>
      <c r="W45" s="1">
        <f t="shared" si="21"/>
        <v>12290.872500000001</v>
      </c>
      <c r="X45" s="1">
        <f>W45-L45</f>
        <v>7090.8725000000013</v>
      </c>
      <c r="Y45" s="1">
        <f t="shared" si="22"/>
        <v>0.17751722644761284</v>
      </c>
      <c r="Z45" s="1">
        <f t="shared" si="23"/>
        <v>0.31748164582513722</v>
      </c>
      <c r="AA45" s="1"/>
      <c r="AB45" s="1"/>
      <c r="AC45" s="1">
        <f t="shared" si="24"/>
        <v>14</v>
      </c>
      <c r="AD45">
        <f t="shared" si="25"/>
        <v>0</v>
      </c>
      <c r="AE45">
        <f t="shared" si="26"/>
        <v>-11000</v>
      </c>
      <c r="AF45">
        <f t="shared" si="17"/>
        <v>0</v>
      </c>
      <c r="AG45">
        <f t="shared" si="18"/>
        <v>-11000</v>
      </c>
      <c r="AH45">
        <f t="shared" si="27"/>
        <v>57465.224586047894</v>
      </c>
      <c r="AI45">
        <f t="shared" si="19"/>
        <v>25083.592325846068</v>
      </c>
      <c r="AJ45">
        <f t="shared" si="20"/>
        <v>356812.63842406345</v>
      </c>
    </row>
    <row r="46" spans="1:36" x14ac:dyDescent="0.35">
      <c r="A46" s="62">
        <v>45</v>
      </c>
      <c r="B46" s="62">
        <v>3266.9511427123548</v>
      </c>
      <c r="C46" s="62">
        <v>2</v>
      </c>
      <c r="D46" s="62">
        <v>3553.3</v>
      </c>
      <c r="E46" s="62">
        <v>3266.95</v>
      </c>
      <c r="F46" s="62">
        <v>1185.51</v>
      </c>
      <c r="G46" s="62">
        <v>1014.2</v>
      </c>
      <c r="H46" s="62">
        <v>1335.02</v>
      </c>
      <c r="I46" s="62">
        <v>888.14800000000002</v>
      </c>
      <c r="J46" s="62">
        <v>5</v>
      </c>
      <c r="K46" s="62">
        <v>4.2</v>
      </c>
      <c r="L46" s="62">
        <f>(C46*$R$11*1000)+R25</f>
        <v>9904</v>
      </c>
      <c r="M46" s="62">
        <f>$R$31*C46</f>
        <v>71.2</v>
      </c>
      <c r="N46" s="56">
        <f t="shared" si="4"/>
        <v>2.0037711423184081E-2</v>
      </c>
      <c r="O46" s="56">
        <f t="shared" si="0"/>
        <v>1780</v>
      </c>
      <c r="P46" s="4"/>
      <c r="T46" s="56"/>
      <c r="U46" s="1">
        <f t="shared" si="5"/>
        <v>543.31640000000004</v>
      </c>
      <c r="V46" s="1">
        <f t="shared" si="6"/>
        <v>-9360.6836000000003</v>
      </c>
      <c r="W46" s="1">
        <f t="shared" si="21"/>
        <v>13582.910000000002</v>
      </c>
      <c r="X46" s="1">
        <f t="shared" si="7"/>
        <v>3678.9100000000017</v>
      </c>
      <c r="Y46" s="1">
        <f t="shared" si="22"/>
        <v>0.14130062069065846</v>
      </c>
      <c r="Z46" s="1">
        <f t="shared" si="23"/>
        <v>0.24568152243981223</v>
      </c>
      <c r="AA46" s="1"/>
      <c r="AB46" s="1"/>
      <c r="AC46" s="1">
        <f t="shared" si="24"/>
        <v>15</v>
      </c>
      <c r="AD46">
        <f t="shared" si="25"/>
        <v>0</v>
      </c>
      <c r="AE46">
        <f t="shared" si="26"/>
        <v>-11000</v>
      </c>
      <c r="AF46">
        <f t="shared" si="17"/>
        <v>0</v>
      </c>
      <c r="AG46">
        <f t="shared" si="18"/>
        <v>-11000</v>
      </c>
      <c r="AH46">
        <f t="shared" si="27"/>
        <v>58901.855200699101</v>
      </c>
      <c r="AI46">
        <f t="shared" si="19"/>
        <v>24232.499655035088</v>
      </c>
      <c r="AJ46">
        <f t="shared" si="20"/>
        <v>381045.13807909854</v>
      </c>
    </row>
    <row r="47" spans="1:36" x14ac:dyDescent="0.35">
      <c r="A47" s="70">
        <v>46</v>
      </c>
      <c r="B47" s="70">
        <v>1763.99702425654</v>
      </c>
      <c r="C47" s="70">
        <v>0</v>
      </c>
      <c r="D47" s="70"/>
      <c r="E47" s="70">
        <v>1764</v>
      </c>
      <c r="F47" s="70"/>
      <c r="G47" s="70"/>
      <c r="H47" s="70"/>
      <c r="I47" s="70"/>
      <c r="J47" s="70">
        <v>0</v>
      </c>
      <c r="K47" s="70">
        <v>0</v>
      </c>
      <c r="L47" s="71">
        <f t="shared" ref="L47:L100" si="28">$R$11*C47*1000</f>
        <v>0</v>
      </c>
      <c r="M47" s="71">
        <f t="shared" ref="M47:M78" si="29">$R$12*C47</f>
        <v>0</v>
      </c>
      <c r="N47" s="71">
        <f t="shared" ref="N47:N78" si="30">$R$12*D47</f>
        <v>0</v>
      </c>
      <c r="O47" s="71">
        <f t="shared" ref="O47:O78" si="31">$R$12*J47</f>
        <v>0</v>
      </c>
      <c r="P47" s="71"/>
      <c r="T47" s="71"/>
      <c r="U47" s="70"/>
      <c r="V47" s="70">
        <f t="shared" si="6"/>
        <v>0</v>
      </c>
      <c r="W47" s="70">
        <f t="shared" si="21"/>
        <v>0</v>
      </c>
      <c r="X47" s="70">
        <f t="shared" si="7"/>
        <v>0</v>
      </c>
      <c r="Y47" s="70">
        <f t="shared" si="22"/>
        <v>0</v>
      </c>
      <c r="Z47" s="70">
        <f t="shared" si="23"/>
        <v>0</v>
      </c>
      <c r="AA47" s="4"/>
      <c r="AB47" s="1"/>
      <c r="AC47" s="1">
        <f t="shared" si="24"/>
        <v>16</v>
      </c>
      <c r="AD47">
        <f t="shared" si="25"/>
        <v>0</v>
      </c>
      <c r="AE47">
        <f t="shared" si="26"/>
        <v>-11000</v>
      </c>
      <c r="AF47">
        <f t="shared" si="17"/>
        <v>0</v>
      </c>
      <c r="AG47">
        <f t="shared" si="18"/>
        <v>-11000</v>
      </c>
      <c r="AH47">
        <f t="shared" si="27"/>
        <v>60374.401580716578</v>
      </c>
      <c r="AI47">
        <f t="shared" si="19"/>
        <v>23410.284775128148</v>
      </c>
      <c r="AJ47">
        <f t="shared" si="20"/>
        <v>404455.42285422666</v>
      </c>
    </row>
    <row r="48" spans="1:36" x14ac:dyDescent="0.35">
      <c r="A48" s="1">
        <v>47</v>
      </c>
      <c r="B48" s="1">
        <v>2322.9032263370332</v>
      </c>
      <c r="C48" s="1">
        <v>0</v>
      </c>
      <c r="D48" s="1"/>
      <c r="E48" s="1">
        <v>2322.9</v>
      </c>
      <c r="F48" s="1"/>
      <c r="G48" s="1"/>
      <c r="H48" s="1"/>
      <c r="I48" s="1"/>
      <c r="J48" s="1">
        <v>0</v>
      </c>
      <c r="K48" s="1">
        <v>0</v>
      </c>
      <c r="L48" s="4">
        <f t="shared" si="28"/>
        <v>0</v>
      </c>
      <c r="M48" s="4">
        <f t="shared" si="29"/>
        <v>0</v>
      </c>
      <c r="N48" s="4">
        <f t="shared" si="30"/>
        <v>0</v>
      </c>
      <c r="O48" s="4">
        <f t="shared" si="31"/>
        <v>0</v>
      </c>
      <c r="P48" s="4"/>
      <c r="T48" s="4"/>
      <c r="U48" s="1"/>
      <c r="V48" s="1">
        <f>U48-L48</f>
        <v>0</v>
      </c>
      <c r="W48" s="1">
        <f t="shared" si="21"/>
        <v>0</v>
      </c>
      <c r="X48" s="1">
        <f t="shared" si="7"/>
        <v>0</v>
      </c>
      <c r="Y48" s="1">
        <f t="shared" si="22"/>
        <v>0</v>
      </c>
      <c r="Z48" s="1">
        <f t="shared" si="23"/>
        <v>0</v>
      </c>
      <c r="AA48" s="4"/>
      <c r="AB48" s="1"/>
      <c r="AC48" s="1">
        <f t="shared" si="24"/>
        <v>17</v>
      </c>
      <c r="AD48">
        <f t="shared" si="25"/>
        <v>0</v>
      </c>
      <c r="AE48">
        <f t="shared" si="26"/>
        <v>-11000</v>
      </c>
      <c r="AF48">
        <f t="shared" si="17"/>
        <v>0</v>
      </c>
      <c r="AG48">
        <f t="shared" si="18"/>
        <v>-11000</v>
      </c>
      <c r="AH48">
        <f t="shared" si="27"/>
        <v>61883.76162023448</v>
      </c>
      <c r="AI48">
        <f t="shared" si="19"/>
        <v>22615.96785533115</v>
      </c>
      <c r="AJ48">
        <f t="shared" si="20"/>
        <v>427071.3907095578</v>
      </c>
    </row>
    <row r="49" spans="1:36" x14ac:dyDescent="0.35">
      <c r="A49" s="1">
        <v>48</v>
      </c>
      <c r="B49" s="1">
        <v>1052.7350255677291</v>
      </c>
      <c r="C49" s="1">
        <v>0</v>
      </c>
      <c r="D49" s="1"/>
      <c r="E49" s="1">
        <v>1052.74</v>
      </c>
      <c r="F49" s="1"/>
      <c r="G49" s="1"/>
      <c r="H49" s="1"/>
      <c r="I49" s="1"/>
      <c r="J49" s="1">
        <v>0</v>
      </c>
      <c r="K49" s="1">
        <v>0</v>
      </c>
      <c r="L49" s="4">
        <f t="shared" si="28"/>
        <v>0</v>
      </c>
      <c r="M49" s="4">
        <f t="shared" si="29"/>
        <v>0</v>
      </c>
      <c r="N49" s="4">
        <f t="shared" si="30"/>
        <v>0</v>
      </c>
      <c r="O49" s="4">
        <f t="shared" si="31"/>
        <v>0</v>
      </c>
      <c r="P49" s="4"/>
      <c r="Q49" s="4"/>
      <c r="R49" s="4"/>
      <c r="S49" s="4"/>
      <c r="T49" s="4"/>
      <c r="U49" s="1"/>
      <c r="V49" s="1">
        <f t="shared" si="6"/>
        <v>0</v>
      </c>
      <c r="W49" s="1">
        <f t="shared" si="21"/>
        <v>0</v>
      </c>
      <c r="X49" s="1">
        <f t="shared" si="7"/>
        <v>0</v>
      </c>
      <c r="Y49" s="1">
        <f t="shared" si="22"/>
        <v>0</v>
      </c>
      <c r="Z49" s="1">
        <f t="shared" si="23"/>
        <v>0</v>
      </c>
      <c r="AA49" s="4"/>
      <c r="AB49" s="1"/>
      <c r="AC49" s="1">
        <f>AC48+1</f>
        <v>18</v>
      </c>
      <c r="AD49">
        <f t="shared" si="25"/>
        <v>0</v>
      </c>
      <c r="AE49">
        <f t="shared" si="26"/>
        <v>-11000</v>
      </c>
      <c r="AF49">
        <f t="shared" si="17"/>
        <v>0</v>
      </c>
      <c r="AG49">
        <f t="shared" si="18"/>
        <v>-11000</v>
      </c>
      <c r="AH49">
        <f t="shared" si="27"/>
        <v>63430.855660740344</v>
      </c>
      <c r="AI49">
        <f t="shared" si="19"/>
        <v>21848.602310758179</v>
      </c>
      <c r="AJ49">
        <f t="shared" si="20"/>
        <v>448919.993020316</v>
      </c>
    </row>
    <row r="50" spans="1:36" x14ac:dyDescent="0.35">
      <c r="A50" s="1">
        <v>49</v>
      </c>
      <c r="B50" s="1">
        <v>2650.8063291642311</v>
      </c>
      <c r="C50" s="1">
        <v>0</v>
      </c>
      <c r="D50" s="1"/>
      <c r="E50" s="1">
        <v>2650.81</v>
      </c>
      <c r="F50" s="1"/>
      <c r="G50" s="1"/>
      <c r="H50" s="1"/>
      <c r="I50" s="1"/>
      <c r="J50" s="1">
        <v>0</v>
      </c>
      <c r="K50" s="1">
        <v>0</v>
      </c>
      <c r="L50" s="4">
        <f t="shared" si="28"/>
        <v>0</v>
      </c>
      <c r="M50" s="4">
        <f t="shared" si="29"/>
        <v>0</v>
      </c>
      <c r="N50" s="4">
        <f t="shared" si="30"/>
        <v>0</v>
      </c>
      <c r="O50" s="4">
        <f t="shared" si="31"/>
        <v>0</v>
      </c>
      <c r="P50" s="4"/>
      <c r="Q50" s="4"/>
      <c r="R50" s="4"/>
      <c r="S50" s="4"/>
      <c r="T50" s="4"/>
      <c r="U50" s="4"/>
      <c r="V50" s="1">
        <f t="shared" si="6"/>
        <v>0</v>
      </c>
      <c r="W50" s="1">
        <f t="shared" si="21"/>
        <v>0</v>
      </c>
      <c r="X50" s="1">
        <f t="shared" si="7"/>
        <v>0</v>
      </c>
      <c r="Y50" s="1">
        <f t="shared" si="22"/>
        <v>0</v>
      </c>
      <c r="Z50" s="1">
        <f t="shared" si="23"/>
        <v>0</v>
      </c>
      <c r="AA50" s="4"/>
      <c r="AB50" s="1"/>
      <c r="AC50" s="1">
        <f t="shared" ref="AC50:AC54" si="32">AC49+1</f>
        <v>19</v>
      </c>
      <c r="AD50">
        <f t="shared" si="25"/>
        <v>0</v>
      </c>
      <c r="AE50">
        <f t="shared" si="26"/>
        <v>-11000</v>
      </c>
      <c r="AF50">
        <f t="shared" si="17"/>
        <v>0</v>
      </c>
      <c r="AG50">
        <f t="shared" si="18"/>
        <v>-11000</v>
      </c>
      <c r="AH50">
        <f t="shared" si="27"/>
        <v>65016.627052258853</v>
      </c>
      <c r="AI50">
        <f t="shared" si="19"/>
        <v>21107.273674389384</v>
      </c>
      <c r="AJ50">
        <f t="shared" si="20"/>
        <v>470027.26669470541</v>
      </c>
    </row>
    <row r="51" spans="1:36" x14ac:dyDescent="0.35">
      <c r="A51" s="1">
        <v>50</v>
      </c>
      <c r="B51" s="1">
        <v>2336.365059758562</v>
      </c>
      <c r="C51" s="1">
        <v>0</v>
      </c>
      <c r="D51" s="1"/>
      <c r="E51" s="1">
        <v>2336.37</v>
      </c>
      <c r="F51" s="1"/>
      <c r="G51" s="1"/>
      <c r="H51" s="1"/>
      <c r="I51" s="1"/>
      <c r="J51" s="1">
        <v>0</v>
      </c>
      <c r="K51" s="1">
        <v>0</v>
      </c>
      <c r="L51" s="4">
        <f t="shared" si="28"/>
        <v>0</v>
      </c>
      <c r="M51" s="4">
        <f t="shared" si="29"/>
        <v>0</v>
      </c>
      <c r="N51" s="4">
        <f t="shared" si="30"/>
        <v>0</v>
      </c>
      <c r="O51" s="4">
        <f t="shared" si="31"/>
        <v>0</v>
      </c>
      <c r="P51" s="4"/>
      <c r="Q51" s="4"/>
      <c r="R51" s="4"/>
      <c r="S51" s="4"/>
      <c r="T51" s="4"/>
      <c r="U51" s="4"/>
      <c r="V51" s="1">
        <f t="shared" si="6"/>
        <v>0</v>
      </c>
      <c r="W51" s="1">
        <f t="shared" si="21"/>
        <v>0</v>
      </c>
      <c r="X51" s="1">
        <f t="shared" si="7"/>
        <v>0</v>
      </c>
      <c r="Y51" s="1">
        <f t="shared" si="22"/>
        <v>0</v>
      </c>
      <c r="Z51" s="1">
        <f t="shared" si="23"/>
        <v>0</v>
      </c>
      <c r="AA51" s="4"/>
      <c r="AB51" s="1"/>
      <c r="AC51" s="1">
        <f t="shared" si="32"/>
        <v>20</v>
      </c>
      <c r="AD51">
        <f t="shared" si="25"/>
        <v>0</v>
      </c>
      <c r="AE51">
        <f t="shared" si="26"/>
        <v>-11000</v>
      </c>
      <c r="AF51">
        <f t="shared" si="17"/>
        <v>0</v>
      </c>
      <c r="AG51">
        <f t="shared" si="18"/>
        <v>-11000</v>
      </c>
      <c r="AH51">
        <f t="shared" si="27"/>
        <v>66642.042728565313</v>
      </c>
      <c r="AI51">
        <f t="shared" si="19"/>
        <v>20391.098507303595</v>
      </c>
      <c r="AJ51">
        <f t="shared" si="20"/>
        <v>490418.36520200898</v>
      </c>
    </row>
    <row r="52" spans="1:36" x14ac:dyDescent="0.35">
      <c r="A52" s="1">
        <v>51</v>
      </c>
      <c r="B52" s="1">
        <v>586.05584352134008</v>
      </c>
      <c r="C52" s="1">
        <v>0</v>
      </c>
      <c r="D52" s="1"/>
      <c r="E52" s="1">
        <v>586.05600000000004</v>
      </c>
      <c r="F52" s="1"/>
      <c r="G52" s="1"/>
      <c r="H52" s="1"/>
      <c r="I52" s="1"/>
      <c r="J52" s="1">
        <v>0</v>
      </c>
      <c r="K52" s="1">
        <v>0</v>
      </c>
      <c r="L52" s="4">
        <f t="shared" si="28"/>
        <v>0</v>
      </c>
      <c r="M52" s="4">
        <f t="shared" si="29"/>
        <v>0</v>
      </c>
      <c r="N52" s="4">
        <f t="shared" si="30"/>
        <v>0</v>
      </c>
      <c r="O52" s="4">
        <f t="shared" si="31"/>
        <v>0</v>
      </c>
      <c r="P52" s="4"/>
      <c r="Q52" s="4"/>
      <c r="R52" s="4"/>
      <c r="S52" s="4"/>
      <c r="T52" s="4"/>
      <c r="U52" s="4"/>
      <c r="V52" s="1">
        <f t="shared" si="6"/>
        <v>0</v>
      </c>
      <c r="W52" s="1">
        <f t="shared" si="21"/>
        <v>0</v>
      </c>
      <c r="X52" s="1">
        <f t="shared" si="7"/>
        <v>0</v>
      </c>
      <c r="Y52" s="1">
        <f t="shared" si="22"/>
        <v>0</v>
      </c>
      <c r="Z52" s="1">
        <f t="shared" si="23"/>
        <v>0</v>
      </c>
      <c r="AA52" s="4"/>
      <c r="AB52" s="1"/>
      <c r="AC52" s="1">
        <f t="shared" si="32"/>
        <v>21</v>
      </c>
      <c r="AD52">
        <f t="shared" si="25"/>
        <v>0</v>
      </c>
      <c r="AE52">
        <f t="shared" si="26"/>
        <v>-11000</v>
      </c>
      <c r="AF52">
        <f t="shared" si="17"/>
        <v>0</v>
      </c>
      <c r="AG52">
        <f t="shared" si="18"/>
        <v>-11000</v>
      </c>
      <c r="AH52">
        <f t="shared" si="27"/>
        <v>68308.093796779445</v>
      </c>
      <c r="AI52">
        <f t="shared" si="19"/>
        <v>19699.223345887072</v>
      </c>
      <c r="AJ52">
        <f t="shared" si="20"/>
        <v>510117.58854789607</v>
      </c>
    </row>
    <row r="53" spans="1:36" x14ac:dyDescent="0.35">
      <c r="A53" s="1">
        <v>52</v>
      </c>
      <c r="B53" s="1">
        <v>5329.6971333659421</v>
      </c>
      <c r="C53" s="1">
        <v>0</v>
      </c>
      <c r="D53" s="1"/>
      <c r="E53" s="1">
        <v>5329.7</v>
      </c>
      <c r="F53" s="1"/>
      <c r="G53" s="1"/>
      <c r="H53" s="1"/>
      <c r="I53" s="1"/>
      <c r="J53" s="1">
        <v>0</v>
      </c>
      <c r="K53" s="1">
        <v>0</v>
      </c>
      <c r="L53" s="4">
        <f t="shared" si="28"/>
        <v>0</v>
      </c>
      <c r="M53" s="4">
        <f t="shared" si="29"/>
        <v>0</v>
      </c>
      <c r="N53" s="4">
        <f t="shared" si="30"/>
        <v>0</v>
      </c>
      <c r="O53" s="4">
        <f t="shared" si="31"/>
        <v>0</v>
      </c>
      <c r="P53" s="4"/>
      <c r="Q53" s="4"/>
      <c r="R53" s="4"/>
      <c r="S53" s="4"/>
      <c r="T53" s="4"/>
      <c r="U53" s="4"/>
      <c r="V53" s="1">
        <f t="shared" si="6"/>
        <v>0</v>
      </c>
      <c r="W53" s="1">
        <f t="shared" si="21"/>
        <v>0</v>
      </c>
      <c r="X53" s="1">
        <f t="shared" si="7"/>
        <v>0</v>
      </c>
      <c r="Y53" s="1">
        <f t="shared" si="22"/>
        <v>0</v>
      </c>
      <c r="Z53" s="1">
        <f t="shared" si="23"/>
        <v>0</v>
      </c>
      <c r="AA53" s="4"/>
      <c r="AB53" s="1"/>
      <c r="AC53" s="1">
        <f t="shared" si="32"/>
        <v>22</v>
      </c>
      <c r="AD53">
        <f t="shared" si="25"/>
        <v>0</v>
      </c>
      <c r="AE53">
        <f t="shared" si="26"/>
        <v>-11000</v>
      </c>
      <c r="AF53">
        <f t="shared" si="17"/>
        <v>0</v>
      </c>
      <c r="AG53">
        <f t="shared" si="18"/>
        <v>-11000</v>
      </c>
      <c r="AH53">
        <f t="shared" si="27"/>
        <v>70015.796141698927</v>
      </c>
      <c r="AI53">
        <f t="shared" si="19"/>
        <v>19030.823684763665</v>
      </c>
      <c r="AJ53">
        <f t="shared" si="20"/>
        <v>529148.41223265976</v>
      </c>
    </row>
    <row r="54" spans="1:36" x14ac:dyDescent="0.35">
      <c r="A54" s="1">
        <v>53</v>
      </c>
      <c r="B54" s="1">
        <v>5328.3833046167756</v>
      </c>
      <c r="C54" s="1">
        <v>0</v>
      </c>
      <c r="D54" s="1"/>
      <c r="E54" s="1">
        <v>5328.38</v>
      </c>
      <c r="F54" s="1"/>
      <c r="G54" s="1"/>
      <c r="H54" s="1"/>
      <c r="I54" s="1"/>
      <c r="J54" s="1">
        <v>0</v>
      </c>
      <c r="K54" s="1">
        <v>0</v>
      </c>
      <c r="L54" s="4">
        <f t="shared" si="28"/>
        <v>0</v>
      </c>
      <c r="M54" s="4">
        <f t="shared" si="29"/>
        <v>0</v>
      </c>
      <c r="N54" s="4">
        <f t="shared" si="30"/>
        <v>0</v>
      </c>
      <c r="O54" s="4">
        <f t="shared" si="31"/>
        <v>0</v>
      </c>
      <c r="P54" s="4"/>
      <c r="Q54" s="4"/>
      <c r="R54" s="4"/>
      <c r="S54" s="4"/>
      <c r="T54" s="4"/>
      <c r="U54" s="4"/>
      <c r="V54" s="1">
        <f t="shared" si="6"/>
        <v>0</v>
      </c>
      <c r="W54" s="1">
        <f t="shared" si="21"/>
        <v>0</v>
      </c>
      <c r="X54" s="1">
        <f t="shared" si="7"/>
        <v>0</v>
      </c>
      <c r="Y54" s="1">
        <f t="shared" si="22"/>
        <v>0</v>
      </c>
      <c r="Z54" s="1">
        <f t="shared" si="23"/>
        <v>0</v>
      </c>
      <c r="AA54" s="4"/>
      <c r="AB54" s="1"/>
      <c r="AC54" s="1">
        <f t="shared" si="32"/>
        <v>23</v>
      </c>
      <c r="AD54">
        <f t="shared" si="25"/>
        <v>0</v>
      </c>
      <c r="AE54">
        <f t="shared" si="26"/>
        <v>-11000</v>
      </c>
      <c r="AF54">
        <f t="shared" si="17"/>
        <v>0</v>
      </c>
      <c r="AG54">
        <f t="shared" si="18"/>
        <v>-11000</v>
      </c>
      <c r="AH54">
        <f t="shared" si="27"/>
        <v>71766.191045241401</v>
      </c>
      <c r="AI54">
        <f t="shared" si="19"/>
        <v>18385.102994234458</v>
      </c>
      <c r="AJ54">
        <f t="shared" si="20"/>
        <v>547533.51522689417</v>
      </c>
    </row>
    <row r="55" spans="1:36" x14ac:dyDescent="0.35">
      <c r="A55" s="1">
        <v>54</v>
      </c>
      <c r="B55" s="1">
        <v>1132.850191183687</v>
      </c>
      <c r="C55" s="1">
        <v>0</v>
      </c>
      <c r="D55" s="1"/>
      <c r="E55" s="1">
        <v>1132.8499999999999</v>
      </c>
      <c r="F55" s="1"/>
      <c r="G55" s="1"/>
      <c r="H55" s="1"/>
      <c r="I55" s="1"/>
      <c r="J55" s="1">
        <v>0</v>
      </c>
      <c r="K55" s="1">
        <v>0</v>
      </c>
      <c r="L55" s="4">
        <f t="shared" si="28"/>
        <v>0</v>
      </c>
      <c r="M55" s="4">
        <f t="shared" si="29"/>
        <v>0</v>
      </c>
      <c r="N55" s="4">
        <f t="shared" si="30"/>
        <v>0</v>
      </c>
      <c r="O55" s="4">
        <f t="shared" si="31"/>
        <v>0</v>
      </c>
      <c r="P55" s="4"/>
      <c r="Q55" s="4"/>
      <c r="R55" s="4"/>
      <c r="S55" s="4"/>
      <c r="T55" s="4"/>
      <c r="U55" s="4"/>
      <c r="V55" s="1">
        <f t="shared" si="6"/>
        <v>0</v>
      </c>
      <c r="W55" s="1">
        <f t="shared" si="21"/>
        <v>0</v>
      </c>
      <c r="X55" s="1">
        <f t="shared" si="7"/>
        <v>0</v>
      </c>
      <c r="Y55" s="1">
        <f t="shared" si="22"/>
        <v>0</v>
      </c>
      <c r="Z55" s="1">
        <f t="shared" si="23"/>
        <v>0</v>
      </c>
      <c r="AA55" s="4"/>
      <c r="AB55" s="1"/>
      <c r="AC55" s="1">
        <f>AC54+1</f>
        <v>24</v>
      </c>
      <c r="AD55">
        <f t="shared" si="25"/>
        <v>0</v>
      </c>
      <c r="AE55">
        <f t="shared" si="26"/>
        <v>-11000</v>
      </c>
      <c r="AF55">
        <f t="shared" si="17"/>
        <v>0</v>
      </c>
      <c r="AG55">
        <f t="shared" si="18"/>
        <v>-11000</v>
      </c>
      <c r="AH55">
        <f t="shared" si="27"/>
        <v>73560.345821372437</v>
      </c>
      <c r="AI55">
        <f t="shared" si="19"/>
        <v>17761.291771055909</v>
      </c>
      <c r="AJ55">
        <f t="shared" si="20"/>
        <v>565294.80699795007</v>
      </c>
    </row>
    <row r="56" spans="1:36" x14ac:dyDescent="0.35">
      <c r="A56" s="1">
        <v>55</v>
      </c>
      <c r="B56" s="1">
        <v>1734.337401732017</v>
      </c>
      <c r="C56" s="1">
        <v>0</v>
      </c>
      <c r="D56" s="1"/>
      <c r="E56" s="1">
        <v>1734.34</v>
      </c>
      <c r="F56" s="1"/>
      <c r="G56" s="1"/>
      <c r="H56" s="1"/>
      <c r="I56" s="1"/>
      <c r="J56" s="1">
        <v>0</v>
      </c>
      <c r="K56" s="1">
        <v>0</v>
      </c>
      <c r="L56" s="4">
        <f t="shared" si="28"/>
        <v>0</v>
      </c>
      <c r="M56" s="4">
        <f t="shared" si="29"/>
        <v>0</v>
      </c>
      <c r="N56" s="4">
        <f t="shared" si="30"/>
        <v>0</v>
      </c>
      <c r="O56" s="4">
        <f t="shared" si="31"/>
        <v>0</v>
      </c>
      <c r="P56" s="4"/>
      <c r="Q56" s="4"/>
      <c r="R56" s="4"/>
      <c r="S56" s="4"/>
      <c r="T56" s="4"/>
      <c r="U56" s="4"/>
      <c r="V56" s="1">
        <f t="shared" si="6"/>
        <v>0</v>
      </c>
      <c r="W56" s="1">
        <f t="shared" si="21"/>
        <v>0</v>
      </c>
      <c r="X56" s="1">
        <f t="shared" si="7"/>
        <v>0</v>
      </c>
      <c r="Y56" s="1">
        <f t="shared" si="22"/>
        <v>0</v>
      </c>
      <c r="Z56" s="1">
        <f t="shared" si="23"/>
        <v>0</v>
      </c>
      <c r="AA56" s="4"/>
      <c r="AB56" s="1"/>
      <c r="AC56" s="1">
        <f t="shared" ref="AC56" si="33">AC55+1</f>
        <v>25</v>
      </c>
      <c r="AD56">
        <f t="shared" si="25"/>
        <v>0</v>
      </c>
      <c r="AE56">
        <f t="shared" si="26"/>
        <v>-11000</v>
      </c>
      <c r="AF56">
        <f t="shared" si="17"/>
        <v>0</v>
      </c>
      <c r="AG56">
        <f t="shared" si="18"/>
        <v>-11000</v>
      </c>
      <c r="AH56">
        <f t="shared" si="27"/>
        <v>75399.354466906734</v>
      </c>
      <c r="AI56">
        <f t="shared" si="19"/>
        <v>17158.646621425356</v>
      </c>
      <c r="AJ56">
        <f t="shared" si="20"/>
        <v>582453.45361937548</v>
      </c>
    </row>
    <row r="57" spans="1:36" x14ac:dyDescent="0.35">
      <c r="A57" s="1">
        <v>56</v>
      </c>
      <c r="B57" s="1">
        <v>1696.5437943175671</v>
      </c>
      <c r="C57" s="1">
        <v>0</v>
      </c>
      <c r="D57" s="1"/>
      <c r="E57" s="1">
        <v>1696.54</v>
      </c>
      <c r="F57" s="1"/>
      <c r="G57" s="1"/>
      <c r="H57" s="1"/>
      <c r="I57" s="1"/>
      <c r="J57" s="1">
        <v>0</v>
      </c>
      <c r="K57" s="1">
        <v>0</v>
      </c>
      <c r="L57" s="4">
        <f t="shared" si="28"/>
        <v>0</v>
      </c>
      <c r="M57" s="4">
        <f t="shared" si="29"/>
        <v>0</v>
      </c>
      <c r="N57" s="4">
        <f t="shared" si="30"/>
        <v>0</v>
      </c>
      <c r="O57" s="4">
        <f t="shared" si="31"/>
        <v>0</v>
      </c>
      <c r="P57" s="4"/>
      <c r="Q57" s="4"/>
      <c r="R57" s="4"/>
      <c r="S57" s="4"/>
      <c r="T57" s="4"/>
      <c r="U57" s="4"/>
      <c r="V57" s="1">
        <f t="shared" si="6"/>
        <v>0</v>
      </c>
      <c r="W57" s="1">
        <f t="shared" si="21"/>
        <v>0</v>
      </c>
      <c r="X57" s="1">
        <f t="shared" si="7"/>
        <v>0</v>
      </c>
      <c r="Y57" s="1">
        <f t="shared" si="22"/>
        <v>0</v>
      </c>
      <c r="Z57" s="1">
        <f t="shared" si="23"/>
        <v>0</v>
      </c>
      <c r="AA57" s="4"/>
    </row>
    <row r="58" spans="1:36" x14ac:dyDescent="0.35">
      <c r="A58" s="1">
        <v>57</v>
      </c>
      <c r="B58" s="1">
        <v>2227.6855671211929</v>
      </c>
      <c r="C58" s="1">
        <v>0</v>
      </c>
      <c r="D58" s="1"/>
      <c r="E58" s="1">
        <v>2227.69</v>
      </c>
      <c r="F58" s="1"/>
      <c r="G58" s="1"/>
      <c r="H58" s="1"/>
      <c r="I58" s="1"/>
      <c r="J58" s="1">
        <v>0</v>
      </c>
      <c r="K58" s="1">
        <v>0</v>
      </c>
      <c r="L58" s="4">
        <f t="shared" si="28"/>
        <v>0</v>
      </c>
      <c r="M58" s="4">
        <f t="shared" si="29"/>
        <v>0</v>
      </c>
      <c r="N58" s="4">
        <f t="shared" si="30"/>
        <v>0</v>
      </c>
      <c r="O58" s="4">
        <f t="shared" si="31"/>
        <v>0</v>
      </c>
      <c r="P58" s="4"/>
      <c r="Q58" s="4"/>
      <c r="R58" s="4"/>
      <c r="S58" s="4"/>
      <c r="T58" s="4"/>
      <c r="U58" s="4"/>
      <c r="V58" s="1">
        <f t="shared" si="6"/>
        <v>0</v>
      </c>
      <c r="W58" s="1">
        <f t="shared" si="21"/>
        <v>0</v>
      </c>
      <c r="X58" s="1">
        <f t="shared" si="7"/>
        <v>0</v>
      </c>
      <c r="Y58" s="1">
        <f t="shared" si="22"/>
        <v>0</v>
      </c>
      <c r="Z58" s="1">
        <f t="shared" si="23"/>
        <v>0</v>
      </c>
      <c r="AA58" s="4"/>
    </row>
    <row r="59" spans="1:36" x14ac:dyDescent="0.35">
      <c r="A59" s="1">
        <v>58</v>
      </c>
      <c r="B59" s="1">
        <v>404.30530639696019</v>
      </c>
      <c r="C59" s="1">
        <v>0</v>
      </c>
      <c r="D59" s="1"/>
      <c r="E59" s="1">
        <v>404.30500000000001</v>
      </c>
      <c r="F59" s="1"/>
      <c r="G59" s="1"/>
      <c r="H59" s="1"/>
      <c r="I59" s="1"/>
      <c r="J59" s="1">
        <v>0</v>
      </c>
      <c r="K59" s="1">
        <v>0</v>
      </c>
      <c r="L59" s="4">
        <f t="shared" si="28"/>
        <v>0</v>
      </c>
      <c r="M59" s="4">
        <f t="shared" si="29"/>
        <v>0</v>
      </c>
      <c r="N59" s="4">
        <f t="shared" si="30"/>
        <v>0</v>
      </c>
      <c r="O59" s="4">
        <f t="shared" si="31"/>
        <v>0</v>
      </c>
      <c r="P59" s="4"/>
      <c r="Q59" s="4"/>
      <c r="R59" s="4"/>
      <c r="S59" s="4"/>
      <c r="T59" s="4"/>
      <c r="U59" s="4"/>
      <c r="V59" s="1">
        <f t="shared" si="6"/>
        <v>0</v>
      </c>
      <c r="W59" s="1">
        <f t="shared" si="21"/>
        <v>0</v>
      </c>
      <c r="X59" s="1">
        <f t="shared" si="7"/>
        <v>0</v>
      </c>
      <c r="Y59" s="1">
        <f t="shared" si="22"/>
        <v>0</v>
      </c>
      <c r="Z59" s="1">
        <f t="shared" si="23"/>
        <v>0</v>
      </c>
      <c r="AA59" s="4"/>
    </row>
    <row r="60" spans="1:36" x14ac:dyDescent="0.35">
      <c r="A60" s="1">
        <v>59</v>
      </c>
      <c r="B60" s="1">
        <v>3141.552121160008</v>
      </c>
      <c r="C60" s="1">
        <v>0</v>
      </c>
      <c r="D60" s="1"/>
      <c r="E60" s="1">
        <v>3141.55</v>
      </c>
      <c r="F60" s="1"/>
      <c r="G60" s="1"/>
      <c r="H60" s="1"/>
      <c r="I60" s="1"/>
      <c r="J60" s="1">
        <v>0</v>
      </c>
      <c r="K60" s="1">
        <v>0</v>
      </c>
      <c r="L60" s="4">
        <f t="shared" si="28"/>
        <v>0</v>
      </c>
      <c r="M60" s="4">
        <f t="shared" si="29"/>
        <v>0</v>
      </c>
      <c r="N60" s="4">
        <f t="shared" si="30"/>
        <v>0</v>
      </c>
      <c r="O60" s="4">
        <f t="shared" si="31"/>
        <v>0</v>
      </c>
      <c r="P60" s="4"/>
      <c r="Q60" s="4"/>
      <c r="R60" s="4"/>
      <c r="S60" s="4"/>
      <c r="T60" s="4"/>
      <c r="U60" s="4"/>
      <c r="V60" s="1">
        <f t="shared" si="6"/>
        <v>0</v>
      </c>
      <c r="W60" s="1">
        <f t="shared" si="21"/>
        <v>0</v>
      </c>
      <c r="X60" s="1">
        <f t="shared" si="7"/>
        <v>0</v>
      </c>
      <c r="Y60" s="1">
        <f t="shared" si="22"/>
        <v>0</v>
      </c>
      <c r="Z60" s="1">
        <f t="shared" si="23"/>
        <v>0</v>
      </c>
      <c r="AA60" s="4"/>
    </row>
    <row r="61" spans="1:36" x14ac:dyDescent="0.35">
      <c r="A61" s="1">
        <v>60</v>
      </c>
      <c r="B61" s="1">
        <v>2862.8042339526478</v>
      </c>
      <c r="C61" s="1">
        <v>0</v>
      </c>
      <c r="D61" s="1"/>
      <c r="E61" s="1">
        <v>2862.8</v>
      </c>
      <c r="F61" s="1"/>
      <c r="G61" s="1"/>
      <c r="H61" s="1"/>
      <c r="I61" s="1"/>
      <c r="J61" s="1">
        <v>0</v>
      </c>
      <c r="K61" s="1">
        <v>0</v>
      </c>
      <c r="L61" s="4">
        <f t="shared" si="28"/>
        <v>0</v>
      </c>
      <c r="M61" s="4">
        <f t="shared" si="29"/>
        <v>0</v>
      </c>
      <c r="N61" s="4">
        <f t="shared" si="30"/>
        <v>0</v>
      </c>
      <c r="O61" s="4">
        <f t="shared" si="31"/>
        <v>0</v>
      </c>
      <c r="P61" s="4"/>
      <c r="Q61" s="4"/>
      <c r="R61" s="4"/>
      <c r="S61" s="4"/>
      <c r="T61" s="4"/>
      <c r="U61" s="4"/>
      <c r="V61" s="1">
        <f t="shared" si="6"/>
        <v>0</v>
      </c>
      <c r="W61" s="1">
        <f t="shared" si="21"/>
        <v>0</v>
      </c>
      <c r="X61" s="1">
        <f t="shared" si="7"/>
        <v>0</v>
      </c>
      <c r="Y61" s="1">
        <f t="shared" si="22"/>
        <v>0</v>
      </c>
      <c r="Z61" s="1">
        <f t="shared" si="23"/>
        <v>0</v>
      </c>
      <c r="AA61" s="4"/>
    </row>
    <row r="62" spans="1:36" x14ac:dyDescent="0.35">
      <c r="A62" s="1">
        <v>61</v>
      </c>
      <c r="B62" s="1">
        <v>2954.0094942934988</v>
      </c>
      <c r="C62" s="1">
        <v>0</v>
      </c>
      <c r="D62" s="1"/>
      <c r="E62" s="1">
        <v>2954.01</v>
      </c>
      <c r="F62" s="1"/>
      <c r="G62" s="1"/>
      <c r="H62" s="1"/>
      <c r="I62" s="1"/>
      <c r="J62" s="1">
        <v>0</v>
      </c>
      <c r="K62" s="1">
        <v>0</v>
      </c>
      <c r="L62" s="4">
        <f t="shared" si="28"/>
        <v>0</v>
      </c>
      <c r="M62" s="4">
        <f t="shared" si="29"/>
        <v>0</v>
      </c>
      <c r="N62" s="4">
        <f t="shared" si="30"/>
        <v>0</v>
      </c>
      <c r="O62" s="4">
        <f t="shared" si="31"/>
        <v>0</v>
      </c>
      <c r="P62" s="4"/>
      <c r="Q62" s="4"/>
      <c r="R62" s="4"/>
      <c r="S62" s="4"/>
      <c r="T62" s="4"/>
      <c r="U62" s="4"/>
      <c r="V62" s="1">
        <f t="shared" si="6"/>
        <v>0</v>
      </c>
      <c r="W62" s="1">
        <f t="shared" si="21"/>
        <v>0</v>
      </c>
      <c r="X62" s="1">
        <f t="shared" si="7"/>
        <v>0</v>
      </c>
      <c r="Y62" s="1">
        <f t="shared" si="22"/>
        <v>0</v>
      </c>
      <c r="Z62" s="1">
        <f t="shared" si="23"/>
        <v>0</v>
      </c>
      <c r="AA62" s="4"/>
    </row>
    <row r="63" spans="1:36" x14ac:dyDescent="0.35">
      <c r="A63" s="1">
        <v>62</v>
      </c>
      <c r="B63" s="1">
        <v>1204.0745303370161</v>
      </c>
      <c r="C63" s="1">
        <v>0</v>
      </c>
      <c r="D63" s="1"/>
      <c r="E63" s="1">
        <v>1204.07</v>
      </c>
      <c r="F63" s="1"/>
      <c r="G63" s="1"/>
      <c r="H63" s="1"/>
      <c r="I63" s="1"/>
      <c r="J63" s="1">
        <v>0</v>
      </c>
      <c r="K63" s="1">
        <v>0</v>
      </c>
      <c r="L63" s="4">
        <f t="shared" si="28"/>
        <v>0</v>
      </c>
      <c r="M63" s="4">
        <f t="shared" si="29"/>
        <v>0</v>
      </c>
      <c r="N63" s="4">
        <f t="shared" si="30"/>
        <v>0</v>
      </c>
      <c r="O63" s="4">
        <f t="shared" si="31"/>
        <v>0</v>
      </c>
      <c r="P63" s="4"/>
      <c r="Q63" s="4"/>
      <c r="R63" s="4"/>
      <c r="S63" s="4"/>
      <c r="T63" s="4"/>
      <c r="U63" s="4"/>
      <c r="V63" s="1">
        <f t="shared" si="6"/>
        <v>0</v>
      </c>
      <c r="W63" s="1">
        <f t="shared" si="21"/>
        <v>0</v>
      </c>
      <c r="X63" s="1">
        <f>W63-L63</f>
        <v>0</v>
      </c>
      <c r="Y63" s="1">
        <f t="shared" si="22"/>
        <v>0</v>
      </c>
      <c r="Z63" s="1">
        <f t="shared" si="23"/>
        <v>0</v>
      </c>
      <c r="AA63" s="4"/>
    </row>
    <row r="64" spans="1:36" x14ac:dyDescent="0.35">
      <c r="A64" s="1">
        <v>63</v>
      </c>
      <c r="B64" s="1">
        <v>13474.18710799874</v>
      </c>
      <c r="C64" s="1">
        <v>0</v>
      </c>
      <c r="D64" s="1"/>
      <c r="E64" s="1">
        <v>13474.2</v>
      </c>
      <c r="F64" s="1"/>
      <c r="G64" s="1"/>
      <c r="H64" s="1"/>
      <c r="I64" s="1"/>
      <c r="J64" s="1">
        <v>0</v>
      </c>
      <c r="K64" s="1">
        <v>0</v>
      </c>
      <c r="L64" s="4">
        <f t="shared" si="28"/>
        <v>0</v>
      </c>
      <c r="M64" s="4">
        <f t="shared" si="29"/>
        <v>0</v>
      </c>
      <c r="N64" s="4">
        <f t="shared" si="30"/>
        <v>0</v>
      </c>
      <c r="O64" s="4">
        <f t="shared" si="31"/>
        <v>0</v>
      </c>
      <c r="P64" s="4"/>
      <c r="Q64" s="4"/>
      <c r="R64" s="4"/>
      <c r="S64" s="4"/>
      <c r="T64" s="4"/>
      <c r="U64" s="4"/>
      <c r="V64" s="1">
        <f t="shared" si="6"/>
        <v>0</v>
      </c>
      <c r="W64" s="1">
        <f t="shared" si="21"/>
        <v>0</v>
      </c>
      <c r="X64" s="1">
        <f t="shared" si="7"/>
        <v>0</v>
      </c>
      <c r="Y64" s="1">
        <f t="shared" si="22"/>
        <v>0</v>
      </c>
      <c r="Z64" s="1">
        <f t="shared" si="23"/>
        <v>0</v>
      </c>
      <c r="AA64" s="4"/>
    </row>
    <row r="65" spans="1:27" x14ac:dyDescent="0.35">
      <c r="A65" s="1">
        <v>64</v>
      </c>
      <c r="B65" s="1">
        <v>3713.6923624805509</v>
      </c>
      <c r="C65" s="1">
        <v>0</v>
      </c>
      <c r="D65" s="1"/>
      <c r="E65" s="1">
        <v>3713.69</v>
      </c>
      <c r="F65" s="1"/>
      <c r="G65" s="1"/>
      <c r="H65" s="1"/>
      <c r="I65" s="1"/>
      <c r="J65" s="1">
        <v>0</v>
      </c>
      <c r="K65" s="1">
        <v>0</v>
      </c>
      <c r="L65" s="4">
        <f t="shared" si="28"/>
        <v>0</v>
      </c>
      <c r="M65" s="4">
        <f t="shared" si="29"/>
        <v>0</v>
      </c>
      <c r="N65" s="4">
        <f t="shared" si="30"/>
        <v>0</v>
      </c>
      <c r="O65" s="4">
        <f t="shared" si="31"/>
        <v>0</v>
      </c>
      <c r="P65" s="4"/>
      <c r="Q65" s="4"/>
      <c r="R65" s="4"/>
      <c r="S65" s="4"/>
      <c r="T65" s="4"/>
      <c r="U65" s="4"/>
      <c r="V65" s="1">
        <f t="shared" si="6"/>
        <v>0</v>
      </c>
      <c r="W65" s="1">
        <f t="shared" si="21"/>
        <v>0</v>
      </c>
      <c r="X65" s="1">
        <f t="shared" si="7"/>
        <v>0</v>
      </c>
      <c r="Y65" s="1">
        <f t="shared" si="22"/>
        <v>0</v>
      </c>
      <c r="Z65" s="1">
        <f t="shared" si="23"/>
        <v>0</v>
      </c>
      <c r="AA65" s="4"/>
    </row>
    <row r="66" spans="1:27" x14ac:dyDescent="0.35">
      <c r="A66" s="1">
        <v>65</v>
      </c>
      <c r="B66" s="1">
        <v>1118.1009256975681</v>
      </c>
      <c r="C66" s="1">
        <v>0</v>
      </c>
      <c r="D66" s="1"/>
      <c r="E66" s="1">
        <v>1118.0999999999999</v>
      </c>
      <c r="F66" s="1"/>
      <c r="G66" s="1"/>
      <c r="H66" s="1"/>
      <c r="I66" s="1"/>
      <c r="J66" s="1">
        <v>0</v>
      </c>
      <c r="K66" s="1">
        <v>0</v>
      </c>
      <c r="L66" s="4">
        <f t="shared" si="28"/>
        <v>0</v>
      </c>
      <c r="M66" s="4">
        <f t="shared" si="29"/>
        <v>0</v>
      </c>
      <c r="N66" s="4">
        <f t="shared" si="30"/>
        <v>0</v>
      </c>
      <c r="O66" s="4">
        <f t="shared" si="31"/>
        <v>0</v>
      </c>
      <c r="P66" s="4"/>
      <c r="Q66" s="4"/>
      <c r="R66" s="4"/>
      <c r="S66" s="4"/>
      <c r="T66" s="4"/>
      <c r="U66" s="4"/>
      <c r="V66" s="1">
        <f t="shared" si="6"/>
        <v>0</v>
      </c>
      <c r="W66" s="1">
        <f t="shared" ref="W66:W100" si="34">U66*$R$40</f>
        <v>0</v>
      </c>
      <c r="X66" s="1">
        <f t="shared" si="7"/>
        <v>0</v>
      </c>
      <c r="Y66" s="1">
        <f t="shared" ref="Y66:Y100" si="35">(L66/($R$40*B66))+N66</f>
        <v>0</v>
      </c>
      <c r="Z66" s="1">
        <f t="shared" ref="Z66:Z100" si="36">(L66/($R$43*B66))+N66</f>
        <v>0</v>
      </c>
      <c r="AA66" s="4"/>
    </row>
    <row r="67" spans="1:27" x14ac:dyDescent="0.35">
      <c r="A67" s="1">
        <v>66</v>
      </c>
      <c r="B67" s="1">
        <v>789.18834550043005</v>
      </c>
      <c r="C67" s="1">
        <v>0</v>
      </c>
      <c r="D67" s="1"/>
      <c r="E67" s="1">
        <v>789.18799999999999</v>
      </c>
      <c r="F67" s="1"/>
      <c r="G67" s="1"/>
      <c r="H67" s="1"/>
      <c r="I67" s="1"/>
      <c r="J67" s="1">
        <v>0</v>
      </c>
      <c r="K67" s="1">
        <v>0</v>
      </c>
      <c r="L67" s="4">
        <f t="shared" si="28"/>
        <v>0</v>
      </c>
      <c r="M67" s="4">
        <f t="shared" si="29"/>
        <v>0</v>
      </c>
      <c r="N67" s="4">
        <f t="shared" si="30"/>
        <v>0</v>
      </c>
      <c r="O67" s="4">
        <f t="shared" si="31"/>
        <v>0</v>
      </c>
      <c r="P67" s="4"/>
      <c r="Q67" s="1" t="s">
        <v>247</v>
      </c>
      <c r="R67" s="1">
        <v>24000</v>
      </c>
      <c r="S67" s="4" t="s">
        <v>268</v>
      </c>
      <c r="T67" s="4"/>
      <c r="U67" s="4"/>
      <c r="V67" s="1">
        <f t="shared" ref="V67:V100" si="37">U67-L67</f>
        <v>0</v>
      </c>
      <c r="W67" s="1">
        <f t="shared" si="34"/>
        <v>0</v>
      </c>
      <c r="X67" s="1">
        <f t="shared" ref="X67:X80" si="38">W67-L67</f>
        <v>0</v>
      </c>
      <c r="Y67" s="1">
        <f t="shared" si="35"/>
        <v>0</v>
      </c>
      <c r="Z67" s="1">
        <f t="shared" si="36"/>
        <v>0</v>
      </c>
      <c r="AA67" s="4"/>
    </row>
    <row r="68" spans="1:27" x14ac:dyDescent="0.35">
      <c r="A68" s="1">
        <v>67</v>
      </c>
      <c r="B68" s="1">
        <v>1631.3808757786551</v>
      </c>
      <c r="C68" s="1">
        <v>0</v>
      </c>
      <c r="D68" s="1"/>
      <c r="E68" s="1">
        <v>1631.38</v>
      </c>
      <c r="F68" s="1"/>
      <c r="G68" s="1"/>
      <c r="H68" s="1"/>
      <c r="I68" s="1"/>
      <c r="J68" s="1">
        <v>0</v>
      </c>
      <c r="K68" s="1">
        <v>0</v>
      </c>
      <c r="L68" s="4">
        <f t="shared" si="28"/>
        <v>0</v>
      </c>
      <c r="M68" s="4">
        <f t="shared" si="29"/>
        <v>0</v>
      </c>
      <c r="N68" s="4">
        <f t="shared" si="30"/>
        <v>0</v>
      </c>
      <c r="O68" s="4">
        <f t="shared" si="31"/>
        <v>0</v>
      </c>
      <c r="P68" s="4"/>
      <c r="Q68" s="4" t="s">
        <v>247</v>
      </c>
      <c r="R68" s="4">
        <v>26000</v>
      </c>
      <c r="S68" s="4" t="s">
        <v>264</v>
      </c>
      <c r="T68" s="4"/>
      <c r="U68" s="4"/>
      <c r="V68" s="1">
        <f t="shared" si="37"/>
        <v>0</v>
      </c>
      <c r="W68" s="1">
        <f t="shared" si="34"/>
        <v>0</v>
      </c>
      <c r="X68" s="1">
        <f t="shared" si="38"/>
        <v>0</v>
      </c>
      <c r="Y68" s="1">
        <f t="shared" si="35"/>
        <v>0</v>
      </c>
      <c r="Z68" s="1">
        <f t="shared" si="36"/>
        <v>0</v>
      </c>
      <c r="AA68" s="4"/>
    </row>
    <row r="69" spans="1:27" x14ac:dyDescent="0.35">
      <c r="A69" s="1">
        <v>68</v>
      </c>
      <c r="B69" s="1">
        <v>4258.9353884654111</v>
      </c>
      <c r="C69" s="1">
        <v>0</v>
      </c>
      <c r="D69" s="1"/>
      <c r="E69" s="1">
        <v>4258.9399999999996</v>
      </c>
      <c r="F69" s="1"/>
      <c r="G69" s="1"/>
      <c r="H69" s="1"/>
      <c r="I69" s="1"/>
      <c r="J69" s="1">
        <v>0</v>
      </c>
      <c r="K69" s="1">
        <v>0</v>
      </c>
      <c r="L69" s="4">
        <f t="shared" si="28"/>
        <v>0</v>
      </c>
      <c r="M69" s="4">
        <f t="shared" si="29"/>
        <v>0</v>
      </c>
      <c r="N69" s="4">
        <f t="shared" si="30"/>
        <v>0</v>
      </c>
      <c r="O69" s="4">
        <f t="shared" si="31"/>
        <v>0</v>
      </c>
      <c r="P69" s="4"/>
      <c r="Q69" s="4" t="s">
        <v>247</v>
      </c>
      <c r="R69" s="4">
        <v>32500</v>
      </c>
      <c r="S69" s="4" t="s">
        <v>265</v>
      </c>
      <c r="T69" s="4"/>
      <c r="U69" s="4"/>
      <c r="V69" s="1">
        <f t="shared" si="37"/>
        <v>0</v>
      </c>
      <c r="W69" s="1">
        <f t="shared" si="34"/>
        <v>0</v>
      </c>
      <c r="X69" s="1">
        <f t="shared" si="38"/>
        <v>0</v>
      </c>
      <c r="Y69" s="1">
        <f t="shared" si="35"/>
        <v>0</v>
      </c>
      <c r="Z69" s="1">
        <f t="shared" si="36"/>
        <v>0</v>
      </c>
      <c r="AA69" s="4"/>
    </row>
    <row r="70" spans="1:27" x14ac:dyDescent="0.35">
      <c r="A70" s="1">
        <v>69</v>
      </c>
      <c r="B70" s="1">
        <v>4490.8701254733214</v>
      </c>
      <c r="C70" s="1">
        <v>0</v>
      </c>
      <c r="D70" s="1"/>
      <c r="E70" s="1">
        <v>4490.87</v>
      </c>
      <c r="F70" s="1"/>
      <c r="G70" s="1"/>
      <c r="H70" s="1"/>
      <c r="I70" s="1"/>
      <c r="J70" s="1">
        <v>0</v>
      </c>
      <c r="K70" s="1">
        <v>0</v>
      </c>
      <c r="L70" s="4">
        <f t="shared" si="28"/>
        <v>0</v>
      </c>
      <c r="M70" s="4">
        <f t="shared" si="29"/>
        <v>0</v>
      </c>
      <c r="N70" s="4">
        <f t="shared" si="30"/>
        <v>0</v>
      </c>
      <c r="O70" s="4">
        <f t="shared" si="31"/>
        <v>0</v>
      </c>
      <c r="P70" s="4"/>
      <c r="Q70" s="4" t="s">
        <v>247</v>
      </c>
      <c r="R70" s="4">
        <v>34600</v>
      </c>
      <c r="S70" s="4" t="s">
        <v>266</v>
      </c>
      <c r="T70" s="4"/>
      <c r="U70" s="4"/>
      <c r="V70" s="1">
        <f t="shared" si="37"/>
        <v>0</v>
      </c>
      <c r="W70" s="1">
        <f t="shared" si="34"/>
        <v>0</v>
      </c>
      <c r="X70" s="1">
        <f t="shared" si="38"/>
        <v>0</v>
      </c>
      <c r="Y70" s="1">
        <f t="shared" si="35"/>
        <v>0</v>
      </c>
      <c r="Z70" s="1">
        <f t="shared" si="36"/>
        <v>0</v>
      </c>
      <c r="AA70" s="4"/>
    </row>
    <row r="71" spans="1:27" x14ac:dyDescent="0.35">
      <c r="A71" s="1">
        <v>70</v>
      </c>
      <c r="B71" s="1">
        <v>6097.7538980173758</v>
      </c>
      <c r="C71" s="1">
        <v>0</v>
      </c>
      <c r="D71" s="1"/>
      <c r="E71" s="1">
        <v>6097.75</v>
      </c>
      <c r="F71" s="1"/>
      <c r="G71" s="1"/>
      <c r="H71" s="1"/>
      <c r="I71" s="1"/>
      <c r="J71" s="1">
        <v>0</v>
      </c>
      <c r="K71" s="1">
        <v>0</v>
      </c>
      <c r="L71" s="4">
        <f t="shared" si="28"/>
        <v>0</v>
      </c>
      <c r="M71" s="4">
        <f t="shared" si="29"/>
        <v>0</v>
      </c>
      <c r="N71" s="4">
        <f t="shared" si="30"/>
        <v>0</v>
      </c>
      <c r="O71" s="4">
        <f t="shared" si="31"/>
        <v>0</v>
      </c>
      <c r="P71" s="4"/>
      <c r="Q71" s="4"/>
      <c r="R71" s="4"/>
      <c r="S71" s="4"/>
      <c r="T71" s="4"/>
      <c r="U71" s="4"/>
      <c r="V71" s="1">
        <f t="shared" si="37"/>
        <v>0</v>
      </c>
      <c r="W71" s="1">
        <f t="shared" si="34"/>
        <v>0</v>
      </c>
      <c r="X71" s="1">
        <f t="shared" si="38"/>
        <v>0</v>
      </c>
      <c r="Y71" s="1">
        <f t="shared" si="35"/>
        <v>0</v>
      </c>
      <c r="Z71" s="1">
        <f t="shared" si="36"/>
        <v>0</v>
      </c>
      <c r="AA71" s="4"/>
    </row>
    <row r="72" spans="1:27" x14ac:dyDescent="0.35">
      <c r="A72" s="1">
        <v>71</v>
      </c>
      <c r="B72" s="1">
        <v>4593.5313049109664</v>
      </c>
      <c r="C72" s="1">
        <v>0</v>
      </c>
      <c r="D72" s="1"/>
      <c r="E72" s="1">
        <v>4593.53</v>
      </c>
      <c r="F72" s="1"/>
      <c r="G72" s="1"/>
      <c r="H72" s="1"/>
      <c r="I72" s="1"/>
      <c r="J72" s="1">
        <v>0</v>
      </c>
      <c r="K72" s="1">
        <v>0</v>
      </c>
      <c r="L72" s="4">
        <f t="shared" si="28"/>
        <v>0</v>
      </c>
      <c r="M72" s="4">
        <f t="shared" si="29"/>
        <v>0</v>
      </c>
      <c r="N72" s="4">
        <f t="shared" si="30"/>
        <v>0</v>
      </c>
      <c r="O72" s="4">
        <f t="shared" si="31"/>
        <v>0</v>
      </c>
      <c r="P72" s="4"/>
      <c r="Q72" s="4"/>
      <c r="R72" s="4"/>
      <c r="S72" s="4"/>
      <c r="T72" s="4"/>
      <c r="U72" s="4"/>
      <c r="V72" s="1">
        <f t="shared" si="37"/>
        <v>0</v>
      </c>
      <c r="W72" s="1">
        <f t="shared" si="34"/>
        <v>0</v>
      </c>
      <c r="X72" s="1">
        <f t="shared" si="38"/>
        <v>0</v>
      </c>
      <c r="Y72" s="1">
        <f t="shared" si="35"/>
        <v>0</v>
      </c>
      <c r="Z72" s="1">
        <f t="shared" si="36"/>
        <v>0</v>
      </c>
      <c r="AA72" s="4"/>
    </row>
    <row r="73" spans="1:27" x14ac:dyDescent="0.35">
      <c r="A73" s="1">
        <v>72</v>
      </c>
      <c r="B73" s="1">
        <v>8062.2213477933838</v>
      </c>
      <c r="C73" s="1">
        <v>0</v>
      </c>
      <c r="D73" s="1"/>
      <c r="E73" s="1">
        <v>8062.22</v>
      </c>
      <c r="F73" s="1"/>
      <c r="G73" s="1"/>
      <c r="H73" s="1"/>
      <c r="I73" s="1"/>
      <c r="J73" s="1">
        <v>0</v>
      </c>
      <c r="K73" s="1">
        <v>0</v>
      </c>
      <c r="L73" s="4">
        <f t="shared" si="28"/>
        <v>0</v>
      </c>
      <c r="M73" s="4">
        <f t="shared" si="29"/>
        <v>0</v>
      </c>
      <c r="N73" s="4">
        <f t="shared" si="30"/>
        <v>0</v>
      </c>
      <c r="O73" s="4">
        <f t="shared" si="31"/>
        <v>0</v>
      </c>
      <c r="P73" s="4"/>
      <c r="Q73" s="4"/>
      <c r="R73" s="4"/>
      <c r="S73" s="4"/>
      <c r="T73" s="4"/>
      <c r="U73" s="4"/>
      <c r="V73" s="1">
        <f t="shared" si="37"/>
        <v>0</v>
      </c>
      <c r="W73" s="1">
        <f t="shared" si="34"/>
        <v>0</v>
      </c>
      <c r="X73" s="1">
        <f t="shared" si="38"/>
        <v>0</v>
      </c>
      <c r="Y73" s="1">
        <f t="shared" si="35"/>
        <v>0</v>
      </c>
      <c r="Z73" s="1">
        <f t="shared" si="36"/>
        <v>0</v>
      </c>
      <c r="AA73" s="4"/>
    </row>
    <row r="74" spans="1:27" x14ac:dyDescent="0.35">
      <c r="A74" s="1">
        <v>73</v>
      </c>
      <c r="B74" s="1">
        <v>4657.9117518025187</v>
      </c>
      <c r="C74" s="1">
        <v>0</v>
      </c>
      <c r="D74" s="1"/>
      <c r="E74" s="1">
        <v>4657.91</v>
      </c>
      <c r="F74" s="1"/>
      <c r="G74" s="1"/>
      <c r="H74" s="1"/>
      <c r="I74" s="1"/>
      <c r="J74" s="1">
        <v>0</v>
      </c>
      <c r="K74" s="1">
        <v>0</v>
      </c>
      <c r="L74" s="4">
        <f t="shared" si="28"/>
        <v>0</v>
      </c>
      <c r="M74" s="4">
        <f t="shared" si="29"/>
        <v>0</v>
      </c>
      <c r="N74" s="4">
        <f t="shared" si="30"/>
        <v>0</v>
      </c>
      <c r="O74" s="4">
        <f t="shared" si="31"/>
        <v>0</v>
      </c>
      <c r="P74" s="4"/>
      <c r="Q74" s="4"/>
      <c r="R74" s="4"/>
      <c r="S74" s="4"/>
      <c r="T74" s="4"/>
      <c r="U74" s="4"/>
      <c r="V74" s="1">
        <f t="shared" si="37"/>
        <v>0</v>
      </c>
      <c r="W74" s="1">
        <f t="shared" si="34"/>
        <v>0</v>
      </c>
      <c r="X74" s="1">
        <f t="shared" si="38"/>
        <v>0</v>
      </c>
      <c r="Y74" s="1">
        <f t="shared" si="35"/>
        <v>0</v>
      </c>
      <c r="Z74" s="1">
        <f t="shared" si="36"/>
        <v>0</v>
      </c>
      <c r="AA74" s="4"/>
    </row>
    <row r="75" spans="1:27" x14ac:dyDescent="0.35">
      <c r="A75" s="1">
        <v>74</v>
      </c>
      <c r="B75" s="1">
        <v>4129.0607113934348</v>
      </c>
      <c r="C75" s="1">
        <v>0</v>
      </c>
      <c r="D75" s="1"/>
      <c r="E75" s="1">
        <v>4129.0600000000004</v>
      </c>
      <c r="F75" s="1"/>
      <c r="G75" s="1"/>
      <c r="H75" s="1"/>
      <c r="I75" s="1"/>
      <c r="J75" s="1">
        <v>0</v>
      </c>
      <c r="K75" s="1">
        <v>0</v>
      </c>
      <c r="L75" s="4">
        <f t="shared" si="28"/>
        <v>0</v>
      </c>
      <c r="M75" s="4">
        <f t="shared" si="29"/>
        <v>0</v>
      </c>
      <c r="N75" s="4">
        <f t="shared" si="30"/>
        <v>0</v>
      </c>
      <c r="O75" s="4">
        <f t="shared" si="31"/>
        <v>0</v>
      </c>
      <c r="P75" s="4"/>
      <c r="Q75" s="4"/>
      <c r="R75" s="4"/>
      <c r="S75" s="4"/>
      <c r="T75" s="4"/>
      <c r="U75" s="4"/>
      <c r="V75" s="1">
        <f t="shared" si="37"/>
        <v>0</v>
      </c>
      <c r="W75" s="1">
        <f t="shared" si="34"/>
        <v>0</v>
      </c>
      <c r="X75" s="1">
        <f t="shared" si="38"/>
        <v>0</v>
      </c>
      <c r="Y75" s="1">
        <f t="shared" si="35"/>
        <v>0</v>
      </c>
      <c r="Z75" s="1">
        <f t="shared" si="36"/>
        <v>0</v>
      </c>
      <c r="AA75" s="4"/>
    </row>
    <row r="76" spans="1:27" x14ac:dyDescent="0.35">
      <c r="A76" s="1">
        <v>75</v>
      </c>
      <c r="B76" s="1">
        <v>14350.316193396229</v>
      </c>
      <c r="C76" s="1">
        <v>0</v>
      </c>
      <c r="D76" s="1"/>
      <c r="E76" s="1">
        <v>14350.3</v>
      </c>
      <c r="F76" s="1"/>
      <c r="G76" s="1"/>
      <c r="H76" s="1"/>
      <c r="I76" s="1"/>
      <c r="J76" s="1">
        <v>0</v>
      </c>
      <c r="K76" s="1">
        <v>0</v>
      </c>
      <c r="L76" s="4">
        <f t="shared" si="28"/>
        <v>0</v>
      </c>
      <c r="M76" s="4">
        <f t="shared" si="29"/>
        <v>0</v>
      </c>
      <c r="N76" s="4">
        <f t="shared" si="30"/>
        <v>0</v>
      </c>
      <c r="O76" s="4">
        <f t="shared" si="31"/>
        <v>0</v>
      </c>
      <c r="P76" s="4"/>
      <c r="Q76" s="4"/>
      <c r="R76" s="4"/>
      <c r="S76" s="4"/>
      <c r="T76" s="4"/>
      <c r="U76" s="4"/>
      <c r="V76" s="1">
        <f t="shared" si="37"/>
        <v>0</v>
      </c>
      <c r="W76" s="1">
        <f t="shared" si="34"/>
        <v>0</v>
      </c>
      <c r="X76" s="1">
        <f t="shared" si="38"/>
        <v>0</v>
      </c>
      <c r="Y76" s="1">
        <f t="shared" si="35"/>
        <v>0</v>
      </c>
      <c r="Z76" s="1">
        <f t="shared" si="36"/>
        <v>0</v>
      </c>
      <c r="AA76" s="4"/>
    </row>
    <row r="77" spans="1:27" x14ac:dyDescent="0.35">
      <c r="A77" s="1">
        <v>76</v>
      </c>
      <c r="B77" s="1">
        <v>5149.4780654648821</v>
      </c>
      <c r="C77" s="1">
        <v>0</v>
      </c>
      <c r="D77" s="1"/>
      <c r="E77" s="1">
        <v>5149.4799999999996</v>
      </c>
      <c r="F77" s="1"/>
      <c r="G77" s="1"/>
      <c r="H77" s="1"/>
      <c r="I77" s="1"/>
      <c r="J77" s="1">
        <v>0</v>
      </c>
      <c r="K77" s="1">
        <v>0</v>
      </c>
      <c r="L77" s="4">
        <f t="shared" si="28"/>
        <v>0</v>
      </c>
      <c r="M77" s="4">
        <f t="shared" si="29"/>
        <v>0</v>
      </c>
      <c r="N77" s="4">
        <f t="shared" si="30"/>
        <v>0</v>
      </c>
      <c r="O77" s="4">
        <f t="shared" si="31"/>
        <v>0</v>
      </c>
      <c r="P77" s="4"/>
      <c r="Q77" s="4"/>
      <c r="R77" s="4"/>
      <c r="S77" s="4"/>
      <c r="T77" s="4"/>
      <c r="U77" s="4"/>
      <c r="V77" s="1">
        <f t="shared" si="37"/>
        <v>0</v>
      </c>
      <c r="W77" s="1">
        <f t="shared" si="34"/>
        <v>0</v>
      </c>
      <c r="X77" s="1">
        <f t="shared" si="38"/>
        <v>0</v>
      </c>
      <c r="Y77" s="1">
        <f t="shared" si="35"/>
        <v>0</v>
      </c>
      <c r="Z77" s="1">
        <f t="shared" si="36"/>
        <v>0</v>
      </c>
      <c r="AA77" s="4"/>
    </row>
    <row r="78" spans="1:27" x14ac:dyDescent="0.35">
      <c r="A78" s="1">
        <v>77</v>
      </c>
      <c r="B78" s="1">
        <v>4612.9275296437472</v>
      </c>
      <c r="C78" s="1">
        <v>0</v>
      </c>
      <c r="D78" s="1"/>
      <c r="E78" s="1">
        <v>4612.93</v>
      </c>
      <c r="F78" s="1"/>
      <c r="G78" s="1"/>
      <c r="H78" s="1"/>
      <c r="I78" s="1"/>
      <c r="J78" s="1">
        <v>0</v>
      </c>
      <c r="K78" s="1">
        <v>0</v>
      </c>
      <c r="L78" s="4">
        <f t="shared" si="28"/>
        <v>0</v>
      </c>
      <c r="M78" s="4">
        <f t="shared" si="29"/>
        <v>0</v>
      </c>
      <c r="N78" s="4">
        <f t="shared" si="30"/>
        <v>0</v>
      </c>
      <c r="O78" s="4">
        <f t="shared" si="31"/>
        <v>0</v>
      </c>
      <c r="P78" s="4"/>
      <c r="Q78" s="4"/>
      <c r="R78" s="4"/>
      <c r="S78" s="4"/>
      <c r="T78" s="4"/>
      <c r="U78" s="4"/>
      <c r="V78" s="1">
        <f t="shared" si="37"/>
        <v>0</v>
      </c>
      <c r="W78" s="1">
        <f t="shared" si="34"/>
        <v>0</v>
      </c>
      <c r="X78" s="1">
        <f t="shared" si="38"/>
        <v>0</v>
      </c>
      <c r="Y78" s="1">
        <f t="shared" si="35"/>
        <v>0</v>
      </c>
      <c r="Z78" s="1">
        <f t="shared" si="36"/>
        <v>0</v>
      </c>
      <c r="AA78" s="4"/>
    </row>
    <row r="79" spans="1:27" x14ac:dyDescent="0.35">
      <c r="A79" s="1">
        <v>78</v>
      </c>
      <c r="B79" s="1">
        <v>4299.5858542619962</v>
      </c>
      <c r="C79" s="1">
        <v>0</v>
      </c>
      <c r="D79" s="1"/>
      <c r="E79" s="1">
        <v>4299.59</v>
      </c>
      <c r="F79" s="1"/>
      <c r="G79" s="1"/>
      <c r="H79" s="1"/>
      <c r="I79" s="1"/>
      <c r="J79" s="1">
        <v>0</v>
      </c>
      <c r="K79" s="1">
        <v>0</v>
      </c>
      <c r="L79" s="4">
        <f t="shared" si="28"/>
        <v>0</v>
      </c>
      <c r="M79" s="4">
        <f t="shared" ref="M79:M100" si="39">$R$12*C79</f>
        <v>0</v>
      </c>
      <c r="N79" s="4">
        <f t="shared" ref="N79:N100" si="40">$R$12*D79</f>
        <v>0</v>
      </c>
      <c r="O79" s="4">
        <f t="shared" ref="O79:O100" si="41">$R$12*J79</f>
        <v>0</v>
      </c>
      <c r="P79" s="4"/>
      <c r="Q79" s="4"/>
      <c r="R79" s="4"/>
      <c r="S79" s="4"/>
      <c r="T79" s="4"/>
      <c r="U79" s="4"/>
      <c r="V79" s="1">
        <f t="shared" si="37"/>
        <v>0</v>
      </c>
      <c r="W79" s="1">
        <f t="shared" si="34"/>
        <v>0</v>
      </c>
      <c r="X79" s="1">
        <f t="shared" si="38"/>
        <v>0</v>
      </c>
      <c r="Y79" s="1">
        <f t="shared" si="35"/>
        <v>0</v>
      </c>
      <c r="Z79" s="1">
        <f t="shared" si="36"/>
        <v>0</v>
      </c>
      <c r="AA79" s="4"/>
    </row>
    <row r="80" spans="1:27" x14ac:dyDescent="0.35">
      <c r="A80" s="1">
        <v>79</v>
      </c>
      <c r="B80" s="1">
        <v>3153.09355833985</v>
      </c>
      <c r="C80" s="1">
        <v>0</v>
      </c>
      <c r="D80" s="1"/>
      <c r="E80" s="1">
        <v>3153.09</v>
      </c>
      <c r="F80" s="1"/>
      <c r="G80" s="1"/>
      <c r="H80" s="1"/>
      <c r="I80" s="1"/>
      <c r="J80" s="1">
        <v>0</v>
      </c>
      <c r="K80" s="1">
        <v>0</v>
      </c>
      <c r="L80" s="4">
        <f t="shared" si="28"/>
        <v>0</v>
      </c>
      <c r="M80" s="4">
        <f t="shared" si="39"/>
        <v>0</v>
      </c>
      <c r="N80" s="4">
        <f t="shared" si="40"/>
        <v>0</v>
      </c>
      <c r="O80" s="4">
        <f t="shared" si="41"/>
        <v>0</v>
      </c>
      <c r="P80" s="4"/>
      <c r="Q80" s="4"/>
      <c r="R80" s="4"/>
      <c r="S80" s="4"/>
      <c r="T80" s="4"/>
      <c r="U80" s="4"/>
      <c r="V80" s="1">
        <f t="shared" si="37"/>
        <v>0</v>
      </c>
      <c r="W80" s="1">
        <f t="shared" si="34"/>
        <v>0</v>
      </c>
      <c r="X80" s="1">
        <f t="shared" si="38"/>
        <v>0</v>
      </c>
      <c r="Y80" s="1">
        <f t="shared" si="35"/>
        <v>0</v>
      </c>
      <c r="Z80" s="1">
        <f t="shared" si="36"/>
        <v>0</v>
      </c>
      <c r="AA80" s="4"/>
    </row>
    <row r="81" spans="1:27" x14ac:dyDescent="0.35">
      <c r="A81" s="1">
        <v>80</v>
      </c>
      <c r="B81" s="1">
        <v>4296.4999200900902</v>
      </c>
      <c r="C81" s="1">
        <v>0</v>
      </c>
      <c r="D81" s="1"/>
      <c r="E81" s="1">
        <v>4296.5</v>
      </c>
      <c r="F81" s="1"/>
      <c r="G81" s="1"/>
      <c r="H81" s="1"/>
      <c r="I81" s="1"/>
      <c r="J81" s="1">
        <v>0</v>
      </c>
      <c r="K81" s="1">
        <v>0</v>
      </c>
      <c r="L81" s="4">
        <f t="shared" si="28"/>
        <v>0</v>
      </c>
      <c r="M81" s="4">
        <f t="shared" si="39"/>
        <v>0</v>
      </c>
      <c r="N81" s="4">
        <f t="shared" si="40"/>
        <v>0</v>
      </c>
      <c r="O81" s="4">
        <f t="shared" si="41"/>
        <v>0</v>
      </c>
      <c r="P81" s="4"/>
      <c r="Q81" s="4"/>
      <c r="R81" s="4"/>
      <c r="S81" s="4"/>
      <c r="T81" s="4"/>
      <c r="U81" s="4"/>
      <c r="V81" s="1">
        <f t="shared" si="37"/>
        <v>0</v>
      </c>
      <c r="W81" s="1">
        <f t="shared" si="34"/>
        <v>0</v>
      </c>
      <c r="X81" s="1">
        <f>W81-L81</f>
        <v>0</v>
      </c>
      <c r="Y81" s="1">
        <f t="shared" si="35"/>
        <v>0</v>
      </c>
      <c r="Z81" s="1">
        <f t="shared" si="36"/>
        <v>0</v>
      </c>
      <c r="AA81" s="4"/>
    </row>
    <row r="82" spans="1:27" x14ac:dyDescent="0.35">
      <c r="A82" s="1">
        <v>81</v>
      </c>
      <c r="B82" s="1">
        <v>1722.7511821559251</v>
      </c>
      <c r="C82" s="1">
        <v>0</v>
      </c>
      <c r="D82" s="1"/>
      <c r="E82" s="1">
        <v>1722.75</v>
      </c>
      <c r="F82" s="1"/>
      <c r="G82" s="1"/>
      <c r="H82" s="1"/>
      <c r="I82" s="1"/>
      <c r="J82" s="1">
        <v>0</v>
      </c>
      <c r="K82" s="1">
        <v>0</v>
      </c>
      <c r="L82" s="4">
        <f t="shared" si="28"/>
        <v>0</v>
      </c>
      <c r="M82" s="4">
        <f t="shared" si="39"/>
        <v>0</v>
      </c>
      <c r="N82" s="4">
        <f t="shared" si="40"/>
        <v>0</v>
      </c>
      <c r="O82" s="4">
        <f t="shared" si="41"/>
        <v>0</v>
      </c>
      <c r="P82" s="4"/>
      <c r="Q82" s="4"/>
      <c r="R82" s="4"/>
      <c r="S82" s="4"/>
      <c r="T82" s="4"/>
      <c r="U82" s="4"/>
      <c r="V82" s="1">
        <f t="shared" si="37"/>
        <v>0</v>
      </c>
      <c r="W82" s="1">
        <f t="shared" si="34"/>
        <v>0</v>
      </c>
      <c r="X82" s="1">
        <f t="shared" ref="X82:X96" si="42">W82-L82</f>
        <v>0</v>
      </c>
      <c r="Y82" s="1">
        <f t="shared" si="35"/>
        <v>0</v>
      </c>
      <c r="Z82" s="1">
        <f t="shared" si="36"/>
        <v>0</v>
      </c>
      <c r="AA82" s="4"/>
    </row>
    <row r="83" spans="1:27" x14ac:dyDescent="0.35">
      <c r="A83" s="1">
        <v>82</v>
      </c>
      <c r="B83" s="1">
        <v>8378.7212496204556</v>
      </c>
      <c r="C83" s="1">
        <v>0</v>
      </c>
      <c r="D83" s="1"/>
      <c r="E83" s="1">
        <v>8378.7199999999993</v>
      </c>
      <c r="F83" s="1"/>
      <c r="G83" s="1"/>
      <c r="H83" s="1"/>
      <c r="I83" s="1"/>
      <c r="J83" s="1">
        <v>0</v>
      </c>
      <c r="K83" s="1">
        <v>0</v>
      </c>
      <c r="L83" s="4">
        <f t="shared" si="28"/>
        <v>0</v>
      </c>
      <c r="M83" s="4">
        <f t="shared" si="39"/>
        <v>0</v>
      </c>
      <c r="N83" s="4">
        <f t="shared" si="40"/>
        <v>0</v>
      </c>
      <c r="O83" s="4">
        <f t="shared" si="41"/>
        <v>0</v>
      </c>
      <c r="P83" s="4"/>
      <c r="Q83" s="4"/>
      <c r="R83" s="4"/>
      <c r="S83" s="4"/>
      <c r="T83" s="4"/>
      <c r="U83" s="4"/>
      <c r="V83" s="1">
        <f t="shared" si="37"/>
        <v>0</v>
      </c>
      <c r="W83" s="1">
        <f t="shared" si="34"/>
        <v>0</v>
      </c>
      <c r="X83" s="1">
        <f t="shared" si="42"/>
        <v>0</v>
      </c>
      <c r="Y83" s="1">
        <f t="shared" si="35"/>
        <v>0</v>
      </c>
      <c r="Z83" s="1">
        <f t="shared" si="36"/>
        <v>0</v>
      </c>
      <c r="AA83" s="4"/>
    </row>
    <row r="84" spans="1:27" x14ac:dyDescent="0.35">
      <c r="A84" s="1">
        <v>83</v>
      </c>
      <c r="B84" s="1">
        <v>4180.060549855245</v>
      </c>
      <c r="C84" s="1">
        <v>0</v>
      </c>
      <c r="D84" s="1"/>
      <c r="E84" s="1">
        <v>4180.0600000000004</v>
      </c>
      <c r="F84" s="1"/>
      <c r="G84" s="1"/>
      <c r="H84" s="1"/>
      <c r="I84" s="1"/>
      <c r="J84" s="1">
        <v>0</v>
      </c>
      <c r="K84" s="1">
        <v>0</v>
      </c>
      <c r="L84" s="4">
        <f t="shared" si="28"/>
        <v>0</v>
      </c>
      <c r="M84" s="4">
        <f t="shared" si="39"/>
        <v>0</v>
      </c>
      <c r="N84" s="4">
        <f t="shared" si="40"/>
        <v>0</v>
      </c>
      <c r="O84" s="4">
        <f t="shared" si="41"/>
        <v>0</v>
      </c>
      <c r="P84" s="4"/>
      <c r="Q84" s="4"/>
      <c r="R84" s="4"/>
      <c r="S84" s="4"/>
      <c r="T84" s="4"/>
      <c r="U84" s="4"/>
      <c r="V84" s="1">
        <f t="shared" si="37"/>
        <v>0</v>
      </c>
      <c r="W84" s="1">
        <f t="shared" si="34"/>
        <v>0</v>
      </c>
      <c r="X84" s="1">
        <f t="shared" si="42"/>
        <v>0</v>
      </c>
      <c r="Y84" s="1">
        <f t="shared" si="35"/>
        <v>0</v>
      </c>
      <c r="Z84" s="1">
        <f t="shared" si="36"/>
        <v>0</v>
      </c>
      <c r="AA84" s="4"/>
    </row>
    <row r="85" spans="1:27" x14ac:dyDescent="0.35">
      <c r="A85" s="1">
        <v>84</v>
      </c>
      <c r="B85" s="1">
        <v>3330.950005722922</v>
      </c>
      <c r="C85" s="1">
        <v>0</v>
      </c>
      <c r="D85" s="1"/>
      <c r="E85" s="1">
        <v>3330.95</v>
      </c>
      <c r="F85" s="1"/>
      <c r="G85" s="1"/>
      <c r="H85" s="1"/>
      <c r="I85" s="1"/>
      <c r="J85" s="1">
        <v>0</v>
      </c>
      <c r="K85" s="1">
        <v>0</v>
      </c>
      <c r="L85" s="4">
        <f t="shared" si="28"/>
        <v>0</v>
      </c>
      <c r="M85" s="4">
        <f t="shared" si="39"/>
        <v>0</v>
      </c>
      <c r="N85" s="4">
        <f t="shared" si="40"/>
        <v>0</v>
      </c>
      <c r="O85" s="4">
        <f t="shared" si="41"/>
        <v>0</v>
      </c>
      <c r="P85" s="4"/>
      <c r="Q85" s="4"/>
      <c r="R85" s="4"/>
      <c r="S85" s="4"/>
      <c r="T85" s="4"/>
      <c r="U85" s="4"/>
      <c r="V85" s="1">
        <f t="shared" si="37"/>
        <v>0</v>
      </c>
      <c r="W85" s="1">
        <f t="shared" si="34"/>
        <v>0</v>
      </c>
      <c r="X85" s="1">
        <f t="shared" si="42"/>
        <v>0</v>
      </c>
      <c r="Y85" s="1">
        <f t="shared" si="35"/>
        <v>0</v>
      </c>
      <c r="Z85" s="1">
        <f t="shared" si="36"/>
        <v>0</v>
      </c>
      <c r="AA85" s="4"/>
    </row>
    <row r="86" spans="1:27" x14ac:dyDescent="0.35">
      <c r="A86" s="1">
        <v>85</v>
      </c>
      <c r="B86" s="1">
        <v>2875.5642031497382</v>
      </c>
      <c r="C86" s="1">
        <v>0</v>
      </c>
      <c r="D86" s="1"/>
      <c r="E86" s="1">
        <v>2875.56</v>
      </c>
      <c r="F86" s="1"/>
      <c r="G86" s="1"/>
      <c r="H86" s="1"/>
      <c r="I86" s="1"/>
      <c r="J86" s="1">
        <v>0</v>
      </c>
      <c r="K86" s="1">
        <v>0</v>
      </c>
      <c r="L86" s="4">
        <f t="shared" si="28"/>
        <v>0</v>
      </c>
      <c r="M86" s="4">
        <f t="shared" si="39"/>
        <v>0</v>
      </c>
      <c r="N86" s="4">
        <f t="shared" si="40"/>
        <v>0</v>
      </c>
      <c r="O86" s="4">
        <f t="shared" si="41"/>
        <v>0</v>
      </c>
      <c r="P86" s="4"/>
      <c r="Q86" s="4"/>
      <c r="R86" s="4"/>
      <c r="S86" s="4"/>
      <c r="T86" s="4"/>
      <c r="U86" s="4"/>
      <c r="V86" s="1">
        <f t="shared" si="37"/>
        <v>0</v>
      </c>
      <c r="W86" s="1">
        <f t="shared" si="34"/>
        <v>0</v>
      </c>
      <c r="X86" s="1">
        <f t="shared" si="42"/>
        <v>0</v>
      </c>
      <c r="Y86" s="1">
        <f t="shared" si="35"/>
        <v>0</v>
      </c>
      <c r="Z86" s="1">
        <f t="shared" si="36"/>
        <v>0</v>
      </c>
      <c r="AA86" s="4"/>
    </row>
    <row r="87" spans="1:27" x14ac:dyDescent="0.35">
      <c r="A87" s="1">
        <v>86</v>
      </c>
      <c r="B87" s="1">
        <v>2673.7959050516761</v>
      </c>
      <c r="C87" s="1">
        <v>0</v>
      </c>
      <c r="D87" s="1"/>
      <c r="E87" s="1">
        <v>2673.8</v>
      </c>
      <c r="F87" s="1"/>
      <c r="G87" s="1"/>
      <c r="H87" s="1"/>
      <c r="I87" s="1"/>
      <c r="J87" s="1">
        <v>0</v>
      </c>
      <c r="K87" s="1">
        <v>0</v>
      </c>
      <c r="L87" s="4">
        <f t="shared" si="28"/>
        <v>0</v>
      </c>
      <c r="M87" s="4">
        <f t="shared" si="39"/>
        <v>0</v>
      </c>
      <c r="N87" s="4">
        <f t="shared" si="40"/>
        <v>0</v>
      </c>
      <c r="O87" s="4">
        <f t="shared" si="41"/>
        <v>0</v>
      </c>
      <c r="P87" s="4"/>
      <c r="Q87" s="4"/>
      <c r="R87" s="4"/>
      <c r="S87" s="4"/>
      <c r="T87" s="4"/>
      <c r="U87" s="4"/>
      <c r="V87" s="1">
        <f t="shared" si="37"/>
        <v>0</v>
      </c>
      <c r="W87" s="1">
        <f t="shared" si="34"/>
        <v>0</v>
      </c>
      <c r="X87" s="1">
        <f t="shared" si="42"/>
        <v>0</v>
      </c>
      <c r="Y87" s="1">
        <f t="shared" si="35"/>
        <v>0</v>
      </c>
      <c r="Z87" s="1">
        <f t="shared" si="36"/>
        <v>0</v>
      </c>
      <c r="AA87" s="4"/>
    </row>
    <row r="88" spans="1:27" x14ac:dyDescent="0.35">
      <c r="A88" s="1">
        <v>87</v>
      </c>
      <c r="B88" s="1">
        <v>19513.44492845656</v>
      </c>
      <c r="C88" s="1">
        <v>0</v>
      </c>
      <c r="D88" s="1"/>
      <c r="E88" s="1">
        <v>19513.400000000001</v>
      </c>
      <c r="F88" s="1"/>
      <c r="G88" s="1"/>
      <c r="H88" s="1"/>
      <c r="I88" s="1"/>
      <c r="J88" s="1">
        <v>0</v>
      </c>
      <c r="K88" s="1">
        <v>0</v>
      </c>
      <c r="L88" s="4">
        <f t="shared" si="28"/>
        <v>0</v>
      </c>
      <c r="M88" s="4">
        <f t="shared" si="39"/>
        <v>0</v>
      </c>
      <c r="N88" s="4">
        <f t="shared" si="40"/>
        <v>0</v>
      </c>
      <c r="O88" s="4">
        <f t="shared" si="41"/>
        <v>0</v>
      </c>
      <c r="P88" s="4"/>
      <c r="Q88" s="4"/>
      <c r="R88" s="4"/>
      <c r="S88" s="4"/>
      <c r="T88" s="4"/>
      <c r="U88" s="4"/>
      <c r="V88" s="1">
        <f t="shared" si="37"/>
        <v>0</v>
      </c>
      <c r="W88" s="1">
        <f t="shared" si="34"/>
        <v>0</v>
      </c>
      <c r="X88" s="1">
        <f t="shared" si="42"/>
        <v>0</v>
      </c>
      <c r="Y88" s="1">
        <f t="shared" si="35"/>
        <v>0</v>
      </c>
      <c r="Z88" s="1">
        <f t="shared" si="36"/>
        <v>0</v>
      </c>
      <c r="AA88" s="4"/>
    </row>
    <row r="89" spans="1:27" x14ac:dyDescent="0.35">
      <c r="A89" s="1">
        <v>88</v>
      </c>
      <c r="B89" s="1">
        <v>5533.3813285011611</v>
      </c>
      <c r="C89" s="1">
        <v>0</v>
      </c>
      <c r="D89" s="1"/>
      <c r="E89" s="1">
        <v>5533.38</v>
      </c>
      <c r="F89" s="1"/>
      <c r="G89" s="1"/>
      <c r="H89" s="1"/>
      <c r="I89" s="1"/>
      <c r="J89" s="1">
        <v>0</v>
      </c>
      <c r="K89" s="1">
        <v>0</v>
      </c>
      <c r="L89" s="4">
        <f t="shared" si="28"/>
        <v>0</v>
      </c>
      <c r="M89" s="4">
        <f t="shared" si="39"/>
        <v>0</v>
      </c>
      <c r="N89" s="4">
        <f t="shared" si="40"/>
        <v>0</v>
      </c>
      <c r="O89" s="4">
        <f t="shared" si="41"/>
        <v>0</v>
      </c>
      <c r="P89" s="4"/>
      <c r="Q89" s="4"/>
      <c r="R89" s="4"/>
      <c r="S89" s="4"/>
      <c r="T89" s="4"/>
      <c r="U89" s="4"/>
      <c r="V89" s="1">
        <f t="shared" si="37"/>
        <v>0</v>
      </c>
      <c r="W89" s="1">
        <f t="shared" si="34"/>
        <v>0</v>
      </c>
      <c r="X89" s="1">
        <f t="shared" si="42"/>
        <v>0</v>
      </c>
      <c r="Y89" s="1">
        <f t="shared" si="35"/>
        <v>0</v>
      </c>
      <c r="Z89" s="1">
        <f t="shared" si="36"/>
        <v>0</v>
      </c>
      <c r="AA89" s="4"/>
    </row>
    <row r="90" spans="1:27" x14ac:dyDescent="0.35">
      <c r="A90" s="1">
        <v>89</v>
      </c>
      <c r="B90" s="1">
        <v>7532.7075080212007</v>
      </c>
      <c r="C90" s="1">
        <v>0</v>
      </c>
      <c r="D90" s="1"/>
      <c r="E90" s="1">
        <v>7532.71</v>
      </c>
      <c r="F90" s="1"/>
      <c r="G90" s="1"/>
      <c r="H90" s="1"/>
      <c r="I90" s="1"/>
      <c r="J90" s="1">
        <v>0</v>
      </c>
      <c r="K90" s="1">
        <v>0</v>
      </c>
      <c r="L90" s="4">
        <f t="shared" si="28"/>
        <v>0</v>
      </c>
      <c r="M90" s="4">
        <f t="shared" si="39"/>
        <v>0</v>
      </c>
      <c r="N90" s="4">
        <f t="shared" si="40"/>
        <v>0</v>
      </c>
      <c r="O90" s="4">
        <f t="shared" si="41"/>
        <v>0</v>
      </c>
      <c r="P90" s="4"/>
      <c r="Q90" s="4"/>
      <c r="R90" s="4"/>
      <c r="S90" s="4"/>
      <c r="T90" s="4"/>
      <c r="U90" s="4"/>
      <c r="V90" s="1">
        <f t="shared" si="37"/>
        <v>0</v>
      </c>
      <c r="W90" s="1">
        <f t="shared" si="34"/>
        <v>0</v>
      </c>
      <c r="X90" s="1">
        <f t="shared" si="42"/>
        <v>0</v>
      </c>
      <c r="Y90" s="1">
        <f t="shared" si="35"/>
        <v>0</v>
      </c>
      <c r="Z90" s="1">
        <f t="shared" si="36"/>
        <v>0</v>
      </c>
      <c r="AA90" s="4"/>
    </row>
    <row r="91" spans="1:27" x14ac:dyDescent="0.35">
      <c r="A91" s="1">
        <v>90</v>
      </c>
      <c r="B91" s="1">
        <v>4797.2959806436729</v>
      </c>
      <c r="C91" s="1">
        <v>0</v>
      </c>
      <c r="D91" s="1"/>
      <c r="E91" s="1">
        <v>4797.3</v>
      </c>
      <c r="F91" s="1"/>
      <c r="G91" s="1"/>
      <c r="H91" s="1"/>
      <c r="I91" s="1"/>
      <c r="J91" s="1">
        <v>0</v>
      </c>
      <c r="K91" s="1">
        <v>0</v>
      </c>
      <c r="L91" s="4">
        <f t="shared" si="28"/>
        <v>0</v>
      </c>
      <c r="M91" s="4">
        <f t="shared" si="39"/>
        <v>0</v>
      </c>
      <c r="N91" s="4">
        <f t="shared" si="40"/>
        <v>0</v>
      </c>
      <c r="O91" s="4">
        <f t="shared" si="41"/>
        <v>0</v>
      </c>
      <c r="P91" s="4"/>
      <c r="Q91" s="4"/>
      <c r="R91" s="4"/>
      <c r="S91" s="4"/>
      <c r="T91" s="4"/>
      <c r="U91" s="4"/>
      <c r="V91" s="1">
        <f t="shared" si="37"/>
        <v>0</v>
      </c>
      <c r="W91" s="1">
        <f t="shared" si="34"/>
        <v>0</v>
      </c>
      <c r="X91" s="1">
        <f t="shared" si="42"/>
        <v>0</v>
      </c>
      <c r="Y91" s="1">
        <f t="shared" si="35"/>
        <v>0</v>
      </c>
      <c r="Z91" s="1">
        <f t="shared" si="36"/>
        <v>0</v>
      </c>
      <c r="AA91" s="4"/>
    </row>
    <row r="92" spans="1:27" x14ac:dyDescent="0.35">
      <c r="A92" s="1">
        <v>91</v>
      </c>
      <c r="B92" s="1">
        <v>5147.5629031179114</v>
      </c>
      <c r="C92" s="1">
        <v>0</v>
      </c>
      <c r="D92" s="1"/>
      <c r="E92" s="1">
        <v>5147.5600000000004</v>
      </c>
      <c r="F92" s="1"/>
      <c r="G92" s="1"/>
      <c r="H92" s="1"/>
      <c r="I92" s="1"/>
      <c r="J92" s="1">
        <v>0</v>
      </c>
      <c r="K92" s="1">
        <v>0</v>
      </c>
      <c r="L92" s="4">
        <f t="shared" si="28"/>
        <v>0</v>
      </c>
      <c r="M92" s="4">
        <f t="shared" si="39"/>
        <v>0</v>
      </c>
      <c r="N92" s="4">
        <f t="shared" si="40"/>
        <v>0</v>
      </c>
      <c r="O92" s="4">
        <f t="shared" si="41"/>
        <v>0</v>
      </c>
      <c r="P92" s="4"/>
      <c r="Q92" s="4"/>
      <c r="R92" s="4"/>
      <c r="S92" s="4" t="s">
        <v>6</v>
      </c>
      <c r="T92" s="4"/>
      <c r="U92" s="4"/>
      <c r="V92" s="1">
        <f t="shared" si="37"/>
        <v>0</v>
      </c>
      <c r="W92" s="1">
        <f t="shared" si="34"/>
        <v>0</v>
      </c>
      <c r="X92" s="1">
        <f t="shared" si="42"/>
        <v>0</v>
      </c>
      <c r="Y92" s="1">
        <f t="shared" si="35"/>
        <v>0</v>
      </c>
      <c r="Z92" s="1">
        <f t="shared" si="36"/>
        <v>0</v>
      </c>
      <c r="AA92" s="4"/>
    </row>
    <row r="93" spans="1:27" x14ac:dyDescent="0.35">
      <c r="A93" s="1">
        <v>92</v>
      </c>
      <c r="B93" s="1">
        <v>2534.563494353717</v>
      </c>
      <c r="C93" s="1">
        <v>0</v>
      </c>
      <c r="D93" s="1"/>
      <c r="E93" s="1">
        <v>2534.56</v>
      </c>
      <c r="F93" s="1"/>
      <c r="G93" s="1"/>
      <c r="H93" s="1"/>
      <c r="I93" s="1"/>
      <c r="J93" s="1">
        <v>0</v>
      </c>
      <c r="K93" s="1">
        <v>0</v>
      </c>
      <c r="L93" s="4">
        <f t="shared" si="28"/>
        <v>0</v>
      </c>
      <c r="M93" s="4">
        <f t="shared" si="39"/>
        <v>0</v>
      </c>
      <c r="N93" s="4">
        <f t="shared" si="40"/>
        <v>0</v>
      </c>
      <c r="O93" s="4">
        <f t="shared" si="41"/>
        <v>0</v>
      </c>
      <c r="P93" s="4"/>
      <c r="Q93" s="4"/>
      <c r="R93" s="4"/>
      <c r="S93" s="4"/>
      <c r="T93" s="4"/>
      <c r="U93" s="4"/>
      <c r="V93" s="1">
        <f t="shared" si="37"/>
        <v>0</v>
      </c>
      <c r="W93" s="1">
        <f t="shared" si="34"/>
        <v>0</v>
      </c>
      <c r="X93" s="1">
        <f t="shared" si="42"/>
        <v>0</v>
      </c>
      <c r="Y93" s="1">
        <f t="shared" si="35"/>
        <v>0</v>
      </c>
      <c r="Z93" s="1">
        <f t="shared" si="36"/>
        <v>0</v>
      </c>
      <c r="AA93" s="4"/>
    </row>
    <row r="94" spans="1:27" x14ac:dyDescent="0.35">
      <c r="A94" s="1">
        <v>93</v>
      </c>
      <c r="B94" s="1">
        <v>5159.4345472126533</v>
      </c>
      <c r="C94" s="1">
        <v>0</v>
      </c>
      <c r="D94" s="1"/>
      <c r="E94" s="1">
        <v>5159.43</v>
      </c>
      <c r="F94" s="1"/>
      <c r="G94" s="1"/>
      <c r="H94" s="1"/>
      <c r="I94" s="1"/>
      <c r="J94" s="1">
        <v>0</v>
      </c>
      <c r="K94" s="1">
        <v>0</v>
      </c>
      <c r="L94" s="4">
        <f t="shared" si="28"/>
        <v>0</v>
      </c>
      <c r="M94" s="4">
        <f t="shared" si="39"/>
        <v>0</v>
      </c>
      <c r="N94" s="4">
        <f t="shared" si="40"/>
        <v>0</v>
      </c>
      <c r="O94" s="4">
        <f t="shared" si="41"/>
        <v>0</v>
      </c>
      <c r="P94" s="4"/>
      <c r="Q94" s="4"/>
      <c r="R94" s="4"/>
      <c r="S94" s="4"/>
      <c r="T94" s="4"/>
      <c r="U94" s="4"/>
      <c r="V94" s="1">
        <f t="shared" si="37"/>
        <v>0</v>
      </c>
      <c r="W94" s="1">
        <f t="shared" si="34"/>
        <v>0</v>
      </c>
      <c r="X94" s="1">
        <f t="shared" si="42"/>
        <v>0</v>
      </c>
      <c r="Y94" s="1">
        <f t="shared" si="35"/>
        <v>0</v>
      </c>
      <c r="Z94" s="1">
        <f t="shared" si="36"/>
        <v>0</v>
      </c>
      <c r="AA94" s="4"/>
    </row>
    <row r="95" spans="1:27" x14ac:dyDescent="0.35">
      <c r="A95" s="1">
        <v>94</v>
      </c>
      <c r="B95" s="1">
        <v>4317.7330751348463</v>
      </c>
      <c r="C95" s="1">
        <v>0</v>
      </c>
      <c r="D95" s="1"/>
      <c r="E95" s="1">
        <v>4317.7299999999996</v>
      </c>
      <c r="F95" s="1"/>
      <c r="G95" s="1"/>
      <c r="H95" s="1"/>
      <c r="I95" s="1"/>
      <c r="J95" s="1">
        <v>0</v>
      </c>
      <c r="K95" s="1">
        <v>0</v>
      </c>
      <c r="L95" s="4">
        <f t="shared" si="28"/>
        <v>0</v>
      </c>
      <c r="M95" s="4">
        <f t="shared" si="39"/>
        <v>0</v>
      </c>
      <c r="N95" s="4">
        <f t="shared" si="40"/>
        <v>0</v>
      </c>
      <c r="O95" s="4">
        <f t="shared" si="41"/>
        <v>0</v>
      </c>
      <c r="P95" s="4"/>
      <c r="Q95" s="4"/>
      <c r="R95" s="4"/>
      <c r="S95" s="4"/>
      <c r="T95" s="4"/>
      <c r="U95" s="4"/>
      <c r="V95" s="1">
        <f t="shared" si="37"/>
        <v>0</v>
      </c>
      <c r="W95" s="1">
        <f t="shared" si="34"/>
        <v>0</v>
      </c>
      <c r="X95" s="1">
        <f t="shared" si="42"/>
        <v>0</v>
      </c>
      <c r="Y95" s="1">
        <f t="shared" si="35"/>
        <v>0</v>
      </c>
      <c r="Z95" s="1">
        <f t="shared" si="36"/>
        <v>0</v>
      </c>
      <c r="AA95" s="4"/>
    </row>
    <row r="96" spans="1:27" x14ac:dyDescent="0.35">
      <c r="A96" s="1">
        <v>95</v>
      </c>
      <c r="B96" s="1">
        <v>6988.6643510423764</v>
      </c>
      <c r="C96" s="1">
        <v>0</v>
      </c>
      <c r="D96" s="1"/>
      <c r="E96" s="1">
        <v>6988.66</v>
      </c>
      <c r="F96" s="1"/>
      <c r="G96" s="1"/>
      <c r="H96" s="1"/>
      <c r="I96" s="1"/>
      <c r="J96" s="1">
        <v>0</v>
      </c>
      <c r="K96" s="1">
        <v>0</v>
      </c>
      <c r="L96" s="4">
        <f t="shared" si="28"/>
        <v>0</v>
      </c>
      <c r="M96" s="4">
        <f t="shared" si="39"/>
        <v>0</v>
      </c>
      <c r="N96" s="4">
        <f t="shared" si="40"/>
        <v>0</v>
      </c>
      <c r="O96" s="4">
        <f t="shared" si="41"/>
        <v>0</v>
      </c>
      <c r="P96" s="4"/>
      <c r="Q96" s="4"/>
      <c r="R96" s="4"/>
      <c r="S96" s="4"/>
      <c r="T96" s="4"/>
      <c r="U96" s="4"/>
      <c r="V96" s="1">
        <f t="shared" si="37"/>
        <v>0</v>
      </c>
      <c r="W96" s="1">
        <f t="shared" si="34"/>
        <v>0</v>
      </c>
      <c r="X96" s="1">
        <f t="shared" si="42"/>
        <v>0</v>
      </c>
      <c r="Y96" s="1">
        <f t="shared" si="35"/>
        <v>0</v>
      </c>
      <c r="Z96" s="1">
        <f t="shared" si="36"/>
        <v>0</v>
      </c>
      <c r="AA96" s="4"/>
    </row>
    <row r="97" spans="1:27" x14ac:dyDescent="0.35">
      <c r="A97" s="1">
        <v>96</v>
      </c>
      <c r="B97" s="1">
        <v>2938.8092172996649</v>
      </c>
      <c r="C97" s="1">
        <v>0</v>
      </c>
      <c r="D97" s="1"/>
      <c r="E97" s="1">
        <v>2938.81</v>
      </c>
      <c r="F97" s="1"/>
      <c r="G97" s="1"/>
      <c r="H97" s="1"/>
      <c r="I97" s="1"/>
      <c r="J97" s="1">
        <v>0</v>
      </c>
      <c r="K97" s="1">
        <v>0</v>
      </c>
      <c r="L97" s="4">
        <f t="shared" si="28"/>
        <v>0</v>
      </c>
      <c r="M97" s="4">
        <f t="shared" si="39"/>
        <v>0</v>
      </c>
      <c r="N97" s="4">
        <f t="shared" si="40"/>
        <v>0</v>
      </c>
      <c r="O97" s="4">
        <f t="shared" si="41"/>
        <v>0</v>
      </c>
      <c r="P97" s="4"/>
      <c r="Q97" s="4"/>
      <c r="R97" s="4"/>
      <c r="S97" s="4"/>
      <c r="T97" s="4"/>
      <c r="U97" s="4"/>
      <c r="V97" s="1">
        <f t="shared" si="37"/>
        <v>0</v>
      </c>
      <c r="W97" s="1">
        <f t="shared" si="34"/>
        <v>0</v>
      </c>
      <c r="X97" s="1">
        <f>W97-L97</f>
        <v>0</v>
      </c>
      <c r="Y97" s="1">
        <f t="shared" si="35"/>
        <v>0</v>
      </c>
      <c r="Z97" s="1">
        <f t="shared" si="36"/>
        <v>0</v>
      </c>
      <c r="AA97" s="4"/>
    </row>
    <row r="98" spans="1:27" x14ac:dyDescent="0.35">
      <c r="A98" s="1">
        <v>97</v>
      </c>
      <c r="B98" s="1">
        <v>6184.3427862351964</v>
      </c>
      <c r="C98" s="1">
        <v>0</v>
      </c>
      <c r="D98" s="1"/>
      <c r="E98" s="1">
        <v>6184.34</v>
      </c>
      <c r="F98" s="1"/>
      <c r="G98" s="1"/>
      <c r="H98" s="1"/>
      <c r="I98" s="1"/>
      <c r="J98" s="1">
        <v>0</v>
      </c>
      <c r="K98" s="1">
        <v>0</v>
      </c>
      <c r="L98" s="4">
        <f t="shared" si="28"/>
        <v>0</v>
      </c>
      <c r="M98" s="4">
        <f t="shared" si="39"/>
        <v>0</v>
      </c>
      <c r="N98" s="4">
        <f t="shared" si="40"/>
        <v>0</v>
      </c>
      <c r="O98" s="4">
        <f t="shared" si="41"/>
        <v>0</v>
      </c>
      <c r="P98" s="4"/>
      <c r="Q98" s="4"/>
      <c r="R98" s="4"/>
      <c r="S98" s="4"/>
      <c r="T98" s="4"/>
      <c r="U98" s="4"/>
      <c r="V98" s="1">
        <f t="shared" si="37"/>
        <v>0</v>
      </c>
      <c r="W98" s="1">
        <f t="shared" si="34"/>
        <v>0</v>
      </c>
      <c r="X98" s="1">
        <f t="shared" ref="X98:X100" si="43">W98-L98</f>
        <v>0</v>
      </c>
      <c r="Y98" s="1">
        <f t="shared" si="35"/>
        <v>0</v>
      </c>
      <c r="Z98" s="1">
        <f t="shared" si="36"/>
        <v>0</v>
      </c>
      <c r="AA98" s="4"/>
    </row>
    <row r="99" spans="1:27" x14ac:dyDescent="0.35">
      <c r="A99" s="1">
        <v>98</v>
      </c>
      <c r="B99" s="1">
        <v>3973.5840486666689</v>
      </c>
      <c r="C99" s="1">
        <v>0</v>
      </c>
      <c r="D99" s="1"/>
      <c r="E99" s="1">
        <v>3973.58</v>
      </c>
      <c r="F99" s="1"/>
      <c r="G99" s="1"/>
      <c r="H99" s="1"/>
      <c r="I99" s="1"/>
      <c r="J99" s="1">
        <v>0</v>
      </c>
      <c r="K99" s="1">
        <v>0</v>
      </c>
      <c r="L99" s="4">
        <f t="shared" si="28"/>
        <v>0</v>
      </c>
      <c r="M99" s="4">
        <f t="shared" si="39"/>
        <v>0</v>
      </c>
      <c r="N99" s="4">
        <f t="shared" si="40"/>
        <v>0</v>
      </c>
      <c r="O99" s="4">
        <f t="shared" si="41"/>
        <v>0</v>
      </c>
      <c r="P99" s="4"/>
      <c r="Q99" s="4"/>
      <c r="R99" s="4"/>
      <c r="S99" s="4"/>
      <c r="T99" s="4"/>
      <c r="U99" s="4"/>
      <c r="V99" s="1">
        <f t="shared" si="37"/>
        <v>0</v>
      </c>
      <c r="W99" s="1">
        <f t="shared" si="34"/>
        <v>0</v>
      </c>
      <c r="X99" s="1">
        <f t="shared" si="43"/>
        <v>0</v>
      </c>
      <c r="Y99" s="1">
        <f t="shared" si="35"/>
        <v>0</v>
      </c>
      <c r="Z99" s="1">
        <f t="shared" si="36"/>
        <v>0</v>
      </c>
      <c r="AA99" s="4"/>
    </row>
    <row r="100" spans="1:27" x14ac:dyDescent="0.35">
      <c r="A100" s="1">
        <v>99</v>
      </c>
      <c r="B100" s="1">
        <v>6386.1720264839241</v>
      </c>
      <c r="C100" s="1">
        <v>0</v>
      </c>
      <c r="D100" s="1"/>
      <c r="E100" s="1">
        <v>6386.17</v>
      </c>
      <c r="F100" s="1"/>
      <c r="G100" s="1"/>
      <c r="H100" s="1"/>
      <c r="I100" s="1"/>
      <c r="J100" s="1">
        <v>0</v>
      </c>
      <c r="K100" s="1">
        <v>0</v>
      </c>
      <c r="L100" s="4">
        <f t="shared" si="28"/>
        <v>0</v>
      </c>
      <c r="M100" s="4">
        <f t="shared" si="39"/>
        <v>0</v>
      </c>
      <c r="N100" s="4">
        <f t="shared" si="40"/>
        <v>0</v>
      </c>
      <c r="O100" s="4">
        <f t="shared" si="41"/>
        <v>0</v>
      </c>
      <c r="P100" s="4"/>
      <c r="Q100" s="4"/>
      <c r="R100" s="4"/>
      <c r="S100" s="4"/>
      <c r="T100" s="4"/>
      <c r="U100" s="4"/>
      <c r="V100" s="1">
        <f t="shared" si="37"/>
        <v>0</v>
      </c>
      <c r="W100" s="1">
        <f t="shared" si="34"/>
        <v>0</v>
      </c>
      <c r="X100" s="1">
        <f t="shared" si="43"/>
        <v>0</v>
      </c>
      <c r="Y100" s="1">
        <f t="shared" si="35"/>
        <v>0</v>
      </c>
      <c r="Z100" s="1">
        <f t="shared" si="36"/>
        <v>0</v>
      </c>
      <c r="AA100" s="4"/>
    </row>
    <row r="101" spans="1:27" x14ac:dyDescent="0.35">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x14ac:dyDescent="0.35">
      <c r="A102" s="1" t="s">
        <v>57</v>
      </c>
      <c r="B102" s="1">
        <f>SUM(B2:B100)</f>
        <v>404431.86611276446</v>
      </c>
      <c r="C102" s="1">
        <f t="shared" ref="C102:X102" si="44">SUM(C2:C100)</f>
        <v>162</v>
      </c>
      <c r="D102" s="1"/>
      <c r="E102" s="1"/>
      <c r="F102" s="1"/>
      <c r="G102" s="1"/>
      <c r="H102" s="1"/>
      <c r="I102" s="1"/>
      <c r="J102" s="1">
        <f t="shared" si="44"/>
        <v>405</v>
      </c>
      <c r="K102" s="1">
        <f t="shared" si="44"/>
        <v>125.40000000000002</v>
      </c>
      <c r="L102" s="1">
        <f t="shared" si="44"/>
        <v>537328</v>
      </c>
      <c r="M102" s="1">
        <f t="shared" si="44"/>
        <v>5293.9999999999991</v>
      </c>
      <c r="N102" s="1"/>
      <c r="O102" s="1">
        <f t="shared" si="44"/>
        <v>132350</v>
      </c>
      <c r="P102" s="1">
        <f t="shared" si="44"/>
        <v>0</v>
      </c>
      <c r="Q102" s="1">
        <f t="shared" si="44"/>
        <v>0</v>
      </c>
      <c r="R102" s="1">
        <f t="shared" si="44"/>
        <v>170429.70121330378</v>
      </c>
      <c r="S102" s="1">
        <f t="shared" si="44"/>
        <v>3541.7</v>
      </c>
      <c r="T102" s="1">
        <f t="shared" si="44"/>
        <v>478.88537000000008</v>
      </c>
      <c r="U102" s="1">
        <f t="shared" si="44"/>
        <v>40669.702250000017</v>
      </c>
      <c r="V102" s="1">
        <f t="shared" si="44"/>
        <v>-496658.29775000009</v>
      </c>
      <c r="W102" s="1">
        <f t="shared" si="44"/>
        <v>1016742.5562500004</v>
      </c>
      <c r="X102" s="1">
        <f t="shared" si="44"/>
        <v>479414.55624999985</v>
      </c>
      <c r="Y102" s="1"/>
      <c r="Z102" s="1"/>
      <c r="AA102" s="4"/>
    </row>
    <row r="103" spans="1:27" x14ac:dyDescent="0.35">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x14ac:dyDescent="0.35">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sheetData>
  <mergeCells count="2">
    <mergeCell ref="Q9:R9"/>
    <mergeCell ref="Q20:R20"/>
  </mergeCell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AF686-069C-4716-A120-422E480A6247}">
  <dimension ref="A1:AK104"/>
  <sheetViews>
    <sheetView topLeftCell="E16" zoomScale="80" zoomScaleNormal="80" workbookViewId="0">
      <selection activeCell="Q2" sqref="Q2"/>
    </sheetView>
  </sheetViews>
  <sheetFormatPr defaultRowHeight="14.5" x14ac:dyDescent="0.35"/>
  <cols>
    <col min="1" max="1" width="23.26953125" style="1" bestFit="1" customWidth="1"/>
    <col min="2" max="2" width="25.54296875" style="1" bestFit="1" customWidth="1"/>
    <col min="3" max="3" width="16.7265625" bestFit="1" customWidth="1"/>
    <col min="4" max="5" width="16.7265625" customWidth="1"/>
    <col min="6" max="6" width="16.1796875" bestFit="1" customWidth="1"/>
    <col min="7" max="7" width="20.54296875" customWidth="1"/>
    <col min="8" max="8" width="12" customWidth="1"/>
    <col min="9" max="10" width="12.26953125" customWidth="1"/>
    <col min="11" max="11" width="13" customWidth="1"/>
    <col min="12" max="12" width="8.7265625" customWidth="1"/>
    <col min="13" max="13" width="24.08984375" bestFit="1" customWidth="1"/>
    <col min="14" max="14" width="12.6328125" bestFit="1" customWidth="1"/>
    <col min="15" max="15" width="21.6328125" bestFit="1" customWidth="1"/>
    <col min="17" max="17" width="12.453125" customWidth="1"/>
    <col min="19" max="19" width="14.36328125" customWidth="1"/>
    <col min="20" max="20" width="10.36328125" customWidth="1"/>
    <col min="21" max="21" width="12.453125" customWidth="1"/>
    <col min="22" max="22" width="11.1796875" customWidth="1"/>
    <col min="24" max="24" width="14" customWidth="1"/>
    <col min="27" max="27" width="20.54296875" customWidth="1"/>
    <col min="28" max="28" width="19.81640625" customWidth="1"/>
    <col min="29" max="29" width="18.1796875" customWidth="1"/>
    <col min="30" max="30" width="16" customWidth="1"/>
    <col min="31" max="31" width="15.26953125" bestFit="1" customWidth="1"/>
    <col min="32" max="32" width="14.81640625" bestFit="1" customWidth="1"/>
  </cols>
  <sheetData>
    <row r="1" spans="1:32" ht="63" customHeight="1" x14ac:dyDescent="0.35">
      <c r="A1" s="57" t="s">
        <v>7</v>
      </c>
      <c r="B1" s="60" t="s">
        <v>8</v>
      </c>
      <c r="C1" s="60" t="s">
        <v>253</v>
      </c>
      <c r="D1" s="61" t="s">
        <v>281</v>
      </c>
      <c r="E1" s="61" t="s">
        <v>301</v>
      </c>
      <c r="F1" s="60" t="s">
        <v>254</v>
      </c>
      <c r="G1" s="61" t="s">
        <v>255</v>
      </c>
      <c r="H1" s="61" t="s">
        <v>256</v>
      </c>
      <c r="I1" s="61" t="s">
        <v>257</v>
      </c>
      <c r="J1" s="61" t="s">
        <v>282</v>
      </c>
      <c r="K1" s="61" t="s">
        <v>275</v>
      </c>
      <c r="L1" s="69"/>
      <c r="M1" s="69"/>
      <c r="N1" s="69"/>
      <c r="O1" s="69"/>
      <c r="P1" s="69"/>
      <c r="Q1" s="61" t="s">
        <v>276</v>
      </c>
      <c r="R1" s="61" t="s">
        <v>277</v>
      </c>
      <c r="S1" s="61" t="s">
        <v>278</v>
      </c>
      <c r="T1" s="61" t="s">
        <v>279</v>
      </c>
      <c r="U1" s="61" t="s">
        <v>31</v>
      </c>
      <c r="V1" s="12" t="s">
        <v>283</v>
      </c>
      <c r="W1" s="1"/>
      <c r="X1" s="6" t="s">
        <v>33</v>
      </c>
      <c r="Y1" s="6" t="s">
        <v>34</v>
      </c>
      <c r="Z1" s="6" t="s">
        <v>35</v>
      </c>
      <c r="AA1" s="6" t="s">
        <v>36</v>
      </c>
      <c r="AB1" s="6" t="s">
        <v>37</v>
      </c>
      <c r="AC1" s="6" t="s">
        <v>38</v>
      </c>
      <c r="AD1" s="12" t="s">
        <v>39</v>
      </c>
      <c r="AE1" s="12" t="s">
        <v>40</v>
      </c>
      <c r="AF1" s="12" t="s">
        <v>41</v>
      </c>
    </row>
    <row r="2" spans="1:32" x14ac:dyDescent="0.35">
      <c r="A2" s="1">
        <v>1</v>
      </c>
      <c r="B2" s="62">
        <v>1079.529030351737</v>
      </c>
      <c r="C2" s="62">
        <v>2</v>
      </c>
      <c r="D2" s="62">
        <v>3494.71</v>
      </c>
      <c r="E2" s="62">
        <v>1079.53</v>
      </c>
      <c r="F2" s="62">
        <v>5</v>
      </c>
      <c r="G2" s="62">
        <v>1.2</v>
      </c>
      <c r="H2" s="62">
        <f>(C2*$N$11*1000)+N22</f>
        <v>3804</v>
      </c>
      <c r="I2" s="62">
        <f>$N$31*C2</f>
        <v>71.2</v>
      </c>
      <c r="J2" s="56">
        <f>I2/D2</f>
        <v>2.0373650460267088E-2</v>
      </c>
      <c r="K2" s="56">
        <f t="shared" ref="K2:K46" si="0">I2*25</f>
        <v>1780</v>
      </c>
      <c r="L2" s="56"/>
      <c r="M2" s="56"/>
      <c r="N2" s="56"/>
      <c r="O2" s="56"/>
      <c r="P2" s="56"/>
      <c r="Q2" s="1">
        <v>387.59899999999999</v>
      </c>
      <c r="R2" s="1">
        <f>Q2-H2</f>
        <v>-3416.4009999999998</v>
      </c>
      <c r="S2" s="1">
        <f t="shared" ref="S2:S33" si="1">Q2*$N$40</f>
        <v>9689.9750000000004</v>
      </c>
      <c r="T2" s="1">
        <f>S2-H2</f>
        <v>5885.9750000000004</v>
      </c>
      <c r="U2" s="1">
        <f t="shared" ref="U2:U33" si="2">(H2/($N$40*B2))+J2</f>
        <v>0.16132400540386926</v>
      </c>
      <c r="V2" s="1">
        <f t="shared" ref="V2:V33" si="3">(H2/($N$43*B2))+J2</f>
        <v>0.28265150150100227</v>
      </c>
      <c r="W2" s="1"/>
      <c r="X2" s="1" t="s">
        <v>284</v>
      </c>
      <c r="Y2" s="1">
        <v>0</v>
      </c>
      <c r="Z2">
        <f>-X5</f>
        <v>-303212.80000000005</v>
      </c>
      <c r="AA2">
        <f>Z2</f>
        <v>-303212.80000000005</v>
      </c>
      <c r="AC2">
        <f>Z2</f>
        <v>-303212.80000000005</v>
      </c>
      <c r="AD2">
        <f>Z2</f>
        <v>-303212.80000000005</v>
      </c>
      <c r="AF2">
        <f>Z2</f>
        <v>-303212.80000000005</v>
      </c>
    </row>
    <row r="3" spans="1:32" x14ac:dyDescent="0.35">
      <c r="A3" s="1">
        <v>2</v>
      </c>
      <c r="B3" s="62">
        <v>3886.3217817133332</v>
      </c>
      <c r="C3" s="62">
        <v>4</v>
      </c>
      <c r="D3" s="62">
        <v>6989.42</v>
      </c>
      <c r="E3" s="62">
        <v>3886.32</v>
      </c>
      <c r="F3" s="62">
        <v>10</v>
      </c>
      <c r="G3" s="62">
        <v>3.3</v>
      </c>
      <c r="H3" s="62">
        <f>(C3*$N$11*1000)+N24</f>
        <v>7569.6</v>
      </c>
      <c r="I3" s="62">
        <f>$N$31*C3</f>
        <v>142.4</v>
      </c>
      <c r="J3" s="56">
        <f t="shared" ref="J3:J46" si="4">I3/D3</f>
        <v>2.0373650460267088E-2</v>
      </c>
      <c r="K3" s="56">
        <f t="shared" si="0"/>
        <v>3560</v>
      </c>
      <c r="L3" s="56"/>
      <c r="M3" s="56" t="s">
        <v>267</v>
      </c>
      <c r="N3" s="56"/>
      <c r="O3" s="56"/>
      <c r="P3" s="56"/>
      <c r="Q3" s="1">
        <v>644.56899999999996</v>
      </c>
      <c r="R3" s="1">
        <f t="shared" ref="R3:R66" si="5">Q3-H3</f>
        <v>-6925.0310000000009</v>
      </c>
      <c r="S3" s="1">
        <f t="shared" si="1"/>
        <v>16114.224999999999</v>
      </c>
      <c r="T3" s="1">
        <f t="shared" ref="T3:T66" si="6">S3-H3</f>
        <v>8544.6249999999982</v>
      </c>
      <c r="U3" s="1">
        <f t="shared" si="2"/>
        <v>9.8283822856365971E-2</v>
      </c>
      <c r="V3" s="1">
        <f t="shared" si="3"/>
        <v>0.16534747900038133</v>
      </c>
      <c r="W3" s="1"/>
      <c r="X3" s="1"/>
      <c r="Y3" s="1">
        <v>1</v>
      </c>
      <c r="Z3">
        <f>X8</f>
        <v>26607.17600000001</v>
      </c>
      <c r="AA3">
        <f>AA2+Z3</f>
        <v>-276605.62400000001</v>
      </c>
      <c r="AB3">
        <f>Z3/(1+$N$13)^Y3</f>
        <v>25077.451460885968</v>
      </c>
      <c r="AC3">
        <f>AC2+AB3</f>
        <v>-278135.34853911406</v>
      </c>
      <c r="AD3">
        <f t="shared" ref="AD3:AD27" si="7">$X$8*((1+$N$37)^Y3)</f>
        <v>27272.355400000008</v>
      </c>
      <c r="AE3">
        <f>AD3/(1+$N$13)^Y3</f>
        <v>25704.387747408113</v>
      </c>
      <c r="AF3">
        <f>AF2+AE3</f>
        <v>-277508.41225259192</v>
      </c>
    </row>
    <row r="4" spans="1:32" ht="29" x14ac:dyDescent="0.35">
      <c r="A4" s="1">
        <v>3</v>
      </c>
      <c r="B4" s="1">
        <v>3457.332910813851</v>
      </c>
      <c r="C4" s="1">
        <v>2</v>
      </c>
      <c r="D4" s="1">
        <v>3494.71</v>
      </c>
      <c r="E4" s="1">
        <v>3457.33</v>
      </c>
      <c r="F4" s="1">
        <v>5</v>
      </c>
      <c r="G4" s="1">
        <v>0</v>
      </c>
      <c r="H4" s="1">
        <f>C4*$N$11*1000</f>
        <v>3600</v>
      </c>
      <c r="I4" s="1">
        <f>$N$12*C4</f>
        <v>53</v>
      </c>
      <c r="J4" s="4">
        <f t="shared" si="4"/>
        <v>1.5165779134749377E-2</v>
      </c>
      <c r="K4" s="4">
        <f t="shared" si="0"/>
        <v>1325</v>
      </c>
      <c r="L4" s="4"/>
      <c r="M4" s="4"/>
      <c r="N4" s="4"/>
      <c r="P4" s="4"/>
      <c r="Q4" s="1">
        <v>180.26599999999999</v>
      </c>
      <c r="R4" s="1">
        <f t="shared" si="5"/>
        <v>-3419.7339999999999</v>
      </c>
      <c r="S4" s="1">
        <f t="shared" si="1"/>
        <v>4506.6499999999996</v>
      </c>
      <c r="T4" s="1">
        <f t="shared" si="6"/>
        <v>906.64999999999964</v>
      </c>
      <c r="U4" s="1">
        <f t="shared" si="2"/>
        <v>5.6816381988063436E-2</v>
      </c>
      <c r="V4" s="1">
        <f t="shared" si="3"/>
        <v>9.2668461659311377E-2</v>
      </c>
      <c r="W4" s="1"/>
      <c r="X4" s="73" t="s">
        <v>285</v>
      </c>
      <c r="Y4" s="1">
        <f>Y3+1</f>
        <v>2</v>
      </c>
      <c r="Z4">
        <f>Z3</f>
        <v>26607.17600000001</v>
      </c>
      <c r="AA4">
        <f>AA3+Z4</f>
        <v>-249998.448</v>
      </c>
      <c r="AB4">
        <f t="shared" ref="AB4:AB27" si="8">Z4/(1+$N$13)^Y4</f>
        <v>23635.675269449544</v>
      </c>
      <c r="AC4">
        <f t="shared" ref="AC4:AC27" si="9">AC3+AB4</f>
        <v>-254499.67326966452</v>
      </c>
      <c r="AD4">
        <f t="shared" si="7"/>
        <v>27954.16428500001</v>
      </c>
      <c r="AE4">
        <f t="shared" ref="AE4:AE27" si="10">AD4/(1+$N$13)^Y4</f>
        <v>24832.231329965427</v>
      </c>
      <c r="AF4">
        <f t="shared" ref="AF4:AF27" si="11">AF3+AE4</f>
        <v>-252676.18092262649</v>
      </c>
    </row>
    <row r="5" spans="1:32" x14ac:dyDescent="0.35">
      <c r="A5" s="1">
        <v>4</v>
      </c>
      <c r="B5" s="62">
        <v>1453.8912212817379</v>
      </c>
      <c r="C5" s="62">
        <v>2</v>
      </c>
      <c r="D5" s="62">
        <v>3494.71</v>
      </c>
      <c r="E5" s="62">
        <v>1453.89</v>
      </c>
      <c r="F5" s="62">
        <v>5</v>
      </c>
      <c r="G5" s="62">
        <v>1.2</v>
      </c>
      <c r="H5" s="62">
        <f>(C5*$N$11*1000)+N22</f>
        <v>3804</v>
      </c>
      <c r="I5" s="62">
        <f>$N$31*C5</f>
        <v>71.2</v>
      </c>
      <c r="J5" s="56">
        <f t="shared" si="4"/>
        <v>2.0373650460267088E-2</v>
      </c>
      <c r="K5" s="56">
        <f t="shared" si="0"/>
        <v>1780</v>
      </c>
      <c r="L5" s="56"/>
      <c r="M5" s="56"/>
      <c r="N5" s="56"/>
      <c r="O5" s="4" t="s">
        <v>6</v>
      </c>
      <c r="P5" s="56"/>
      <c r="Q5" s="1">
        <v>364.54300000000001</v>
      </c>
      <c r="R5" s="1">
        <f t="shared" si="5"/>
        <v>-3439.4569999999999</v>
      </c>
      <c r="S5" s="1">
        <f t="shared" si="1"/>
        <v>9113.5750000000007</v>
      </c>
      <c r="T5" s="1">
        <f t="shared" si="6"/>
        <v>5309.5750000000007</v>
      </c>
      <c r="U5" s="1">
        <f t="shared" si="2"/>
        <v>0.12503072368054355</v>
      </c>
      <c r="V5" s="1">
        <f t="shared" si="3"/>
        <v>0.21511762447445187</v>
      </c>
      <c r="W5" s="1"/>
      <c r="X5" s="1">
        <f>SUM(H2:H46)</f>
        <v>303212.80000000005</v>
      </c>
      <c r="Y5" s="1">
        <f t="shared" ref="Y5:Y27" si="12">Y4+1</f>
        <v>3</v>
      </c>
      <c r="Z5">
        <f t="shared" ref="Z5:Z27" si="13">Z4</f>
        <v>26607.17600000001</v>
      </c>
      <c r="AA5">
        <f t="shared" ref="AA5:AA27" si="14">AA4+Z5</f>
        <v>-223391.272</v>
      </c>
      <c r="AB5">
        <f t="shared" si="8"/>
        <v>22276.79101738883</v>
      </c>
      <c r="AC5">
        <f t="shared" si="9"/>
        <v>-232222.88225227568</v>
      </c>
      <c r="AD5">
        <f t="shared" si="7"/>
        <v>28653.018392125006</v>
      </c>
      <c r="AE5">
        <f t="shared" si="10"/>
        <v>23989.667401710238</v>
      </c>
      <c r="AF5">
        <f t="shared" si="11"/>
        <v>-228686.51352091625</v>
      </c>
    </row>
    <row r="6" spans="1:32" x14ac:dyDescent="0.35">
      <c r="A6" s="1">
        <v>5</v>
      </c>
      <c r="B6" s="1">
        <v>3955.020115733626</v>
      </c>
      <c r="C6" s="1">
        <v>4</v>
      </c>
      <c r="D6" s="1">
        <v>6989.42</v>
      </c>
      <c r="E6" s="1">
        <v>3955.02</v>
      </c>
      <c r="F6" s="1">
        <v>10</v>
      </c>
      <c r="G6" s="1">
        <v>0</v>
      </c>
      <c r="H6" s="1">
        <f t="shared" ref="H6:H45" si="15">C6*$N$11*1000</f>
        <v>7200</v>
      </c>
      <c r="I6" s="1">
        <f>$N$12*C6</f>
        <v>106</v>
      </c>
      <c r="J6" s="4">
        <f t="shared" si="4"/>
        <v>1.5165779134749377E-2</v>
      </c>
      <c r="K6" s="4">
        <f t="shared" si="0"/>
        <v>2650</v>
      </c>
      <c r="L6" s="4"/>
      <c r="M6" s="4"/>
      <c r="N6" s="4"/>
      <c r="O6" s="4"/>
      <c r="P6" s="4"/>
      <c r="Q6" s="1">
        <v>615.86800000000005</v>
      </c>
      <c r="R6" s="1">
        <f t="shared" si="5"/>
        <v>-6584.1319999999996</v>
      </c>
      <c r="S6" s="1">
        <f t="shared" si="1"/>
        <v>15396.7</v>
      </c>
      <c r="T6" s="1">
        <f t="shared" si="6"/>
        <v>8196.7000000000007</v>
      </c>
      <c r="U6" s="1">
        <f t="shared" si="2"/>
        <v>8.7984624949033752E-2</v>
      </c>
      <c r="V6" s="1">
        <f t="shared" si="3"/>
        <v>0.15066575998317677</v>
      </c>
      <c r="W6" s="1"/>
      <c r="X6" s="1"/>
      <c r="Y6" s="1">
        <f t="shared" si="12"/>
        <v>4</v>
      </c>
      <c r="Z6">
        <f t="shared" si="13"/>
        <v>26607.17600000001</v>
      </c>
      <c r="AA6">
        <f t="shared" si="14"/>
        <v>-196784.09599999999</v>
      </c>
      <c r="AB6">
        <f t="shared" si="8"/>
        <v>20996.033004136501</v>
      </c>
      <c r="AC6">
        <f t="shared" si="9"/>
        <v>-211226.84924813919</v>
      </c>
      <c r="AD6">
        <f t="shared" si="7"/>
        <v>29369.34385192813</v>
      </c>
      <c r="AE6">
        <f t="shared" si="10"/>
        <v>23175.691881953808</v>
      </c>
      <c r="AF6">
        <f t="shared" si="11"/>
        <v>-205510.82163896246</v>
      </c>
    </row>
    <row r="7" spans="1:32" ht="29" x14ac:dyDescent="0.35">
      <c r="A7" s="1">
        <v>6</v>
      </c>
      <c r="B7" s="62">
        <v>2105.0165005377999</v>
      </c>
      <c r="C7" s="62">
        <v>2</v>
      </c>
      <c r="D7" s="62">
        <v>3494.71</v>
      </c>
      <c r="E7" s="62">
        <v>2105.02</v>
      </c>
      <c r="F7" s="62">
        <v>5</v>
      </c>
      <c r="G7" s="62">
        <v>4.2</v>
      </c>
      <c r="H7" s="62">
        <f>(C7*$N$11*1000)+N25</f>
        <v>4070.4</v>
      </c>
      <c r="I7" s="62">
        <f>$N$31*C7</f>
        <v>71.2</v>
      </c>
      <c r="J7" s="56">
        <f t="shared" si="4"/>
        <v>2.0373650460267088E-2</v>
      </c>
      <c r="K7" s="56">
        <f t="shared" si="0"/>
        <v>1780</v>
      </c>
      <c r="L7" s="56"/>
      <c r="M7" s="56"/>
      <c r="N7" s="56"/>
      <c r="O7" s="56"/>
      <c r="P7" s="56"/>
      <c r="Q7" s="1">
        <v>341.173</v>
      </c>
      <c r="R7" s="1">
        <f t="shared" si="5"/>
        <v>-3729.2269999999999</v>
      </c>
      <c r="S7" s="1">
        <f t="shared" si="1"/>
        <v>8529.3250000000007</v>
      </c>
      <c r="T7" s="1">
        <f t="shared" si="6"/>
        <v>4458.9250000000011</v>
      </c>
      <c r="U7" s="1">
        <f t="shared" si="2"/>
        <v>9.772031256880781E-2</v>
      </c>
      <c r="V7" s="1">
        <f t="shared" si="3"/>
        <v>0.16429890932973917</v>
      </c>
      <c r="W7" s="1"/>
      <c r="X7" s="73" t="s">
        <v>286</v>
      </c>
      <c r="Y7" s="1">
        <f t="shared" si="12"/>
        <v>5</v>
      </c>
      <c r="Z7">
        <f t="shared" si="13"/>
        <v>26607.17600000001</v>
      </c>
      <c r="AA7">
        <f t="shared" si="14"/>
        <v>-170176.91999999998</v>
      </c>
      <c r="AB7">
        <f t="shared" si="8"/>
        <v>19788.909523220078</v>
      </c>
      <c r="AC7">
        <f t="shared" si="9"/>
        <v>-191437.9397249191</v>
      </c>
      <c r="AD7">
        <f t="shared" si="7"/>
        <v>30103.57744822633</v>
      </c>
      <c r="AE7">
        <f t="shared" si="10"/>
        <v>22389.334758720692</v>
      </c>
      <c r="AF7">
        <f t="shared" si="11"/>
        <v>-183121.48688024178</v>
      </c>
    </row>
    <row r="8" spans="1:32" x14ac:dyDescent="0.35">
      <c r="A8" s="1">
        <v>7</v>
      </c>
      <c r="B8" s="1">
        <v>1617.7934488334181</v>
      </c>
      <c r="C8" s="1">
        <v>2</v>
      </c>
      <c r="D8" s="1">
        <v>3494.71</v>
      </c>
      <c r="E8" s="1">
        <v>1617.79</v>
      </c>
      <c r="F8" s="1">
        <v>5</v>
      </c>
      <c r="G8" s="1">
        <v>0</v>
      </c>
      <c r="H8" s="1">
        <f t="shared" si="15"/>
        <v>3600</v>
      </c>
      <c r="I8" s="1">
        <f>$N$12*C8</f>
        <v>53</v>
      </c>
      <c r="J8" s="4">
        <f t="shared" si="4"/>
        <v>1.5165779134749377E-2</v>
      </c>
      <c r="K8" s="4">
        <f t="shared" si="0"/>
        <v>1325</v>
      </c>
      <c r="L8" s="4"/>
      <c r="M8" s="4"/>
      <c r="N8" s="4"/>
      <c r="O8" s="4"/>
      <c r="P8" s="4"/>
      <c r="Q8" s="1">
        <v>323.84300000000002</v>
      </c>
      <c r="R8" s="1">
        <f t="shared" si="5"/>
        <v>-3276.1570000000002</v>
      </c>
      <c r="S8" s="1">
        <f t="shared" si="1"/>
        <v>8096.0750000000007</v>
      </c>
      <c r="T8" s="1">
        <f t="shared" si="6"/>
        <v>4496.0750000000007</v>
      </c>
      <c r="U8" s="1">
        <f t="shared" si="2"/>
        <v>0.10417590592432045</v>
      </c>
      <c r="V8" s="1">
        <f t="shared" si="3"/>
        <v>0.18079420046489186</v>
      </c>
      <c r="W8" s="1"/>
      <c r="X8" s="1">
        <f>SUM(Q2:Q46)</f>
        <v>26607.17600000001</v>
      </c>
      <c r="Y8" s="1">
        <f t="shared" si="12"/>
        <v>6</v>
      </c>
      <c r="Z8">
        <f t="shared" si="13"/>
        <v>26607.17600000001</v>
      </c>
      <c r="AA8">
        <f t="shared" si="14"/>
        <v>-143569.74399999998</v>
      </c>
      <c r="AB8">
        <f t="shared" si="8"/>
        <v>18651.187109538245</v>
      </c>
      <c r="AC8">
        <f t="shared" si="9"/>
        <v>-172786.75261538086</v>
      </c>
      <c r="AD8">
        <f t="shared" si="7"/>
        <v>30856.166884431987</v>
      </c>
      <c r="AE8">
        <f t="shared" si="10"/>
        <v>21629.658932788599</v>
      </c>
      <c r="AF8">
        <f t="shared" si="11"/>
        <v>-161491.82794745319</v>
      </c>
    </row>
    <row r="9" spans="1:32" x14ac:dyDescent="0.35">
      <c r="A9" s="1">
        <v>8</v>
      </c>
      <c r="B9" s="62">
        <v>10161.74794678937</v>
      </c>
      <c r="C9" s="62">
        <v>10</v>
      </c>
      <c r="D9" s="62">
        <v>17473.5</v>
      </c>
      <c r="E9" s="62">
        <v>10161.700000000001</v>
      </c>
      <c r="F9" s="62">
        <v>25</v>
      </c>
      <c r="G9" s="62">
        <v>9.6999999999999993</v>
      </c>
      <c r="H9" s="62">
        <f>(C9*$N$11*1000)+N28</f>
        <v>18800</v>
      </c>
      <c r="I9" s="62">
        <f>$N$31*C9</f>
        <v>356</v>
      </c>
      <c r="J9" s="56">
        <f t="shared" si="4"/>
        <v>2.0373708758977881E-2</v>
      </c>
      <c r="K9" s="56">
        <f t="shared" si="0"/>
        <v>8900</v>
      </c>
      <c r="L9" s="56"/>
      <c r="M9" s="107" t="s">
        <v>258</v>
      </c>
      <c r="N9" s="107"/>
      <c r="O9" s="4" t="s">
        <v>299</v>
      </c>
      <c r="P9" s="56"/>
      <c r="Q9" s="1">
        <v>1533.56</v>
      </c>
      <c r="R9" s="1">
        <f t="shared" si="5"/>
        <v>-17266.439999999999</v>
      </c>
      <c r="S9" s="1">
        <f t="shared" si="1"/>
        <v>38339</v>
      </c>
      <c r="T9" s="1">
        <f t="shared" si="6"/>
        <v>19539</v>
      </c>
      <c r="U9" s="1">
        <f t="shared" si="2"/>
        <v>9.4376725163020495E-2</v>
      </c>
      <c r="V9" s="1">
        <f t="shared" si="3"/>
        <v>0.15807717265412555</v>
      </c>
      <c r="W9" s="1"/>
      <c r="X9" s="1"/>
      <c r="Y9" s="1">
        <f t="shared" si="12"/>
        <v>7</v>
      </c>
      <c r="Z9">
        <f t="shared" si="13"/>
        <v>26607.17600000001</v>
      </c>
      <c r="AA9">
        <f t="shared" si="14"/>
        <v>-116962.56799999997</v>
      </c>
      <c r="AB9">
        <f t="shared" si="8"/>
        <v>17578.875692307491</v>
      </c>
      <c r="AC9">
        <f t="shared" si="9"/>
        <v>-155207.87692307337</v>
      </c>
      <c r="AD9">
        <f t="shared" si="7"/>
        <v>31627.571056542787</v>
      </c>
      <c r="AE9">
        <f t="shared" si="10"/>
        <v>20895.759100950349</v>
      </c>
      <c r="AF9">
        <f t="shared" si="11"/>
        <v>-140596.06884650284</v>
      </c>
    </row>
    <row r="10" spans="1:32" x14ac:dyDescent="0.35">
      <c r="A10" s="1">
        <v>9</v>
      </c>
      <c r="B10" s="62">
        <v>5057.043251595851</v>
      </c>
      <c r="C10" s="62">
        <v>4</v>
      </c>
      <c r="D10" s="62">
        <v>6989.42</v>
      </c>
      <c r="E10" s="62">
        <v>5057.04</v>
      </c>
      <c r="F10" s="62">
        <v>10</v>
      </c>
      <c r="G10" s="62">
        <v>6</v>
      </c>
      <c r="H10" s="62">
        <f>(C10*$N$11*1000)+N27</f>
        <v>7620</v>
      </c>
      <c r="I10" s="62">
        <f>$N$31*C10</f>
        <v>142.4</v>
      </c>
      <c r="J10" s="56">
        <f t="shared" si="4"/>
        <v>2.0373650460267088E-2</v>
      </c>
      <c r="K10" s="56">
        <f t="shared" si="0"/>
        <v>3560</v>
      </c>
      <c r="L10" s="56"/>
      <c r="M10" s="2" t="s">
        <v>245</v>
      </c>
      <c r="N10" s="2" t="s">
        <v>246</v>
      </c>
      <c r="O10" s="4">
        <v>1700</v>
      </c>
      <c r="P10" s="56"/>
      <c r="Q10" s="1">
        <v>675.73099999999999</v>
      </c>
      <c r="R10" s="1">
        <f t="shared" si="5"/>
        <v>-6944.2690000000002</v>
      </c>
      <c r="S10" s="1">
        <f t="shared" si="1"/>
        <v>16893.275000000001</v>
      </c>
      <c r="T10" s="1">
        <f t="shared" si="6"/>
        <v>9273.2750000000015</v>
      </c>
      <c r="U10" s="1">
        <f t="shared" si="2"/>
        <v>8.0646024026345298E-2</v>
      </c>
      <c r="V10" s="1">
        <f t="shared" si="3"/>
        <v>0.13252738446370849</v>
      </c>
      <c r="W10" s="1"/>
      <c r="X10" s="1"/>
      <c r="Y10" s="1">
        <f t="shared" si="12"/>
        <v>8</v>
      </c>
      <c r="Z10">
        <f t="shared" si="13"/>
        <v>26607.17600000001</v>
      </c>
      <c r="AA10">
        <f t="shared" si="14"/>
        <v>-90355.391999999963</v>
      </c>
      <c r="AB10">
        <f t="shared" si="8"/>
        <v>16568.214601609321</v>
      </c>
      <c r="AC10">
        <f t="shared" si="9"/>
        <v>-138639.66232146404</v>
      </c>
      <c r="AD10">
        <f t="shared" si="7"/>
        <v>32418.260332956354</v>
      </c>
      <c r="AE10">
        <f t="shared" si="10"/>
        <v>20186.760677166923</v>
      </c>
      <c r="AF10">
        <f t="shared" si="11"/>
        <v>-120409.30816933591</v>
      </c>
    </row>
    <row r="11" spans="1:32" x14ac:dyDescent="0.35">
      <c r="A11" s="1">
        <v>10</v>
      </c>
      <c r="B11" s="1">
        <v>507.10444675644749</v>
      </c>
      <c r="C11" s="1">
        <v>2</v>
      </c>
      <c r="D11" s="1">
        <v>3494.71</v>
      </c>
      <c r="E11" s="1">
        <v>507.10399999999998</v>
      </c>
      <c r="F11" s="1">
        <v>5</v>
      </c>
      <c r="G11" s="1">
        <v>0</v>
      </c>
      <c r="H11" s="1">
        <f t="shared" si="15"/>
        <v>3600</v>
      </c>
      <c r="I11" s="1">
        <f>$N$12*C11</f>
        <v>53</v>
      </c>
      <c r="J11" s="4">
        <f t="shared" si="4"/>
        <v>1.5165779134749377E-2</v>
      </c>
      <c r="K11" s="4">
        <f t="shared" si="0"/>
        <v>1325</v>
      </c>
      <c r="L11" s="4"/>
      <c r="M11" s="1" t="s">
        <v>247</v>
      </c>
      <c r="N11" s="1">
        <v>1.8</v>
      </c>
      <c r="O11" s="4">
        <v>1120</v>
      </c>
      <c r="P11" s="4"/>
      <c r="Q11" s="1">
        <v>425.71899999999999</v>
      </c>
      <c r="R11" s="1">
        <f t="shared" si="5"/>
        <v>-3174.2809999999999</v>
      </c>
      <c r="S11" s="1">
        <f t="shared" si="1"/>
        <v>10642.975</v>
      </c>
      <c r="T11" s="1">
        <f t="shared" si="6"/>
        <v>7042.9750000000004</v>
      </c>
      <c r="U11" s="1">
        <f t="shared" si="2"/>
        <v>0.29913094828492331</v>
      </c>
      <c r="V11" s="1">
        <f t="shared" si="3"/>
        <v>0.54356298937893044</v>
      </c>
      <c r="W11" s="1"/>
      <c r="X11" s="1"/>
      <c r="Y11" s="1">
        <f t="shared" si="12"/>
        <v>9</v>
      </c>
      <c r="Z11">
        <f t="shared" si="13"/>
        <v>26607.17600000001</v>
      </c>
      <c r="AA11">
        <f t="shared" si="14"/>
        <v>-63748.215999999957</v>
      </c>
      <c r="AB11">
        <f t="shared" si="8"/>
        <v>15615.659379462133</v>
      </c>
      <c r="AC11">
        <f t="shared" si="9"/>
        <v>-123024.00294200191</v>
      </c>
      <c r="AD11">
        <f t="shared" si="7"/>
        <v>33228.716841280257</v>
      </c>
      <c r="AE11">
        <f t="shared" si="10"/>
        <v>19501.818750326198</v>
      </c>
      <c r="AF11">
        <f t="shared" si="11"/>
        <v>-100907.48941900971</v>
      </c>
    </row>
    <row r="12" spans="1:32" x14ac:dyDescent="0.35">
      <c r="A12" s="1">
        <v>11</v>
      </c>
      <c r="B12" s="1">
        <v>480.82648360578531</v>
      </c>
      <c r="C12" s="1">
        <v>2</v>
      </c>
      <c r="D12" s="1">
        <v>3494.71</v>
      </c>
      <c r="E12" s="1">
        <v>480.82600000000002</v>
      </c>
      <c r="F12" s="1">
        <v>5</v>
      </c>
      <c r="G12" s="1">
        <v>0</v>
      </c>
      <c r="H12" s="1">
        <f t="shared" si="15"/>
        <v>3600</v>
      </c>
      <c r="I12" s="1">
        <f>$N$12*C12</f>
        <v>53</v>
      </c>
      <c r="J12" s="4">
        <f t="shared" si="4"/>
        <v>1.5165779134749377E-2</v>
      </c>
      <c r="K12" s="4">
        <f t="shared" si="0"/>
        <v>1325</v>
      </c>
      <c r="L12" s="4"/>
      <c r="M12" s="1" t="s">
        <v>248</v>
      </c>
      <c r="N12" s="1">
        <v>26.5</v>
      </c>
      <c r="O12" s="4">
        <v>700</v>
      </c>
      <c r="P12" s="4"/>
      <c r="Q12" s="1">
        <v>425.47199999999998</v>
      </c>
      <c r="R12" s="1">
        <f t="shared" si="5"/>
        <v>-3174.5280000000002</v>
      </c>
      <c r="S12" s="1">
        <f t="shared" si="1"/>
        <v>10636.8</v>
      </c>
      <c r="T12" s="1">
        <f t="shared" si="6"/>
        <v>7036.7999999999993</v>
      </c>
      <c r="U12" s="1">
        <f t="shared" si="2"/>
        <v>0.31465011477309396</v>
      </c>
      <c r="V12" s="1">
        <f t="shared" si="3"/>
        <v>0.57244077147525385</v>
      </c>
      <c r="W12" s="1"/>
      <c r="X12" s="1"/>
      <c r="Y12" s="1">
        <f t="shared" si="12"/>
        <v>10</v>
      </c>
      <c r="Z12">
        <f t="shared" si="13"/>
        <v>26607.17600000001</v>
      </c>
      <c r="AA12">
        <f t="shared" si="14"/>
        <v>-37141.03999999995</v>
      </c>
      <c r="AB12">
        <f t="shared" si="8"/>
        <v>14717.869349163177</v>
      </c>
      <c r="AC12">
        <f t="shared" si="9"/>
        <v>-108306.13359283874</v>
      </c>
      <c r="AD12">
        <f t="shared" si="7"/>
        <v>34059.434762312267</v>
      </c>
      <c r="AE12">
        <f t="shared" si="10"/>
        <v>18840.117077365081</v>
      </c>
      <c r="AF12">
        <f t="shared" si="11"/>
        <v>-82067.37234164463</v>
      </c>
    </row>
    <row r="13" spans="1:32" x14ac:dyDescent="0.35">
      <c r="A13" s="1">
        <v>12</v>
      </c>
      <c r="B13" s="1">
        <v>569.06841271947087</v>
      </c>
      <c r="C13" s="1">
        <v>2</v>
      </c>
      <c r="D13" s="1">
        <v>3497.79</v>
      </c>
      <c r="E13" s="1">
        <v>569.06799999999998</v>
      </c>
      <c r="F13" s="1">
        <v>5</v>
      </c>
      <c r="G13" s="1">
        <v>0</v>
      </c>
      <c r="H13" s="1">
        <f t="shared" si="15"/>
        <v>3600</v>
      </c>
      <c r="I13" s="1">
        <f>$N$12*C13</f>
        <v>53</v>
      </c>
      <c r="J13" s="4">
        <f t="shared" si="4"/>
        <v>1.5152424816812901E-2</v>
      </c>
      <c r="K13" s="4">
        <f t="shared" si="0"/>
        <v>1325</v>
      </c>
      <c r="L13" s="4"/>
      <c r="M13" s="1" t="s">
        <v>250</v>
      </c>
      <c r="N13" s="1">
        <v>6.0999999999999999E-2</v>
      </c>
      <c r="O13" t="s">
        <v>300</v>
      </c>
      <c r="P13" s="4"/>
      <c r="Q13" s="1">
        <v>421.27100000000002</v>
      </c>
      <c r="R13" s="1">
        <f t="shared" si="5"/>
        <v>-3178.7289999999998</v>
      </c>
      <c r="S13" s="1">
        <f t="shared" si="1"/>
        <v>10531.775</v>
      </c>
      <c r="T13" s="1">
        <f t="shared" si="6"/>
        <v>6931.7749999999996</v>
      </c>
      <c r="U13" s="1">
        <f t="shared" si="2"/>
        <v>0.26819757155383012</v>
      </c>
      <c r="V13" s="1">
        <f t="shared" si="3"/>
        <v>0.48601422100759206</v>
      </c>
      <c r="W13" s="1"/>
      <c r="X13" s="1"/>
      <c r="Y13" s="1">
        <f t="shared" si="12"/>
        <v>11</v>
      </c>
      <c r="Z13">
        <f t="shared" si="13"/>
        <v>26607.17600000001</v>
      </c>
      <c r="AA13">
        <f t="shared" si="14"/>
        <v>-10533.86399999994</v>
      </c>
      <c r="AB13">
        <f t="shared" si="8"/>
        <v>13871.695899305543</v>
      </c>
      <c r="AC13">
        <f t="shared" si="9"/>
        <v>-94434.437693533197</v>
      </c>
      <c r="AD13">
        <f t="shared" si="7"/>
        <v>34910.920631370071</v>
      </c>
      <c r="AE13">
        <f t="shared" si="10"/>
        <v>18200.867110555337</v>
      </c>
      <c r="AF13">
        <f t="shared" si="11"/>
        <v>-63866.505231089293</v>
      </c>
    </row>
    <row r="14" spans="1:32" x14ac:dyDescent="0.35">
      <c r="A14" s="1">
        <v>13</v>
      </c>
      <c r="B14" s="62">
        <v>4563.0069277860366</v>
      </c>
      <c r="C14" s="62">
        <v>6</v>
      </c>
      <c r="D14" s="62">
        <v>10493.4</v>
      </c>
      <c r="E14" s="62">
        <v>4563.01</v>
      </c>
      <c r="F14" s="62">
        <v>15</v>
      </c>
      <c r="G14" s="62">
        <v>5</v>
      </c>
      <c r="H14" s="62">
        <f>(C14*$N$11*1000)+N26</f>
        <v>11150</v>
      </c>
      <c r="I14" s="62">
        <f>$N$31*C14</f>
        <v>213.60000000000002</v>
      </c>
      <c r="J14" s="56">
        <f t="shared" si="4"/>
        <v>2.0355652124192353E-2</v>
      </c>
      <c r="K14" s="56">
        <f t="shared" si="0"/>
        <v>5340.0000000000009</v>
      </c>
      <c r="L14" s="56"/>
      <c r="M14" s="1" t="s">
        <v>251</v>
      </c>
      <c r="N14" s="1" t="s">
        <v>252</v>
      </c>
      <c r="O14" s="4">
        <v>1.2</v>
      </c>
      <c r="P14" s="56"/>
      <c r="Q14" s="1">
        <v>1086.6099999999999</v>
      </c>
      <c r="R14" s="1">
        <f t="shared" si="5"/>
        <v>-10063.39</v>
      </c>
      <c r="S14" s="1">
        <f t="shared" si="1"/>
        <v>27165.249999999996</v>
      </c>
      <c r="T14" s="1">
        <f t="shared" si="6"/>
        <v>16015.249999999996</v>
      </c>
      <c r="U14" s="1">
        <f t="shared" si="2"/>
        <v>0.1180982168536302</v>
      </c>
      <c r="V14" s="1">
        <f t="shared" si="3"/>
        <v>0.20223323478586366</v>
      </c>
      <c r="W14" s="1"/>
      <c r="X14" s="1"/>
      <c r="Y14" s="1">
        <f t="shared" si="12"/>
        <v>12</v>
      </c>
      <c r="Z14">
        <f t="shared" si="13"/>
        <v>26607.17600000001</v>
      </c>
      <c r="AA14">
        <f t="shared" si="14"/>
        <v>16073.312000000071</v>
      </c>
      <c r="AB14">
        <f t="shared" si="8"/>
        <v>13074.171441381284</v>
      </c>
      <c r="AC14">
        <f t="shared" si="9"/>
        <v>-81360.266252151909</v>
      </c>
      <c r="AD14">
        <f t="shared" si="7"/>
        <v>35783.693647154316</v>
      </c>
      <c r="AE14">
        <f t="shared" si="10"/>
        <v>17583.307057793794</v>
      </c>
      <c r="AF14">
        <f t="shared" si="11"/>
        <v>-46283.198173295503</v>
      </c>
    </row>
    <row r="15" spans="1:32" x14ac:dyDescent="0.35">
      <c r="A15" s="1">
        <v>14</v>
      </c>
      <c r="B15" s="62">
        <v>2172.7675547581462</v>
      </c>
      <c r="C15" s="62">
        <v>2</v>
      </c>
      <c r="D15" s="62">
        <v>3497.79</v>
      </c>
      <c r="E15" s="62">
        <v>2172.77</v>
      </c>
      <c r="F15" s="62">
        <v>5</v>
      </c>
      <c r="G15" s="62">
        <v>2</v>
      </c>
      <c r="H15" s="62">
        <f>(C15*$N$11*1000)+N23</f>
        <v>3940</v>
      </c>
      <c r="I15" s="62">
        <f>$N$31*C15</f>
        <v>71.2</v>
      </c>
      <c r="J15" s="56">
        <f t="shared" si="4"/>
        <v>2.0355710319944882E-2</v>
      </c>
      <c r="K15" s="56">
        <f t="shared" si="0"/>
        <v>1780</v>
      </c>
      <c r="L15" s="56"/>
      <c r="M15" s="1" t="s">
        <v>262</v>
      </c>
      <c r="N15" s="1">
        <v>7.0000000000000007E-2</v>
      </c>
      <c r="O15" s="4">
        <v>2</v>
      </c>
      <c r="P15" s="56"/>
      <c r="Q15" s="1">
        <v>347.005</v>
      </c>
      <c r="R15" s="1">
        <f t="shared" si="5"/>
        <v>-3592.9949999999999</v>
      </c>
      <c r="S15" s="1">
        <f t="shared" si="1"/>
        <v>8675.125</v>
      </c>
      <c r="T15" s="1">
        <f t="shared" si="6"/>
        <v>4735.125</v>
      </c>
      <c r="U15" s="1">
        <f t="shared" si="2"/>
        <v>9.2889930400170018E-2</v>
      </c>
      <c r="V15" s="1">
        <f t="shared" si="3"/>
        <v>0.15532606479098701</v>
      </c>
      <c r="W15" s="1"/>
      <c r="X15" s="1"/>
      <c r="Y15" s="1">
        <f t="shared" si="12"/>
        <v>13</v>
      </c>
      <c r="Z15">
        <f t="shared" si="13"/>
        <v>26607.17600000001</v>
      </c>
      <c r="AA15">
        <f t="shared" si="14"/>
        <v>42680.488000000085</v>
      </c>
      <c r="AB15">
        <f t="shared" si="8"/>
        <v>12322.499002244376</v>
      </c>
      <c r="AC15">
        <f t="shared" si="9"/>
        <v>-69037.767249907527</v>
      </c>
      <c r="AD15">
        <f t="shared" si="7"/>
        <v>36678.285988333177</v>
      </c>
      <c r="AE15">
        <f t="shared" si="10"/>
        <v>16986.700974777228</v>
      </c>
      <c r="AF15">
        <f t="shared" si="11"/>
        <v>-29296.497198518275</v>
      </c>
    </row>
    <row r="16" spans="1:32" x14ac:dyDescent="0.35">
      <c r="A16" s="1">
        <v>15</v>
      </c>
      <c r="B16" s="62">
        <v>4548.2349752288228</v>
      </c>
      <c r="C16" s="62">
        <v>4</v>
      </c>
      <c r="D16" s="62">
        <v>6995.57</v>
      </c>
      <c r="E16" s="62">
        <v>4548.2299999999996</v>
      </c>
      <c r="F16" s="62">
        <v>10</v>
      </c>
      <c r="G16" s="62">
        <v>3.3</v>
      </c>
      <c r="H16" s="62">
        <f>(C16*$N$11*1000)+N24</f>
        <v>7569.6</v>
      </c>
      <c r="I16" s="62">
        <f>$N$31*C16</f>
        <v>142.4</v>
      </c>
      <c r="J16" s="56">
        <f t="shared" si="4"/>
        <v>2.0355739417945929E-2</v>
      </c>
      <c r="K16" s="56">
        <f t="shared" si="0"/>
        <v>3560</v>
      </c>
      <c r="L16" s="56"/>
      <c r="M16" s="1" t="s">
        <v>263</v>
      </c>
      <c r="N16" s="1">
        <v>2.5000000000000001E-2</v>
      </c>
      <c r="O16" s="4">
        <v>3.3</v>
      </c>
      <c r="P16" s="56"/>
      <c r="Q16" s="1">
        <v>714.76800000000003</v>
      </c>
      <c r="R16" s="1">
        <f t="shared" si="5"/>
        <v>-6854.8320000000003</v>
      </c>
      <c r="S16" s="1">
        <f t="shared" si="1"/>
        <v>17869.2</v>
      </c>
      <c r="T16" s="1">
        <f t="shared" si="6"/>
        <v>10299.6</v>
      </c>
      <c r="U16" s="1">
        <f t="shared" si="2"/>
        <v>8.692749783611492E-2</v>
      </c>
      <c r="V16" s="1">
        <f t="shared" si="3"/>
        <v>0.14423125392024461</v>
      </c>
      <c r="W16" s="1"/>
      <c r="X16" s="1"/>
      <c r="Y16" s="1">
        <f t="shared" si="12"/>
        <v>14</v>
      </c>
      <c r="Z16">
        <f t="shared" si="13"/>
        <v>26607.17600000001</v>
      </c>
      <c r="AA16">
        <f t="shared" si="14"/>
        <v>69287.664000000092</v>
      </c>
      <c r="AB16">
        <f t="shared" si="8"/>
        <v>11614.042414933436</v>
      </c>
      <c r="AC16">
        <f t="shared" si="9"/>
        <v>-57423.724834974091</v>
      </c>
      <c r="AD16">
        <f t="shared" si="7"/>
        <v>37595.2431380415</v>
      </c>
      <c r="AE16">
        <f t="shared" si="10"/>
        <v>16410.337887979884</v>
      </c>
      <c r="AF16">
        <f t="shared" si="11"/>
        <v>-12886.159310538391</v>
      </c>
    </row>
    <row r="17" spans="1:37" x14ac:dyDescent="0.35">
      <c r="A17" s="1">
        <v>16</v>
      </c>
      <c r="B17" s="1">
        <v>5476.90270703035</v>
      </c>
      <c r="C17" s="1">
        <v>4</v>
      </c>
      <c r="D17" s="1">
        <v>6995.57</v>
      </c>
      <c r="E17" s="1">
        <v>5476.9</v>
      </c>
      <c r="F17" s="1">
        <v>10</v>
      </c>
      <c r="G17" s="1">
        <v>0</v>
      </c>
      <c r="H17" s="1">
        <f t="shared" si="15"/>
        <v>7200</v>
      </c>
      <c r="I17" s="1">
        <f>$N$12*C17</f>
        <v>106</v>
      </c>
      <c r="J17" s="4">
        <f t="shared" si="4"/>
        <v>1.5152446476841773E-2</v>
      </c>
      <c r="K17" s="4">
        <f t="shared" si="0"/>
        <v>2650</v>
      </c>
      <c r="L17" s="4"/>
      <c r="M17" s="4"/>
      <c r="N17" s="4"/>
      <c r="O17" s="4">
        <v>4.2</v>
      </c>
      <c r="P17" s="4"/>
      <c r="Q17" s="1">
        <v>491.30799999999999</v>
      </c>
      <c r="R17" s="1">
        <f t="shared" si="5"/>
        <v>-6708.692</v>
      </c>
      <c r="S17" s="1">
        <f t="shared" si="1"/>
        <v>12282.7</v>
      </c>
      <c r="T17" s="1">
        <f t="shared" si="6"/>
        <v>5082.7000000000007</v>
      </c>
      <c r="U17" s="1">
        <f t="shared" si="2"/>
        <v>6.7736911713062384E-2</v>
      </c>
      <c r="V17" s="1">
        <f t="shared" si="3"/>
        <v>0.11300066080592674</v>
      </c>
      <c r="W17" s="1"/>
      <c r="X17" s="1"/>
      <c r="Y17" s="1">
        <f t="shared" si="12"/>
        <v>15</v>
      </c>
      <c r="Z17">
        <f t="shared" si="13"/>
        <v>26607.17600000001</v>
      </c>
      <c r="AA17">
        <f t="shared" si="14"/>
        <v>95894.840000000098</v>
      </c>
      <c r="AB17">
        <f t="shared" si="8"/>
        <v>10946.317073452816</v>
      </c>
      <c r="AC17">
        <f t="shared" si="9"/>
        <v>-46477.407761521274</v>
      </c>
      <c r="AD17">
        <f t="shared" si="7"/>
        <v>38535.124216492542</v>
      </c>
      <c r="AE17">
        <f t="shared" si="10"/>
        <v>15853.530947388674</v>
      </c>
      <c r="AF17">
        <f t="shared" si="11"/>
        <v>2967.3716368502828</v>
      </c>
    </row>
    <row r="18" spans="1:37" x14ac:dyDescent="0.35">
      <c r="A18" s="1">
        <v>17</v>
      </c>
      <c r="B18" s="62">
        <v>2180.0429312531028</v>
      </c>
      <c r="C18" s="62">
        <v>2</v>
      </c>
      <c r="D18" s="62">
        <v>3497.79</v>
      </c>
      <c r="E18" s="62">
        <v>2180.04</v>
      </c>
      <c r="F18" s="62">
        <v>5</v>
      </c>
      <c r="G18" s="62">
        <v>2</v>
      </c>
      <c r="H18" s="62">
        <f>(C18*$N$11*1000)+N23</f>
        <v>3940</v>
      </c>
      <c r="I18" s="62">
        <f>$N$31*C18</f>
        <v>71.2</v>
      </c>
      <c r="J18" s="56">
        <f t="shared" si="4"/>
        <v>2.0355710319944882E-2</v>
      </c>
      <c r="K18" s="56">
        <f t="shared" si="0"/>
        <v>1780</v>
      </c>
      <c r="L18" s="56"/>
      <c r="M18" s="4"/>
      <c r="N18" s="4"/>
      <c r="O18" s="4">
        <v>5</v>
      </c>
      <c r="P18" s="56"/>
      <c r="Q18" s="1">
        <v>331.69600000000003</v>
      </c>
      <c r="R18" s="1">
        <f t="shared" si="5"/>
        <v>-3608.3040000000001</v>
      </c>
      <c r="S18" s="1">
        <f t="shared" si="1"/>
        <v>8292.4000000000015</v>
      </c>
      <c r="T18" s="1">
        <f t="shared" si="6"/>
        <v>4352.4000000000015</v>
      </c>
      <c r="U18" s="1">
        <f t="shared" si="2"/>
        <v>9.2647864635186039E-2</v>
      </c>
      <c r="V18" s="1">
        <f t="shared" si="3"/>
        <v>0.15487563322821493</v>
      </c>
      <c r="W18" s="1"/>
      <c r="X18" s="1"/>
      <c r="Y18" s="1">
        <f t="shared" si="12"/>
        <v>16</v>
      </c>
      <c r="Z18">
        <f t="shared" si="13"/>
        <v>26607.17600000001</v>
      </c>
      <c r="AA18">
        <f t="shared" si="14"/>
        <v>122502.01600000011</v>
      </c>
      <c r="AB18">
        <f t="shared" si="8"/>
        <v>10316.981219088422</v>
      </c>
      <c r="AC18">
        <f t="shared" si="9"/>
        <v>-36160.426542432848</v>
      </c>
      <c r="AD18">
        <f t="shared" si="7"/>
        <v>39498.502321904853</v>
      </c>
      <c r="AE18">
        <f t="shared" si="10"/>
        <v>15315.616607986231</v>
      </c>
      <c r="AF18">
        <f t="shared" si="11"/>
        <v>18282.988244836513</v>
      </c>
    </row>
    <row r="19" spans="1:37" x14ac:dyDescent="0.35">
      <c r="A19" s="1">
        <v>18</v>
      </c>
      <c r="B19" s="62">
        <v>5524.0028847571884</v>
      </c>
      <c r="C19" s="62">
        <v>4</v>
      </c>
      <c r="D19" s="62">
        <v>6995.57</v>
      </c>
      <c r="E19" s="62">
        <v>5524</v>
      </c>
      <c r="F19" s="62">
        <v>10</v>
      </c>
      <c r="G19" s="62">
        <v>6</v>
      </c>
      <c r="H19" s="62">
        <f>(C19*$N$11*1000)+N27</f>
        <v>7620</v>
      </c>
      <c r="I19" s="62">
        <f>$N$31*C19</f>
        <v>142.4</v>
      </c>
      <c r="J19" s="56">
        <f t="shared" si="4"/>
        <v>2.0355739417945929E-2</v>
      </c>
      <c r="K19" s="56">
        <f t="shared" si="0"/>
        <v>3560</v>
      </c>
      <c r="L19" s="56"/>
      <c r="M19" s="4" t="s">
        <v>298</v>
      </c>
      <c r="N19" s="4">
        <v>0.1</v>
      </c>
      <c r="O19" s="4">
        <v>6</v>
      </c>
      <c r="P19" s="56"/>
      <c r="Q19" s="1">
        <v>629.01599999999996</v>
      </c>
      <c r="R19" s="1">
        <f t="shared" si="5"/>
        <v>-6990.9840000000004</v>
      </c>
      <c r="S19" s="1">
        <f t="shared" si="1"/>
        <v>15725.4</v>
      </c>
      <c r="T19" s="1">
        <f t="shared" si="6"/>
        <v>8105.4</v>
      </c>
      <c r="U19" s="1">
        <f t="shared" si="2"/>
        <v>7.5533118278673608E-2</v>
      </c>
      <c r="V19" s="1">
        <f t="shared" si="3"/>
        <v>0.12302880015229231</v>
      </c>
      <c r="W19" s="1"/>
      <c r="X19" s="1"/>
      <c r="Y19" s="1">
        <f t="shared" si="12"/>
        <v>17</v>
      </c>
      <c r="Z19">
        <f t="shared" si="13"/>
        <v>26607.17600000001</v>
      </c>
      <c r="AA19">
        <f t="shared" si="14"/>
        <v>149109.19200000013</v>
      </c>
      <c r="AB19">
        <f t="shared" si="8"/>
        <v>9723.8277276987974</v>
      </c>
      <c r="AC19">
        <f t="shared" si="9"/>
        <v>-26436.59881473405</v>
      </c>
      <c r="AD19">
        <f t="shared" si="7"/>
        <v>40485.964879952473</v>
      </c>
      <c r="AE19">
        <f t="shared" si="10"/>
        <v>14795.953839006492</v>
      </c>
      <c r="AF19">
        <f t="shared" si="11"/>
        <v>33078.942083843009</v>
      </c>
    </row>
    <row r="20" spans="1:37" x14ac:dyDescent="0.35">
      <c r="A20" s="1">
        <v>19</v>
      </c>
      <c r="B20" s="1">
        <v>6393.5501464958952</v>
      </c>
      <c r="C20" s="1">
        <v>4</v>
      </c>
      <c r="D20" s="1">
        <v>6995.57</v>
      </c>
      <c r="E20" s="1">
        <v>6393.55</v>
      </c>
      <c r="F20" s="1">
        <v>10</v>
      </c>
      <c r="G20" s="1">
        <v>0</v>
      </c>
      <c r="H20" s="1">
        <f t="shared" si="15"/>
        <v>7200</v>
      </c>
      <c r="I20" s="1">
        <f>$N$12*C20</f>
        <v>106</v>
      </c>
      <c r="J20" s="4">
        <f t="shared" si="4"/>
        <v>1.5152446476841773E-2</v>
      </c>
      <c r="K20" s="4">
        <f t="shared" si="0"/>
        <v>2650</v>
      </c>
      <c r="L20" s="4"/>
      <c r="M20" s="107" t="s">
        <v>259</v>
      </c>
      <c r="N20" s="107"/>
      <c r="O20" s="4"/>
      <c r="P20" s="4"/>
      <c r="Q20" s="1">
        <v>345.351</v>
      </c>
      <c r="R20" s="1">
        <f t="shared" si="5"/>
        <v>-6854.6490000000003</v>
      </c>
      <c r="S20" s="1">
        <f t="shared" si="1"/>
        <v>8633.7749999999996</v>
      </c>
      <c r="T20" s="1">
        <f t="shared" si="6"/>
        <v>1433.7749999999996</v>
      </c>
      <c r="U20" s="1">
        <f t="shared" si="2"/>
        <v>6.0197842759194195E-2</v>
      </c>
      <c r="V20" s="1">
        <f t="shared" si="3"/>
        <v>9.8972098729161129E-2</v>
      </c>
      <c r="W20" s="1"/>
      <c r="X20" s="1"/>
      <c r="Y20" s="1">
        <f>Y19+1</f>
        <v>18</v>
      </c>
      <c r="Z20">
        <f t="shared" si="13"/>
        <v>26607.17600000001</v>
      </c>
      <c r="AA20">
        <f t="shared" si="14"/>
        <v>175716.36800000013</v>
      </c>
      <c r="AB20">
        <f t="shared" si="8"/>
        <v>9164.7763691788841</v>
      </c>
      <c r="AC20">
        <f t="shared" si="9"/>
        <v>-17271.822445555168</v>
      </c>
      <c r="AD20">
        <f t="shared" si="7"/>
        <v>41498.114001951282</v>
      </c>
      <c r="AE20">
        <f t="shared" si="10"/>
        <v>14293.923360020408</v>
      </c>
      <c r="AF20">
        <f t="shared" si="11"/>
        <v>47372.865443863418</v>
      </c>
    </row>
    <row r="21" spans="1:37" x14ac:dyDescent="0.35">
      <c r="A21" s="1">
        <v>20</v>
      </c>
      <c r="B21" s="62">
        <v>6287.6864400653858</v>
      </c>
      <c r="C21" s="62">
        <v>10</v>
      </c>
      <c r="D21" s="62">
        <v>17488.900000000001</v>
      </c>
      <c r="E21" s="62">
        <v>6287.69</v>
      </c>
      <c r="F21" s="62">
        <v>25</v>
      </c>
      <c r="G21" s="62">
        <v>13.5</v>
      </c>
      <c r="H21" s="62">
        <f>(C21*$N$11*1000)+N29</f>
        <v>18730</v>
      </c>
      <c r="I21" s="62">
        <f>$N$31*C21</f>
        <v>356</v>
      </c>
      <c r="J21" s="56">
        <f t="shared" si="4"/>
        <v>2.0355768516030166E-2</v>
      </c>
      <c r="K21" s="56">
        <f t="shared" si="0"/>
        <v>8900</v>
      </c>
      <c r="L21" s="56"/>
      <c r="M21" s="2" t="s">
        <v>245</v>
      </c>
      <c r="N21" s="2" t="s">
        <v>246</v>
      </c>
      <c r="O21" s="4"/>
      <c r="P21" s="56"/>
      <c r="Q21" s="1">
        <v>1809.65</v>
      </c>
      <c r="R21" s="1">
        <f t="shared" si="5"/>
        <v>-16920.349999999999</v>
      </c>
      <c r="S21" s="1">
        <f t="shared" si="1"/>
        <v>45241.25</v>
      </c>
      <c r="T21" s="1">
        <f t="shared" si="6"/>
        <v>26511.25</v>
      </c>
      <c r="U21" s="1">
        <f t="shared" si="2"/>
        <v>0.13950929297075934</v>
      </c>
      <c r="V21" s="1">
        <f t="shared" si="3"/>
        <v>0.24207447472589044</v>
      </c>
      <c r="W21" s="1"/>
      <c r="X21" s="1"/>
      <c r="Y21" s="1">
        <f t="shared" si="12"/>
        <v>19</v>
      </c>
      <c r="Z21">
        <f t="shared" si="13"/>
        <v>26607.17600000001</v>
      </c>
      <c r="AA21">
        <f t="shared" si="14"/>
        <v>202323.54400000014</v>
      </c>
      <c r="AB21">
        <f t="shared" si="8"/>
        <v>8637.8665119499401</v>
      </c>
      <c r="AC21">
        <f t="shared" si="9"/>
        <v>-8633.955933605228</v>
      </c>
      <c r="AD21">
        <f t="shared" si="7"/>
        <v>42535.566852000069</v>
      </c>
      <c r="AE21">
        <f t="shared" si="10"/>
        <v>13808.92690294149</v>
      </c>
      <c r="AF21">
        <f t="shared" si="11"/>
        <v>61181.792346804912</v>
      </c>
    </row>
    <row r="22" spans="1:37" x14ac:dyDescent="0.35">
      <c r="A22" s="1">
        <v>21</v>
      </c>
      <c r="B22" s="62">
        <v>1195.617299383852</v>
      </c>
      <c r="C22" s="62">
        <v>2</v>
      </c>
      <c r="D22" s="62">
        <v>3497.79</v>
      </c>
      <c r="E22" s="62">
        <v>1195.6199999999999</v>
      </c>
      <c r="F22" s="62">
        <v>5</v>
      </c>
      <c r="G22" s="62">
        <v>1.2</v>
      </c>
      <c r="H22" s="62">
        <f>(C22*$N$11*1000)+N22</f>
        <v>3804</v>
      </c>
      <c r="I22" s="62">
        <f>$N$31*C22</f>
        <v>71.2</v>
      </c>
      <c r="J22" s="56">
        <f t="shared" si="4"/>
        <v>2.0355710319944882E-2</v>
      </c>
      <c r="K22" s="56">
        <f t="shared" si="0"/>
        <v>1780</v>
      </c>
      <c r="L22" s="56"/>
      <c r="M22" s="4" t="s">
        <v>288</v>
      </c>
      <c r="N22" s="4">
        <f>(O14*O10*$N$19)</f>
        <v>204</v>
      </c>
      <c r="O22" s="4" t="s">
        <v>289</v>
      </c>
      <c r="P22" s="56"/>
      <c r="Q22" s="1">
        <v>404.33800000000002</v>
      </c>
      <c r="R22" s="1">
        <f t="shared" si="5"/>
        <v>-3399.6619999999998</v>
      </c>
      <c r="S22" s="1">
        <f t="shared" si="1"/>
        <v>10108.450000000001</v>
      </c>
      <c r="T22" s="1">
        <f t="shared" si="6"/>
        <v>6304.4500000000007</v>
      </c>
      <c r="U22" s="1">
        <f t="shared" si="2"/>
        <v>0.14762051326183434</v>
      </c>
      <c r="V22" s="1">
        <f t="shared" si="3"/>
        <v>0.25716773567509271</v>
      </c>
      <c r="W22" s="1"/>
      <c r="X22" s="1"/>
      <c r="Y22" s="1">
        <f t="shared" si="12"/>
        <v>20</v>
      </c>
      <c r="Z22">
        <f t="shared" si="13"/>
        <v>26607.17600000001</v>
      </c>
      <c r="AA22">
        <f t="shared" si="14"/>
        <v>228930.72000000015</v>
      </c>
      <c r="AB22">
        <f t="shared" si="8"/>
        <v>8141.2502468896691</v>
      </c>
      <c r="AC22">
        <f t="shared" si="9"/>
        <v>-492.70568671555884</v>
      </c>
      <c r="AD22">
        <f t="shared" si="7"/>
        <v>43598.956023300059</v>
      </c>
      <c r="AE22">
        <f t="shared" si="10"/>
        <v>13340.386499071652</v>
      </c>
      <c r="AF22">
        <f t="shared" si="11"/>
        <v>74522.178845876566</v>
      </c>
    </row>
    <row r="23" spans="1:37" x14ac:dyDescent="0.35">
      <c r="A23" s="1">
        <v>22</v>
      </c>
      <c r="B23" s="1">
        <v>4102.942217502793</v>
      </c>
      <c r="C23" s="1">
        <v>4</v>
      </c>
      <c r="D23" s="1">
        <v>6995.57</v>
      </c>
      <c r="E23" s="1">
        <v>4102.9399999999996</v>
      </c>
      <c r="F23" s="1">
        <v>10</v>
      </c>
      <c r="G23" s="1">
        <v>0</v>
      </c>
      <c r="H23" s="1">
        <f t="shared" si="15"/>
        <v>7200</v>
      </c>
      <c r="I23" s="1">
        <f>$N$12*C23</f>
        <v>106</v>
      </c>
      <c r="J23" s="4">
        <f t="shared" si="4"/>
        <v>1.5152446476841773E-2</v>
      </c>
      <c r="K23" s="4">
        <f t="shared" si="0"/>
        <v>2650</v>
      </c>
      <c r="L23" s="4"/>
      <c r="M23" s="4" t="s">
        <v>288</v>
      </c>
      <c r="N23" s="4">
        <f>(O15*O10*$N$19)</f>
        <v>340</v>
      </c>
      <c r="O23" s="4" t="s">
        <v>296</v>
      </c>
      <c r="P23" s="4"/>
      <c r="Q23" s="1">
        <v>568.94799999999998</v>
      </c>
      <c r="R23" s="1">
        <f t="shared" si="5"/>
        <v>-6631.0519999999997</v>
      </c>
      <c r="S23" s="1">
        <f t="shared" si="1"/>
        <v>14223.699999999999</v>
      </c>
      <c r="T23" s="1">
        <f t="shared" si="6"/>
        <v>7023.6999999999989</v>
      </c>
      <c r="U23" s="1">
        <f t="shared" si="2"/>
        <v>8.5345977053854813E-2</v>
      </c>
      <c r="V23" s="1">
        <f t="shared" si="3"/>
        <v>0.14576728858963753</v>
      </c>
      <c r="W23" s="1"/>
      <c r="X23" s="1"/>
      <c r="Y23" s="1">
        <f t="shared" si="12"/>
        <v>21</v>
      </c>
      <c r="Z23">
        <f t="shared" si="13"/>
        <v>26607.17600000001</v>
      </c>
      <c r="AA23">
        <f t="shared" si="14"/>
        <v>255537.89600000015</v>
      </c>
      <c r="AB23">
        <f t="shared" si="8"/>
        <v>7673.1859065878125</v>
      </c>
      <c r="AC23">
        <f t="shared" si="9"/>
        <v>7180.4802198722537</v>
      </c>
      <c r="AD23">
        <f t="shared" si="7"/>
        <v>44688.929923882562</v>
      </c>
      <c r="AE23">
        <f t="shared" si="10"/>
        <v>12887.743790337838</v>
      </c>
      <c r="AF23">
        <f t="shared" si="11"/>
        <v>87409.922636214411</v>
      </c>
    </row>
    <row r="24" spans="1:37" x14ac:dyDescent="0.35">
      <c r="A24" s="1">
        <v>23</v>
      </c>
      <c r="B24" s="62">
        <v>2916.9354826987528</v>
      </c>
      <c r="C24" s="62">
        <v>2</v>
      </c>
      <c r="D24" s="62">
        <v>3465.23</v>
      </c>
      <c r="E24" s="62">
        <v>2916.94</v>
      </c>
      <c r="F24" s="62">
        <v>5</v>
      </c>
      <c r="G24" s="62">
        <v>2</v>
      </c>
      <c r="H24" s="62">
        <f>(C24*$N$11*1000)+N23</f>
        <v>3940</v>
      </c>
      <c r="I24" s="62">
        <f>$N$31*C24</f>
        <v>71.2</v>
      </c>
      <c r="J24" s="56">
        <f t="shared" si="4"/>
        <v>2.0546976679758633E-2</v>
      </c>
      <c r="K24" s="56">
        <f t="shared" si="0"/>
        <v>1780</v>
      </c>
      <c r="L24" s="56"/>
      <c r="M24" s="4" t="s">
        <v>288</v>
      </c>
      <c r="N24" s="4">
        <f>(O16*O11*$N$19)</f>
        <v>369.6</v>
      </c>
      <c r="O24" s="4" t="s">
        <v>290</v>
      </c>
      <c r="P24" s="56"/>
      <c r="Q24" s="1">
        <v>332.65499999999997</v>
      </c>
      <c r="R24" s="1">
        <f t="shared" si="5"/>
        <v>-3607.3450000000003</v>
      </c>
      <c r="S24" s="1">
        <f t="shared" si="1"/>
        <v>8316.375</v>
      </c>
      <c r="T24" s="1">
        <f t="shared" si="6"/>
        <v>4376.375</v>
      </c>
      <c r="U24" s="1">
        <f t="shared" si="2"/>
        <v>7.4576282756212628E-2</v>
      </c>
      <c r="V24" s="1">
        <f t="shared" si="3"/>
        <v>0.12108372450578961</v>
      </c>
      <c r="W24" s="1"/>
      <c r="X24" s="1"/>
      <c r="Y24" s="1">
        <f t="shared" si="12"/>
        <v>22</v>
      </c>
      <c r="Z24">
        <f t="shared" si="13"/>
        <v>26607.17600000001</v>
      </c>
      <c r="AA24">
        <f t="shared" si="14"/>
        <v>282145.07200000016</v>
      </c>
      <c r="AB24">
        <f t="shared" si="8"/>
        <v>7232.031957198692</v>
      </c>
      <c r="AC24">
        <f t="shared" si="9"/>
        <v>14412.512177070945</v>
      </c>
      <c r="AD24">
        <f t="shared" si="7"/>
        <v>45806.153171979618</v>
      </c>
      <c r="AE24">
        <f t="shared" si="10"/>
        <v>12450.459363898473</v>
      </c>
      <c r="AF24">
        <f t="shared" si="11"/>
        <v>99860.382000112877</v>
      </c>
    </row>
    <row r="25" spans="1:37" x14ac:dyDescent="0.35">
      <c r="A25" s="1">
        <v>24</v>
      </c>
      <c r="B25" s="62">
        <v>4395.7178346280416</v>
      </c>
      <c r="C25" s="62">
        <v>4</v>
      </c>
      <c r="D25" s="62">
        <v>6930.46</v>
      </c>
      <c r="E25" s="62">
        <v>4395.72</v>
      </c>
      <c r="F25" s="62">
        <v>10</v>
      </c>
      <c r="G25" s="62">
        <v>3.3</v>
      </c>
      <c r="H25" s="62">
        <f>(C25*$N$11*1000)+N24</f>
        <v>7569.6</v>
      </c>
      <c r="I25" s="62">
        <f>$N$31*C25</f>
        <v>142.4</v>
      </c>
      <c r="J25" s="56">
        <f t="shared" si="4"/>
        <v>2.0546976679758633E-2</v>
      </c>
      <c r="K25" s="56">
        <f t="shared" si="0"/>
        <v>3560</v>
      </c>
      <c r="L25" s="56"/>
      <c r="M25" s="4" t="s">
        <v>288</v>
      </c>
      <c r="N25" s="4">
        <f>(O17*O11*$N$19)</f>
        <v>470.40000000000003</v>
      </c>
      <c r="O25" s="4" t="s">
        <v>291</v>
      </c>
      <c r="P25" s="56"/>
      <c r="Q25" s="1">
        <v>688.471</v>
      </c>
      <c r="R25" s="1">
        <f t="shared" si="5"/>
        <v>-6881.1290000000008</v>
      </c>
      <c r="S25" s="1">
        <f t="shared" si="1"/>
        <v>17211.775000000001</v>
      </c>
      <c r="T25" s="1">
        <f t="shared" si="6"/>
        <v>9642.1750000000011</v>
      </c>
      <c r="U25" s="1">
        <f t="shared" si="2"/>
        <v>8.9428559026734078E-2</v>
      </c>
      <c r="V25" s="1">
        <f t="shared" si="3"/>
        <v>0.14872056944211012</v>
      </c>
      <c r="W25" s="1"/>
      <c r="X25" s="1"/>
      <c r="Y25" s="1">
        <f t="shared" si="12"/>
        <v>23</v>
      </c>
      <c r="Z25">
        <f t="shared" si="13"/>
        <v>26607.17600000001</v>
      </c>
      <c r="AA25">
        <f t="shared" si="14"/>
        <v>308752.2480000002</v>
      </c>
      <c r="AB25">
        <f t="shared" si="8"/>
        <v>6816.2412414690798</v>
      </c>
      <c r="AC25">
        <f t="shared" si="9"/>
        <v>21228.753418540025</v>
      </c>
      <c r="AD25">
        <f t="shared" si="7"/>
        <v>46951.307001279114</v>
      </c>
      <c r="AE25">
        <f t="shared" si="10"/>
        <v>12028.012109326992</v>
      </c>
      <c r="AF25">
        <f t="shared" si="11"/>
        <v>111888.39410943986</v>
      </c>
    </row>
    <row r="26" spans="1:37" x14ac:dyDescent="0.35">
      <c r="A26" s="1">
        <v>25</v>
      </c>
      <c r="B26" s="1">
        <v>3480.4540913845358</v>
      </c>
      <c r="C26" s="1">
        <v>2</v>
      </c>
      <c r="D26" s="1">
        <v>3465.23</v>
      </c>
      <c r="E26" s="1">
        <v>3480.45</v>
      </c>
      <c r="F26" s="1">
        <v>5</v>
      </c>
      <c r="G26" s="1">
        <v>0</v>
      </c>
      <c r="H26" s="1">
        <f t="shared" si="15"/>
        <v>3600</v>
      </c>
      <c r="I26" s="1">
        <f>$N$12*C26</f>
        <v>53</v>
      </c>
      <c r="J26" s="4">
        <f t="shared" si="4"/>
        <v>1.5294800056561902E-2</v>
      </c>
      <c r="K26" s="4">
        <f t="shared" si="0"/>
        <v>1325</v>
      </c>
      <c r="L26" s="4"/>
      <c r="M26" s="4" t="s">
        <v>288</v>
      </c>
      <c r="N26" s="4">
        <f>(O18*O12*$N$19)</f>
        <v>350</v>
      </c>
      <c r="O26" s="4" t="s">
        <v>293</v>
      </c>
      <c r="P26" s="4"/>
      <c r="Q26" s="1">
        <v>162.71799999999999</v>
      </c>
      <c r="R26" s="1">
        <f t="shared" si="5"/>
        <v>-3437.2820000000002</v>
      </c>
      <c r="S26" s="1">
        <f t="shared" si="1"/>
        <v>4067.95</v>
      </c>
      <c r="T26" s="1">
        <f t="shared" si="6"/>
        <v>467.94999999999982</v>
      </c>
      <c r="U26" s="1">
        <f t="shared" si="2"/>
        <v>5.6668711683914047E-2</v>
      </c>
      <c r="V26" s="1">
        <f t="shared" si="3"/>
        <v>9.2282620591764911E-2</v>
      </c>
      <c r="W26" s="1"/>
      <c r="X26" s="1"/>
      <c r="Y26" s="1">
        <f>Y25+1</f>
        <v>24</v>
      </c>
      <c r="Z26">
        <f t="shared" si="13"/>
        <v>26607.17600000001</v>
      </c>
      <c r="AA26">
        <f t="shared" si="14"/>
        <v>335359.42400000023</v>
      </c>
      <c r="AB26">
        <f t="shared" si="8"/>
        <v>6424.3555527512535</v>
      </c>
      <c r="AC26">
        <f t="shared" si="9"/>
        <v>27653.10897129128</v>
      </c>
      <c r="AD26">
        <f t="shared" si="7"/>
        <v>48125.089676311087</v>
      </c>
      <c r="AE26">
        <f t="shared" si="10"/>
        <v>11619.898597606189</v>
      </c>
      <c r="AF26">
        <f t="shared" si="11"/>
        <v>123508.29270704606</v>
      </c>
    </row>
    <row r="27" spans="1:37" x14ac:dyDescent="0.35">
      <c r="A27" s="1">
        <v>26</v>
      </c>
      <c r="B27" s="1">
        <v>5233.1130996820621</v>
      </c>
      <c r="C27" s="1">
        <v>4</v>
      </c>
      <c r="D27" s="1">
        <v>6930.46</v>
      </c>
      <c r="E27" s="1">
        <v>5233.1099999999997</v>
      </c>
      <c r="F27" s="1">
        <v>10</v>
      </c>
      <c r="G27" s="1">
        <v>0</v>
      </c>
      <c r="H27" s="1">
        <f t="shared" si="15"/>
        <v>7200</v>
      </c>
      <c r="I27" s="1">
        <f>$N$12*C27</f>
        <v>106</v>
      </c>
      <c r="J27" s="4">
        <f t="shared" si="4"/>
        <v>1.5294800056561902E-2</v>
      </c>
      <c r="K27" s="4">
        <f t="shared" si="0"/>
        <v>2650</v>
      </c>
      <c r="L27" s="4"/>
      <c r="M27" s="4" t="s">
        <v>288</v>
      </c>
      <c r="N27" s="4">
        <f>(O19*O12*$N$19)</f>
        <v>420</v>
      </c>
      <c r="O27" s="4" t="s">
        <v>292</v>
      </c>
      <c r="P27" s="4"/>
      <c r="Q27" s="1">
        <v>445.92099999999999</v>
      </c>
      <c r="R27" s="1">
        <f t="shared" si="5"/>
        <v>-6754.0789999999997</v>
      </c>
      <c r="S27" s="1">
        <f t="shared" si="1"/>
        <v>11148.025</v>
      </c>
      <c r="T27" s="1">
        <f t="shared" si="6"/>
        <v>3948.0249999999996</v>
      </c>
      <c r="U27" s="1">
        <f t="shared" si="2"/>
        <v>7.0328963185483664E-2</v>
      </c>
      <c r="V27" s="1">
        <f t="shared" si="3"/>
        <v>0.11770136756789858</v>
      </c>
      <c r="W27" s="1"/>
      <c r="X27" s="1"/>
      <c r="Y27" s="1">
        <f t="shared" si="12"/>
        <v>25</v>
      </c>
      <c r="Z27">
        <f t="shared" si="13"/>
        <v>26607.17600000001</v>
      </c>
      <c r="AA27">
        <f t="shared" si="14"/>
        <v>361966.60000000027</v>
      </c>
      <c r="AB27">
        <f t="shared" si="8"/>
        <v>6055.0005209719639</v>
      </c>
      <c r="AC27">
        <f t="shared" si="9"/>
        <v>33708.109492263247</v>
      </c>
      <c r="AD27">
        <f t="shared" si="7"/>
        <v>49328.216918218859</v>
      </c>
      <c r="AE27">
        <f t="shared" si="10"/>
        <v>11225.632481193536</v>
      </c>
      <c r="AF27">
        <f t="shared" si="11"/>
        <v>134733.92518823961</v>
      </c>
    </row>
    <row r="28" spans="1:37" x14ac:dyDescent="0.35">
      <c r="A28" s="1">
        <v>27</v>
      </c>
      <c r="B28" s="1">
        <v>6696.2920887280334</v>
      </c>
      <c r="C28" s="1">
        <v>4</v>
      </c>
      <c r="D28" s="1">
        <v>6930.46</v>
      </c>
      <c r="E28" s="1">
        <v>6696.29</v>
      </c>
      <c r="F28" s="1">
        <v>10</v>
      </c>
      <c r="G28" s="1">
        <v>0</v>
      </c>
      <c r="H28" s="1">
        <f t="shared" si="15"/>
        <v>7200</v>
      </c>
      <c r="I28" s="1">
        <f>$N$12*C28</f>
        <v>106</v>
      </c>
      <c r="J28" s="4">
        <f t="shared" si="4"/>
        <v>1.5294800056561902E-2</v>
      </c>
      <c r="K28" s="4">
        <f t="shared" si="0"/>
        <v>2650</v>
      </c>
      <c r="L28" s="4"/>
      <c r="M28" s="4" t="s">
        <v>288</v>
      </c>
      <c r="N28" s="4">
        <f xml:space="preserve"> 8000 *N19</f>
        <v>800</v>
      </c>
      <c r="O28" s="4" t="s">
        <v>294</v>
      </c>
      <c r="P28" s="4"/>
      <c r="Q28" s="1">
        <v>303.62900000000002</v>
      </c>
      <c r="R28" s="1">
        <f t="shared" si="5"/>
        <v>-6896.3710000000001</v>
      </c>
      <c r="S28" s="1">
        <f t="shared" si="1"/>
        <v>7590.7250000000004</v>
      </c>
      <c r="T28" s="1">
        <f t="shared" si="6"/>
        <v>390.72500000000036</v>
      </c>
      <c r="U28" s="1">
        <f t="shared" si="2"/>
        <v>5.8303676638393601E-2</v>
      </c>
      <c r="V28" s="1">
        <f t="shared" si="3"/>
        <v>9.5324933574654463E-2</v>
      </c>
      <c r="W28" s="1"/>
      <c r="X28" s="1"/>
      <c r="Y28" s="1"/>
    </row>
    <row r="29" spans="1:37" x14ac:dyDescent="0.35">
      <c r="A29" s="1">
        <v>28</v>
      </c>
      <c r="B29" s="62">
        <v>8230.4847304692612</v>
      </c>
      <c r="C29" s="62">
        <v>6</v>
      </c>
      <c r="D29" s="62">
        <v>10395.700000000001</v>
      </c>
      <c r="E29" s="62">
        <v>8230.48</v>
      </c>
      <c r="F29" s="62">
        <v>15</v>
      </c>
      <c r="G29" s="62">
        <v>5</v>
      </c>
      <c r="H29" s="62">
        <f>(C29*$N$11*1000)+N26</f>
        <v>11150</v>
      </c>
      <c r="I29" s="62">
        <f>$N$31*C29</f>
        <v>213.60000000000002</v>
      </c>
      <c r="J29" s="56">
        <f t="shared" si="4"/>
        <v>2.0546956914878269E-2</v>
      </c>
      <c r="K29" s="56">
        <f t="shared" si="0"/>
        <v>5340.0000000000009</v>
      </c>
      <c r="L29" s="56"/>
      <c r="M29" s="4" t="s">
        <v>288</v>
      </c>
      <c r="N29" s="4">
        <f>7300*N19</f>
        <v>730</v>
      </c>
      <c r="O29" s="4" t="s">
        <v>295</v>
      </c>
      <c r="P29" s="56"/>
      <c r="Q29" s="1">
        <v>1060.5</v>
      </c>
      <c r="R29" s="1">
        <f t="shared" si="5"/>
        <v>-10089.5</v>
      </c>
      <c r="S29" s="1">
        <f t="shared" si="1"/>
        <v>26512.5</v>
      </c>
      <c r="T29" s="1">
        <f t="shared" si="6"/>
        <v>15362.5</v>
      </c>
      <c r="U29" s="1">
        <f t="shared" si="2"/>
        <v>7.4735745862983316E-2</v>
      </c>
      <c r="V29" s="1">
        <f t="shared" si="3"/>
        <v>0.1213804675612028</v>
      </c>
      <c r="W29" s="1"/>
      <c r="X29" s="1"/>
    </row>
    <row r="30" spans="1:37" x14ac:dyDescent="0.35">
      <c r="A30" s="1">
        <v>29</v>
      </c>
      <c r="B30" s="62">
        <v>3184.1460343074909</v>
      </c>
      <c r="C30" s="62">
        <v>2</v>
      </c>
      <c r="D30" s="62">
        <v>3465.23</v>
      </c>
      <c r="E30" s="62">
        <v>3184.15</v>
      </c>
      <c r="F30" s="62">
        <v>5</v>
      </c>
      <c r="G30" s="62">
        <v>3.3</v>
      </c>
      <c r="H30" s="62">
        <f>(C30*$N$11*1000)+N24</f>
        <v>3969.6</v>
      </c>
      <c r="I30" s="62">
        <f>$N$31*C30</f>
        <v>71.2</v>
      </c>
      <c r="J30" s="56">
        <f t="shared" si="4"/>
        <v>2.0546976679758633E-2</v>
      </c>
      <c r="K30" s="56">
        <f t="shared" si="0"/>
        <v>1780</v>
      </c>
      <c r="L30" s="56"/>
      <c r="M30" s="4" t="s">
        <v>288</v>
      </c>
      <c r="N30" s="4">
        <f>16000*N19</f>
        <v>1600</v>
      </c>
      <c r="O30" s="4" t="s">
        <v>297</v>
      </c>
      <c r="P30" s="56"/>
      <c r="Q30" s="1">
        <v>350.53500000000003</v>
      </c>
      <c r="R30" s="1">
        <f t="shared" si="5"/>
        <v>-3619.0650000000001</v>
      </c>
      <c r="S30" s="1">
        <f t="shared" si="1"/>
        <v>8763.375</v>
      </c>
      <c r="T30" s="1">
        <f t="shared" si="6"/>
        <v>4793.7749999999996</v>
      </c>
      <c r="U30" s="1">
        <f t="shared" si="2"/>
        <v>7.041403625842943E-2</v>
      </c>
      <c r="V30" s="1">
        <f t="shared" si="3"/>
        <v>0.11333869209790949</v>
      </c>
      <c r="W30" s="1"/>
      <c r="X30" s="1"/>
      <c r="AA30" t="s">
        <v>6</v>
      </c>
      <c r="AB30" t="s">
        <v>6</v>
      </c>
      <c r="AK30" t="s">
        <v>6</v>
      </c>
    </row>
    <row r="31" spans="1:37" x14ac:dyDescent="0.35">
      <c r="A31" s="1">
        <v>30</v>
      </c>
      <c r="B31" s="62">
        <v>2455.556329062375</v>
      </c>
      <c r="C31" s="62">
        <v>2</v>
      </c>
      <c r="D31" s="62">
        <v>3465.23</v>
      </c>
      <c r="E31" s="62">
        <v>2455.56</v>
      </c>
      <c r="F31" s="62">
        <v>5</v>
      </c>
      <c r="G31" s="62">
        <v>1.2</v>
      </c>
      <c r="H31" s="62">
        <f>(C31*$N$11*1000)+N22</f>
        <v>3804</v>
      </c>
      <c r="I31" s="62">
        <f>$N$31*C31</f>
        <v>71.2</v>
      </c>
      <c r="J31" s="56">
        <f t="shared" si="4"/>
        <v>2.0546976679758633E-2</v>
      </c>
      <c r="K31" s="56">
        <f t="shared" si="0"/>
        <v>1780</v>
      </c>
      <c r="L31" s="56"/>
      <c r="M31" s="1" t="s">
        <v>248</v>
      </c>
      <c r="N31" s="1">
        <v>35.6</v>
      </c>
      <c r="P31" s="56"/>
      <c r="Q31" s="1">
        <v>355.16899999999998</v>
      </c>
      <c r="R31" s="1">
        <f t="shared" si="5"/>
        <v>-3448.8310000000001</v>
      </c>
      <c r="S31" s="1">
        <f t="shared" si="1"/>
        <v>8879.2250000000004</v>
      </c>
      <c r="T31" s="1">
        <f t="shared" si="6"/>
        <v>5075.2250000000004</v>
      </c>
      <c r="U31" s="1">
        <f t="shared" si="2"/>
        <v>8.2512568020153776E-2</v>
      </c>
      <c r="V31" s="1">
        <f t="shared" si="3"/>
        <v>0.13585141945132989</v>
      </c>
      <c r="W31" s="1"/>
      <c r="X31" s="1" t="s">
        <v>287</v>
      </c>
      <c r="Y31" s="1">
        <v>0</v>
      </c>
      <c r="Z31">
        <f>-X34</f>
        <v>-11000</v>
      </c>
      <c r="AA31">
        <f>Z31</f>
        <v>-11000</v>
      </c>
      <c r="AC31">
        <f>Z31</f>
        <v>-11000</v>
      </c>
      <c r="AD31">
        <f>Z31</f>
        <v>-11000</v>
      </c>
      <c r="AF31">
        <f>Z31</f>
        <v>-11000</v>
      </c>
    </row>
    <row r="32" spans="1:37" ht="29" x14ac:dyDescent="0.35">
      <c r="A32" s="1">
        <v>31</v>
      </c>
      <c r="B32" s="1">
        <v>1553.515228702383</v>
      </c>
      <c r="C32" s="1">
        <v>2</v>
      </c>
      <c r="D32" s="1">
        <v>3465.23</v>
      </c>
      <c r="E32" s="1">
        <v>1553.52</v>
      </c>
      <c r="F32" s="1">
        <v>5</v>
      </c>
      <c r="G32" s="1">
        <v>0</v>
      </c>
      <c r="H32" s="1">
        <f t="shared" si="15"/>
        <v>3600</v>
      </c>
      <c r="I32" s="1">
        <f>$N$12*C32</f>
        <v>53</v>
      </c>
      <c r="J32" s="4">
        <f t="shared" si="4"/>
        <v>1.5294800056561902E-2</v>
      </c>
      <c r="K32" s="4">
        <f t="shared" si="0"/>
        <v>1325</v>
      </c>
      <c r="L32" s="4"/>
      <c r="M32" s="77" t="s">
        <v>260</v>
      </c>
      <c r="N32" s="1">
        <v>220</v>
      </c>
      <c r="P32" s="4"/>
      <c r="Q32" s="1">
        <v>341.471</v>
      </c>
      <c r="R32" s="1">
        <f t="shared" si="5"/>
        <v>-3258.529</v>
      </c>
      <c r="S32" s="1">
        <f t="shared" si="1"/>
        <v>8536.7749999999996</v>
      </c>
      <c r="T32" s="1">
        <f t="shared" si="6"/>
        <v>4936.7749999999996</v>
      </c>
      <c r="U32" s="1">
        <f t="shared" si="2"/>
        <v>0.10798780836410199</v>
      </c>
      <c r="V32" s="1">
        <f t="shared" si="3"/>
        <v>0.18777626017867513</v>
      </c>
      <c r="W32" s="1"/>
      <c r="X32" s="1"/>
      <c r="Y32" s="1">
        <v>1</v>
      </c>
      <c r="Z32">
        <f>X37</f>
        <v>4685.0797199999997</v>
      </c>
      <c r="AA32">
        <f>AA31+Z32</f>
        <v>-6314.9202800000003</v>
      </c>
      <c r="AB32">
        <f>Z32/(1+$N$13)^Y32</f>
        <v>4415.7207540056552</v>
      </c>
      <c r="AC32">
        <f>AC31+AB32</f>
        <v>-6584.2792459943448</v>
      </c>
      <c r="AD32">
        <f>$X$37*((1+$N$37)^Y32)</f>
        <v>4802.2067129999996</v>
      </c>
      <c r="AE32">
        <f>AD32/(1+$N$13)^Y32</f>
        <v>4526.113772855796</v>
      </c>
      <c r="AF32">
        <f>AF31+AE32</f>
        <v>-6473.886227144204</v>
      </c>
    </row>
    <row r="33" spans="1:32" ht="29" x14ac:dyDescent="0.35">
      <c r="A33" s="1">
        <v>32</v>
      </c>
      <c r="B33" s="62">
        <v>14627.53150971361</v>
      </c>
      <c r="C33" s="62">
        <v>10</v>
      </c>
      <c r="D33" s="62">
        <v>17326.099999999999</v>
      </c>
      <c r="E33" s="62">
        <v>14627.5</v>
      </c>
      <c r="F33" s="62">
        <v>25</v>
      </c>
      <c r="G33" s="62">
        <f>19.4</f>
        <v>19.399999999999999</v>
      </c>
      <c r="H33" s="62">
        <f>(C33*$N$11*1000)+N30</f>
        <v>19600</v>
      </c>
      <c r="I33" s="62">
        <f>$N$31*C33</f>
        <v>356</v>
      </c>
      <c r="J33" s="56">
        <f t="shared" si="4"/>
        <v>2.0547035974627877E-2</v>
      </c>
      <c r="K33" s="56">
        <f t="shared" si="0"/>
        <v>8900</v>
      </c>
      <c r="L33" s="56"/>
      <c r="M33" s="77" t="s">
        <v>261</v>
      </c>
      <c r="N33" s="1">
        <v>165</v>
      </c>
      <c r="P33" s="56"/>
      <c r="Q33" s="1">
        <v>1573.54</v>
      </c>
      <c r="R33" s="1">
        <f t="shared" si="5"/>
        <v>-18026.46</v>
      </c>
      <c r="S33" s="1">
        <f t="shared" si="1"/>
        <v>39338.5</v>
      </c>
      <c r="T33" s="1">
        <f t="shared" si="6"/>
        <v>19738.5</v>
      </c>
      <c r="U33" s="1">
        <f t="shared" si="2"/>
        <v>7.4144596128873613E-2</v>
      </c>
      <c r="V33" s="1">
        <f t="shared" si="3"/>
        <v>0.12028039885907643</v>
      </c>
      <c r="W33" s="1"/>
      <c r="X33" s="73" t="s">
        <v>285</v>
      </c>
      <c r="Y33" s="1">
        <f>Y32+1</f>
        <v>2</v>
      </c>
      <c r="Z33">
        <f>Z32</f>
        <v>4685.0797199999997</v>
      </c>
      <c r="AA33">
        <f>AA32+Z33</f>
        <v>-1629.8405600000006</v>
      </c>
      <c r="AB33">
        <f t="shared" ref="AB33:AB56" si="16">Z33/(1+$N$13)^Y33</f>
        <v>4161.8480245105138</v>
      </c>
      <c r="AC33">
        <f t="shared" ref="AC33:AC56" si="17">AC32+AB33</f>
        <v>-2422.431221483831</v>
      </c>
      <c r="AD33">
        <f>$X$8*((1+$N$37)^Y33)</f>
        <v>27954.16428500001</v>
      </c>
      <c r="AE33">
        <f t="shared" ref="AE33:AE56" si="18">AD33/(1+$N$13)^Y33</f>
        <v>24832.231329965427</v>
      </c>
      <c r="AF33">
        <f t="shared" ref="AF33:AF56" si="19">AF32+AE33</f>
        <v>18358.345102821222</v>
      </c>
    </row>
    <row r="34" spans="1:32" x14ac:dyDescent="0.35">
      <c r="A34" s="1">
        <v>33</v>
      </c>
      <c r="B34" s="62">
        <v>4264.5516094210579</v>
      </c>
      <c r="C34" s="62">
        <v>4</v>
      </c>
      <c r="D34" s="62">
        <v>6930.46</v>
      </c>
      <c r="E34" s="62">
        <v>4264.55</v>
      </c>
      <c r="F34" s="62">
        <v>10</v>
      </c>
      <c r="G34" s="62">
        <v>6</v>
      </c>
      <c r="H34" s="62">
        <f>(C34*$N$11*1000)+N27</f>
        <v>7620</v>
      </c>
      <c r="I34" s="62">
        <f>$N$31*C34</f>
        <v>142.4</v>
      </c>
      <c r="J34" s="56">
        <f t="shared" si="4"/>
        <v>2.0546976679758633E-2</v>
      </c>
      <c r="K34" s="56">
        <f t="shared" si="0"/>
        <v>3560</v>
      </c>
      <c r="L34" s="56"/>
      <c r="M34" s="1" t="s">
        <v>250</v>
      </c>
      <c r="N34" s="1">
        <v>3.1E-2</v>
      </c>
      <c r="P34" s="56"/>
      <c r="Q34" s="1">
        <v>685.03399999999999</v>
      </c>
      <c r="R34" s="1">
        <f t="shared" si="5"/>
        <v>-6934.9660000000003</v>
      </c>
      <c r="S34" s="1">
        <f t="shared" ref="S34:S65" si="20">Q34*$N$40</f>
        <v>17125.849999999999</v>
      </c>
      <c r="T34" s="1">
        <f t="shared" si="6"/>
        <v>9505.8499999999985</v>
      </c>
      <c r="U34" s="1">
        <f t="shared" ref="U34:U65" si="21">(H34/($N$40*B34))+J34</f>
        <v>9.2019906993616105E-2</v>
      </c>
      <c r="V34" s="1">
        <f t="shared" ref="V34:V65" si="22">(H34/($N$43*B34))+J34</f>
        <v>0.15354250250020382</v>
      </c>
      <c r="W34" s="1"/>
      <c r="X34" s="1">
        <f>200*55</f>
        <v>11000</v>
      </c>
      <c r="Y34" s="1">
        <f t="shared" ref="Y34:Y48" si="23">Y33+1</f>
        <v>3</v>
      </c>
      <c r="Z34">
        <f t="shared" ref="Z34:Z56" si="24">Z33</f>
        <v>4685.0797199999997</v>
      </c>
      <c r="AA34">
        <f t="shared" ref="AA34:AA56" si="25">AA33+Z34</f>
        <v>3055.2391599999992</v>
      </c>
      <c r="AB34">
        <f t="shared" si="16"/>
        <v>3922.5711823850274</v>
      </c>
      <c r="AC34">
        <f t="shared" si="17"/>
        <v>1500.1399609011964</v>
      </c>
      <c r="AD34">
        <f>$X$37*((1+$N$37)^Y34)</f>
        <v>5045.3184278456238</v>
      </c>
      <c r="AE34">
        <f t="shared" si="18"/>
        <v>4224.1801322056008</v>
      </c>
      <c r="AF34">
        <f t="shared" si="19"/>
        <v>22582.525235026824</v>
      </c>
    </row>
    <row r="35" spans="1:32" x14ac:dyDescent="0.35">
      <c r="A35" s="1">
        <v>34</v>
      </c>
      <c r="B35" s="1">
        <v>5041.8344142687847</v>
      </c>
      <c r="C35" s="1">
        <v>4</v>
      </c>
      <c r="D35" s="1">
        <v>7106.6</v>
      </c>
      <c r="E35" s="1">
        <v>5041.83</v>
      </c>
      <c r="F35" s="1">
        <v>10</v>
      </c>
      <c r="G35" s="1">
        <v>0</v>
      </c>
      <c r="H35" s="1">
        <f t="shared" si="15"/>
        <v>7200</v>
      </c>
      <c r="I35" s="1">
        <f>$N$12*C35</f>
        <v>106</v>
      </c>
      <c r="J35" s="4">
        <f t="shared" si="4"/>
        <v>1.4915712154898262E-2</v>
      </c>
      <c r="K35" s="4">
        <f t="shared" si="0"/>
        <v>2650</v>
      </c>
      <c r="L35" s="4"/>
      <c r="M35" s="1" t="s">
        <v>251</v>
      </c>
      <c r="N35" s="1" t="s">
        <v>252</v>
      </c>
      <c r="P35" s="4"/>
      <c r="Q35" s="1">
        <v>545.86400000000003</v>
      </c>
      <c r="R35" s="1">
        <f t="shared" si="5"/>
        <v>-6654.1360000000004</v>
      </c>
      <c r="S35" s="1">
        <f t="shared" si="20"/>
        <v>13646.6</v>
      </c>
      <c r="T35" s="1">
        <f t="shared" si="6"/>
        <v>6446.6</v>
      </c>
      <c r="U35" s="1">
        <f t="shared" si="21"/>
        <v>7.2037778517279688E-2</v>
      </c>
      <c r="V35" s="1">
        <f t="shared" si="22"/>
        <v>0.1212074119418643</v>
      </c>
      <c r="W35" s="1"/>
      <c r="X35" s="1"/>
      <c r="Y35" s="1">
        <f t="shared" si="23"/>
        <v>4</v>
      </c>
      <c r="Z35">
        <f t="shared" si="24"/>
        <v>4685.0797199999997</v>
      </c>
      <c r="AA35">
        <f t="shared" si="25"/>
        <v>7740.3188799999989</v>
      </c>
      <c r="AB35">
        <f t="shared" si="16"/>
        <v>3697.0510672808928</v>
      </c>
      <c r="AC35">
        <f t="shared" si="17"/>
        <v>5197.1910281820892</v>
      </c>
      <c r="AD35">
        <f t="shared" ref="AD35:AD56" si="26">$X$8*((1+$N$37)^Y35)</f>
        <v>29369.34385192813</v>
      </c>
      <c r="AE35">
        <f t="shared" si="18"/>
        <v>23175.691881953808</v>
      </c>
      <c r="AF35">
        <f t="shared" si="19"/>
        <v>45758.217116980632</v>
      </c>
    </row>
    <row r="36" spans="1:32" ht="29" x14ac:dyDescent="0.35">
      <c r="A36" s="1">
        <v>35</v>
      </c>
      <c r="B36" s="62">
        <v>1680.154057549307</v>
      </c>
      <c r="C36" s="62">
        <v>2</v>
      </c>
      <c r="D36" s="62">
        <v>3553.3</v>
      </c>
      <c r="E36" s="62">
        <v>1680.15</v>
      </c>
      <c r="F36" s="62">
        <v>5</v>
      </c>
      <c r="G36" s="62">
        <v>1.2</v>
      </c>
      <c r="H36" s="62">
        <f>(C36*$N$11*1000)+N22</f>
        <v>3804</v>
      </c>
      <c r="I36" s="62">
        <f>$N$31*C36</f>
        <v>71.2</v>
      </c>
      <c r="J36" s="56">
        <f t="shared" si="4"/>
        <v>2.0037711423184081E-2</v>
      </c>
      <c r="K36" s="56">
        <f t="shared" si="0"/>
        <v>1780</v>
      </c>
      <c r="L36" s="56"/>
      <c r="M36" s="1" t="s">
        <v>262</v>
      </c>
      <c r="N36" s="1">
        <v>7.0000000000000007E-2</v>
      </c>
      <c r="P36" s="56"/>
      <c r="Q36" s="1">
        <v>384.86500000000001</v>
      </c>
      <c r="R36" s="1">
        <f t="shared" si="5"/>
        <v>-3419.1350000000002</v>
      </c>
      <c r="S36" s="1">
        <f t="shared" si="20"/>
        <v>9621.625</v>
      </c>
      <c r="T36" s="1">
        <f t="shared" si="6"/>
        <v>5817.625</v>
      </c>
      <c r="U36" s="1">
        <f t="shared" si="21"/>
        <v>0.11060083527263777</v>
      </c>
      <c r="V36" s="1">
        <f t="shared" si="22"/>
        <v>0.18855592137217445</v>
      </c>
      <c r="W36" s="1"/>
      <c r="X36" s="73" t="s">
        <v>286</v>
      </c>
      <c r="Y36" s="1">
        <f t="shared" si="23"/>
        <v>5</v>
      </c>
      <c r="Z36">
        <f t="shared" si="24"/>
        <v>4685.0797199999997</v>
      </c>
      <c r="AA36">
        <f t="shared" si="25"/>
        <v>12425.398599999999</v>
      </c>
      <c r="AB36">
        <f t="shared" si="16"/>
        <v>3484.4967646379764</v>
      </c>
      <c r="AC36">
        <f t="shared" si="17"/>
        <v>8681.6877928200665</v>
      </c>
      <c r="AD36">
        <f t="shared" si="26"/>
        <v>30103.57744822633</v>
      </c>
      <c r="AE36">
        <f t="shared" si="18"/>
        <v>22389.334758720692</v>
      </c>
      <c r="AF36">
        <f t="shared" si="19"/>
        <v>68147.55187570132</v>
      </c>
    </row>
    <row r="37" spans="1:32" x14ac:dyDescent="0.35">
      <c r="A37" s="1">
        <v>36</v>
      </c>
      <c r="B37" s="1">
        <v>5659.8657296841702</v>
      </c>
      <c r="C37" s="1">
        <v>4</v>
      </c>
      <c r="D37" s="1">
        <v>7106.6</v>
      </c>
      <c r="E37" s="1">
        <v>5659.87</v>
      </c>
      <c r="F37" s="1">
        <v>10</v>
      </c>
      <c r="G37" s="1">
        <v>0</v>
      </c>
      <c r="H37" s="1">
        <f t="shared" si="15"/>
        <v>7200</v>
      </c>
      <c r="I37" s="1">
        <f>$N$12*C37</f>
        <v>106</v>
      </c>
      <c r="J37" s="4">
        <f t="shared" si="4"/>
        <v>1.4915712154898262E-2</v>
      </c>
      <c r="K37" s="4">
        <f t="shared" si="0"/>
        <v>2650</v>
      </c>
      <c r="L37" s="4"/>
      <c r="M37" s="1" t="s">
        <v>263</v>
      </c>
      <c r="N37" s="1">
        <v>2.5000000000000001E-2</v>
      </c>
      <c r="O37" s="4"/>
      <c r="P37" s="4"/>
      <c r="Q37" s="1">
        <v>492.3</v>
      </c>
      <c r="R37" s="1">
        <f t="shared" si="5"/>
        <v>-6707.7</v>
      </c>
      <c r="S37" s="1">
        <f t="shared" si="20"/>
        <v>12307.5</v>
      </c>
      <c r="T37" s="1">
        <f t="shared" si="6"/>
        <v>5107.5</v>
      </c>
      <c r="U37" s="1">
        <f t="shared" si="21"/>
        <v>6.5800311499637637E-2</v>
      </c>
      <c r="V37" s="1">
        <f t="shared" si="22"/>
        <v>0.10960084702062516</v>
      </c>
      <c r="W37" s="1"/>
      <c r="X37" s="1">
        <f>SUM(Q47:Q100)</f>
        <v>4685.0797199999997</v>
      </c>
      <c r="Y37" s="1">
        <f t="shared" si="23"/>
        <v>6</v>
      </c>
      <c r="Z37">
        <f t="shared" si="24"/>
        <v>4685.0797199999997</v>
      </c>
      <c r="AA37">
        <f t="shared" si="25"/>
        <v>17110.478319999998</v>
      </c>
      <c r="AB37">
        <f t="shared" si="16"/>
        <v>3284.1628318925318</v>
      </c>
      <c r="AC37">
        <f t="shared" si="17"/>
        <v>11965.850624712599</v>
      </c>
      <c r="AD37">
        <f t="shared" si="26"/>
        <v>30856.166884431987</v>
      </c>
      <c r="AE37">
        <f t="shared" si="18"/>
        <v>21629.658932788599</v>
      </c>
      <c r="AF37">
        <f t="shared" si="19"/>
        <v>89777.210808489923</v>
      </c>
    </row>
    <row r="38" spans="1:32" x14ac:dyDescent="0.35">
      <c r="A38" s="1">
        <v>37</v>
      </c>
      <c r="B38" s="62">
        <v>7074.8321611913698</v>
      </c>
      <c r="C38" s="62">
        <v>6</v>
      </c>
      <c r="D38" s="62">
        <v>10659.9</v>
      </c>
      <c r="E38" s="62">
        <v>7074.83</v>
      </c>
      <c r="F38" s="62">
        <v>15</v>
      </c>
      <c r="G38" s="62">
        <v>5</v>
      </c>
      <c r="H38" s="62">
        <f>(C38*$N$11*1000)+N26</f>
        <v>11150</v>
      </c>
      <c r="I38" s="62">
        <f>$N$31*C38</f>
        <v>213.60000000000002</v>
      </c>
      <c r="J38" s="56">
        <f t="shared" si="4"/>
        <v>2.0037711423184085E-2</v>
      </c>
      <c r="K38" s="56">
        <f t="shared" si="0"/>
        <v>5340.0000000000009</v>
      </c>
      <c r="L38" s="56"/>
      <c r="M38" s="4"/>
      <c r="N38" s="4"/>
      <c r="P38" s="56"/>
      <c r="Q38" s="1">
        <v>1096.18</v>
      </c>
      <c r="R38" s="1">
        <f>Q38-H38</f>
        <v>-10053.82</v>
      </c>
      <c r="S38" s="1">
        <f t="shared" si="20"/>
        <v>27404.5</v>
      </c>
      <c r="T38" s="1">
        <f t="shared" si="6"/>
        <v>16254.5</v>
      </c>
      <c r="U38" s="1">
        <f t="shared" si="21"/>
        <v>8.3078076175087348E-2</v>
      </c>
      <c r="V38" s="1">
        <f t="shared" si="22"/>
        <v>0.13734207296643108</v>
      </c>
      <c r="W38" s="1"/>
      <c r="X38" s="1"/>
      <c r="Y38" s="1">
        <f t="shared" si="23"/>
        <v>7</v>
      </c>
      <c r="Z38">
        <f t="shared" si="24"/>
        <v>4685.0797199999997</v>
      </c>
      <c r="AA38">
        <f t="shared" si="25"/>
        <v>21795.558039999996</v>
      </c>
      <c r="AB38">
        <f t="shared" si="16"/>
        <v>3095.3466841588429</v>
      </c>
      <c r="AC38">
        <f t="shared" si="17"/>
        <v>15061.197308871442</v>
      </c>
      <c r="AD38">
        <f t="shared" si="26"/>
        <v>31627.571056542787</v>
      </c>
      <c r="AE38">
        <f t="shared" si="18"/>
        <v>20895.759100950349</v>
      </c>
      <c r="AF38">
        <f t="shared" si="19"/>
        <v>110672.96990944027</v>
      </c>
    </row>
    <row r="39" spans="1:32" x14ac:dyDescent="0.35">
      <c r="A39" s="1">
        <v>38</v>
      </c>
      <c r="B39" s="1">
        <v>1036.155497852058</v>
      </c>
      <c r="C39" s="1">
        <v>2</v>
      </c>
      <c r="D39" s="1">
        <v>3553.3</v>
      </c>
      <c r="E39" s="1">
        <v>1036.1600000000001</v>
      </c>
      <c r="F39" s="1">
        <v>5</v>
      </c>
      <c r="G39" s="1">
        <v>0</v>
      </c>
      <c r="H39" s="1">
        <f t="shared" si="15"/>
        <v>3600</v>
      </c>
      <c r="I39" s="1">
        <f>$N$12*C39</f>
        <v>53</v>
      </c>
      <c r="J39" s="4">
        <f t="shared" si="4"/>
        <v>1.4915712154898262E-2</v>
      </c>
      <c r="K39" s="4">
        <f t="shared" si="0"/>
        <v>1325</v>
      </c>
      <c r="L39" s="4"/>
      <c r="M39" s="4"/>
      <c r="N39" s="4"/>
      <c r="P39" s="4"/>
      <c r="Q39" s="1">
        <v>386.49200000000002</v>
      </c>
      <c r="R39" s="1">
        <f t="shared" si="5"/>
        <v>-3213.5079999999998</v>
      </c>
      <c r="S39" s="1">
        <f t="shared" si="20"/>
        <v>9662.3000000000011</v>
      </c>
      <c r="T39" s="1">
        <f t="shared" si="6"/>
        <v>6062.3000000000011</v>
      </c>
      <c r="U39" s="1">
        <f t="shared" si="21"/>
        <v>0.15389099173263618</v>
      </c>
      <c r="V39" s="1">
        <f t="shared" si="22"/>
        <v>0.27351837895924302</v>
      </c>
      <c r="W39" s="1"/>
      <c r="X39" s="1"/>
      <c r="Y39" s="1">
        <f t="shared" si="23"/>
        <v>8</v>
      </c>
      <c r="Z39">
        <f t="shared" si="24"/>
        <v>4685.0797199999997</v>
      </c>
      <c r="AA39">
        <f t="shared" si="25"/>
        <v>26480.637759999998</v>
      </c>
      <c r="AB39">
        <f t="shared" si="16"/>
        <v>2917.3861302156861</v>
      </c>
      <c r="AC39">
        <f t="shared" si="17"/>
        <v>17978.583439087128</v>
      </c>
      <c r="AD39">
        <f t="shared" si="26"/>
        <v>32418.260332956354</v>
      </c>
      <c r="AE39">
        <f t="shared" si="18"/>
        <v>20186.760677166923</v>
      </c>
      <c r="AF39">
        <f t="shared" si="19"/>
        <v>130859.7305866072</v>
      </c>
    </row>
    <row r="40" spans="1:32" x14ac:dyDescent="0.35">
      <c r="A40" s="1">
        <v>39</v>
      </c>
      <c r="B40" s="62">
        <v>1397.7981728371551</v>
      </c>
      <c r="C40" s="62">
        <v>2</v>
      </c>
      <c r="D40" s="62">
        <v>3553.3</v>
      </c>
      <c r="E40" s="62">
        <v>1397.8</v>
      </c>
      <c r="F40" s="62">
        <v>5</v>
      </c>
      <c r="G40" s="62">
        <v>1.2</v>
      </c>
      <c r="H40" s="62">
        <f>(C40*$N$11*1000)+N22</f>
        <v>3804</v>
      </c>
      <c r="I40" s="62">
        <f>$N$31*C40</f>
        <v>71.2</v>
      </c>
      <c r="J40" s="56">
        <f t="shared" si="4"/>
        <v>2.0037711423184081E-2</v>
      </c>
      <c r="K40" s="56">
        <f t="shared" si="0"/>
        <v>1780</v>
      </c>
      <c r="L40" s="56"/>
      <c r="M40" s="2" t="s">
        <v>49</v>
      </c>
      <c r="N40" s="4">
        <v>25</v>
      </c>
      <c r="P40" s="56"/>
      <c r="Q40" s="1">
        <v>390.21499999999997</v>
      </c>
      <c r="R40" s="1">
        <f t="shared" si="5"/>
        <v>-3413.7849999999999</v>
      </c>
      <c r="S40" s="1">
        <f t="shared" si="20"/>
        <v>9755.375</v>
      </c>
      <c r="T40" s="1">
        <f t="shared" si="6"/>
        <v>5951.375</v>
      </c>
      <c r="U40" s="1">
        <f t="shared" si="21"/>
        <v>0.12889462864976484</v>
      </c>
      <c r="V40" s="1">
        <f t="shared" si="22"/>
        <v>0.22259667860372556</v>
      </c>
      <c r="W40" s="1"/>
      <c r="X40" s="1"/>
      <c r="Y40" s="1">
        <f t="shared" si="23"/>
        <v>9</v>
      </c>
      <c r="Z40">
        <f t="shared" si="24"/>
        <v>4685.0797199999997</v>
      </c>
      <c r="AA40">
        <f t="shared" si="25"/>
        <v>31165.717479999999</v>
      </c>
      <c r="AB40">
        <f t="shared" si="16"/>
        <v>2749.6570501561605</v>
      </c>
      <c r="AC40">
        <f t="shared" si="17"/>
        <v>20728.24048924329</v>
      </c>
      <c r="AD40">
        <f t="shared" si="26"/>
        <v>33228.716841280257</v>
      </c>
      <c r="AE40">
        <f t="shared" si="18"/>
        <v>19501.818750326198</v>
      </c>
      <c r="AF40">
        <f t="shared" si="19"/>
        <v>150361.54933693339</v>
      </c>
    </row>
    <row r="41" spans="1:32" x14ac:dyDescent="0.35">
      <c r="A41" s="1">
        <v>40</v>
      </c>
      <c r="B41" s="62">
        <v>2769.3097556877569</v>
      </c>
      <c r="C41" s="62">
        <v>2</v>
      </c>
      <c r="D41" s="62">
        <v>3553.3</v>
      </c>
      <c r="E41" s="62">
        <v>2769.31</v>
      </c>
      <c r="F41" s="62">
        <v>5</v>
      </c>
      <c r="G41" s="62">
        <v>3.3</v>
      </c>
      <c r="H41" s="62">
        <f>(C41*$N$11*1000)+N24</f>
        <v>3969.6</v>
      </c>
      <c r="I41" s="62">
        <f>$N$31*C41</f>
        <v>71.2</v>
      </c>
      <c r="J41" s="56">
        <f t="shared" si="4"/>
        <v>2.0037711423184081E-2</v>
      </c>
      <c r="K41" s="56">
        <f t="shared" si="0"/>
        <v>1780</v>
      </c>
      <c r="L41" s="56"/>
      <c r="M41" s="1"/>
      <c r="N41" s="4"/>
      <c r="O41" s="4"/>
      <c r="P41" s="56"/>
      <c r="Q41" s="1">
        <v>349.49</v>
      </c>
      <c r="R41" s="1">
        <f t="shared" si="5"/>
        <v>-3620.1099999999997</v>
      </c>
      <c r="S41" s="1">
        <f t="shared" si="20"/>
        <v>8737.25</v>
      </c>
      <c r="T41" s="1">
        <f t="shared" si="6"/>
        <v>4767.6499999999996</v>
      </c>
      <c r="U41" s="1">
        <f t="shared" si="21"/>
        <v>7.7374742672173438E-2</v>
      </c>
      <c r="V41" s="1">
        <f t="shared" si="22"/>
        <v>0.12672941395247242</v>
      </c>
      <c r="W41" s="1"/>
      <c r="X41" s="1"/>
      <c r="Y41" s="1">
        <f t="shared" si="23"/>
        <v>10</v>
      </c>
      <c r="Z41">
        <f t="shared" si="24"/>
        <v>4685.0797199999997</v>
      </c>
      <c r="AA41">
        <f t="shared" si="25"/>
        <v>35850.797200000001</v>
      </c>
      <c r="AB41">
        <f t="shared" si="16"/>
        <v>2591.5712065562302</v>
      </c>
      <c r="AC41">
        <f t="shared" si="17"/>
        <v>23319.811695799519</v>
      </c>
      <c r="AD41">
        <f t="shared" si="26"/>
        <v>34059.434762312267</v>
      </c>
      <c r="AE41">
        <f t="shared" si="18"/>
        <v>18840.117077365081</v>
      </c>
      <c r="AF41">
        <f t="shared" si="19"/>
        <v>169201.66641429847</v>
      </c>
    </row>
    <row r="42" spans="1:32" x14ac:dyDescent="0.35">
      <c r="A42" s="1">
        <v>41</v>
      </c>
      <c r="B42" s="1">
        <v>975.76163139608616</v>
      </c>
      <c r="C42" s="1">
        <v>2</v>
      </c>
      <c r="D42" s="1">
        <v>3553.3</v>
      </c>
      <c r="E42" s="1">
        <v>975.76199999999994</v>
      </c>
      <c r="F42" s="1">
        <v>5</v>
      </c>
      <c r="G42" s="1">
        <v>0</v>
      </c>
      <c r="H42" s="1">
        <f t="shared" si="15"/>
        <v>3600</v>
      </c>
      <c r="I42" s="1">
        <f>$N$12*C42</f>
        <v>53</v>
      </c>
      <c r="J42" s="4">
        <f t="shared" si="4"/>
        <v>1.4915712154898262E-2</v>
      </c>
      <c r="K42" s="4">
        <f t="shared" si="0"/>
        <v>1325</v>
      </c>
      <c r="L42" s="4"/>
      <c r="M42" s="4"/>
      <c r="N42" s="4"/>
      <c r="O42" s="4"/>
      <c r="P42" s="4"/>
      <c r="Q42" s="1">
        <v>397.56400000000002</v>
      </c>
      <c r="R42" s="1">
        <f t="shared" si="5"/>
        <v>-3202.4360000000001</v>
      </c>
      <c r="S42" s="1">
        <f t="shared" si="20"/>
        <v>9939.1</v>
      </c>
      <c r="T42" s="1">
        <f t="shared" si="6"/>
        <v>6339.1</v>
      </c>
      <c r="U42" s="1">
        <f t="shared" si="21"/>
        <v>0.16249273851734064</v>
      </c>
      <c r="V42" s="1">
        <f t="shared" si="22"/>
        <v>0.2895243525716652</v>
      </c>
      <c r="W42" s="1"/>
      <c r="X42" s="1"/>
      <c r="Y42" s="1">
        <f t="shared" si="23"/>
        <v>11</v>
      </c>
      <c r="Z42">
        <f t="shared" si="24"/>
        <v>4685.0797199999997</v>
      </c>
      <c r="AA42">
        <f t="shared" si="25"/>
        <v>40535.876920000002</v>
      </c>
      <c r="AB42">
        <f t="shared" si="16"/>
        <v>2442.5741814856087</v>
      </c>
      <c r="AC42">
        <f t="shared" si="17"/>
        <v>25762.385877285127</v>
      </c>
      <c r="AD42">
        <f t="shared" si="26"/>
        <v>34910.920631370071</v>
      </c>
      <c r="AE42">
        <f t="shared" si="18"/>
        <v>18200.867110555337</v>
      </c>
      <c r="AF42">
        <f t="shared" si="19"/>
        <v>187402.53352485382</v>
      </c>
    </row>
    <row r="43" spans="1:32" x14ac:dyDescent="0.35">
      <c r="A43" s="1">
        <v>42</v>
      </c>
      <c r="B43" s="62">
        <v>1220.838737866377</v>
      </c>
      <c r="C43" s="62">
        <v>2</v>
      </c>
      <c r="D43" s="62">
        <v>3553.3</v>
      </c>
      <c r="E43" s="62">
        <v>1220.8399999999999</v>
      </c>
      <c r="F43" s="62">
        <v>5</v>
      </c>
      <c r="G43" s="62">
        <v>2</v>
      </c>
      <c r="H43" s="62">
        <f>(C43*$N$11*1000)+N23</f>
        <v>3940</v>
      </c>
      <c r="I43" s="62">
        <f>$N$31*C43</f>
        <v>71.2</v>
      </c>
      <c r="J43" s="56">
        <f t="shared" si="4"/>
        <v>2.0037711423184081E-2</v>
      </c>
      <c r="K43" s="56">
        <f t="shared" si="0"/>
        <v>1780</v>
      </c>
      <c r="L43" s="56"/>
      <c r="M43" s="2" t="s">
        <v>280</v>
      </c>
      <c r="N43" s="1">
        <f>1+((1-(1+$N$13)^(1-$N$40))/$N$13)</f>
        <v>13.43521330378282</v>
      </c>
      <c r="O43" s="4"/>
      <c r="P43" s="56"/>
      <c r="Q43" s="1">
        <v>374.48700000000002</v>
      </c>
      <c r="R43" s="1">
        <f t="shared" si="5"/>
        <v>-3565.5129999999999</v>
      </c>
      <c r="S43" s="1">
        <f t="shared" si="20"/>
        <v>9362.1750000000011</v>
      </c>
      <c r="T43" s="1">
        <f t="shared" si="6"/>
        <v>5422.1750000000011</v>
      </c>
      <c r="U43" s="1">
        <f t="shared" si="21"/>
        <v>0.1491292901155778</v>
      </c>
      <c r="V43" s="1">
        <f t="shared" si="22"/>
        <v>0.26024896779387124</v>
      </c>
      <c r="W43" s="1"/>
      <c r="X43" s="1"/>
      <c r="Y43" s="1">
        <f t="shared" si="23"/>
        <v>12</v>
      </c>
      <c r="Z43">
        <f t="shared" si="24"/>
        <v>4685.0797199999997</v>
      </c>
      <c r="AA43">
        <f t="shared" si="25"/>
        <v>45220.956640000004</v>
      </c>
      <c r="AB43">
        <f t="shared" si="16"/>
        <v>2302.1434321259271</v>
      </c>
      <c r="AC43">
        <f t="shared" si="17"/>
        <v>28064.529309411053</v>
      </c>
      <c r="AD43">
        <f t="shared" si="26"/>
        <v>35783.693647154316</v>
      </c>
      <c r="AE43">
        <f t="shared" si="18"/>
        <v>17583.307057793794</v>
      </c>
      <c r="AF43">
        <f t="shared" si="19"/>
        <v>204985.84058264762</v>
      </c>
    </row>
    <row r="44" spans="1:32" x14ac:dyDescent="0.35">
      <c r="A44" s="1">
        <v>43</v>
      </c>
      <c r="B44" s="62">
        <v>3438.0361146713012</v>
      </c>
      <c r="C44" s="62">
        <v>10</v>
      </c>
      <c r="D44" s="62">
        <v>17766.5</v>
      </c>
      <c r="E44" s="62">
        <v>3438.04</v>
      </c>
      <c r="F44" s="62">
        <v>25</v>
      </c>
      <c r="G44" s="62">
        <v>9.6999999999999993</v>
      </c>
      <c r="H44" s="62">
        <f>(C44*$N$11*1000)+N28</f>
        <v>18800</v>
      </c>
      <c r="I44" s="62">
        <f>$N$31*C44</f>
        <v>356</v>
      </c>
      <c r="J44" s="56">
        <f t="shared" si="4"/>
        <v>2.0037711423184081E-2</v>
      </c>
      <c r="K44" s="56">
        <f t="shared" si="0"/>
        <v>8900</v>
      </c>
      <c r="L44" s="56"/>
      <c r="M44" s="4"/>
      <c r="N44" s="4"/>
      <c r="O44" s="4"/>
      <c r="P44" s="56"/>
      <c r="Q44" s="1">
        <v>2112.7800000000002</v>
      </c>
      <c r="R44" s="1">
        <f t="shared" si="5"/>
        <v>-16687.22</v>
      </c>
      <c r="S44" s="1">
        <f t="shared" si="20"/>
        <v>52819.500000000007</v>
      </c>
      <c r="T44" s="1">
        <f t="shared" si="6"/>
        <v>34019.500000000007</v>
      </c>
      <c r="U44" s="1">
        <f t="shared" si="21"/>
        <v>0.23876723459222621</v>
      </c>
      <c r="V44" s="1">
        <f t="shared" si="22"/>
        <v>0.42704562083139685</v>
      </c>
      <c r="W44" s="1"/>
      <c r="X44" s="1"/>
      <c r="Y44" s="1">
        <f t="shared" si="23"/>
        <v>13</v>
      </c>
      <c r="Z44">
        <f t="shared" si="24"/>
        <v>4685.0797199999997</v>
      </c>
      <c r="AA44">
        <f t="shared" si="25"/>
        <v>49906.036360000006</v>
      </c>
      <c r="AB44">
        <f t="shared" si="16"/>
        <v>2169.7864581771223</v>
      </c>
      <c r="AC44">
        <f t="shared" si="17"/>
        <v>30234.315767588174</v>
      </c>
      <c r="AD44">
        <f t="shared" si="26"/>
        <v>36678.285988333177</v>
      </c>
      <c r="AE44">
        <f t="shared" si="18"/>
        <v>16986.700974777228</v>
      </c>
      <c r="AF44">
        <f t="shared" si="19"/>
        <v>221972.54155742485</v>
      </c>
    </row>
    <row r="45" spans="1:32" x14ac:dyDescent="0.35">
      <c r="A45" s="1">
        <v>44</v>
      </c>
      <c r="B45" s="1">
        <v>1279.200878938675</v>
      </c>
      <c r="C45" s="1">
        <v>2</v>
      </c>
      <c r="D45" s="1">
        <v>3553.3</v>
      </c>
      <c r="E45" s="1">
        <v>1279.2</v>
      </c>
      <c r="F45" s="1">
        <v>5</v>
      </c>
      <c r="G45" s="1">
        <v>0</v>
      </c>
      <c r="H45" s="1">
        <f t="shared" si="15"/>
        <v>3600</v>
      </c>
      <c r="I45" s="1">
        <f>$N$12*C45</f>
        <v>53</v>
      </c>
      <c r="J45" s="4">
        <f t="shared" si="4"/>
        <v>1.4915712154898262E-2</v>
      </c>
      <c r="K45" s="4">
        <f t="shared" si="0"/>
        <v>1325</v>
      </c>
      <c r="L45" s="4"/>
      <c r="P45" s="4"/>
      <c r="Q45" s="1">
        <v>369.66399999999999</v>
      </c>
      <c r="R45" s="1">
        <f t="shared" si="5"/>
        <v>-3230.3360000000002</v>
      </c>
      <c r="S45" s="1">
        <f t="shared" si="20"/>
        <v>9241.6</v>
      </c>
      <c r="T45" s="1">
        <f>S45-H45</f>
        <v>5641.6</v>
      </c>
      <c r="U45" s="1">
        <f t="shared" si="21"/>
        <v>0.12748599128062374</v>
      </c>
      <c r="V45" s="1">
        <f t="shared" si="22"/>
        <v>0.22438443546506365</v>
      </c>
      <c r="W45" s="1"/>
      <c r="X45" s="1"/>
      <c r="Y45" s="1">
        <f t="shared" si="23"/>
        <v>14</v>
      </c>
      <c r="Z45">
        <f t="shared" si="24"/>
        <v>4685.0797199999997</v>
      </c>
      <c r="AA45">
        <f t="shared" si="25"/>
        <v>54591.116080000007</v>
      </c>
      <c r="AB45">
        <f t="shared" si="16"/>
        <v>2045.0390746249975</v>
      </c>
      <c r="AC45">
        <f t="shared" si="17"/>
        <v>32279.354842213172</v>
      </c>
      <c r="AD45">
        <f t="shared" si="26"/>
        <v>37595.2431380415</v>
      </c>
      <c r="AE45">
        <f t="shared" si="18"/>
        <v>16410.337887979884</v>
      </c>
      <c r="AF45">
        <f t="shared" si="19"/>
        <v>238382.87944540475</v>
      </c>
    </row>
    <row r="46" spans="1:32" x14ac:dyDescent="0.35">
      <c r="A46" s="62">
        <v>45</v>
      </c>
      <c r="B46" s="62">
        <v>3266.9511427123548</v>
      </c>
      <c r="C46" s="62">
        <v>2</v>
      </c>
      <c r="D46" s="62">
        <v>3553.3</v>
      </c>
      <c r="E46" s="62">
        <v>3266.95</v>
      </c>
      <c r="F46" s="62">
        <v>5</v>
      </c>
      <c r="G46" s="62">
        <v>4.2</v>
      </c>
      <c r="H46" s="62">
        <f>(C46*$N$11*1000)+N25</f>
        <v>4070.4</v>
      </c>
      <c r="I46" s="62">
        <f>$N$31*C46</f>
        <v>71.2</v>
      </c>
      <c r="J46" s="56">
        <f t="shared" si="4"/>
        <v>2.0037711423184081E-2</v>
      </c>
      <c r="K46" s="56">
        <f t="shared" si="0"/>
        <v>1780</v>
      </c>
      <c r="L46" s="4"/>
      <c r="P46" s="56"/>
      <c r="Q46" s="1">
        <v>339.32799999999997</v>
      </c>
      <c r="R46" s="1">
        <f t="shared" si="5"/>
        <v>-3731.0720000000001</v>
      </c>
      <c r="S46" s="1">
        <f t="shared" si="20"/>
        <v>8483.1999999999989</v>
      </c>
      <c r="T46" s="1">
        <f t="shared" si="6"/>
        <v>4412.7999999999993</v>
      </c>
      <c r="U46" s="1">
        <f t="shared" si="21"/>
        <v>6.9875004020349643E-2</v>
      </c>
      <c r="V46" s="1">
        <f t="shared" si="22"/>
        <v>0.11277403698478376</v>
      </c>
      <c r="W46" s="1"/>
      <c r="X46" s="1"/>
      <c r="Y46" s="1">
        <f t="shared" si="23"/>
        <v>15</v>
      </c>
      <c r="Z46">
        <f t="shared" si="24"/>
        <v>4685.0797199999997</v>
      </c>
      <c r="AA46">
        <f t="shared" si="25"/>
        <v>59276.195800000009</v>
      </c>
      <c r="AB46">
        <f t="shared" si="16"/>
        <v>1927.4637838124388</v>
      </c>
      <c r="AC46">
        <f t="shared" si="17"/>
        <v>34206.818626025612</v>
      </c>
      <c r="AD46">
        <f t="shared" si="26"/>
        <v>38535.124216492542</v>
      </c>
      <c r="AE46">
        <f t="shared" si="18"/>
        <v>15853.530947388674</v>
      </c>
      <c r="AF46">
        <f t="shared" si="19"/>
        <v>254236.41039279342</v>
      </c>
    </row>
    <row r="47" spans="1:32" x14ac:dyDescent="0.35">
      <c r="A47" s="70">
        <v>46</v>
      </c>
      <c r="B47" s="70">
        <v>1763.99702425654</v>
      </c>
      <c r="C47" s="70">
        <v>0</v>
      </c>
      <c r="D47" s="70"/>
      <c r="E47" s="70">
        <v>1764</v>
      </c>
      <c r="F47" s="70">
        <v>0</v>
      </c>
      <c r="G47" s="70">
        <v>0</v>
      </c>
      <c r="H47" s="71">
        <f t="shared" ref="H47:H100" si="27">$N$11*C47*1000</f>
        <v>0</v>
      </c>
      <c r="I47" s="71">
        <f t="shared" ref="I47:I78" si="28">$N$12*C47</f>
        <v>0</v>
      </c>
      <c r="J47" s="71">
        <f t="shared" ref="J47:J78" si="29">$N$12*D47</f>
        <v>0</v>
      </c>
      <c r="K47" s="71">
        <f t="shared" ref="K47:K78" si="30">$N$12*F47</f>
        <v>0</v>
      </c>
      <c r="L47" s="71"/>
      <c r="P47" s="71"/>
      <c r="Q47" s="70">
        <v>36.3322</v>
      </c>
      <c r="R47" s="70">
        <f t="shared" si="5"/>
        <v>36.3322</v>
      </c>
      <c r="S47" s="70">
        <f t="shared" si="20"/>
        <v>908.30500000000006</v>
      </c>
      <c r="T47" s="70">
        <f t="shared" si="6"/>
        <v>908.30500000000006</v>
      </c>
      <c r="U47" s="70">
        <f t="shared" si="21"/>
        <v>0</v>
      </c>
      <c r="V47" s="70">
        <f t="shared" si="22"/>
        <v>0</v>
      </c>
      <c r="W47" s="4"/>
      <c r="X47" s="1"/>
      <c r="Y47" s="1">
        <f t="shared" si="23"/>
        <v>16</v>
      </c>
      <c r="Z47">
        <f t="shared" si="24"/>
        <v>4685.0797199999997</v>
      </c>
      <c r="AA47">
        <f t="shared" si="25"/>
        <v>63961.27552000001</v>
      </c>
      <c r="AB47">
        <f t="shared" si="16"/>
        <v>1816.648241105032</v>
      </c>
      <c r="AC47">
        <f t="shared" si="17"/>
        <v>36023.466867130643</v>
      </c>
      <c r="AD47">
        <f t="shared" si="26"/>
        <v>39498.502321904853</v>
      </c>
      <c r="AE47">
        <f t="shared" si="18"/>
        <v>15315.616607986231</v>
      </c>
      <c r="AF47">
        <f t="shared" si="19"/>
        <v>269552.02700077964</v>
      </c>
    </row>
    <row r="48" spans="1:32" x14ac:dyDescent="0.35">
      <c r="A48" s="1">
        <v>47</v>
      </c>
      <c r="B48" s="1">
        <v>2322.9032263370332</v>
      </c>
      <c r="C48" s="1">
        <v>0</v>
      </c>
      <c r="D48" s="1"/>
      <c r="E48" s="1">
        <v>2322.9</v>
      </c>
      <c r="F48" s="1">
        <v>0</v>
      </c>
      <c r="G48" s="1">
        <v>0</v>
      </c>
      <c r="H48" s="4">
        <f t="shared" si="27"/>
        <v>0</v>
      </c>
      <c r="I48" s="4">
        <f t="shared" si="28"/>
        <v>0</v>
      </c>
      <c r="J48" s="4">
        <f t="shared" si="29"/>
        <v>0</v>
      </c>
      <c r="K48" s="4">
        <f t="shared" si="30"/>
        <v>0</v>
      </c>
      <c r="L48" s="4"/>
      <c r="P48" s="4"/>
      <c r="Q48" s="1">
        <v>48.805199999999999</v>
      </c>
      <c r="R48" s="1">
        <f>Q48-H48</f>
        <v>48.805199999999999</v>
      </c>
      <c r="S48" s="1">
        <f t="shared" si="20"/>
        <v>1220.1299999999999</v>
      </c>
      <c r="T48" s="1">
        <f t="shared" si="6"/>
        <v>1220.1299999999999</v>
      </c>
      <c r="U48" s="1">
        <f t="shared" si="21"/>
        <v>0</v>
      </c>
      <c r="V48" s="1">
        <f t="shared" si="22"/>
        <v>0</v>
      </c>
      <c r="W48" s="4"/>
      <c r="X48" s="1"/>
      <c r="Y48" s="1">
        <f t="shared" si="23"/>
        <v>17</v>
      </c>
      <c r="Z48">
        <f t="shared" si="24"/>
        <v>4685.0797199999997</v>
      </c>
      <c r="AA48">
        <f t="shared" si="25"/>
        <v>68646.355240000004</v>
      </c>
      <c r="AB48">
        <f t="shared" si="16"/>
        <v>1712.2038087700587</v>
      </c>
      <c r="AC48">
        <f t="shared" si="17"/>
        <v>37735.670675900699</v>
      </c>
      <c r="AD48">
        <f t="shared" si="26"/>
        <v>40485.964879952473</v>
      </c>
      <c r="AE48">
        <f t="shared" si="18"/>
        <v>14795.953839006492</v>
      </c>
      <c r="AF48">
        <f t="shared" si="19"/>
        <v>284347.98083978612</v>
      </c>
    </row>
    <row r="49" spans="1:32" x14ac:dyDescent="0.35">
      <c r="A49" s="1">
        <v>48</v>
      </c>
      <c r="B49" s="1">
        <v>1052.7350255677291</v>
      </c>
      <c r="C49" s="1">
        <v>0</v>
      </c>
      <c r="D49" s="1"/>
      <c r="E49" s="1">
        <v>1052.74</v>
      </c>
      <c r="F49" s="1">
        <v>0</v>
      </c>
      <c r="G49" s="1">
        <v>0</v>
      </c>
      <c r="H49" s="4">
        <f t="shared" si="27"/>
        <v>0</v>
      </c>
      <c r="I49" s="4">
        <f t="shared" si="28"/>
        <v>0</v>
      </c>
      <c r="J49" s="4">
        <f t="shared" si="29"/>
        <v>0</v>
      </c>
      <c r="K49" s="4">
        <f t="shared" si="30"/>
        <v>0</v>
      </c>
      <c r="L49" s="4"/>
      <c r="M49" s="4"/>
      <c r="N49" s="4"/>
      <c r="O49" s="4"/>
      <c r="P49" s="4"/>
      <c r="Q49" s="1">
        <v>22.118400000000001</v>
      </c>
      <c r="R49" s="1">
        <f t="shared" si="5"/>
        <v>22.118400000000001</v>
      </c>
      <c r="S49" s="1">
        <f t="shared" si="20"/>
        <v>552.96</v>
      </c>
      <c r="T49" s="1">
        <f t="shared" si="6"/>
        <v>552.96</v>
      </c>
      <c r="U49" s="1">
        <f t="shared" si="21"/>
        <v>0</v>
      </c>
      <c r="V49" s="1">
        <f t="shared" si="22"/>
        <v>0</v>
      </c>
      <c r="W49" s="4"/>
      <c r="X49" s="1"/>
      <c r="Y49" s="1">
        <f>Y48+1</f>
        <v>18</v>
      </c>
      <c r="Z49">
        <f t="shared" si="24"/>
        <v>4685.0797199999997</v>
      </c>
      <c r="AA49">
        <f t="shared" si="25"/>
        <v>73331.434959999999</v>
      </c>
      <c r="AB49">
        <f t="shared" si="16"/>
        <v>1613.7641929972278</v>
      </c>
      <c r="AC49">
        <f t="shared" si="17"/>
        <v>39349.43486889793</v>
      </c>
      <c r="AD49">
        <f t="shared" si="26"/>
        <v>41498.114001951282</v>
      </c>
      <c r="AE49">
        <f t="shared" si="18"/>
        <v>14293.923360020408</v>
      </c>
      <c r="AF49">
        <f t="shared" si="19"/>
        <v>298641.90419980651</v>
      </c>
    </row>
    <row r="50" spans="1:32" x14ac:dyDescent="0.35">
      <c r="A50" s="1">
        <v>49</v>
      </c>
      <c r="B50" s="1">
        <v>2650.8063291642311</v>
      </c>
      <c r="C50" s="1">
        <v>0</v>
      </c>
      <c r="D50" s="1"/>
      <c r="E50" s="1">
        <v>2650.81</v>
      </c>
      <c r="F50" s="1">
        <v>0</v>
      </c>
      <c r="G50" s="1">
        <v>0</v>
      </c>
      <c r="H50" s="4">
        <f t="shared" si="27"/>
        <v>0</v>
      </c>
      <c r="I50" s="4">
        <f t="shared" si="28"/>
        <v>0</v>
      </c>
      <c r="J50" s="4">
        <f t="shared" si="29"/>
        <v>0</v>
      </c>
      <c r="K50" s="4">
        <f t="shared" si="30"/>
        <v>0</v>
      </c>
      <c r="L50" s="4"/>
      <c r="M50" s="4"/>
      <c r="N50" s="4"/>
      <c r="O50" s="4"/>
      <c r="P50" s="4"/>
      <c r="Q50" s="4">
        <v>53.152200000000001</v>
      </c>
      <c r="R50" s="1">
        <f t="shared" si="5"/>
        <v>53.152200000000001</v>
      </c>
      <c r="S50" s="1">
        <f t="shared" si="20"/>
        <v>1328.8050000000001</v>
      </c>
      <c r="T50" s="1">
        <f t="shared" si="6"/>
        <v>1328.8050000000001</v>
      </c>
      <c r="U50" s="1">
        <f t="shared" si="21"/>
        <v>0</v>
      </c>
      <c r="V50" s="1">
        <f t="shared" si="22"/>
        <v>0</v>
      </c>
      <c r="W50" s="4"/>
      <c r="X50" s="1"/>
      <c r="Y50" s="1">
        <f t="shared" ref="Y50:Y54" si="31">Y49+1</f>
        <v>19</v>
      </c>
      <c r="Z50">
        <f t="shared" si="24"/>
        <v>4685.0797199999997</v>
      </c>
      <c r="AA50">
        <f t="shared" si="25"/>
        <v>78016.514679999993</v>
      </c>
      <c r="AB50">
        <f t="shared" si="16"/>
        <v>1520.9841592810819</v>
      </c>
      <c r="AC50">
        <f t="shared" si="17"/>
        <v>40870.419028179014</v>
      </c>
      <c r="AD50">
        <f t="shared" si="26"/>
        <v>42535.566852000069</v>
      </c>
      <c r="AE50">
        <f t="shared" si="18"/>
        <v>13808.92690294149</v>
      </c>
      <c r="AF50">
        <f t="shared" si="19"/>
        <v>312450.83110274799</v>
      </c>
    </row>
    <row r="51" spans="1:32" x14ac:dyDescent="0.35">
      <c r="A51" s="1">
        <v>50</v>
      </c>
      <c r="B51" s="1">
        <v>2336.365059758562</v>
      </c>
      <c r="C51" s="1">
        <v>0</v>
      </c>
      <c r="D51" s="1"/>
      <c r="E51" s="1">
        <v>2336.37</v>
      </c>
      <c r="F51" s="1">
        <v>0</v>
      </c>
      <c r="G51" s="1">
        <v>0</v>
      </c>
      <c r="H51" s="4">
        <f t="shared" si="27"/>
        <v>0</v>
      </c>
      <c r="I51" s="4">
        <f t="shared" si="28"/>
        <v>0</v>
      </c>
      <c r="J51" s="4">
        <f t="shared" si="29"/>
        <v>0</v>
      </c>
      <c r="K51" s="4">
        <f t="shared" si="30"/>
        <v>0</v>
      </c>
      <c r="L51" s="4"/>
      <c r="M51" s="4"/>
      <c r="N51" s="4"/>
      <c r="O51" s="4"/>
      <c r="P51" s="4"/>
      <c r="Q51" s="4">
        <v>49.088000000000001</v>
      </c>
      <c r="R51" s="1">
        <f t="shared" si="5"/>
        <v>49.088000000000001</v>
      </c>
      <c r="S51" s="1">
        <f t="shared" si="20"/>
        <v>1227.2</v>
      </c>
      <c r="T51" s="1">
        <f t="shared" si="6"/>
        <v>1227.2</v>
      </c>
      <c r="U51" s="1">
        <f t="shared" si="21"/>
        <v>0</v>
      </c>
      <c r="V51" s="1">
        <f t="shared" si="22"/>
        <v>0</v>
      </c>
      <c r="W51" s="4"/>
      <c r="X51" s="1"/>
      <c r="Y51" s="1">
        <f t="shared" si="31"/>
        <v>20</v>
      </c>
      <c r="Z51">
        <f t="shared" si="24"/>
        <v>4685.0797199999997</v>
      </c>
      <c r="AA51">
        <f t="shared" si="25"/>
        <v>82701.594399999987</v>
      </c>
      <c r="AB51">
        <f t="shared" si="16"/>
        <v>1433.538321659832</v>
      </c>
      <c r="AC51">
        <f t="shared" si="17"/>
        <v>42303.957349838849</v>
      </c>
      <c r="AD51">
        <f t="shared" si="26"/>
        <v>43598.956023300059</v>
      </c>
      <c r="AE51">
        <f t="shared" si="18"/>
        <v>13340.386499071652</v>
      </c>
      <c r="AF51">
        <f t="shared" si="19"/>
        <v>325791.21760181966</v>
      </c>
    </row>
    <row r="52" spans="1:32" x14ac:dyDescent="0.35">
      <c r="A52" s="1">
        <v>51</v>
      </c>
      <c r="B52" s="1">
        <v>586.05584352134008</v>
      </c>
      <c r="C52" s="1">
        <v>0</v>
      </c>
      <c r="D52" s="1"/>
      <c r="E52" s="1">
        <v>586.05600000000004</v>
      </c>
      <c r="F52" s="1">
        <v>0</v>
      </c>
      <c r="G52" s="1">
        <v>0</v>
      </c>
      <c r="H52" s="4">
        <f t="shared" si="27"/>
        <v>0</v>
      </c>
      <c r="I52" s="4">
        <f t="shared" si="28"/>
        <v>0</v>
      </c>
      <c r="J52" s="4">
        <f t="shared" si="29"/>
        <v>0</v>
      </c>
      <c r="K52" s="4">
        <f t="shared" si="30"/>
        <v>0</v>
      </c>
      <c r="L52" s="4"/>
      <c r="M52" s="4"/>
      <c r="N52" s="4"/>
      <c r="O52" s="4"/>
      <c r="P52" s="4"/>
      <c r="Q52" s="4">
        <v>11.751200000000001</v>
      </c>
      <c r="R52" s="1">
        <f t="shared" si="5"/>
        <v>11.751200000000001</v>
      </c>
      <c r="S52" s="1">
        <f t="shared" si="20"/>
        <v>293.78000000000003</v>
      </c>
      <c r="T52" s="1">
        <f t="shared" si="6"/>
        <v>293.78000000000003</v>
      </c>
      <c r="U52" s="1">
        <f t="shared" si="21"/>
        <v>0</v>
      </c>
      <c r="V52" s="1">
        <f t="shared" si="22"/>
        <v>0</v>
      </c>
      <c r="W52" s="4"/>
      <c r="X52" s="1"/>
      <c r="Y52" s="1">
        <f t="shared" si="31"/>
        <v>21</v>
      </c>
      <c r="Z52">
        <f t="shared" si="24"/>
        <v>4685.0797199999997</v>
      </c>
      <c r="AA52">
        <f t="shared" si="25"/>
        <v>87386.674119999981</v>
      </c>
      <c r="AB52">
        <f t="shared" si="16"/>
        <v>1351.1200015644035</v>
      </c>
      <c r="AC52">
        <f t="shared" si="17"/>
        <v>43655.077351403255</v>
      </c>
      <c r="AD52">
        <f t="shared" si="26"/>
        <v>44688.929923882562</v>
      </c>
      <c r="AE52">
        <f t="shared" si="18"/>
        <v>12887.743790337838</v>
      </c>
      <c r="AF52">
        <f t="shared" si="19"/>
        <v>338678.96139215748</v>
      </c>
    </row>
    <row r="53" spans="1:32" x14ac:dyDescent="0.35">
      <c r="A53" s="1">
        <v>52</v>
      </c>
      <c r="B53" s="1">
        <v>5329.6971333659421</v>
      </c>
      <c r="C53" s="1">
        <v>0</v>
      </c>
      <c r="D53" s="1"/>
      <c r="E53" s="1">
        <v>5329.7</v>
      </c>
      <c r="F53" s="1">
        <v>0</v>
      </c>
      <c r="G53" s="1">
        <v>0</v>
      </c>
      <c r="H53" s="4">
        <f t="shared" si="27"/>
        <v>0</v>
      </c>
      <c r="I53" s="4">
        <f t="shared" si="28"/>
        <v>0</v>
      </c>
      <c r="J53" s="4">
        <f t="shared" si="29"/>
        <v>0</v>
      </c>
      <c r="K53" s="4">
        <f t="shared" si="30"/>
        <v>0</v>
      </c>
      <c r="L53" s="4"/>
      <c r="M53" s="4"/>
      <c r="N53" s="4"/>
      <c r="O53" s="4"/>
      <c r="P53" s="4"/>
      <c r="Q53" s="4">
        <v>110.047</v>
      </c>
      <c r="R53" s="1">
        <f t="shared" si="5"/>
        <v>110.047</v>
      </c>
      <c r="S53" s="1">
        <f t="shared" si="20"/>
        <v>2751.1749999999997</v>
      </c>
      <c r="T53" s="1">
        <f t="shared" si="6"/>
        <v>2751.1749999999997</v>
      </c>
      <c r="U53" s="1">
        <f t="shared" si="21"/>
        <v>0</v>
      </c>
      <c r="V53" s="1">
        <f t="shared" si="22"/>
        <v>0</v>
      </c>
      <c r="W53" s="4"/>
      <c r="X53" s="1"/>
      <c r="Y53" s="1">
        <f t="shared" si="31"/>
        <v>22</v>
      </c>
      <c r="Z53">
        <f t="shared" si="24"/>
        <v>4685.0797199999997</v>
      </c>
      <c r="AA53">
        <f t="shared" si="25"/>
        <v>92071.753839999976</v>
      </c>
      <c r="AB53">
        <f t="shared" si="16"/>
        <v>1273.4401522755923</v>
      </c>
      <c r="AC53">
        <f t="shared" si="17"/>
        <v>44928.51750367885</v>
      </c>
      <c r="AD53">
        <f t="shared" si="26"/>
        <v>45806.153171979618</v>
      </c>
      <c r="AE53">
        <f t="shared" si="18"/>
        <v>12450.459363898473</v>
      </c>
      <c r="AF53">
        <f t="shared" si="19"/>
        <v>351129.42075605597</v>
      </c>
    </row>
    <row r="54" spans="1:32" x14ac:dyDescent="0.35">
      <c r="A54" s="1">
        <v>53</v>
      </c>
      <c r="B54" s="1">
        <v>5328.3833046167756</v>
      </c>
      <c r="C54" s="1">
        <v>0</v>
      </c>
      <c r="D54" s="1"/>
      <c r="E54" s="1">
        <v>5328.38</v>
      </c>
      <c r="F54" s="1">
        <v>0</v>
      </c>
      <c r="G54" s="1">
        <v>0</v>
      </c>
      <c r="H54" s="4">
        <f t="shared" si="27"/>
        <v>0</v>
      </c>
      <c r="I54" s="4">
        <f t="shared" si="28"/>
        <v>0</v>
      </c>
      <c r="J54" s="4">
        <f t="shared" si="29"/>
        <v>0</v>
      </c>
      <c r="K54" s="4">
        <f t="shared" si="30"/>
        <v>0</v>
      </c>
      <c r="L54" s="4"/>
      <c r="M54" s="4"/>
      <c r="N54" s="4"/>
      <c r="O54" s="4"/>
      <c r="P54" s="4"/>
      <c r="Q54" s="4">
        <v>104.018</v>
      </c>
      <c r="R54" s="1">
        <f t="shared" si="5"/>
        <v>104.018</v>
      </c>
      <c r="S54" s="1">
        <f t="shared" si="20"/>
        <v>2600.4499999999998</v>
      </c>
      <c r="T54" s="1">
        <f t="shared" si="6"/>
        <v>2600.4499999999998</v>
      </c>
      <c r="U54" s="1">
        <f t="shared" si="21"/>
        <v>0</v>
      </c>
      <c r="V54" s="1">
        <f t="shared" si="22"/>
        <v>0</v>
      </c>
      <c r="W54" s="4"/>
      <c r="X54" s="1"/>
      <c r="Y54" s="1">
        <f t="shared" si="31"/>
        <v>23</v>
      </c>
      <c r="Z54">
        <f t="shared" si="24"/>
        <v>4685.0797199999997</v>
      </c>
      <c r="AA54">
        <f t="shared" si="25"/>
        <v>96756.83355999997</v>
      </c>
      <c r="AB54">
        <f t="shared" si="16"/>
        <v>1200.2263452173352</v>
      </c>
      <c r="AC54">
        <f t="shared" si="17"/>
        <v>46128.743848896185</v>
      </c>
      <c r="AD54">
        <f t="shared" si="26"/>
        <v>46951.307001279114</v>
      </c>
      <c r="AE54">
        <f t="shared" si="18"/>
        <v>12028.012109326992</v>
      </c>
      <c r="AF54">
        <f t="shared" si="19"/>
        <v>363157.43286538299</v>
      </c>
    </row>
    <row r="55" spans="1:32" x14ac:dyDescent="0.35">
      <c r="A55" s="1">
        <v>54</v>
      </c>
      <c r="B55" s="1">
        <v>1132.850191183687</v>
      </c>
      <c r="C55" s="1">
        <v>0</v>
      </c>
      <c r="D55" s="1"/>
      <c r="E55" s="1">
        <v>1132.8499999999999</v>
      </c>
      <c r="F55" s="1">
        <v>0</v>
      </c>
      <c r="G55" s="1">
        <v>0</v>
      </c>
      <c r="H55" s="4">
        <f t="shared" si="27"/>
        <v>0</v>
      </c>
      <c r="I55" s="4">
        <f t="shared" si="28"/>
        <v>0</v>
      </c>
      <c r="J55" s="4">
        <f t="shared" si="29"/>
        <v>0</v>
      </c>
      <c r="K55" s="4">
        <f t="shared" si="30"/>
        <v>0</v>
      </c>
      <c r="L55" s="4"/>
      <c r="M55" s="4"/>
      <c r="N55" s="4"/>
      <c r="O55" s="4"/>
      <c r="P55" s="4"/>
      <c r="Q55" s="4">
        <v>23.8017</v>
      </c>
      <c r="R55" s="1">
        <f t="shared" si="5"/>
        <v>23.8017</v>
      </c>
      <c r="S55" s="1">
        <f t="shared" si="20"/>
        <v>595.04250000000002</v>
      </c>
      <c r="T55" s="1">
        <f t="shared" si="6"/>
        <v>595.04250000000002</v>
      </c>
      <c r="U55" s="1">
        <f t="shared" si="21"/>
        <v>0</v>
      </c>
      <c r="V55" s="1">
        <f t="shared" si="22"/>
        <v>0</v>
      </c>
      <c r="W55" s="4"/>
      <c r="X55" s="1"/>
      <c r="Y55" s="1">
        <f>Y54+1</f>
        <v>24</v>
      </c>
      <c r="Z55">
        <f t="shared" si="24"/>
        <v>4685.0797199999997</v>
      </c>
      <c r="AA55">
        <f t="shared" si="25"/>
        <v>101441.91327999996</v>
      </c>
      <c r="AB55">
        <f t="shared" si="16"/>
        <v>1131.2218145309473</v>
      </c>
      <c r="AC55">
        <f t="shared" si="17"/>
        <v>47259.96566342713</v>
      </c>
      <c r="AD55">
        <f t="shared" si="26"/>
        <v>48125.089676311087</v>
      </c>
      <c r="AE55">
        <f t="shared" si="18"/>
        <v>11619.898597606189</v>
      </c>
      <c r="AF55">
        <f t="shared" si="19"/>
        <v>374777.33146298915</v>
      </c>
    </row>
    <row r="56" spans="1:32" x14ac:dyDescent="0.35">
      <c r="A56" s="1">
        <v>55</v>
      </c>
      <c r="B56" s="1">
        <v>1734.337401732017</v>
      </c>
      <c r="C56" s="1">
        <v>0</v>
      </c>
      <c r="D56" s="1"/>
      <c r="E56" s="1">
        <v>1734.34</v>
      </c>
      <c r="F56" s="1">
        <v>0</v>
      </c>
      <c r="G56" s="1">
        <v>0</v>
      </c>
      <c r="H56" s="4">
        <f t="shared" si="27"/>
        <v>0</v>
      </c>
      <c r="I56" s="4">
        <f t="shared" si="28"/>
        <v>0</v>
      </c>
      <c r="J56" s="4">
        <f t="shared" si="29"/>
        <v>0</v>
      </c>
      <c r="K56" s="4">
        <f t="shared" si="30"/>
        <v>0</v>
      </c>
      <c r="L56" s="4"/>
      <c r="M56" s="4"/>
      <c r="N56" s="4"/>
      <c r="O56" s="4"/>
      <c r="P56" s="4"/>
      <c r="Q56" s="4">
        <v>36.4392</v>
      </c>
      <c r="R56" s="1">
        <f t="shared" si="5"/>
        <v>36.4392</v>
      </c>
      <c r="S56" s="1">
        <f t="shared" si="20"/>
        <v>910.98</v>
      </c>
      <c r="T56" s="1">
        <f t="shared" si="6"/>
        <v>910.98</v>
      </c>
      <c r="U56" s="1">
        <f t="shared" si="21"/>
        <v>0</v>
      </c>
      <c r="V56" s="1">
        <f t="shared" si="22"/>
        <v>0</v>
      </c>
      <c r="W56" s="4"/>
      <c r="X56" s="1"/>
      <c r="Y56" s="1">
        <f t="shared" ref="Y56" si="32">Y55+1</f>
        <v>25</v>
      </c>
      <c r="Z56">
        <f t="shared" si="24"/>
        <v>4685.0797199999997</v>
      </c>
      <c r="AA56">
        <f t="shared" si="25"/>
        <v>106126.99299999996</v>
      </c>
      <c r="AB56">
        <f t="shared" si="16"/>
        <v>1066.1845565795923</v>
      </c>
      <c r="AC56">
        <f t="shared" si="17"/>
        <v>48326.150220006726</v>
      </c>
      <c r="AD56">
        <f t="shared" si="26"/>
        <v>49328.216918218859</v>
      </c>
      <c r="AE56">
        <f t="shared" si="18"/>
        <v>11225.632481193536</v>
      </c>
      <c r="AF56">
        <f t="shared" si="19"/>
        <v>386002.96394418267</v>
      </c>
    </row>
    <row r="57" spans="1:32" x14ac:dyDescent="0.35">
      <c r="A57" s="1">
        <v>56</v>
      </c>
      <c r="B57" s="1">
        <v>1696.5437943175671</v>
      </c>
      <c r="C57" s="1">
        <v>0</v>
      </c>
      <c r="D57" s="1"/>
      <c r="E57" s="1">
        <v>1696.54</v>
      </c>
      <c r="F57" s="1">
        <v>0</v>
      </c>
      <c r="G57" s="1">
        <v>0</v>
      </c>
      <c r="H57" s="4">
        <f t="shared" si="27"/>
        <v>0</v>
      </c>
      <c r="I57" s="4">
        <f t="shared" si="28"/>
        <v>0</v>
      </c>
      <c r="J57" s="4">
        <f t="shared" si="29"/>
        <v>0</v>
      </c>
      <c r="K57" s="4">
        <f t="shared" si="30"/>
        <v>0</v>
      </c>
      <c r="L57" s="4"/>
      <c r="M57" s="4"/>
      <c r="N57" s="4"/>
      <c r="O57" s="4"/>
      <c r="P57" s="4"/>
      <c r="Q57" s="4">
        <v>33.6798</v>
      </c>
      <c r="R57" s="1">
        <f t="shared" si="5"/>
        <v>33.6798</v>
      </c>
      <c r="S57" s="1">
        <f t="shared" si="20"/>
        <v>841.995</v>
      </c>
      <c r="T57" s="1">
        <f t="shared" si="6"/>
        <v>841.995</v>
      </c>
      <c r="U57" s="1">
        <f t="shared" si="21"/>
        <v>0</v>
      </c>
      <c r="V57" s="1">
        <f t="shared" si="22"/>
        <v>0</v>
      </c>
      <c r="W57" s="4"/>
    </row>
    <row r="58" spans="1:32" x14ac:dyDescent="0.35">
      <c r="A58" s="1">
        <v>57</v>
      </c>
      <c r="B58" s="1">
        <v>2227.6855671211929</v>
      </c>
      <c r="C58" s="1">
        <v>0</v>
      </c>
      <c r="D58" s="1"/>
      <c r="E58" s="1">
        <v>2227.69</v>
      </c>
      <c r="F58" s="1">
        <v>0</v>
      </c>
      <c r="G58" s="1">
        <v>0</v>
      </c>
      <c r="H58" s="4">
        <f t="shared" si="27"/>
        <v>0</v>
      </c>
      <c r="I58" s="4">
        <f t="shared" si="28"/>
        <v>0</v>
      </c>
      <c r="J58" s="4">
        <f t="shared" si="29"/>
        <v>0</v>
      </c>
      <c r="K58" s="4">
        <f t="shared" si="30"/>
        <v>0</v>
      </c>
      <c r="L58" s="4"/>
      <c r="M58" s="4"/>
      <c r="N58" s="4"/>
      <c r="O58" s="4"/>
      <c r="P58" s="4"/>
      <c r="Q58" s="4">
        <v>43.985100000000003</v>
      </c>
      <c r="R58" s="1">
        <f t="shared" si="5"/>
        <v>43.985100000000003</v>
      </c>
      <c r="S58" s="1">
        <f t="shared" si="20"/>
        <v>1099.6275000000001</v>
      </c>
      <c r="T58" s="1">
        <f t="shared" si="6"/>
        <v>1099.6275000000001</v>
      </c>
      <c r="U58" s="1">
        <f t="shared" si="21"/>
        <v>0</v>
      </c>
      <c r="V58" s="1">
        <f t="shared" si="22"/>
        <v>0</v>
      </c>
      <c r="W58" s="4"/>
    </row>
    <row r="59" spans="1:32" x14ac:dyDescent="0.35">
      <c r="A59" s="1">
        <v>58</v>
      </c>
      <c r="B59" s="1">
        <v>404.30530639696019</v>
      </c>
      <c r="C59" s="1">
        <v>0</v>
      </c>
      <c r="D59" s="1"/>
      <c r="E59" s="1">
        <v>404.30500000000001</v>
      </c>
      <c r="F59" s="1">
        <v>0</v>
      </c>
      <c r="G59" s="1">
        <v>0</v>
      </c>
      <c r="H59" s="4">
        <f t="shared" si="27"/>
        <v>0</v>
      </c>
      <c r="I59" s="4">
        <f t="shared" si="28"/>
        <v>0</v>
      </c>
      <c r="J59" s="4">
        <f t="shared" si="29"/>
        <v>0</v>
      </c>
      <c r="K59" s="4">
        <f t="shared" si="30"/>
        <v>0</v>
      </c>
      <c r="L59" s="4"/>
      <c r="M59" s="4"/>
      <c r="N59" s="4"/>
      <c r="O59" s="4"/>
      <c r="P59" s="4"/>
      <c r="Q59" s="4">
        <v>7.2637200000000002</v>
      </c>
      <c r="R59" s="1">
        <f t="shared" si="5"/>
        <v>7.2637200000000002</v>
      </c>
      <c r="S59" s="1">
        <f t="shared" si="20"/>
        <v>181.59300000000002</v>
      </c>
      <c r="T59" s="1">
        <f t="shared" si="6"/>
        <v>181.59300000000002</v>
      </c>
      <c r="U59" s="1">
        <f t="shared" si="21"/>
        <v>0</v>
      </c>
      <c r="V59" s="1">
        <f t="shared" si="22"/>
        <v>0</v>
      </c>
      <c r="W59" s="4"/>
    </row>
    <row r="60" spans="1:32" x14ac:dyDescent="0.35">
      <c r="A60" s="1">
        <v>59</v>
      </c>
      <c r="B60" s="1">
        <v>3141.552121160008</v>
      </c>
      <c r="C60" s="1">
        <v>0</v>
      </c>
      <c r="D60" s="1"/>
      <c r="E60" s="1">
        <v>3141.55</v>
      </c>
      <c r="F60" s="1">
        <v>0</v>
      </c>
      <c r="G60" s="1">
        <v>0</v>
      </c>
      <c r="H60" s="4">
        <f t="shared" si="27"/>
        <v>0</v>
      </c>
      <c r="I60" s="4">
        <f t="shared" si="28"/>
        <v>0</v>
      </c>
      <c r="J60" s="4">
        <f t="shared" si="29"/>
        <v>0</v>
      </c>
      <c r="K60" s="4">
        <f t="shared" si="30"/>
        <v>0</v>
      </c>
      <c r="L60" s="4"/>
      <c r="M60" s="4"/>
      <c r="N60" s="4"/>
      <c r="O60" s="4"/>
      <c r="P60" s="4"/>
      <c r="Q60" s="4">
        <v>63.6265</v>
      </c>
      <c r="R60" s="1">
        <f t="shared" si="5"/>
        <v>63.6265</v>
      </c>
      <c r="S60" s="1">
        <f t="shared" si="20"/>
        <v>1590.6624999999999</v>
      </c>
      <c r="T60" s="1">
        <f t="shared" si="6"/>
        <v>1590.6624999999999</v>
      </c>
      <c r="U60" s="1">
        <f t="shared" si="21"/>
        <v>0</v>
      </c>
      <c r="V60" s="1">
        <f t="shared" si="22"/>
        <v>0</v>
      </c>
      <c r="W60" s="4"/>
    </row>
    <row r="61" spans="1:32" x14ac:dyDescent="0.35">
      <c r="A61" s="1">
        <v>60</v>
      </c>
      <c r="B61" s="1">
        <v>2862.8042339526478</v>
      </c>
      <c r="C61" s="1">
        <v>0</v>
      </c>
      <c r="D61" s="1"/>
      <c r="E61" s="1">
        <v>2862.8</v>
      </c>
      <c r="F61" s="1">
        <v>0</v>
      </c>
      <c r="G61" s="1">
        <v>0</v>
      </c>
      <c r="H61" s="4">
        <f t="shared" si="27"/>
        <v>0</v>
      </c>
      <c r="I61" s="4">
        <f t="shared" si="28"/>
        <v>0</v>
      </c>
      <c r="J61" s="4">
        <f t="shared" si="29"/>
        <v>0</v>
      </c>
      <c r="K61" s="4">
        <f t="shared" si="30"/>
        <v>0</v>
      </c>
      <c r="L61" s="4"/>
      <c r="M61" s="4"/>
      <c r="N61" s="4"/>
      <c r="O61" s="4"/>
      <c r="P61" s="4"/>
      <c r="Q61" s="4">
        <v>59.825899999999997</v>
      </c>
      <c r="R61" s="1">
        <f t="shared" si="5"/>
        <v>59.825899999999997</v>
      </c>
      <c r="S61" s="1">
        <f t="shared" si="20"/>
        <v>1495.6475</v>
      </c>
      <c r="T61" s="1">
        <f t="shared" si="6"/>
        <v>1495.6475</v>
      </c>
      <c r="U61" s="1">
        <f t="shared" si="21"/>
        <v>0</v>
      </c>
      <c r="V61" s="1">
        <f t="shared" si="22"/>
        <v>0</v>
      </c>
      <c r="W61" s="4"/>
    </row>
    <row r="62" spans="1:32" x14ac:dyDescent="0.35">
      <c r="A62" s="1">
        <v>61</v>
      </c>
      <c r="B62" s="1">
        <v>2954.0094942934988</v>
      </c>
      <c r="C62" s="1">
        <v>0</v>
      </c>
      <c r="D62" s="1"/>
      <c r="E62" s="1">
        <v>2954.01</v>
      </c>
      <c r="F62" s="1">
        <v>0</v>
      </c>
      <c r="G62" s="1">
        <v>0</v>
      </c>
      <c r="H62" s="4">
        <f t="shared" si="27"/>
        <v>0</v>
      </c>
      <c r="I62" s="4">
        <f t="shared" si="28"/>
        <v>0</v>
      </c>
      <c r="J62" s="4">
        <f t="shared" si="29"/>
        <v>0</v>
      </c>
      <c r="K62" s="4">
        <f t="shared" si="30"/>
        <v>0</v>
      </c>
      <c r="L62" s="4"/>
      <c r="M62" s="4"/>
      <c r="N62" s="4"/>
      <c r="O62" s="4"/>
      <c r="P62" s="4"/>
      <c r="Q62" s="4">
        <v>64.215500000000006</v>
      </c>
      <c r="R62" s="1">
        <f t="shared" si="5"/>
        <v>64.215500000000006</v>
      </c>
      <c r="S62" s="1">
        <f t="shared" si="20"/>
        <v>1605.3875</v>
      </c>
      <c r="T62" s="1">
        <f t="shared" si="6"/>
        <v>1605.3875</v>
      </c>
      <c r="U62" s="1">
        <f t="shared" si="21"/>
        <v>0</v>
      </c>
      <c r="V62" s="1">
        <f t="shared" si="22"/>
        <v>0</v>
      </c>
      <c r="W62" s="4"/>
    </row>
    <row r="63" spans="1:32" x14ac:dyDescent="0.35">
      <c r="A63" s="1">
        <v>62</v>
      </c>
      <c r="B63" s="1">
        <v>1204.0745303370161</v>
      </c>
      <c r="C63" s="1">
        <v>0</v>
      </c>
      <c r="D63" s="1"/>
      <c r="E63" s="1">
        <v>1204.07</v>
      </c>
      <c r="F63" s="1">
        <v>0</v>
      </c>
      <c r="G63" s="1">
        <v>0</v>
      </c>
      <c r="H63" s="4">
        <f t="shared" si="27"/>
        <v>0</v>
      </c>
      <c r="I63" s="4">
        <f t="shared" si="28"/>
        <v>0</v>
      </c>
      <c r="J63" s="4">
        <f t="shared" si="29"/>
        <v>0</v>
      </c>
      <c r="K63" s="4">
        <f t="shared" si="30"/>
        <v>0</v>
      </c>
      <c r="L63" s="4"/>
      <c r="M63" s="4"/>
      <c r="N63" s="4"/>
      <c r="O63" s="4"/>
      <c r="P63" s="4"/>
      <c r="Q63" s="4">
        <v>25.6633</v>
      </c>
      <c r="R63" s="1">
        <f t="shared" si="5"/>
        <v>25.6633</v>
      </c>
      <c r="S63" s="1">
        <f t="shared" si="20"/>
        <v>641.58249999999998</v>
      </c>
      <c r="T63" s="1">
        <f>S63-H63</f>
        <v>641.58249999999998</v>
      </c>
      <c r="U63" s="1">
        <f t="shared" si="21"/>
        <v>0</v>
      </c>
      <c r="V63" s="1">
        <f t="shared" si="22"/>
        <v>0</v>
      </c>
      <c r="W63" s="4"/>
    </row>
    <row r="64" spans="1:32" x14ac:dyDescent="0.35">
      <c r="A64" s="1">
        <v>63</v>
      </c>
      <c r="B64" s="1">
        <v>13474.18710799874</v>
      </c>
      <c r="C64" s="1">
        <v>0</v>
      </c>
      <c r="D64" s="1"/>
      <c r="E64" s="1">
        <v>13474.2</v>
      </c>
      <c r="F64" s="1">
        <v>0</v>
      </c>
      <c r="G64" s="1">
        <v>0</v>
      </c>
      <c r="H64" s="4">
        <f t="shared" si="27"/>
        <v>0</v>
      </c>
      <c r="I64" s="4">
        <f t="shared" si="28"/>
        <v>0</v>
      </c>
      <c r="J64" s="4">
        <f t="shared" si="29"/>
        <v>0</v>
      </c>
      <c r="K64" s="4">
        <f t="shared" si="30"/>
        <v>0</v>
      </c>
      <c r="L64" s="4"/>
      <c r="M64" s="4"/>
      <c r="N64" s="4"/>
      <c r="O64" s="4"/>
      <c r="P64" s="4"/>
      <c r="Q64" s="4">
        <v>279.54399999999998</v>
      </c>
      <c r="R64" s="1">
        <f t="shared" si="5"/>
        <v>279.54399999999998</v>
      </c>
      <c r="S64" s="1">
        <f t="shared" si="20"/>
        <v>6988.5999999999995</v>
      </c>
      <c r="T64" s="1">
        <f t="shared" si="6"/>
        <v>6988.5999999999995</v>
      </c>
      <c r="U64" s="1">
        <f t="shared" si="21"/>
        <v>0</v>
      </c>
      <c r="V64" s="1">
        <f t="shared" si="22"/>
        <v>0</v>
      </c>
      <c r="W64" s="4"/>
    </row>
    <row r="65" spans="1:23" x14ac:dyDescent="0.35">
      <c r="A65" s="1">
        <v>64</v>
      </c>
      <c r="B65" s="1">
        <v>3713.6923624805509</v>
      </c>
      <c r="C65" s="1">
        <v>0</v>
      </c>
      <c r="D65" s="1"/>
      <c r="E65" s="1">
        <v>3713.69</v>
      </c>
      <c r="F65" s="1">
        <v>0</v>
      </c>
      <c r="G65" s="1">
        <v>0</v>
      </c>
      <c r="H65" s="4">
        <f t="shared" si="27"/>
        <v>0</v>
      </c>
      <c r="I65" s="4">
        <f t="shared" si="28"/>
        <v>0</v>
      </c>
      <c r="J65" s="4">
        <f t="shared" si="29"/>
        <v>0</v>
      </c>
      <c r="K65" s="4">
        <f t="shared" si="30"/>
        <v>0</v>
      </c>
      <c r="L65" s="4"/>
      <c r="M65" s="4"/>
      <c r="N65" s="4"/>
      <c r="O65" s="4"/>
      <c r="P65" s="4"/>
      <c r="Q65" s="4">
        <v>78.026300000000006</v>
      </c>
      <c r="R65" s="1">
        <f t="shared" si="5"/>
        <v>78.026300000000006</v>
      </c>
      <c r="S65" s="1">
        <f t="shared" si="20"/>
        <v>1950.6575000000003</v>
      </c>
      <c r="T65" s="1">
        <f t="shared" si="6"/>
        <v>1950.6575000000003</v>
      </c>
      <c r="U65" s="1">
        <f t="shared" si="21"/>
        <v>0</v>
      </c>
      <c r="V65" s="1">
        <f t="shared" si="22"/>
        <v>0</v>
      </c>
      <c r="W65" s="4"/>
    </row>
    <row r="66" spans="1:23" x14ac:dyDescent="0.35">
      <c r="A66" s="1">
        <v>65</v>
      </c>
      <c r="B66" s="1">
        <v>1118.1009256975681</v>
      </c>
      <c r="C66" s="1">
        <v>0</v>
      </c>
      <c r="D66" s="1"/>
      <c r="E66" s="1">
        <v>1118.0999999999999</v>
      </c>
      <c r="F66" s="1">
        <v>0</v>
      </c>
      <c r="G66" s="1">
        <v>0</v>
      </c>
      <c r="H66" s="4">
        <f t="shared" si="27"/>
        <v>0</v>
      </c>
      <c r="I66" s="4">
        <f t="shared" si="28"/>
        <v>0</v>
      </c>
      <c r="J66" s="4">
        <f t="shared" si="29"/>
        <v>0</v>
      </c>
      <c r="K66" s="4">
        <f t="shared" si="30"/>
        <v>0</v>
      </c>
      <c r="L66" s="4"/>
      <c r="M66" s="4"/>
      <c r="N66" s="4"/>
      <c r="O66" s="4"/>
      <c r="P66" s="4"/>
      <c r="Q66" s="4">
        <v>23.491800000000001</v>
      </c>
      <c r="R66" s="1">
        <f t="shared" si="5"/>
        <v>23.491800000000001</v>
      </c>
      <c r="S66" s="1">
        <f t="shared" ref="S66:S100" si="33">Q66*$N$40</f>
        <v>587.29500000000007</v>
      </c>
      <c r="T66" s="1">
        <f t="shared" si="6"/>
        <v>587.29500000000007</v>
      </c>
      <c r="U66" s="1">
        <f t="shared" ref="U66:U100" si="34">(H66/($N$40*B66))+J66</f>
        <v>0</v>
      </c>
      <c r="V66" s="1">
        <f t="shared" ref="V66:V100" si="35">(H66/($N$43*B66))+J66</f>
        <v>0</v>
      </c>
      <c r="W66" s="4"/>
    </row>
    <row r="67" spans="1:23" x14ac:dyDescent="0.35">
      <c r="A67" s="1">
        <v>66</v>
      </c>
      <c r="B67" s="1">
        <v>789.18834550043005</v>
      </c>
      <c r="C67" s="1">
        <v>0</v>
      </c>
      <c r="D67" s="1"/>
      <c r="E67" s="1">
        <v>789.18799999999999</v>
      </c>
      <c r="F67" s="1">
        <v>0</v>
      </c>
      <c r="G67" s="1">
        <v>0</v>
      </c>
      <c r="H67" s="4">
        <f t="shared" si="27"/>
        <v>0</v>
      </c>
      <c r="I67" s="4">
        <f t="shared" si="28"/>
        <v>0</v>
      </c>
      <c r="J67" s="4">
        <f t="shared" si="29"/>
        <v>0</v>
      </c>
      <c r="K67" s="4">
        <f t="shared" si="30"/>
        <v>0</v>
      </c>
      <c r="L67" s="4"/>
      <c r="M67" s="1" t="s">
        <v>247</v>
      </c>
      <c r="N67" s="1">
        <v>24000</v>
      </c>
      <c r="O67" s="4" t="s">
        <v>268</v>
      </c>
      <c r="P67" s="4"/>
      <c r="Q67" s="4">
        <v>16.784199999999998</v>
      </c>
      <c r="R67" s="1">
        <f t="shared" ref="R67:R100" si="36">Q67-H67</f>
        <v>16.784199999999998</v>
      </c>
      <c r="S67" s="1">
        <f t="shared" si="33"/>
        <v>419.60499999999996</v>
      </c>
      <c r="T67" s="1">
        <f t="shared" ref="T67:T80" si="37">S67-H67</f>
        <v>419.60499999999996</v>
      </c>
      <c r="U67" s="1">
        <f t="shared" si="34"/>
        <v>0</v>
      </c>
      <c r="V67" s="1">
        <f t="shared" si="35"/>
        <v>0</v>
      </c>
      <c r="W67" s="4"/>
    </row>
    <row r="68" spans="1:23" x14ac:dyDescent="0.35">
      <c r="A68" s="1">
        <v>67</v>
      </c>
      <c r="B68" s="1">
        <v>1631.3808757786551</v>
      </c>
      <c r="C68" s="1">
        <v>0</v>
      </c>
      <c r="D68" s="1"/>
      <c r="E68" s="1">
        <v>1631.38</v>
      </c>
      <c r="F68" s="1">
        <v>0</v>
      </c>
      <c r="G68" s="1">
        <v>0</v>
      </c>
      <c r="H68" s="4">
        <f t="shared" si="27"/>
        <v>0</v>
      </c>
      <c r="I68" s="4">
        <f t="shared" si="28"/>
        <v>0</v>
      </c>
      <c r="J68" s="4">
        <f t="shared" si="29"/>
        <v>0</v>
      </c>
      <c r="K68" s="4">
        <f t="shared" si="30"/>
        <v>0</v>
      </c>
      <c r="L68" s="4"/>
      <c r="M68" s="4" t="s">
        <v>247</v>
      </c>
      <c r="N68" s="4">
        <v>26000</v>
      </c>
      <c r="O68" s="4" t="s">
        <v>264</v>
      </c>
      <c r="P68" s="4"/>
      <c r="Q68" s="4">
        <v>31.626000000000001</v>
      </c>
      <c r="R68" s="1">
        <f t="shared" si="36"/>
        <v>31.626000000000001</v>
      </c>
      <c r="S68" s="1">
        <f t="shared" si="33"/>
        <v>790.65</v>
      </c>
      <c r="T68" s="1">
        <f t="shared" si="37"/>
        <v>790.65</v>
      </c>
      <c r="U68" s="1">
        <f t="shared" si="34"/>
        <v>0</v>
      </c>
      <c r="V68" s="1">
        <f t="shared" si="35"/>
        <v>0</v>
      </c>
      <c r="W68" s="4"/>
    </row>
    <row r="69" spans="1:23" x14ac:dyDescent="0.35">
      <c r="A69" s="1">
        <v>68</v>
      </c>
      <c r="B69" s="1">
        <v>4258.9353884654111</v>
      </c>
      <c r="C69" s="1">
        <v>0</v>
      </c>
      <c r="D69" s="1"/>
      <c r="E69" s="1">
        <v>4258.9399999999996</v>
      </c>
      <c r="F69" s="1">
        <v>0</v>
      </c>
      <c r="G69" s="1">
        <v>0</v>
      </c>
      <c r="H69" s="4">
        <f t="shared" si="27"/>
        <v>0</v>
      </c>
      <c r="I69" s="4">
        <f t="shared" si="28"/>
        <v>0</v>
      </c>
      <c r="J69" s="4">
        <f t="shared" si="29"/>
        <v>0</v>
      </c>
      <c r="K69" s="4">
        <f t="shared" si="30"/>
        <v>0</v>
      </c>
      <c r="L69" s="4"/>
      <c r="M69" s="4" t="s">
        <v>247</v>
      </c>
      <c r="N69" s="4">
        <v>32500</v>
      </c>
      <c r="O69" s="4" t="s">
        <v>265</v>
      </c>
      <c r="P69" s="4"/>
      <c r="Q69" s="4">
        <v>86.851900000000001</v>
      </c>
      <c r="R69" s="1">
        <f t="shared" si="36"/>
        <v>86.851900000000001</v>
      </c>
      <c r="S69" s="1">
        <f t="shared" si="33"/>
        <v>2171.2975000000001</v>
      </c>
      <c r="T69" s="1">
        <f t="shared" si="37"/>
        <v>2171.2975000000001</v>
      </c>
      <c r="U69" s="1">
        <f t="shared" si="34"/>
        <v>0</v>
      </c>
      <c r="V69" s="1">
        <f t="shared" si="35"/>
        <v>0</v>
      </c>
      <c r="W69" s="4"/>
    </row>
    <row r="70" spans="1:23" x14ac:dyDescent="0.35">
      <c r="A70" s="1">
        <v>69</v>
      </c>
      <c r="B70" s="1">
        <v>4490.8701254733214</v>
      </c>
      <c r="C70" s="1">
        <v>0</v>
      </c>
      <c r="D70" s="1"/>
      <c r="E70" s="1">
        <v>4490.87</v>
      </c>
      <c r="F70" s="1">
        <v>0</v>
      </c>
      <c r="G70" s="1">
        <v>0</v>
      </c>
      <c r="H70" s="4">
        <f t="shared" si="27"/>
        <v>0</v>
      </c>
      <c r="I70" s="4">
        <f t="shared" si="28"/>
        <v>0</v>
      </c>
      <c r="J70" s="4">
        <f t="shared" si="29"/>
        <v>0</v>
      </c>
      <c r="K70" s="4">
        <f t="shared" si="30"/>
        <v>0</v>
      </c>
      <c r="L70" s="4"/>
      <c r="M70" s="4" t="s">
        <v>247</v>
      </c>
      <c r="N70" s="4">
        <v>34600</v>
      </c>
      <c r="O70" s="4" t="s">
        <v>266</v>
      </c>
      <c r="P70" s="4"/>
      <c r="Q70" s="4">
        <v>90.9893</v>
      </c>
      <c r="R70" s="1">
        <f t="shared" si="36"/>
        <v>90.9893</v>
      </c>
      <c r="S70" s="1">
        <f t="shared" si="33"/>
        <v>2274.7325000000001</v>
      </c>
      <c r="T70" s="1">
        <f t="shared" si="37"/>
        <v>2274.7325000000001</v>
      </c>
      <c r="U70" s="1">
        <f t="shared" si="34"/>
        <v>0</v>
      </c>
      <c r="V70" s="1">
        <f t="shared" si="35"/>
        <v>0</v>
      </c>
      <c r="W70" s="4"/>
    </row>
    <row r="71" spans="1:23" x14ac:dyDescent="0.35">
      <c r="A71" s="1">
        <v>70</v>
      </c>
      <c r="B71" s="1">
        <v>6097.7538980173758</v>
      </c>
      <c r="C71" s="1">
        <v>0</v>
      </c>
      <c r="D71" s="1"/>
      <c r="E71" s="1">
        <v>6097.75</v>
      </c>
      <c r="F71" s="1">
        <v>0</v>
      </c>
      <c r="G71" s="1">
        <v>0</v>
      </c>
      <c r="H71" s="4">
        <f t="shared" si="27"/>
        <v>0</v>
      </c>
      <c r="I71" s="4">
        <f t="shared" si="28"/>
        <v>0</v>
      </c>
      <c r="J71" s="4">
        <f t="shared" si="29"/>
        <v>0</v>
      </c>
      <c r="K71" s="4">
        <f t="shared" si="30"/>
        <v>0</v>
      </c>
      <c r="L71" s="4"/>
      <c r="M71" s="4"/>
      <c r="N71" s="4"/>
      <c r="O71" s="4"/>
      <c r="P71" s="4"/>
      <c r="Q71" s="4">
        <v>124.14400000000001</v>
      </c>
      <c r="R71" s="1">
        <f t="shared" si="36"/>
        <v>124.14400000000001</v>
      </c>
      <c r="S71" s="1">
        <f t="shared" si="33"/>
        <v>3103.6000000000004</v>
      </c>
      <c r="T71" s="1">
        <f t="shared" si="37"/>
        <v>3103.6000000000004</v>
      </c>
      <c r="U71" s="1">
        <f t="shared" si="34"/>
        <v>0</v>
      </c>
      <c r="V71" s="1">
        <f t="shared" si="35"/>
        <v>0</v>
      </c>
      <c r="W71" s="4"/>
    </row>
    <row r="72" spans="1:23" x14ac:dyDescent="0.35">
      <c r="A72" s="1">
        <v>71</v>
      </c>
      <c r="B72" s="1">
        <v>4593.5313049109664</v>
      </c>
      <c r="C72" s="1">
        <v>0</v>
      </c>
      <c r="D72" s="1"/>
      <c r="E72" s="1">
        <v>4593.53</v>
      </c>
      <c r="F72" s="1">
        <v>0</v>
      </c>
      <c r="G72" s="1">
        <v>0</v>
      </c>
      <c r="H72" s="4">
        <f t="shared" si="27"/>
        <v>0</v>
      </c>
      <c r="I72" s="4">
        <f t="shared" si="28"/>
        <v>0</v>
      </c>
      <c r="J72" s="4">
        <f t="shared" si="29"/>
        <v>0</v>
      </c>
      <c r="K72" s="4">
        <f t="shared" si="30"/>
        <v>0</v>
      </c>
      <c r="L72" s="4"/>
      <c r="M72" s="4"/>
      <c r="N72" s="4"/>
      <c r="O72" s="4"/>
      <c r="P72" s="4"/>
      <c r="Q72" s="4">
        <v>96.512100000000004</v>
      </c>
      <c r="R72" s="1">
        <f t="shared" si="36"/>
        <v>96.512100000000004</v>
      </c>
      <c r="S72" s="1">
        <f t="shared" si="33"/>
        <v>2412.8025000000002</v>
      </c>
      <c r="T72" s="1">
        <f t="shared" si="37"/>
        <v>2412.8025000000002</v>
      </c>
      <c r="U72" s="1">
        <f t="shared" si="34"/>
        <v>0</v>
      </c>
      <c r="V72" s="1">
        <f t="shared" si="35"/>
        <v>0</v>
      </c>
      <c r="W72" s="4"/>
    </row>
    <row r="73" spans="1:23" x14ac:dyDescent="0.35">
      <c r="A73" s="1">
        <v>72</v>
      </c>
      <c r="B73" s="1">
        <v>8062.2213477933838</v>
      </c>
      <c r="C73" s="1">
        <v>0</v>
      </c>
      <c r="D73" s="1"/>
      <c r="E73" s="1">
        <v>8062.22</v>
      </c>
      <c r="F73" s="1">
        <v>0</v>
      </c>
      <c r="G73" s="1">
        <v>0</v>
      </c>
      <c r="H73" s="4">
        <f t="shared" si="27"/>
        <v>0</v>
      </c>
      <c r="I73" s="4">
        <f t="shared" si="28"/>
        <v>0</v>
      </c>
      <c r="J73" s="4">
        <f t="shared" si="29"/>
        <v>0</v>
      </c>
      <c r="K73" s="4">
        <f t="shared" si="30"/>
        <v>0</v>
      </c>
      <c r="L73" s="4"/>
      <c r="M73" s="4"/>
      <c r="N73" s="4"/>
      <c r="O73" s="4"/>
      <c r="P73" s="4"/>
      <c r="Q73" s="4">
        <v>174.48599999999999</v>
      </c>
      <c r="R73" s="1">
        <f t="shared" si="36"/>
        <v>174.48599999999999</v>
      </c>
      <c r="S73" s="1">
        <f t="shared" si="33"/>
        <v>4362.1499999999996</v>
      </c>
      <c r="T73" s="1">
        <f t="shared" si="37"/>
        <v>4362.1499999999996</v>
      </c>
      <c r="U73" s="1">
        <f t="shared" si="34"/>
        <v>0</v>
      </c>
      <c r="V73" s="1">
        <f t="shared" si="35"/>
        <v>0</v>
      </c>
      <c r="W73" s="4"/>
    </row>
    <row r="74" spans="1:23" x14ac:dyDescent="0.35">
      <c r="A74" s="1">
        <v>73</v>
      </c>
      <c r="B74" s="1">
        <v>4657.9117518025187</v>
      </c>
      <c r="C74" s="1">
        <v>0</v>
      </c>
      <c r="D74" s="1"/>
      <c r="E74" s="1">
        <v>4657.91</v>
      </c>
      <c r="F74" s="1">
        <v>0</v>
      </c>
      <c r="G74" s="1">
        <v>0</v>
      </c>
      <c r="H74" s="4">
        <f t="shared" si="27"/>
        <v>0</v>
      </c>
      <c r="I74" s="4">
        <f t="shared" si="28"/>
        <v>0</v>
      </c>
      <c r="J74" s="4">
        <f t="shared" si="29"/>
        <v>0</v>
      </c>
      <c r="K74" s="4">
        <f t="shared" si="30"/>
        <v>0</v>
      </c>
      <c r="L74" s="4"/>
      <c r="M74" s="4"/>
      <c r="N74" s="4"/>
      <c r="O74" s="4"/>
      <c r="P74" s="4"/>
      <c r="Q74" s="4">
        <v>98.659400000000005</v>
      </c>
      <c r="R74" s="1">
        <f t="shared" si="36"/>
        <v>98.659400000000005</v>
      </c>
      <c r="S74" s="1">
        <f t="shared" si="33"/>
        <v>2466.4850000000001</v>
      </c>
      <c r="T74" s="1">
        <f t="shared" si="37"/>
        <v>2466.4850000000001</v>
      </c>
      <c r="U74" s="1">
        <f t="shared" si="34"/>
        <v>0</v>
      </c>
      <c r="V74" s="1">
        <f t="shared" si="35"/>
        <v>0</v>
      </c>
      <c r="W74" s="4"/>
    </row>
    <row r="75" spans="1:23" x14ac:dyDescent="0.35">
      <c r="A75" s="1">
        <v>74</v>
      </c>
      <c r="B75" s="1">
        <v>4129.0607113934348</v>
      </c>
      <c r="C75" s="1">
        <v>0</v>
      </c>
      <c r="D75" s="1"/>
      <c r="E75" s="1">
        <v>4129.0600000000004</v>
      </c>
      <c r="F75" s="1">
        <v>0</v>
      </c>
      <c r="G75" s="1">
        <v>0</v>
      </c>
      <c r="H75" s="4">
        <f t="shared" si="27"/>
        <v>0</v>
      </c>
      <c r="I75" s="4">
        <f t="shared" si="28"/>
        <v>0</v>
      </c>
      <c r="J75" s="4">
        <f t="shared" si="29"/>
        <v>0</v>
      </c>
      <c r="K75" s="4">
        <f t="shared" si="30"/>
        <v>0</v>
      </c>
      <c r="L75" s="4"/>
      <c r="M75" s="4"/>
      <c r="N75" s="4"/>
      <c r="O75" s="4"/>
      <c r="P75" s="4"/>
      <c r="Q75" s="4">
        <v>86.753399999999999</v>
      </c>
      <c r="R75" s="1">
        <f t="shared" si="36"/>
        <v>86.753399999999999</v>
      </c>
      <c r="S75" s="1">
        <f t="shared" si="33"/>
        <v>2168.835</v>
      </c>
      <c r="T75" s="1">
        <f t="shared" si="37"/>
        <v>2168.835</v>
      </c>
      <c r="U75" s="1">
        <f t="shared" si="34"/>
        <v>0</v>
      </c>
      <c r="V75" s="1">
        <f t="shared" si="35"/>
        <v>0</v>
      </c>
      <c r="W75" s="4"/>
    </row>
    <row r="76" spans="1:23" x14ac:dyDescent="0.35">
      <c r="A76" s="1">
        <v>75</v>
      </c>
      <c r="B76" s="1">
        <v>14350.316193396229</v>
      </c>
      <c r="C76" s="1">
        <v>0</v>
      </c>
      <c r="D76" s="1"/>
      <c r="E76" s="1">
        <v>14350.3</v>
      </c>
      <c r="F76" s="1">
        <v>0</v>
      </c>
      <c r="G76" s="1">
        <v>0</v>
      </c>
      <c r="H76" s="4">
        <f t="shared" si="27"/>
        <v>0</v>
      </c>
      <c r="I76" s="4">
        <f t="shared" si="28"/>
        <v>0</v>
      </c>
      <c r="J76" s="4">
        <f t="shared" si="29"/>
        <v>0</v>
      </c>
      <c r="K76" s="4">
        <f t="shared" si="30"/>
        <v>0</v>
      </c>
      <c r="L76" s="4"/>
      <c r="M76" s="4"/>
      <c r="N76" s="4"/>
      <c r="O76" s="4"/>
      <c r="P76" s="4"/>
      <c r="Q76" s="4">
        <v>250.209</v>
      </c>
      <c r="R76" s="1">
        <f t="shared" si="36"/>
        <v>250.209</v>
      </c>
      <c r="S76" s="1">
        <f t="shared" si="33"/>
        <v>6255.2250000000004</v>
      </c>
      <c r="T76" s="1">
        <f t="shared" si="37"/>
        <v>6255.2250000000004</v>
      </c>
      <c r="U76" s="1">
        <f t="shared" si="34"/>
        <v>0</v>
      </c>
      <c r="V76" s="1">
        <f t="shared" si="35"/>
        <v>0</v>
      </c>
      <c r="W76" s="4"/>
    </row>
    <row r="77" spans="1:23" x14ac:dyDescent="0.35">
      <c r="A77" s="1">
        <v>76</v>
      </c>
      <c r="B77" s="1">
        <v>5149.4780654648821</v>
      </c>
      <c r="C77" s="1">
        <v>0</v>
      </c>
      <c r="D77" s="1"/>
      <c r="E77" s="1">
        <v>5149.4799999999996</v>
      </c>
      <c r="F77" s="1">
        <v>0</v>
      </c>
      <c r="G77" s="1">
        <v>0</v>
      </c>
      <c r="H77" s="4">
        <f t="shared" si="27"/>
        <v>0</v>
      </c>
      <c r="I77" s="4">
        <f t="shared" si="28"/>
        <v>0</v>
      </c>
      <c r="J77" s="4">
        <f t="shared" si="29"/>
        <v>0</v>
      </c>
      <c r="K77" s="4">
        <f t="shared" si="30"/>
        <v>0</v>
      </c>
      <c r="L77" s="4"/>
      <c r="M77" s="4"/>
      <c r="N77" s="4"/>
      <c r="O77" s="4"/>
      <c r="P77" s="4"/>
      <c r="Q77" s="4">
        <v>108.91500000000001</v>
      </c>
      <c r="R77" s="1">
        <f t="shared" si="36"/>
        <v>108.91500000000001</v>
      </c>
      <c r="S77" s="1">
        <f t="shared" si="33"/>
        <v>2722.875</v>
      </c>
      <c r="T77" s="1">
        <f t="shared" si="37"/>
        <v>2722.875</v>
      </c>
      <c r="U77" s="1">
        <f t="shared" si="34"/>
        <v>0</v>
      </c>
      <c r="V77" s="1">
        <f t="shared" si="35"/>
        <v>0</v>
      </c>
      <c r="W77" s="4"/>
    </row>
    <row r="78" spans="1:23" x14ac:dyDescent="0.35">
      <c r="A78" s="1">
        <v>77</v>
      </c>
      <c r="B78" s="1">
        <v>4612.9275296437472</v>
      </c>
      <c r="C78" s="1">
        <v>0</v>
      </c>
      <c r="D78" s="1"/>
      <c r="E78" s="1">
        <v>4612.93</v>
      </c>
      <c r="F78" s="1">
        <v>0</v>
      </c>
      <c r="G78" s="1">
        <v>0</v>
      </c>
      <c r="H78" s="4">
        <f t="shared" si="27"/>
        <v>0</v>
      </c>
      <c r="I78" s="4">
        <f t="shared" si="28"/>
        <v>0</v>
      </c>
      <c r="J78" s="4">
        <f t="shared" si="29"/>
        <v>0</v>
      </c>
      <c r="K78" s="4">
        <f t="shared" si="30"/>
        <v>0</v>
      </c>
      <c r="L78" s="4"/>
      <c r="M78" s="4"/>
      <c r="N78" s="4"/>
      <c r="O78" s="4"/>
      <c r="P78" s="4"/>
      <c r="Q78" s="4">
        <v>98.416499999999999</v>
      </c>
      <c r="R78" s="1">
        <f t="shared" si="36"/>
        <v>98.416499999999999</v>
      </c>
      <c r="S78" s="1">
        <f t="shared" si="33"/>
        <v>2460.4124999999999</v>
      </c>
      <c r="T78" s="1">
        <f t="shared" si="37"/>
        <v>2460.4124999999999</v>
      </c>
      <c r="U78" s="1">
        <f t="shared" si="34"/>
        <v>0</v>
      </c>
      <c r="V78" s="1">
        <f t="shared" si="35"/>
        <v>0</v>
      </c>
      <c r="W78" s="4"/>
    </row>
    <row r="79" spans="1:23" x14ac:dyDescent="0.35">
      <c r="A79" s="1">
        <v>78</v>
      </c>
      <c r="B79" s="1">
        <v>4299.5858542619962</v>
      </c>
      <c r="C79" s="1">
        <v>0</v>
      </c>
      <c r="D79" s="1"/>
      <c r="E79" s="1">
        <v>4299.59</v>
      </c>
      <c r="F79" s="1">
        <v>0</v>
      </c>
      <c r="G79" s="1">
        <v>0</v>
      </c>
      <c r="H79" s="4">
        <f t="shared" si="27"/>
        <v>0</v>
      </c>
      <c r="I79" s="4">
        <f t="shared" ref="I79:I100" si="38">$N$12*C79</f>
        <v>0</v>
      </c>
      <c r="J79" s="4">
        <f t="shared" ref="J79:J100" si="39">$N$12*D79</f>
        <v>0</v>
      </c>
      <c r="K79" s="4">
        <f t="shared" ref="K79:K100" si="40">$N$12*F79</f>
        <v>0</v>
      </c>
      <c r="L79" s="4"/>
      <c r="M79" s="4"/>
      <c r="N79" s="4"/>
      <c r="O79" s="4"/>
      <c r="P79" s="4"/>
      <c r="Q79" s="4">
        <v>78.811800000000005</v>
      </c>
      <c r="R79" s="1">
        <f t="shared" si="36"/>
        <v>78.811800000000005</v>
      </c>
      <c r="S79" s="1">
        <f t="shared" si="33"/>
        <v>1970.2950000000001</v>
      </c>
      <c r="T79" s="1">
        <f t="shared" si="37"/>
        <v>1970.2950000000001</v>
      </c>
      <c r="U79" s="1">
        <f t="shared" si="34"/>
        <v>0</v>
      </c>
      <c r="V79" s="1">
        <f t="shared" si="35"/>
        <v>0</v>
      </c>
      <c r="W79" s="4"/>
    </row>
    <row r="80" spans="1:23" x14ac:dyDescent="0.35">
      <c r="A80" s="1">
        <v>79</v>
      </c>
      <c r="B80" s="1">
        <v>3153.09355833985</v>
      </c>
      <c r="C80" s="1">
        <v>0</v>
      </c>
      <c r="D80" s="1"/>
      <c r="E80" s="1">
        <v>3153.09</v>
      </c>
      <c r="F80" s="1">
        <v>0</v>
      </c>
      <c r="G80" s="1">
        <v>0</v>
      </c>
      <c r="H80" s="4">
        <f t="shared" si="27"/>
        <v>0</v>
      </c>
      <c r="I80" s="4">
        <f t="shared" si="38"/>
        <v>0</v>
      </c>
      <c r="J80" s="4">
        <f t="shared" si="39"/>
        <v>0</v>
      </c>
      <c r="K80" s="4">
        <f t="shared" si="40"/>
        <v>0</v>
      </c>
      <c r="L80" s="4"/>
      <c r="M80" s="4"/>
      <c r="N80" s="4"/>
      <c r="O80" s="4"/>
      <c r="P80" s="4"/>
      <c r="Q80" s="4">
        <v>66.247900000000001</v>
      </c>
      <c r="R80" s="1">
        <f t="shared" si="36"/>
        <v>66.247900000000001</v>
      </c>
      <c r="S80" s="1">
        <f t="shared" si="33"/>
        <v>1656.1975</v>
      </c>
      <c r="T80" s="1">
        <f t="shared" si="37"/>
        <v>1656.1975</v>
      </c>
      <c r="U80" s="1">
        <f t="shared" si="34"/>
        <v>0</v>
      </c>
      <c r="V80" s="1">
        <f t="shared" si="35"/>
        <v>0</v>
      </c>
      <c r="W80" s="4"/>
    </row>
    <row r="81" spans="1:23" x14ac:dyDescent="0.35">
      <c r="A81" s="1">
        <v>80</v>
      </c>
      <c r="B81" s="1">
        <v>4296.4999200900902</v>
      </c>
      <c r="C81" s="1">
        <v>0</v>
      </c>
      <c r="D81" s="1"/>
      <c r="E81" s="1">
        <v>4296.5</v>
      </c>
      <c r="F81" s="1">
        <v>0</v>
      </c>
      <c r="G81" s="1">
        <v>0</v>
      </c>
      <c r="H81" s="4">
        <f t="shared" si="27"/>
        <v>0</v>
      </c>
      <c r="I81" s="4">
        <f t="shared" si="38"/>
        <v>0</v>
      </c>
      <c r="J81" s="4">
        <f t="shared" si="39"/>
        <v>0</v>
      </c>
      <c r="K81" s="4">
        <f t="shared" si="40"/>
        <v>0</v>
      </c>
      <c r="L81" s="4"/>
      <c r="M81" s="4"/>
      <c r="N81" s="4"/>
      <c r="O81" s="4"/>
      <c r="P81" s="4"/>
      <c r="Q81" s="4">
        <v>89.923500000000004</v>
      </c>
      <c r="R81" s="1">
        <f t="shared" si="36"/>
        <v>89.923500000000004</v>
      </c>
      <c r="S81" s="1">
        <f t="shared" si="33"/>
        <v>2248.0875000000001</v>
      </c>
      <c r="T81" s="1">
        <f>S81-H81</f>
        <v>2248.0875000000001</v>
      </c>
      <c r="U81" s="1">
        <f t="shared" si="34"/>
        <v>0</v>
      </c>
      <c r="V81" s="1">
        <f t="shared" si="35"/>
        <v>0</v>
      </c>
      <c r="W81" s="4"/>
    </row>
    <row r="82" spans="1:23" x14ac:dyDescent="0.35">
      <c r="A82" s="1">
        <v>81</v>
      </c>
      <c r="B82" s="1">
        <v>1722.7511821559251</v>
      </c>
      <c r="C82" s="1">
        <v>0</v>
      </c>
      <c r="D82" s="1"/>
      <c r="E82" s="1">
        <v>1722.75</v>
      </c>
      <c r="F82" s="1">
        <v>0</v>
      </c>
      <c r="G82" s="1">
        <v>0</v>
      </c>
      <c r="H82" s="4">
        <f t="shared" si="27"/>
        <v>0</v>
      </c>
      <c r="I82" s="4">
        <f t="shared" si="38"/>
        <v>0</v>
      </c>
      <c r="J82" s="4">
        <f t="shared" si="39"/>
        <v>0</v>
      </c>
      <c r="K82" s="4">
        <f t="shared" si="40"/>
        <v>0</v>
      </c>
      <c r="L82" s="4"/>
      <c r="M82" s="4"/>
      <c r="N82" s="4"/>
      <c r="O82" s="4"/>
      <c r="P82" s="4"/>
      <c r="Q82" s="4">
        <v>30.037500000000001</v>
      </c>
      <c r="R82" s="1">
        <f t="shared" si="36"/>
        <v>30.037500000000001</v>
      </c>
      <c r="S82" s="1">
        <f t="shared" si="33"/>
        <v>750.9375</v>
      </c>
      <c r="T82" s="1">
        <f t="shared" ref="T82:T96" si="41">S82-H82</f>
        <v>750.9375</v>
      </c>
      <c r="U82" s="1">
        <f t="shared" si="34"/>
        <v>0</v>
      </c>
      <c r="V82" s="1">
        <f t="shared" si="35"/>
        <v>0</v>
      </c>
      <c r="W82" s="4"/>
    </row>
    <row r="83" spans="1:23" x14ac:dyDescent="0.35">
      <c r="A83" s="1">
        <v>82</v>
      </c>
      <c r="B83" s="1">
        <v>8378.7212496204556</v>
      </c>
      <c r="C83" s="1">
        <v>0</v>
      </c>
      <c r="D83" s="1"/>
      <c r="E83" s="1">
        <v>8378.7199999999993</v>
      </c>
      <c r="F83" s="1">
        <v>0</v>
      </c>
      <c r="G83" s="1">
        <v>0</v>
      </c>
      <c r="H83" s="4">
        <f t="shared" si="27"/>
        <v>0</v>
      </c>
      <c r="I83" s="4">
        <f t="shared" si="38"/>
        <v>0</v>
      </c>
      <c r="J83" s="4">
        <f t="shared" si="39"/>
        <v>0</v>
      </c>
      <c r="K83" s="4">
        <f t="shared" si="40"/>
        <v>0</v>
      </c>
      <c r="L83" s="4"/>
      <c r="M83" s="4"/>
      <c r="N83" s="4"/>
      <c r="O83" s="4"/>
      <c r="P83" s="4"/>
      <c r="Q83" s="4">
        <v>122.405</v>
      </c>
      <c r="R83" s="1">
        <f t="shared" si="36"/>
        <v>122.405</v>
      </c>
      <c r="S83" s="1">
        <f t="shared" si="33"/>
        <v>3060.125</v>
      </c>
      <c r="T83" s="1">
        <f t="shared" si="41"/>
        <v>3060.125</v>
      </c>
      <c r="U83" s="1">
        <f t="shared" si="34"/>
        <v>0</v>
      </c>
      <c r="V83" s="1">
        <f t="shared" si="35"/>
        <v>0</v>
      </c>
      <c r="W83" s="4"/>
    </row>
    <row r="84" spans="1:23" x14ac:dyDescent="0.35">
      <c r="A84" s="1">
        <v>83</v>
      </c>
      <c r="B84" s="1">
        <v>4180.060549855245</v>
      </c>
      <c r="C84" s="1">
        <v>0</v>
      </c>
      <c r="D84" s="1"/>
      <c r="E84" s="1">
        <v>4180.0600000000004</v>
      </c>
      <c r="F84" s="1">
        <v>0</v>
      </c>
      <c r="G84" s="1">
        <v>0</v>
      </c>
      <c r="H84" s="4">
        <f t="shared" si="27"/>
        <v>0</v>
      </c>
      <c r="I84" s="4">
        <f t="shared" si="38"/>
        <v>0</v>
      </c>
      <c r="J84" s="4">
        <f t="shared" si="39"/>
        <v>0</v>
      </c>
      <c r="K84" s="4">
        <f t="shared" si="40"/>
        <v>0</v>
      </c>
      <c r="L84" s="4"/>
      <c r="M84" s="4"/>
      <c r="N84" s="4"/>
      <c r="O84" s="4"/>
      <c r="P84" s="4"/>
      <c r="Q84" s="4">
        <v>92.304299999999998</v>
      </c>
      <c r="R84" s="1">
        <f t="shared" si="36"/>
        <v>92.304299999999998</v>
      </c>
      <c r="S84" s="1">
        <f t="shared" si="33"/>
        <v>2307.6075000000001</v>
      </c>
      <c r="T84" s="1">
        <f t="shared" si="41"/>
        <v>2307.6075000000001</v>
      </c>
      <c r="U84" s="1">
        <f t="shared" si="34"/>
        <v>0</v>
      </c>
      <c r="V84" s="1">
        <f t="shared" si="35"/>
        <v>0</v>
      </c>
      <c r="W84" s="4"/>
    </row>
    <row r="85" spans="1:23" x14ac:dyDescent="0.35">
      <c r="A85" s="1">
        <v>84</v>
      </c>
      <c r="B85" s="1">
        <v>3330.950005722922</v>
      </c>
      <c r="C85" s="1">
        <v>0</v>
      </c>
      <c r="D85" s="1"/>
      <c r="E85" s="1">
        <v>3330.95</v>
      </c>
      <c r="F85" s="1">
        <v>0</v>
      </c>
      <c r="G85" s="1">
        <v>0</v>
      </c>
      <c r="H85" s="4">
        <f t="shared" si="27"/>
        <v>0</v>
      </c>
      <c r="I85" s="4">
        <f t="shared" si="38"/>
        <v>0</v>
      </c>
      <c r="J85" s="4">
        <f t="shared" si="39"/>
        <v>0</v>
      </c>
      <c r="K85" s="4">
        <f t="shared" si="40"/>
        <v>0</v>
      </c>
      <c r="L85" s="4"/>
      <c r="M85" s="4"/>
      <c r="N85" s="4"/>
      <c r="O85" s="4"/>
      <c r="P85" s="4"/>
      <c r="Q85" s="4">
        <v>57.065800000000003</v>
      </c>
      <c r="R85" s="1">
        <f t="shared" si="36"/>
        <v>57.065800000000003</v>
      </c>
      <c r="S85" s="1">
        <f t="shared" si="33"/>
        <v>1426.645</v>
      </c>
      <c r="T85" s="1">
        <f t="shared" si="41"/>
        <v>1426.645</v>
      </c>
      <c r="U85" s="1">
        <f t="shared" si="34"/>
        <v>0</v>
      </c>
      <c r="V85" s="1">
        <f t="shared" si="35"/>
        <v>0</v>
      </c>
      <c r="W85" s="4"/>
    </row>
    <row r="86" spans="1:23" x14ac:dyDescent="0.35">
      <c r="A86" s="1">
        <v>85</v>
      </c>
      <c r="B86" s="1">
        <v>2875.5642031497382</v>
      </c>
      <c r="C86" s="1">
        <v>0</v>
      </c>
      <c r="D86" s="1"/>
      <c r="E86" s="1">
        <v>2875.56</v>
      </c>
      <c r="F86" s="1">
        <v>0</v>
      </c>
      <c r="G86" s="1">
        <v>0</v>
      </c>
      <c r="H86" s="4">
        <f t="shared" si="27"/>
        <v>0</v>
      </c>
      <c r="I86" s="4">
        <f t="shared" si="38"/>
        <v>0</v>
      </c>
      <c r="J86" s="4">
        <f t="shared" si="39"/>
        <v>0</v>
      </c>
      <c r="K86" s="4">
        <f t="shared" si="40"/>
        <v>0</v>
      </c>
      <c r="L86" s="4"/>
      <c r="M86" s="4"/>
      <c r="N86" s="4"/>
      <c r="O86" s="4"/>
      <c r="P86" s="4"/>
      <c r="Q86" s="4">
        <v>62.269399999999997</v>
      </c>
      <c r="R86" s="1">
        <f t="shared" si="36"/>
        <v>62.269399999999997</v>
      </c>
      <c r="S86" s="1">
        <f t="shared" si="33"/>
        <v>1556.7349999999999</v>
      </c>
      <c r="T86" s="1">
        <f t="shared" si="41"/>
        <v>1556.7349999999999</v>
      </c>
      <c r="U86" s="1">
        <f t="shared" si="34"/>
        <v>0</v>
      </c>
      <c r="V86" s="1">
        <f t="shared" si="35"/>
        <v>0</v>
      </c>
      <c r="W86" s="4"/>
    </row>
    <row r="87" spans="1:23" x14ac:dyDescent="0.35">
      <c r="A87" s="1">
        <v>86</v>
      </c>
      <c r="B87" s="1">
        <v>2673.7959050516761</v>
      </c>
      <c r="C87" s="1">
        <v>0</v>
      </c>
      <c r="D87" s="1"/>
      <c r="E87" s="1">
        <v>2673.8</v>
      </c>
      <c r="F87" s="1">
        <v>0</v>
      </c>
      <c r="G87" s="1">
        <v>0</v>
      </c>
      <c r="H87" s="4">
        <f t="shared" si="27"/>
        <v>0</v>
      </c>
      <c r="I87" s="4">
        <f t="shared" si="38"/>
        <v>0</v>
      </c>
      <c r="J87" s="4">
        <f t="shared" si="39"/>
        <v>0</v>
      </c>
      <c r="K87" s="4">
        <f t="shared" si="40"/>
        <v>0</v>
      </c>
      <c r="L87" s="4"/>
      <c r="M87" s="4"/>
      <c r="N87" s="4"/>
      <c r="O87" s="4"/>
      <c r="P87" s="4"/>
      <c r="Q87" s="4">
        <v>54.038899999999998</v>
      </c>
      <c r="R87" s="1">
        <f t="shared" si="36"/>
        <v>54.038899999999998</v>
      </c>
      <c r="S87" s="1">
        <f t="shared" si="33"/>
        <v>1350.9724999999999</v>
      </c>
      <c r="T87" s="1">
        <f t="shared" si="41"/>
        <v>1350.9724999999999</v>
      </c>
      <c r="U87" s="1">
        <f t="shared" si="34"/>
        <v>0</v>
      </c>
      <c r="V87" s="1">
        <f t="shared" si="35"/>
        <v>0</v>
      </c>
      <c r="W87" s="4"/>
    </row>
    <row r="88" spans="1:23" x14ac:dyDescent="0.35">
      <c r="A88" s="1">
        <v>87</v>
      </c>
      <c r="B88" s="1">
        <v>19513.44492845656</v>
      </c>
      <c r="C88" s="1">
        <v>0</v>
      </c>
      <c r="D88" s="1"/>
      <c r="E88" s="1">
        <v>19513.400000000001</v>
      </c>
      <c r="F88" s="1">
        <v>0</v>
      </c>
      <c r="G88" s="1">
        <v>0</v>
      </c>
      <c r="H88" s="4">
        <f t="shared" si="27"/>
        <v>0</v>
      </c>
      <c r="I88" s="4">
        <f t="shared" si="38"/>
        <v>0</v>
      </c>
      <c r="J88" s="4">
        <f t="shared" si="39"/>
        <v>0</v>
      </c>
      <c r="K88" s="4">
        <f t="shared" si="40"/>
        <v>0</v>
      </c>
      <c r="L88" s="4"/>
      <c r="M88" s="4"/>
      <c r="N88" s="4"/>
      <c r="O88" s="4"/>
      <c r="P88" s="4"/>
      <c r="Q88" s="4">
        <v>382.77600000000001</v>
      </c>
      <c r="R88" s="1">
        <f t="shared" si="36"/>
        <v>382.77600000000001</v>
      </c>
      <c r="S88" s="1">
        <f t="shared" si="33"/>
        <v>9569.4</v>
      </c>
      <c r="T88" s="1">
        <f t="shared" si="41"/>
        <v>9569.4</v>
      </c>
      <c r="U88" s="1">
        <f t="shared" si="34"/>
        <v>0</v>
      </c>
      <c r="V88" s="1">
        <f t="shared" si="35"/>
        <v>0</v>
      </c>
      <c r="W88" s="4"/>
    </row>
    <row r="89" spans="1:23" x14ac:dyDescent="0.35">
      <c r="A89" s="1">
        <v>88</v>
      </c>
      <c r="B89" s="1">
        <v>5533.3813285011611</v>
      </c>
      <c r="C89" s="1">
        <v>0</v>
      </c>
      <c r="D89" s="1"/>
      <c r="E89" s="1">
        <v>5533.38</v>
      </c>
      <c r="F89" s="1">
        <v>0</v>
      </c>
      <c r="G89" s="1">
        <v>0</v>
      </c>
      <c r="H89" s="4">
        <f t="shared" si="27"/>
        <v>0</v>
      </c>
      <c r="I89" s="4">
        <f t="shared" si="38"/>
        <v>0</v>
      </c>
      <c r="J89" s="4">
        <f t="shared" si="39"/>
        <v>0</v>
      </c>
      <c r="K89" s="4">
        <f t="shared" si="40"/>
        <v>0</v>
      </c>
      <c r="L89" s="4"/>
      <c r="M89" s="4"/>
      <c r="N89" s="4"/>
      <c r="O89" s="4"/>
      <c r="P89" s="4"/>
      <c r="Q89" s="4">
        <v>110.304</v>
      </c>
      <c r="R89" s="1">
        <f t="shared" si="36"/>
        <v>110.304</v>
      </c>
      <c r="S89" s="1">
        <f t="shared" si="33"/>
        <v>2757.6</v>
      </c>
      <c r="T89" s="1">
        <f t="shared" si="41"/>
        <v>2757.6</v>
      </c>
      <c r="U89" s="1">
        <f t="shared" si="34"/>
        <v>0</v>
      </c>
      <c r="V89" s="1">
        <f t="shared" si="35"/>
        <v>0</v>
      </c>
      <c r="W89" s="4"/>
    </row>
    <row r="90" spans="1:23" x14ac:dyDescent="0.35">
      <c r="A90" s="1">
        <v>89</v>
      </c>
      <c r="B90" s="1">
        <v>7532.7075080212007</v>
      </c>
      <c r="C90" s="1">
        <v>0</v>
      </c>
      <c r="D90" s="1"/>
      <c r="E90" s="1">
        <v>7532.71</v>
      </c>
      <c r="F90" s="1">
        <v>0</v>
      </c>
      <c r="G90" s="1">
        <v>0</v>
      </c>
      <c r="H90" s="4">
        <f t="shared" si="27"/>
        <v>0</v>
      </c>
      <c r="I90" s="4">
        <f t="shared" si="38"/>
        <v>0</v>
      </c>
      <c r="J90" s="4">
        <f t="shared" si="39"/>
        <v>0</v>
      </c>
      <c r="K90" s="4">
        <f t="shared" si="40"/>
        <v>0</v>
      </c>
      <c r="L90" s="4"/>
      <c r="M90" s="4"/>
      <c r="N90" s="4"/>
      <c r="O90" s="4"/>
      <c r="P90" s="4"/>
      <c r="Q90" s="4">
        <v>158.81</v>
      </c>
      <c r="R90" s="1">
        <f t="shared" si="36"/>
        <v>158.81</v>
      </c>
      <c r="S90" s="1">
        <f t="shared" si="33"/>
        <v>3970.25</v>
      </c>
      <c r="T90" s="1">
        <f t="shared" si="41"/>
        <v>3970.25</v>
      </c>
      <c r="U90" s="1">
        <f t="shared" si="34"/>
        <v>0</v>
      </c>
      <c r="V90" s="1">
        <f t="shared" si="35"/>
        <v>0</v>
      </c>
      <c r="W90" s="4"/>
    </row>
    <row r="91" spans="1:23" x14ac:dyDescent="0.35">
      <c r="A91" s="1">
        <v>90</v>
      </c>
      <c r="B91" s="1">
        <v>4797.2959806436729</v>
      </c>
      <c r="C91" s="1">
        <v>0</v>
      </c>
      <c r="D91" s="1"/>
      <c r="E91" s="1">
        <v>4797.3</v>
      </c>
      <c r="F91" s="1">
        <v>0</v>
      </c>
      <c r="G91" s="1">
        <v>0</v>
      </c>
      <c r="H91" s="4">
        <f t="shared" si="27"/>
        <v>0</v>
      </c>
      <c r="I91" s="4">
        <f t="shared" si="38"/>
        <v>0</v>
      </c>
      <c r="J91" s="4">
        <f t="shared" si="39"/>
        <v>0</v>
      </c>
      <c r="K91" s="4">
        <f t="shared" si="40"/>
        <v>0</v>
      </c>
      <c r="L91" s="4"/>
      <c r="M91" s="4"/>
      <c r="N91" s="4"/>
      <c r="O91" s="4"/>
      <c r="P91" s="4"/>
      <c r="Q91" s="4">
        <v>100.91</v>
      </c>
      <c r="R91" s="1">
        <f t="shared" si="36"/>
        <v>100.91</v>
      </c>
      <c r="S91" s="1">
        <f t="shared" si="33"/>
        <v>2522.75</v>
      </c>
      <c r="T91" s="1">
        <f t="shared" si="41"/>
        <v>2522.75</v>
      </c>
      <c r="U91" s="1">
        <f t="shared" si="34"/>
        <v>0</v>
      </c>
      <c r="V91" s="1">
        <f t="shared" si="35"/>
        <v>0</v>
      </c>
      <c r="W91" s="4"/>
    </row>
    <row r="92" spans="1:23" x14ac:dyDescent="0.35">
      <c r="A92" s="1">
        <v>91</v>
      </c>
      <c r="B92" s="1">
        <v>5147.5629031179114</v>
      </c>
      <c r="C92" s="1">
        <v>0</v>
      </c>
      <c r="D92" s="1"/>
      <c r="E92" s="1">
        <v>5147.5600000000004</v>
      </c>
      <c r="F92" s="1">
        <v>0</v>
      </c>
      <c r="G92" s="1">
        <v>0</v>
      </c>
      <c r="H92" s="4">
        <f t="shared" si="27"/>
        <v>0</v>
      </c>
      <c r="I92" s="4">
        <f t="shared" si="38"/>
        <v>0</v>
      </c>
      <c r="J92" s="4">
        <f t="shared" si="39"/>
        <v>0</v>
      </c>
      <c r="K92" s="4">
        <f t="shared" si="40"/>
        <v>0</v>
      </c>
      <c r="L92" s="4"/>
      <c r="M92" s="4"/>
      <c r="N92" s="4"/>
      <c r="O92" s="4" t="s">
        <v>6</v>
      </c>
      <c r="P92" s="4"/>
      <c r="Q92" s="4">
        <v>83.866</v>
      </c>
      <c r="R92" s="1">
        <f t="shared" si="36"/>
        <v>83.866</v>
      </c>
      <c r="S92" s="1">
        <f t="shared" si="33"/>
        <v>2096.65</v>
      </c>
      <c r="T92" s="1">
        <f t="shared" si="41"/>
        <v>2096.65</v>
      </c>
      <c r="U92" s="1">
        <f t="shared" si="34"/>
        <v>0</v>
      </c>
      <c r="V92" s="1">
        <f t="shared" si="35"/>
        <v>0</v>
      </c>
      <c r="W92" s="4"/>
    </row>
    <row r="93" spans="1:23" x14ac:dyDescent="0.35">
      <c r="A93" s="1">
        <v>92</v>
      </c>
      <c r="B93" s="1">
        <v>2534.563494353717</v>
      </c>
      <c r="C93" s="1">
        <v>0</v>
      </c>
      <c r="D93" s="1"/>
      <c r="E93" s="1">
        <v>2534.56</v>
      </c>
      <c r="F93" s="1">
        <v>0</v>
      </c>
      <c r="G93" s="1">
        <v>0</v>
      </c>
      <c r="H93" s="4">
        <f t="shared" si="27"/>
        <v>0</v>
      </c>
      <c r="I93" s="4">
        <f t="shared" si="38"/>
        <v>0</v>
      </c>
      <c r="J93" s="4">
        <f t="shared" si="39"/>
        <v>0</v>
      </c>
      <c r="K93" s="4">
        <f t="shared" si="40"/>
        <v>0</v>
      </c>
      <c r="L93" s="4"/>
      <c r="M93" s="4"/>
      <c r="N93" s="4"/>
      <c r="O93" s="4"/>
      <c r="P93" s="4"/>
      <c r="Q93" s="4">
        <v>53.252299999999998</v>
      </c>
      <c r="R93" s="1">
        <f t="shared" si="36"/>
        <v>53.252299999999998</v>
      </c>
      <c r="S93" s="1">
        <f t="shared" si="33"/>
        <v>1331.3074999999999</v>
      </c>
      <c r="T93" s="1">
        <f t="shared" si="41"/>
        <v>1331.3074999999999</v>
      </c>
      <c r="U93" s="1">
        <f t="shared" si="34"/>
        <v>0</v>
      </c>
      <c r="V93" s="1">
        <f t="shared" si="35"/>
        <v>0</v>
      </c>
      <c r="W93" s="4"/>
    </row>
    <row r="94" spans="1:23" x14ac:dyDescent="0.35">
      <c r="A94" s="1">
        <v>93</v>
      </c>
      <c r="B94" s="1">
        <v>5159.4345472126533</v>
      </c>
      <c r="C94" s="1">
        <v>0</v>
      </c>
      <c r="D94" s="1"/>
      <c r="E94" s="1">
        <v>5159.43</v>
      </c>
      <c r="F94" s="1">
        <v>0</v>
      </c>
      <c r="G94" s="1">
        <v>0</v>
      </c>
      <c r="H94" s="4">
        <f t="shared" si="27"/>
        <v>0</v>
      </c>
      <c r="I94" s="4">
        <f t="shared" si="38"/>
        <v>0</v>
      </c>
      <c r="J94" s="4">
        <f t="shared" si="39"/>
        <v>0</v>
      </c>
      <c r="K94" s="4">
        <f t="shared" si="40"/>
        <v>0</v>
      </c>
      <c r="L94" s="4"/>
      <c r="M94" s="4"/>
      <c r="N94" s="4"/>
      <c r="O94" s="4"/>
      <c r="P94" s="4"/>
      <c r="Q94" s="4">
        <v>109.45699999999999</v>
      </c>
      <c r="R94" s="1">
        <f t="shared" si="36"/>
        <v>109.45699999999999</v>
      </c>
      <c r="S94" s="1">
        <f t="shared" si="33"/>
        <v>2736.4249999999997</v>
      </c>
      <c r="T94" s="1">
        <f t="shared" si="41"/>
        <v>2736.4249999999997</v>
      </c>
      <c r="U94" s="1">
        <f t="shared" si="34"/>
        <v>0</v>
      </c>
      <c r="V94" s="1">
        <f t="shared" si="35"/>
        <v>0</v>
      </c>
      <c r="W94" s="4"/>
    </row>
    <row r="95" spans="1:23" x14ac:dyDescent="0.35">
      <c r="A95" s="1">
        <v>94</v>
      </c>
      <c r="B95" s="1">
        <v>4317.7330751348463</v>
      </c>
      <c r="C95" s="1">
        <v>0</v>
      </c>
      <c r="D95" s="1"/>
      <c r="E95" s="1">
        <v>4317.7299999999996</v>
      </c>
      <c r="F95" s="1">
        <v>0</v>
      </c>
      <c r="G95" s="1">
        <v>0</v>
      </c>
      <c r="H95" s="4">
        <f t="shared" si="27"/>
        <v>0</v>
      </c>
      <c r="I95" s="4">
        <f t="shared" si="38"/>
        <v>0</v>
      </c>
      <c r="J95" s="4">
        <f t="shared" si="39"/>
        <v>0</v>
      </c>
      <c r="K95" s="4">
        <f t="shared" si="40"/>
        <v>0</v>
      </c>
      <c r="L95" s="4"/>
      <c r="M95" s="4"/>
      <c r="N95" s="4"/>
      <c r="O95" s="4"/>
      <c r="P95" s="4"/>
      <c r="Q95" s="4">
        <v>97.187200000000004</v>
      </c>
      <c r="R95" s="1">
        <f t="shared" si="36"/>
        <v>97.187200000000004</v>
      </c>
      <c r="S95" s="1">
        <f t="shared" si="33"/>
        <v>2429.6800000000003</v>
      </c>
      <c r="T95" s="1">
        <f t="shared" si="41"/>
        <v>2429.6800000000003</v>
      </c>
      <c r="U95" s="1">
        <f t="shared" si="34"/>
        <v>0</v>
      </c>
      <c r="V95" s="1">
        <f t="shared" si="35"/>
        <v>0</v>
      </c>
      <c r="W95" s="4"/>
    </row>
    <row r="96" spans="1:23" x14ac:dyDescent="0.35">
      <c r="A96" s="1">
        <v>95</v>
      </c>
      <c r="B96" s="1">
        <v>6988.6643510423764</v>
      </c>
      <c r="C96" s="1">
        <v>0</v>
      </c>
      <c r="D96" s="1"/>
      <c r="E96" s="1">
        <v>6988.66</v>
      </c>
      <c r="F96" s="1">
        <v>0</v>
      </c>
      <c r="G96" s="1">
        <v>0</v>
      </c>
      <c r="H96" s="4">
        <f t="shared" si="27"/>
        <v>0</v>
      </c>
      <c r="I96" s="4">
        <f t="shared" si="38"/>
        <v>0</v>
      </c>
      <c r="J96" s="4">
        <f t="shared" si="39"/>
        <v>0</v>
      </c>
      <c r="K96" s="4">
        <f t="shared" si="40"/>
        <v>0</v>
      </c>
      <c r="L96" s="4"/>
      <c r="M96" s="4"/>
      <c r="N96" s="4"/>
      <c r="O96" s="4"/>
      <c r="P96" s="4"/>
      <c r="Q96" s="4">
        <v>114.952</v>
      </c>
      <c r="R96" s="1">
        <f t="shared" si="36"/>
        <v>114.952</v>
      </c>
      <c r="S96" s="1">
        <f t="shared" si="33"/>
        <v>2873.8</v>
      </c>
      <c r="T96" s="1">
        <f t="shared" si="41"/>
        <v>2873.8</v>
      </c>
      <c r="U96" s="1">
        <f t="shared" si="34"/>
        <v>0</v>
      </c>
      <c r="V96" s="1">
        <f t="shared" si="35"/>
        <v>0</v>
      </c>
      <c r="W96" s="4"/>
    </row>
    <row r="97" spans="1:23" x14ac:dyDescent="0.35">
      <c r="A97" s="1">
        <v>96</v>
      </c>
      <c r="B97" s="1">
        <v>2938.8092172996649</v>
      </c>
      <c r="C97" s="1">
        <v>0</v>
      </c>
      <c r="D97" s="1"/>
      <c r="E97" s="1">
        <v>2938.81</v>
      </c>
      <c r="F97" s="1">
        <v>0</v>
      </c>
      <c r="G97" s="1">
        <v>0</v>
      </c>
      <c r="H97" s="4">
        <f t="shared" si="27"/>
        <v>0</v>
      </c>
      <c r="I97" s="4">
        <f t="shared" si="38"/>
        <v>0</v>
      </c>
      <c r="J97" s="4">
        <f t="shared" si="39"/>
        <v>0</v>
      </c>
      <c r="K97" s="4">
        <f t="shared" si="40"/>
        <v>0</v>
      </c>
      <c r="L97" s="4"/>
      <c r="M97" s="4"/>
      <c r="N97" s="4"/>
      <c r="O97" s="4"/>
      <c r="P97" s="4"/>
      <c r="Q97" s="4">
        <v>61.982599999999998</v>
      </c>
      <c r="R97" s="1">
        <f t="shared" si="36"/>
        <v>61.982599999999998</v>
      </c>
      <c r="S97" s="1">
        <f t="shared" si="33"/>
        <v>1549.5650000000001</v>
      </c>
      <c r="T97" s="1">
        <f>S97-H97</f>
        <v>1549.5650000000001</v>
      </c>
      <c r="U97" s="1">
        <f t="shared" si="34"/>
        <v>0</v>
      </c>
      <c r="V97" s="1">
        <f t="shared" si="35"/>
        <v>0</v>
      </c>
      <c r="W97" s="4"/>
    </row>
    <row r="98" spans="1:23" x14ac:dyDescent="0.35">
      <c r="A98" s="1">
        <v>97</v>
      </c>
      <c r="B98" s="1">
        <v>6184.3427862351964</v>
      </c>
      <c r="C98" s="1">
        <v>0</v>
      </c>
      <c r="D98" s="1"/>
      <c r="E98" s="1">
        <v>6184.34</v>
      </c>
      <c r="F98" s="1">
        <v>0</v>
      </c>
      <c r="G98" s="1">
        <v>0</v>
      </c>
      <c r="H98" s="4">
        <f t="shared" si="27"/>
        <v>0</v>
      </c>
      <c r="I98" s="4">
        <f t="shared" si="38"/>
        <v>0</v>
      </c>
      <c r="J98" s="4">
        <f t="shared" si="39"/>
        <v>0</v>
      </c>
      <c r="K98" s="4">
        <f t="shared" si="40"/>
        <v>0</v>
      </c>
      <c r="L98" s="4"/>
      <c r="M98" s="4"/>
      <c r="N98" s="4"/>
      <c r="O98" s="4"/>
      <c r="P98" s="4"/>
      <c r="Q98" s="4">
        <v>129.93600000000001</v>
      </c>
      <c r="R98" s="1">
        <f t="shared" si="36"/>
        <v>129.93600000000001</v>
      </c>
      <c r="S98" s="1">
        <f t="shared" si="33"/>
        <v>3248.4</v>
      </c>
      <c r="T98" s="1">
        <f t="shared" ref="T98:T100" si="42">S98-H98</f>
        <v>3248.4</v>
      </c>
      <c r="U98" s="1">
        <f t="shared" si="34"/>
        <v>0</v>
      </c>
      <c r="V98" s="1">
        <f t="shared" si="35"/>
        <v>0</v>
      </c>
      <c r="W98" s="4"/>
    </row>
    <row r="99" spans="1:23" x14ac:dyDescent="0.35">
      <c r="A99" s="1">
        <v>98</v>
      </c>
      <c r="B99" s="1">
        <v>3973.5840486666689</v>
      </c>
      <c r="C99" s="1">
        <v>0</v>
      </c>
      <c r="D99" s="1"/>
      <c r="E99" s="1">
        <v>3973.58</v>
      </c>
      <c r="F99" s="1">
        <v>0</v>
      </c>
      <c r="G99" s="1">
        <v>0</v>
      </c>
      <c r="H99" s="4">
        <f t="shared" si="27"/>
        <v>0</v>
      </c>
      <c r="I99" s="4">
        <f t="shared" si="38"/>
        <v>0</v>
      </c>
      <c r="J99" s="4">
        <f t="shared" si="39"/>
        <v>0</v>
      </c>
      <c r="K99" s="4">
        <f t="shared" si="40"/>
        <v>0</v>
      </c>
      <c r="L99" s="4"/>
      <c r="M99" s="4"/>
      <c r="N99" s="4"/>
      <c r="O99" s="4"/>
      <c r="P99" s="4"/>
      <c r="Q99" s="4">
        <v>82.931700000000006</v>
      </c>
      <c r="R99" s="1">
        <f t="shared" si="36"/>
        <v>82.931700000000006</v>
      </c>
      <c r="S99" s="1">
        <f t="shared" si="33"/>
        <v>2073.2925</v>
      </c>
      <c r="T99" s="1">
        <f t="shared" si="42"/>
        <v>2073.2925</v>
      </c>
      <c r="U99" s="1">
        <f t="shared" si="34"/>
        <v>0</v>
      </c>
      <c r="V99" s="1">
        <f t="shared" si="35"/>
        <v>0</v>
      </c>
      <c r="W99" s="4"/>
    </row>
    <row r="100" spans="1:23" x14ac:dyDescent="0.35">
      <c r="A100" s="1">
        <v>99</v>
      </c>
      <c r="B100" s="1">
        <v>6386.1720264839241</v>
      </c>
      <c r="C100" s="1">
        <v>0</v>
      </c>
      <c r="D100" s="1"/>
      <c r="E100" s="1">
        <v>6386.17</v>
      </c>
      <c r="F100" s="1">
        <v>0</v>
      </c>
      <c r="G100" s="1">
        <v>0</v>
      </c>
      <c r="H100" s="4">
        <f t="shared" si="27"/>
        <v>0</v>
      </c>
      <c r="I100" s="4">
        <f t="shared" si="38"/>
        <v>0</v>
      </c>
      <c r="J100" s="4">
        <f t="shared" si="39"/>
        <v>0</v>
      </c>
      <c r="K100" s="4">
        <f t="shared" si="40"/>
        <v>0</v>
      </c>
      <c r="L100" s="4"/>
      <c r="M100" s="4"/>
      <c r="N100" s="4"/>
      <c r="O100" s="4"/>
      <c r="P100" s="4"/>
      <c r="Q100" s="4">
        <v>106.389</v>
      </c>
      <c r="R100" s="1">
        <f t="shared" si="36"/>
        <v>106.389</v>
      </c>
      <c r="S100" s="1">
        <f t="shared" si="33"/>
        <v>2659.7249999999999</v>
      </c>
      <c r="T100" s="1">
        <f t="shared" si="42"/>
        <v>2659.7249999999999</v>
      </c>
      <c r="U100" s="1">
        <f t="shared" si="34"/>
        <v>0</v>
      </c>
      <c r="V100" s="1">
        <f t="shared" si="35"/>
        <v>0</v>
      </c>
      <c r="W100" s="4"/>
    </row>
    <row r="101" spans="1:23" x14ac:dyDescent="0.35">
      <c r="C101" s="4"/>
      <c r="D101" s="4"/>
      <c r="E101" s="4"/>
      <c r="F101" s="4"/>
      <c r="G101" s="4"/>
      <c r="H101" s="4"/>
      <c r="I101" s="4"/>
      <c r="J101" s="4"/>
      <c r="K101" s="4"/>
      <c r="L101" s="4"/>
      <c r="M101" s="4"/>
      <c r="N101" s="4"/>
      <c r="O101" s="4"/>
      <c r="P101" s="4"/>
      <c r="Q101" s="4"/>
      <c r="R101" s="4"/>
      <c r="S101" s="4"/>
      <c r="T101" s="4"/>
      <c r="U101" s="4"/>
      <c r="V101" s="4"/>
      <c r="W101" s="4"/>
    </row>
    <row r="102" spans="1:23" x14ac:dyDescent="0.35">
      <c r="A102" s="1" t="s">
        <v>57</v>
      </c>
      <c r="B102" s="1">
        <f>SUM(B2:B100)</f>
        <v>404431.86611276446</v>
      </c>
      <c r="C102" s="1">
        <f t="shared" ref="C102:T102" si="43">SUM(C2:C100)</f>
        <v>162</v>
      </c>
      <c r="D102" s="1"/>
      <c r="E102" s="1"/>
      <c r="F102" s="1">
        <f t="shared" si="43"/>
        <v>405</v>
      </c>
      <c r="G102" s="1">
        <f t="shared" si="43"/>
        <v>125.40000000000002</v>
      </c>
      <c r="H102" s="1">
        <f t="shared" si="43"/>
        <v>303212.80000000005</v>
      </c>
      <c r="I102" s="1">
        <f t="shared" si="43"/>
        <v>5293.9999999999991</v>
      </c>
      <c r="J102" s="1"/>
      <c r="K102" s="1">
        <f t="shared" si="43"/>
        <v>132350</v>
      </c>
      <c r="L102" s="1">
        <f t="shared" si="43"/>
        <v>0</v>
      </c>
      <c r="M102" s="1">
        <f t="shared" si="43"/>
        <v>0</v>
      </c>
      <c r="N102" s="1">
        <f t="shared" si="43"/>
        <v>122871.71721330378</v>
      </c>
      <c r="O102" s="1">
        <f t="shared" si="43"/>
        <v>3541.7</v>
      </c>
      <c r="P102" s="1">
        <f t="shared" si="43"/>
        <v>0</v>
      </c>
      <c r="Q102" s="1">
        <f t="shared" si="43"/>
        <v>31292.255720000016</v>
      </c>
      <c r="R102" s="1">
        <f t="shared" si="43"/>
        <v>-271920.54428000021</v>
      </c>
      <c r="S102" s="1">
        <f t="shared" si="43"/>
        <v>782306.39299999992</v>
      </c>
      <c r="T102" s="1">
        <f t="shared" si="43"/>
        <v>479093.59299999976</v>
      </c>
      <c r="U102" s="1"/>
      <c r="V102" s="1"/>
      <c r="W102" s="4"/>
    </row>
    <row r="103" spans="1:23" x14ac:dyDescent="0.35">
      <c r="C103" s="4"/>
      <c r="D103" s="4"/>
      <c r="E103" s="4"/>
      <c r="F103" s="4"/>
      <c r="G103" s="4"/>
      <c r="H103" s="4"/>
      <c r="I103" s="4"/>
      <c r="J103" s="4"/>
      <c r="K103" s="4"/>
      <c r="L103" s="4"/>
      <c r="M103" s="4"/>
      <c r="N103" s="4"/>
      <c r="O103" s="4"/>
      <c r="P103" s="4"/>
      <c r="Q103" s="4"/>
      <c r="R103" s="4"/>
      <c r="S103" s="4"/>
      <c r="T103" s="4"/>
      <c r="U103" s="4"/>
      <c r="V103" s="4"/>
      <c r="W103" s="4"/>
    </row>
    <row r="104" spans="1:23" x14ac:dyDescent="0.35">
      <c r="C104" s="4"/>
      <c r="D104" s="4"/>
      <c r="E104" s="4"/>
      <c r="F104" s="4"/>
      <c r="G104" s="4"/>
      <c r="H104" s="4"/>
      <c r="I104" s="4"/>
      <c r="J104" s="4"/>
      <c r="K104" s="4"/>
      <c r="L104" s="4"/>
      <c r="M104" s="4"/>
      <c r="N104" s="4"/>
      <c r="O104" s="4"/>
      <c r="P104" s="4"/>
      <c r="Q104" s="4"/>
      <c r="R104" s="4"/>
      <c r="S104" s="4"/>
      <c r="T104" s="4"/>
      <c r="U104" s="4"/>
      <c r="V104" s="4"/>
      <c r="W104" s="4"/>
    </row>
  </sheetData>
  <mergeCells count="2">
    <mergeCell ref="M9:N9"/>
    <mergeCell ref="M20:N20"/>
  </mergeCell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2BA3E-8049-4D2D-A5BA-1CE5F8D7C818}">
  <dimension ref="A1:AJ104"/>
  <sheetViews>
    <sheetView topLeftCell="A28" zoomScale="80" zoomScaleNormal="80" workbookViewId="0">
      <selection activeCell="N17" sqref="N17"/>
    </sheetView>
  </sheetViews>
  <sheetFormatPr defaultRowHeight="14.5" x14ac:dyDescent="0.35"/>
  <cols>
    <col min="1" max="1" width="23.26953125" style="1" bestFit="1" customWidth="1"/>
    <col min="2" max="2" width="25.54296875" style="1" bestFit="1" customWidth="1"/>
    <col min="3" max="3" width="16.7265625" bestFit="1" customWidth="1"/>
    <col min="4" max="4" width="16.7265625" customWidth="1"/>
    <col min="5" max="5" width="16.1796875" bestFit="1" customWidth="1"/>
    <col min="6" max="6" width="20.54296875" customWidth="1"/>
    <col min="7" max="7" width="12" customWidth="1"/>
    <col min="8" max="9" width="12.26953125" customWidth="1"/>
    <col min="10" max="10" width="13" customWidth="1"/>
    <col min="11" max="11" width="8.7265625" customWidth="1"/>
    <col min="12" max="12" width="24.08984375" bestFit="1" customWidth="1"/>
    <col min="13" max="13" width="12.6328125" bestFit="1" customWidth="1"/>
    <col min="14" max="14" width="21.6328125" bestFit="1" customWidth="1"/>
    <col min="16" max="16" width="12.453125" customWidth="1"/>
    <col min="18" max="18" width="14.36328125" customWidth="1"/>
    <col min="19" max="19" width="10.36328125" customWidth="1"/>
    <col min="20" max="20" width="12.453125" customWidth="1"/>
    <col min="21" max="21" width="11.1796875" customWidth="1"/>
    <col min="23" max="23" width="14" customWidth="1"/>
    <col min="26" max="26" width="20.54296875" customWidth="1"/>
    <col min="27" max="27" width="19.81640625" customWidth="1"/>
    <col min="28" max="28" width="18.1796875" customWidth="1"/>
    <col min="29" max="29" width="16" customWidth="1"/>
    <col min="30" max="30" width="15.26953125" bestFit="1" customWidth="1"/>
    <col min="31" max="31" width="14.81640625" bestFit="1" customWidth="1"/>
  </cols>
  <sheetData>
    <row r="1" spans="1:31" ht="63" customHeight="1" x14ac:dyDescent="0.35">
      <c r="A1" s="57" t="s">
        <v>7</v>
      </c>
      <c r="B1" s="60" t="s">
        <v>8</v>
      </c>
      <c r="C1" s="60" t="s">
        <v>253</v>
      </c>
      <c r="D1" s="61" t="s">
        <v>281</v>
      </c>
      <c r="E1" s="60" t="s">
        <v>254</v>
      </c>
      <c r="F1" s="61" t="s">
        <v>255</v>
      </c>
      <c r="G1" s="61" t="s">
        <v>256</v>
      </c>
      <c r="H1" s="61" t="s">
        <v>257</v>
      </c>
      <c r="I1" s="61" t="s">
        <v>282</v>
      </c>
      <c r="J1" s="61" t="s">
        <v>275</v>
      </c>
      <c r="K1" s="69"/>
      <c r="L1" s="69"/>
      <c r="M1" s="69"/>
      <c r="N1" s="69"/>
      <c r="O1" s="69"/>
      <c r="P1" s="61" t="s">
        <v>276</v>
      </c>
      <c r="Q1" s="61" t="s">
        <v>277</v>
      </c>
      <c r="R1" s="61" t="s">
        <v>278</v>
      </c>
      <c r="S1" s="61" t="s">
        <v>279</v>
      </c>
      <c r="T1" s="61" t="s">
        <v>31</v>
      </c>
      <c r="U1" s="12" t="s">
        <v>283</v>
      </c>
      <c r="V1" s="1"/>
      <c r="W1" s="6" t="s">
        <v>33</v>
      </c>
      <c r="X1" s="6" t="s">
        <v>34</v>
      </c>
      <c r="Y1" s="6" t="s">
        <v>35</v>
      </c>
      <c r="Z1" s="6" t="s">
        <v>36</v>
      </c>
      <c r="AA1" s="6" t="s">
        <v>37</v>
      </c>
      <c r="AB1" s="6" t="s">
        <v>38</v>
      </c>
      <c r="AC1" s="12" t="s">
        <v>39</v>
      </c>
      <c r="AD1" s="12" t="s">
        <v>40</v>
      </c>
      <c r="AE1" s="12" t="s">
        <v>41</v>
      </c>
    </row>
    <row r="2" spans="1:31" x14ac:dyDescent="0.35">
      <c r="A2" s="1">
        <v>1</v>
      </c>
      <c r="B2" s="62">
        <v>1079.529030351737</v>
      </c>
      <c r="C2" s="62">
        <v>2</v>
      </c>
      <c r="D2" s="62">
        <v>3494.71</v>
      </c>
      <c r="E2" s="62">
        <v>5</v>
      </c>
      <c r="F2" s="62">
        <v>1.2</v>
      </c>
      <c r="G2" s="62">
        <f>(C2*$M$11*1000)+M22</f>
        <v>7200</v>
      </c>
      <c r="H2" s="62">
        <f>$M$31*C2</f>
        <v>71.2</v>
      </c>
      <c r="I2" s="56">
        <f>H2/D2</f>
        <v>2.0373650460267088E-2</v>
      </c>
      <c r="J2" s="56">
        <f t="shared" ref="J2:J46" si="0">H2*25</f>
        <v>1780</v>
      </c>
      <c r="K2" s="56"/>
      <c r="L2" s="56"/>
      <c r="M2" s="56"/>
      <c r="N2" s="56"/>
      <c r="O2" s="56"/>
      <c r="P2" s="1">
        <v>387.59899999999999</v>
      </c>
      <c r="Q2" s="1">
        <f>P2-G2</f>
        <v>-6812.4009999999998</v>
      </c>
      <c r="R2" s="1">
        <f t="shared" ref="R2:R33" si="1">P2*$M$40</f>
        <v>9689.9750000000004</v>
      </c>
      <c r="S2" s="1">
        <f>R2-G2</f>
        <v>2489.9750000000004</v>
      </c>
      <c r="T2" s="1">
        <f t="shared" ref="T2:T33" si="2">(G2/($M$40*B2))+I2</f>
        <v>0.28715665666266865</v>
      </c>
      <c r="U2" s="1">
        <f t="shared" ref="U2:U33" si="3">(G2/($M$43*B2))+I2</f>
        <v>0.51679860511150089</v>
      </c>
      <c r="V2" s="1"/>
      <c r="W2" s="1" t="s">
        <v>284</v>
      </c>
      <c r="X2" s="1">
        <v>0</v>
      </c>
      <c r="Y2">
        <f>-W5</f>
        <v>-538600</v>
      </c>
      <c r="Z2">
        <f>Y2</f>
        <v>-538600</v>
      </c>
      <c r="AB2">
        <f>Y2</f>
        <v>-538600</v>
      </c>
      <c r="AC2">
        <f>Y2</f>
        <v>-538600</v>
      </c>
      <c r="AE2">
        <f>Y2</f>
        <v>-538600</v>
      </c>
    </row>
    <row r="3" spans="1:31" x14ac:dyDescent="0.35">
      <c r="A3" s="1">
        <v>2</v>
      </c>
      <c r="B3" s="62">
        <v>3886.3217817133332</v>
      </c>
      <c r="C3" s="62">
        <v>4</v>
      </c>
      <c r="D3" s="62">
        <v>6989.42</v>
      </c>
      <c r="E3" s="62">
        <v>10</v>
      </c>
      <c r="F3" s="62">
        <v>3.3</v>
      </c>
      <c r="G3" s="62">
        <f>(C3*$M$11*1000)+M24</f>
        <v>14300</v>
      </c>
      <c r="H3" s="62">
        <f>$M$31*C3</f>
        <v>142.4</v>
      </c>
      <c r="I3" s="56">
        <f t="shared" ref="I3:I46" si="4">H3/D3</f>
        <v>2.0373650460267088E-2</v>
      </c>
      <c r="J3" s="56">
        <f t="shared" si="0"/>
        <v>3560</v>
      </c>
      <c r="K3" s="56"/>
      <c r="L3" s="56" t="s">
        <v>267</v>
      </c>
      <c r="M3" s="56"/>
      <c r="N3" s="56"/>
      <c r="O3" s="56"/>
      <c r="P3" s="1">
        <v>644.56899999999996</v>
      </c>
      <c r="Q3" s="1">
        <f t="shared" ref="Q3:Q66" si="5">P3-G3</f>
        <v>-13655.431</v>
      </c>
      <c r="R3" s="1">
        <f t="shared" si="1"/>
        <v>16114.224999999999</v>
      </c>
      <c r="S3" s="1">
        <f t="shared" ref="S3:S66" si="6">R3-G3</f>
        <v>1814.2249999999985</v>
      </c>
      <c r="T3" s="1">
        <f t="shared" si="2"/>
        <v>0.16755652211322289</v>
      </c>
      <c r="U3" s="1">
        <f t="shared" si="3"/>
        <v>0.29424885497881936</v>
      </c>
      <c r="V3" s="1"/>
      <c r="W3" s="1"/>
      <c r="X3" s="1">
        <v>1</v>
      </c>
      <c r="Y3">
        <f>W8</f>
        <v>26607.17600000001</v>
      </c>
      <c r="Z3">
        <f>Z2+Y3</f>
        <v>-511992.82399999996</v>
      </c>
      <c r="AA3">
        <f>Y3/(1+$M$13)^X3</f>
        <v>25077.451460885968</v>
      </c>
      <c r="AB3">
        <f>AB2+AA3</f>
        <v>-513522.54853911401</v>
      </c>
      <c r="AC3">
        <f t="shared" ref="AC3:AC27" si="7">$W$8*((1+$M$37)^X3)</f>
        <v>27272.355400000008</v>
      </c>
      <c r="AD3">
        <f>AC3/(1+$M$13)^X3</f>
        <v>25704.387747408113</v>
      </c>
      <c r="AE3">
        <f>AE2+AD3</f>
        <v>-512895.61225259188</v>
      </c>
    </row>
    <row r="4" spans="1:31" ht="29" x14ac:dyDescent="0.35">
      <c r="A4" s="1">
        <v>3</v>
      </c>
      <c r="B4" s="1">
        <v>3457.332910813851</v>
      </c>
      <c r="C4" s="1">
        <v>2</v>
      </c>
      <c r="D4" s="1">
        <v>3494.71</v>
      </c>
      <c r="E4" s="1">
        <v>5</v>
      </c>
      <c r="F4" s="1">
        <v>0</v>
      </c>
      <c r="G4" s="1">
        <f>C4*$M$11*1000</f>
        <v>5200</v>
      </c>
      <c r="H4" s="1">
        <f>$M$12*C4</f>
        <v>53</v>
      </c>
      <c r="I4" s="4">
        <f t="shared" si="4"/>
        <v>1.5165779134749377E-2</v>
      </c>
      <c r="J4" s="4">
        <f t="shared" si="0"/>
        <v>1325</v>
      </c>
      <c r="K4" s="4"/>
      <c r="L4" s="4"/>
      <c r="M4" s="4"/>
      <c r="O4" s="4"/>
      <c r="P4" s="1">
        <v>180.26599999999999</v>
      </c>
      <c r="Q4" s="1">
        <f t="shared" si="5"/>
        <v>-5019.7340000000004</v>
      </c>
      <c r="R4" s="1">
        <f t="shared" si="1"/>
        <v>4506.6499999999996</v>
      </c>
      <c r="S4" s="1">
        <f t="shared" si="6"/>
        <v>-693.35000000000036</v>
      </c>
      <c r="T4" s="1">
        <f t="shared" si="2"/>
        <v>7.5327761033980797E-2</v>
      </c>
      <c r="U4" s="1">
        <f t="shared" si="3"/>
        <v>0.12711409833689449</v>
      </c>
      <c r="V4" s="1"/>
      <c r="W4" s="73" t="s">
        <v>285</v>
      </c>
      <c r="X4" s="1">
        <f>X3+1</f>
        <v>2</v>
      </c>
      <c r="Y4">
        <f>Y3</f>
        <v>26607.17600000001</v>
      </c>
      <c r="Z4">
        <f>Z3+Y4</f>
        <v>-485385.64799999993</v>
      </c>
      <c r="AA4">
        <f t="shared" ref="AA4:AA27" si="8">Y4/(1+$M$13)^X4</f>
        <v>23635.675269449544</v>
      </c>
      <c r="AB4">
        <f t="shared" ref="AB4:AB27" si="9">AB3+AA4</f>
        <v>-489886.87326966447</v>
      </c>
      <c r="AC4">
        <f t="shared" si="7"/>
        <v>27954.16428500001</v>
      </c>
      <c r="AD4">
        <f t="shared" ref="AD4:AD27" si="10">AC4/(1+$M$13)^X4</f>
        <v>24832.231329965427</v>
      </c>
      <c r="AE4">
        <f t="shared" ref="AE4:AE27" si="11">AE3+AD4</f>
        <v>-488063.38092262647</v>
      </c>
    </row>
    <row r="5" spans="1:31" x14ac:dyDescent="0.35">
      <c r="A5" s="1">
        <v>4</v>
      </c>
      <c r="B5" s="62">
        <v>1453.8912212817379</v>
      </c>
      <c r="C5" s="62">
        <v>2</v>
      </c>
      <c r="D5" s="62">
        <v>3494.71</v>
      </c>
      <c r="E5" s="62">
        <v>5</v>
      </c>
      <c r="F5" s="62">
        <v>1.2</v>
      </c>
      <c r="G5" s="62">
        <f>(C5*$M$11*1000)+M22</f>
        <v>7200</v>
      </c>
      <c r="H5" s="62">
        <f>$M$31*C5</f>
        <v>71.2</v>
      </c>
      <c r="I5" s="56">
        <f t="shared" si="4"/>
        <v>2.0373650460267088E-2</v>
      </c>
      <c r="J5" s="56">
        <f t="shared" si="0"/>
        <v>1780</v>
      </c>
      <c r="K5" s="56"/>
      <c r="L5" s="56"/>
      <c r="M5" s="56"/>
      <c r="N5" s="4" t="s">
        <v>6</v>
      </c>
      <c r="O5" s="56"/>
      <c r="P5" s="1">
        <v>364.54300000000001</v>
      </c>
      <c r="Q5" s="1">
        <f t="shared" si="5"/>
        <v>-6835.4570000000003</v>
      </c>
      <c r="R5" s="1">
        <f t="shared" si="1"/>
        <v>9113.5750000000007</v>
      </c>
      <c r="S5" s="1">
        <f t="shared" si="6"/>
        <v>1913.5750000000007</v>
      </c>
      <c r="T5" s="1">
        <f t="shared" si="2"/>
        <v>0.21846274803807741</v>
      </c>
      <c r="U5" s="1">
        <f t="shared" si="3"/>
        <v>0.38897423219058525</v>
      </c>
      <c r="V5" s="1"/>
      <c r="W5" s="1">
        <f>SUM(G2:G46)</f>
        <v>538600</v>
      </c>
      <c r="X5" s="1">
        <f t="shared" ref="X5:X27" si="12">X4+1</f>
        <v>3</v>
      </c>
      <c r="Y5">
        <f t="shared" ref="Y5:Y27" si="13">Y4</f>
        <v>26607.17600000001</v>
      </c>
      <c r="Z5">
        <f t="shared" ref="Z5:Z27" si="14">Z4+Y5</f>
        <v>-458778.47199999989</v>
      </c>
      <c r="AA5">
        <f t="shared" si="8"/>
        <v>22276.79101738883</v>
      </c>
      <c r="AB5">
        <f t="shared" si="9"/>
        <v>-467610.08225227566</v>
      </c>
      <c r="AC5">
        <f t="shared" si="7"/>
        <v>28653.018392125006</v>
      </c>
      <c r="AD5">
        <f t="shared" si="10"/>
        <v>23989.667401710238</v>
      </c>
      <c r="AE5">
        <f t="shared" si="11"/>
        <v>-464073.71352091624</v>
      </c>
    </row>
    <row r="6" spans="1:31" x14ac:dyDescent="0.35">
      <c r="A6" s="1">
        <v>5</v>
      </c>
      <c r="B6" s="1">
        <v>3955.020115733626</v>
      </c>
      <c r="C6" s="1">
        <v>4</v>
      </c>
      <c r="D6" s="1">
        <v>6989.42</v>
      </c>
      <c r="E6" s="1">
        <v>10</v>
      </c>
      <c r="F6" s="1">
        <v>0</v>
      </c>
      <c r="G6" s="1">
        <f t="shared" ref="G6:G45" si="15">C6*$M$11*1000</f>
        <v>10400</v>
      </c>
      <c r="H6" s="1">
        <f>$M$12*C6</f>
        <v>106</v>
      </c>
      <c r="I6" s="4">
        <f t="shared" si="4"/>
        <v>1.5165779134749377E-2</v>
      </c>
      <c r="J6" s="4">
        <f t="shared" si="0"/>
        <v>2650</v>
      </c>
      <c r="K6" s="4"/>
      <c r="L6" s="4"/>
      <c r="M6" s="4"/>
      <c r="N6" s="4"/>
      <c r="O6" s="4"/>
      <c r="P6" s="1">
        <v>615.86800000000005</v>
      </c>
      <c r="Q6" s="1">
        <f t="shared" si="5"/>
        <v>-9784.1319999999996</v>
      </c>
      <c r="R6" s="1">
        <f t="shared" si="1"/>
        <v>15396.7</v>
      </c>
      <c r="S6" s="1">
        <f t="shared" si="6"/>
        <v>4996.7000000000007</v>
      </c>
      <c r="T6" s="1">
        <f t="shared" si="2"/>
        <v>0.12034855642204902</v>
      </c>
      <c r="U6" s="1">
        <f t="shared" si="3"/>
        <v>0.21088797369358894</v>
      </c>
      <c r="V6" s="1"/>
      <c r="W6" s="1"/>
      <c r="X6" s="1">
        <f t="shared" si="12"/>
        <v>4</v>
      </c>
      <c r="Y6">
        <f t="shared" si="13"/>
        <v>26607.17600000001</v>
      </c>
      <c r="Z6">
        <f t="shared" si="14"/>
        <v>-432171.29599999986</v>
      </c>
      <c r="AA6">
        <f t="shared" si="8"/>
        <v>20996.033004136501</v>
      </c>
      <c r="AB6">
        <f t="shared" si="9"/>
        <v>-446614.04924813914</v>
      </c>
      <c r="AC6">
        <f t="shared" si="7"/>
        <v>29369.34385192813</v>
      </c>
      <c r="AD6">
        <f t="shared" si="10"/>
        <v>23175.691881953808</v>
      </c>
      <c r="AE6">
        <f t="shared" si="11"/>
        <v>-440898.02163896244</v>
      </c>
    </row>
    <row r="7" spans="1:31" ht="29" x14ac:dyDescent="0.35">
      <c r="A7" s="1">
        <v>6</v>
      </c>
      <c r="B7" s="62">
        <v>2105.0165005377999</v>
      </c>
      <c r="C7" s="62">
        <v>2</v>
      </c>
      <c r="D7" s="62">
        <v>3494.71</v>
      </c>
      <c r="E7" s="62">
        <v>5</v>
      </c>
      <c r="F7" s="62">
        <v>4.2</v>
      </c>
      <c r="G7" s="62">
        <f>(C7*$M$11*1000)+M25</f>
        <v>9800</v>
      </c>
      <c r="H7" s="62">
        <f>$M$31*C7</f>
        <v>71.2</v>
      </c>
      <c r="I7" s="56">
        <f t="shared" si="4"/>
        <v>2.0373650460267088E-2</v>
      </c>
      <c r="J7" s="56">
        <f t="shared" si="0"/>
        <v>1780</v>
      </c>
      <c r="K7" s="56"/>
      <c r="L7" s="56"/>
      <c r="M7" s="56"/>
      <c r="N7" s="56"/>
      <c r="O7" s="56"/>
      <c r="P7" s="1">
        <v>341.173</v>
      </c>
      <c r="Q7" s="1">
        <f t="shared" si="5"/>
        <v>-9458.8269999999993</v>
      </c>
      <c r="R7" s="1">
        <f t="shared" si="1"/>
        <v>8529.3250000000007</v>
      </c>
      <c r="S7" s="1">
        <f t="shared" si="6"/>
        <v>-1270.6749999999993</v>
      </c>
      <c r="T7" s="1">
        <f t="shared" si="2"/>
        <v>0.20659546862646672</v>
      </c>
      <c r="U7" s="1">
        <f t="shared" si="3"/>
        <v>0.36689181499466822</v>
      </c>
      <c r="V7" s="1"/>
      <c r="W7" s="73" t="s">
        <v>286</v>
      </c>
      <c r="X7" s="1">
        <f t="shared" si="12"/>
        <v>5</v>
      </c>
      <c r="Y7">
        <f t="shared" si="13"/>
        <v>26607.17600000001</v>
      </c>
      <c r="Z7">
        <f t="shared" si="14"/>
        <v>-405564.11999999982</v>
      </c>
      <c r="AA7">
        <f t="shared" si="8"/>
        <v>19788.909523220078</v>
      </c>
      <c r="AB7">
        <f t="shared" si="9"/>
        <v>-426825.13972491905</v>
      </c>
      <c r="AC7">
        <f t="shared" si="7"/>
        <v>30103.57744822633</v>
      </c>
      <c r="AD7">
        <f t="shared" si="10"/>
        <v>22389.334758720692</v>
      </c>
      <c r="AE7">
        <f t="shared" si="11"/>
        <v>-418508.68688024173</v>
      </c>
    </row>
    <row r="8" spans="1:31" x14ac:dyDescent="0.35">
      <c r="A8" s="1">
        <v>7</v>
      </c>
      <c r="B8" s="1">
        <v>1617.7934488334181</v>
      </c>
      <c r="C8" s="1">
        <v>2</v>
      </c>
      <c r="D8" s="1">
        <v>3494.71</v>
      </c>
      <c r="E8" s="1">
        <v>5</v>
      </c>
      <c r="F8" s="1">
        <v>0</v>
      </c>
      <c r="G8" s="1">
        <f t="shared" si="15"/>
        <v>5200</v>
      </c>
      <c r="H8" s="1">
        <f>$M$12*C8</f>
        <v>53</v>
      </c>
      <c r="I8" s="4">
        <f t="shared" si="4"/>
        <v>1.5165779134749377E-2</v>
      </c>
      <c r="J8" s="4">
        <f t="shared" si="0"/>
        <v>1325</v>
      </c>
      <c r="K8" s="4"/>
      <c r="L8" s="4"/>
      <c r="M8" s="4"/>
      <c r="N8" s="4"/>
      <c r="O8" s="4"/>
      <c r="P8" s="1">
        <v>323.84300000000002</v>
      </c>
      <c r="Q8" s="1">
        <f t="shared" si="5"/>
        <v>-4876.1570000000002</v>
      </c>
      <c r="R8" s="1">
        <f t="shared" si="1"/>
        <v>8096.0750000000007</v>
      </c>
      <c r="S8" s="1">
        <f t="shared" si="6"/>
        <v>2896.0750000000007</v>
      </c>
      <c r="T8" s="1">
        <f t="shared" si="2"/>
        <v>0.14373596227524091</v>
      </c>
      <c r="U8" s="1">
        <f t="shared" si="3"/>
        <v>0.25440683216717741</v>
      </c>
      <c r="V8" s="1"/>
      <c r="W8" s="1">
        <f>SUM(P2:P46)</f>
        <v>26607.17600000001</v>
      </c>
      <c r="X8" s="1">
        <f t="shared" si="12"/>
        <v>6</v>
      </c>
      <c r="Y8">
        <f t="shared" si="13"/>
        <v>26607.17600000001</v>
      </c>
      <c r="Z8">
        <f t="shared" si="14"/>
        <v>-378956.94399999978</v>
      </c>
      <c r="AA8">
        <f t="shared" si="8"/>
        <v>18651.187109538245</v>
      </c>
      <c r="AB8">
        <f t="shared" si="9"/>
        <v>-408173.95261538081</v>
      </c>
      <c r="AC8">
        <f t="shared" si="7"/>
        <v>30856.166884431987</v>
      </c>
      <c r="AD8">
        <f t="shared" si="10"/>
        <v>21629.658932788599</v>
      </c>
      <c r="AE8">
        <f t="shared" si="11"/>
        <v>-396879.02794745314</v>
      </c>
    </row>
    <row r="9" spans="1:31" x14ac:dyDescent="0.35">
      <c r="A9" s="1">
        <v>8</v>
      </c>
      <c r="B9" s="62">
        <v>10161.74794678937</v>
      </c>
      <c r="C9" s="62">
        <v>10</v>
      </c>
      <c r="D9" s="62">
        <v>17473.5</v>
      </c>
      <c r="E9" s="62">
        <v>25</v>
      </c>
      <c r="F9" s="62">
        <v>9.6999999999999993</v>
      </c>
      <c r="G9" s="62">
        <f>(C9*$M$11*1000)+M28</f>
        <v>34000</v>
      </c>
      <c r="H9" s="62">
        <f>$M$31*C9</f>
        <v>356</v>
      </c>
      <c r="I9" s="56">
        <f t="shared" si="4"/>
        <v>2.0373708758977881E-2</v>
      </c>
      <c r="J9" s="56">
        <f t="shared" si="0"/>
        <v>8900</v>
      </c>
      <c r="K9" s="56"/>
      <c r="L9" s="107" t="s">
        <v>258</v>
      </c>
      <c r="M9" s="107"/>
      <c r="N9" s="4"/>
      <c r="O9" s="56"/>
      <c r="P9" s="1">
        <v>1533.56</v>
      </c>
      <c r="Q9" s="1">
        <f t="shared" si="5"/>
        <v>-32466.44</v>
      </c>
      <c r="R9" s="1">
        <f t="shared" si="1"/>
        <v>38339</v>
      </c>
      <c r="S9" s="1">
        <f t="shared" si="6"/>
        <v>4339</v>
      </c>
      <c r="T9" s="1">
        <f t="shared" si="2"/>
        <v>0.15420895119182088</v>
      </c>
      <c r="U9" s="1">
        <f t="shared" si="3"/>
        <v>0.26941188814381944</v>
      </c>
      <c r="V9" s="1"/>
      <c r="W9" s="1"/>
      <c r="X9" s="1">
        <f t="shared" si="12"/>
        <v>7</v>
      </c>
      <c r="Y9">
        <f t="shared" si="13"/>
        <v>26607.17600000001</v>
      </c>
      <c r="Z9">
        <f t="shared" si="14"/>
        <v>-352349.76799999975</v>
      </c>
      <c r="AA9">
        <f t="shared" si="8"/>
        <v>17578.875692307491</v>
      </c>
      <c r="AB9">
        <f t="shared" si="9"/>
        <v>-390595.07692307333</v>
      </c>
      <c r="AC9">
        <f t="shared" si="7"/>
        <v>31627.571056542787</v>
      </c>
      <c r="AD9">
        <f t="shared" si="10"/>
        <v>20895.759100950349</v>
      </c>
      <c r="AE9">
        <f t="shared" si="11"/>
        <v>-375983.26884650282</v>
      </c>
    </row>
    <row r="10" spans="1:31" x14ac:dyDescent="0.35">
      <c r="A10" s="1">
        <v>9</v>
      </c>
      <c r="B10" s="62">
        <v>5057.043251595851</v>
      </c>
      <c r="C10" s="62">
        <v>4</v>
      </c>
      <c r="D10" s="62">
        <v>6989.42</v>
      </c>
      <c r="E10" s="62">
        <v>10</v>
      </c>
      <c r="F10" s="62">
        <v>6</v>
      </c>
      <c r="G10" s="62">
        <f>(C10*$M$11*1000)+M27</f>
        <v>14800</v>
      </c>
      <c r="H10" s="62">
        <f>$M$31*C10</f>
        <v>142.4</v>
      </c>
      <c r="I10" s="56">
        <f t="shared" si="4"/>
        <v>2.0373650460267088E-2</v>
      </c>
      <c r="J10" s="56">
        <f t="shared" si="0"/>
        <v>3560</v>
      </c>
      <c r="K10" s="56"/>
      <c r="L10" s="2" t="s">
        <v>245</v>
      </c>
      <c r="M10" s="2" t="s">
        <v>246</v>
      </c>
      <c r="N10" s="4"/>
      <c r="O10" s="56"/>
      <c r="P10" s="1">
        <v>675.73099999999999</v>
      </c>
      <c r="Q10" s="1">
        <f t="shared" si="5"/>
        <v>-14124.269</v>
      </c>
      <c r="R10" s="1">
        <f t="shared" si="1"/>
        <v>16893.275000000001</v>
      </c>
      <c r="S10" s="1">
        <f t="shared" si="6"/>
        <v>2093.2750000000015</v>
      </c>
      <c r="T10" s="1">
        <f t="shared" si="2"/>
        <v>0.13743810305579959</v>
      </c>
      <c r="U10" s="1">
        <f t="shared" si="3"/>
        <v>0.23820504983702992</v>
      </c>
      <c r="V10" s="1"/>
      <c r="W10" s="1"/>
      <c r="X10" s="1">
        <f t="shared" si="12"/>
        <v>8</v>
      </c>
      <c r="Y10">
        <f t="shared" si="13"/>
        <v>26607.17600000001</v>
      </c>
      <c r="Z10">
        <f t="shared" si="14"/>
        <v>-325742.59199999971</v>
      </c>
      <c r="AA10">
        <f t="shared" si="8"/>
        <v>16568.214601609321</v>
      </c>
      <c r="AB10">
        <f t="shared" si="9"/>
        <v>-374026.862321464</v>
      </c>
      <c r="AC10">
        <f t="shared" si="7"/>
        <v>32418.260332956354</v>
      </c>
      <c r="AD10">
        <f t="shared" si="10"/>
        <v>20186.760677166923</v>
      </c>
      <c r="AE10">
        <f t="shared" si="11"/>
        <v>-355796.5081693359</v>
      </c>
    </row>
    <row r="11" spans="1:31" x14ac:dyDescent="0.35">
      <c r="A11" s="1">
        <v>10</v>
      </c>
      <c r="B11" s="1">
        <v>507.10444675644749</v>
      </c>
      <c r="C11" s="1">
        <v>2</v>
      </c>
      <c r="D11" s="1">
        <v>3494.71</v>
      </c>
      <c r="E11" s="1">
        <v>5</v>
      </c>
      <c r="F11" s="1">
        <v>0</v>
      </c>
      <c r="G11" s="1">
        <f t="shared" si="15"/>
        <v>5200</v>
      </c>
      <c r="H11" s="1">
        <f>$M$12*C11</f>
        <v>53</v>
      </c>
      <c r="I11" s="4">
        <f t="shared" si="4"/>
        <v>1.5165779134749377E-2</v>
      </c>
      <c r="J11" s="4">
        <f t="shared" si="0"/>
        <v>1325</v>
      </c>
      <c r="K11" s="4"/>
      <c r="L11" s="1" t="s">
        <v>247</v>
      </c>
      <c r="M11" s="1">
        <f>2.6</f>
        <v>2.6</v>
      </c>
      <c r="N11" s="4"/>
      <c r="O11" s="4"/>
      <c r="P11" s="1">
        <v>425.71899999999999</v>
      </c>
      <c r="Q11" s="1">
        <f t="shared" si="5"/>
        <v>-4774.2809999999999</v>
      </c>
      <c r="R11" s="1">
        <f t="shared" si="1"/>
        <v>10642.975</v>
      </c>
      <c r="S11" s="1">
        <f t="shared" si="6"/>
        <v>5442.9750000000004</v>
      </c>
      <c r="T11" s="1">
        <f t="shared" si="2"/>
        <v>0.42533769012944511</v>
      </c>
      <c r="U11" s="1">
        <f t="shared" si="3"/>
        <v>0.7784061939318998</v>
      </c>
      <c r="V11" s="1"/>
      <c r="W11" s="1"/>
      <c r="X11" s="1">
        <f t="shared" si="12"/>
        <v>9</v>
      </c>
      <c r="Y11">
        <f t="shared" si="13"/>
        <v>26607.17600000001</v>
      </c>
      <c r="Z11">
        <f t="shared" si="14"/>
        <v>-299135.41599999968</v>
      </c>
      <c r="AA11">
        <f t="shared" si="8"/>
        <v>15615.659379462133</v>
      </c>
      <c r="AB11">
        <f t="shared" si="9"/>
        <v>-358411.20294200187</v>
      </c>
      <c r="AC11">
        <f t="shared" si="7"/>
        <v>33228.716841280257</v>
      </c>
      <c r="AD11">
        <f t="shared" si="10"/>
        <v>19501.818750326198</v>
      </c>
      <c r="AE11">
        <f t="shared" si="11"/>
        <v>-336294.68941900972</v>
      </c>
    </row>
    <row r="12" spans="1:31" x14ac:dyDescent="0.35">
      <c r="A12" s="1">
        <v>11</v>
      </c>
      <c r="B12" s="1">
        <v>480.82648360578531</v>
      </c>
      <c r="C12" s="1">
        <v>2</v>
      </c>
      <c r="D12" s="1">
        <v>3494.71</v>
      </c>
      <c r="E12" s="1">
        <v>5</v>
      </c>
      <c r="F12" s="1">
        <v>0</v>
      </c>
      <c r="G12" s="1">
        <f t="shared" si="15"/>
        <v>5200</v>
      </c>
      <c r="H12" s="1">
        <f>$M$12*C12</f>
        <v>53</v>
      </c>
      <c r="I12" s="4">
        <f t="shared" si="4"/>
        <v>1.5165779134749377E-2</v>
      </c>
      <c r="J12" s="4">
        <f t="shared" si="0"/>
        <v>1325</v>
      </c>
      <c r="K12" s="4"/>
      <c r="L12" s="1" t="s">
        <v>248</v>
      </c>
      <c r="M12" s="1">
        <v>26.5</v>
      </c>
      <c r="N12" s="1"/>
      <c r="O12" s="4"/>
      <c r="P12" s="1">
        <v>425.47199999999998</v>
      </c>
      <c r="Q12" s="1">
        <f t="shared" si="5"/>
        <v>-4774.5280000000002</v>
      </c>
      <c r="R12" s="1">
        <f t="shared" si="1"/>
        <v>10636.8</v>
      </c>
      <c r="S12" s="1">
        <f t="shared" si="6"/>
        <v>5436.7999999999993</v>
      </c>
      <c r="T12" s="1">
        <f t="shared" si="2"/>
        <v>0.44775426394569157</v>
      </c>
      <c r="U12" s="1">
        <f t="shared" si="3"/>
        <v>0.82011854584881139</v>
      </c>
      <c r="V12" s="1"/>
      <c r="W12" s="1"/>
      <c r="X12" s="1">
        <f t="shared" si="12"/>
        <v>10</v>
      </c>
      <c r="Y12">
        <f t="shared" si="13"/>
        <v>26607.17600000001</v>
      </c>
      <c r="Z12">
        <f t="shared" si="14"/>
        <v>-272528.23999999964</v>
      </c>
      <c r="AA12">
        <f t="shared" si="8"/>
        <v>14717.869349163177</v>
      </c>
      <c r="AB12">
        <f t="shared" si="9"/>
        <v>-343693.33359283867</v>
      </c>
      <c r="AC12">
        <f t="shared" si="7"/>
        <v>34059.434762312267</v>
      </c>
      <c r="AD12">
        <f t="shared" si="10"/>
        <v>18840.117077365081</v>
      </c>
      <c r="AE12">
        <f t="shared" si="11"/>
        <v>-317454.57234164467</v>
      </c>
    </row>
    <row r="13" spans="1:31" x14ac:dyDescent="0.35">
      <c r="A13" s="1">
        <v>12</v>
      </c>
      <c r="B13" s="1">
        <v>569.06841271947087</v>
      </c>
      <c r="C13" s="1">
        <v>2</v>
      </c>
      <c r="D13" s="1">
        <v>3497.79</v>
      </c>
      <c r="E13" s="1">
        <v>5</v>
      </c>
      <c r="F13" s="1">
        <v>0</v>
      </c>
      <c r="G13" s="1">
        <f t="shared" si="15"/>
        <v>5200</v>
      </c>
      <c r="H13" s="1">
        <f>$M$12*C13</f>
        <v>53</v>
      </c>
      <c r="I13" s="4">
        <f t="shared" si="4"/>
        <v>1.5152424816812901E-2</v>
      </c>
      <c r="J13" s="4">
        <f t="shared" si="0"/>
        <v>1325</v>
      </c>
      <c r="K13" s="4"/>
      <c r="L13" s="1" t="s">
        <v>250</v>
      </c>
      <c r="M13" s="1">
        <v>6.0999999999999999E-2</v>
      </c>
      <c r="N13" s="4"/>
      <c r="O13" s="4"/>
      <c r="P13" s="1">
        <v>421.27100000000002</v>
      </c>
      <c r="Q13" s="1">
        <f t="shared" si="5"/>
        <v>-4778.7290000000003</v>
      </c>
      <c r="R13" s="1">
        <f t="shared" si="1"/>
        <v>10531.775</v>
      </c>
      <c r="S13" s="1">
        <f t="shared" si="6"/>
        <v>5331.7749999999996</v>
      </c>
      <c r="T13" s="1">
        <f t="shared" si="2"/>
        <v>0.38066208121472672</v>
      </c>
      <c r="U13" s="1">
        <f t="shared" si="3"/>
        <v>0.69528613042571619</v>
      </c>
      <c r="V13" s="1"/>
      <c r="W13" s="1"/>
      <c r="X13" s="1">
        <f t="shared" si="12"/>
        <v>11</v>
      </c>
      <c r="Y13">
        <f t="shared" si="13"/>
        <v>26607.17600000001</v>
      </c>
      <c r="Z13">
        <f t="shared" si="14"/>
        <v>-245921.06399999963</v>
      </c>
      <c r="AA13">
        <f t="shared" si="8"/>
        <v>13871.695899305543</v>
      </c>
      <c r="AB13">
        <f t="shared" si="9"/>
        <v>-329821.63769353315</v>
      </c>
      <c r="AC13">
        <f t="shared" si="7"/>
        <v>34910.920631370071</v>
      </c>
      <c r="AD13">
        <f t="shared" si="10"/>
        <v>18200.867110555337</v>
      </c>
      <c r="AE13">
        <f t="shared" si="11"/>
        <v>-299253.70523108932</v>
      </c>
    </row>
    <row r="14" spans="1:31" x14ac:dyDescent="0.35">
      <c r="A14" s="1">
        <v>13</v>
      </c>
      <c r="B14" s="62">
        <v>4563.0069277860366</v>
      </c>
      <c r="C14" s="62">
        <v>6</v>
      </c>
      <c r="D14" s="62">
        <v>10493.4</v>
      </c>
      <c r="E14" s="62">
        <v>15</v>
      </c>
      <c r="F14" s="62">
        <v>5</v>
      </c>
      <c r="G14" s="62">
        <f>(C14*$M$11*1000)+M26</f>
        <v>19000</v>
      </c>
      <c r="H14" s="62">
        <f>$M$31*C14</f>
        <v>213.60000000000002</v>
      </c>
      <c r="I14" s="56">
        <f t="shared" si="4"/>
        <v>2.0355652124192353E-2</v>
      </c>
      <c r="J14" s="56">
        <f t="shared" si="0"/>
        <v>5340.0000000000009</v>
      </c>
      <c r="K14" s="56"/>
      <c r="L14" s="1" t="s">
        <v>251</v>
      </c>
      <c r="M14" s="1" t="s">
        <v>252</v>
      </c>
      <c r="N14" s="4"/>
      <c r="O14" s="56"/>
      <c r="P14" s="1">
        <v>1086.6099999999999</v>
      </c>
      <c r="Q14" s="1">
        <f t="shared" si="5"/>
        <v>-17913.39</v>
      </c>
      <c r="R14" s="1">
        <f t="shared" si="1"/>
        <v>27165.249999999996</v>
      </c>
      <c r="S14" s="1">
        <f t="shared" si="6"/>
        <v>8165.2499999999964</v>
      </c>
      <c r="T14" s="1">
        <f t="shared" si="2"/>
        <v>0.18691248888287568</v>
      </c>
      <c r="U14" s="1">
        <f t="shared" si="3"/>
        <v>0.33028157773600897</v>
      </c>
      <c r="V14" s="1"/>
      <c r="W14" s="1"/>
      <c r="X14" s="1">
        <f t="shared" si="12"/>
        <v>12</v>
      </c>
      <c r="Y14">
        <f t="shared" si="13"/>
        <v>26607.17600000001</v>
      </c>
      <c r="Z14">
        <f t="shared" si="14"/>
        <v>-219313.88799999963</v>
      </c>
      <c r="AA14">
        <f t="shared" si="8"/>
        <v>13074.171441381284</v>
      </c>
      <c r="AB14">
        <f t="shared" si="9"/>
        <v>-316747.46625215188</v>
      </c>
      <c r="AC14">
        <f t="shared" si="7"/>
        <v>35783.693647154316</v>
      </c>
      <c r="AD14">
        <f t="shared" si="10"/>
        <v>17583.307057793794</v>
      </c>
      <c r="AE14">
        <f t="shared" si="11"/>
        <v>-281670.39817329554</v>
      </c>
    </row>
    <row r="15" spans="1:31" x14ac:dyDescent="0.35">
      <c r="A15" s="1">
        <v>14</v>
      </c>
      <c r="B15" s="62">
        <v>2172.7675547581462</v>
      </c>
      <c r="C15" s="62">
        <v>2</v>
      </c>
      <c r="D15" s="62">
        <v>3497.79</v>
      </c>
      <c r="E15" s="62">
        <v>5</v>
      </c>
      <c r="F15" s="62">
        <v>2</v>
      </c>
      <c r="G15" s="62">
        <f>(C15*$M$11*1000)+M23</f>
        <v>8700</v>
      </c>
      <c r="H15" s="62">
        <f>$M$31*C15</f>
        <v>71.2</v>
      </c>
      <c r="I15" s="56">
        <f t="shared" si="4"/>
        <v>2.0355710319944882E-2</v>
      </c>
      <c r="J15" s="56">
        <f t="shared" si="0"/>
        <v>1780</v>
      </c>
      <c r="K15" s="56"/>
      <c r="L15" s="1" t="s">
        <v>262</v>
      </c>
      <c r="M15" s="1">
        <v>7.0000000000000007E-2</v>
      </c>
      <c r="N15" s="4"/>
      <c r="O15" s="56"/>
      <c r="P15" s="1">
        <v>347.005</v>
      </c>
      <c r="Q15" s="1">
        <f t="shared" si="5"/>
        <v>-8352.9950000000008</v>
      </c>
      <c r="R15" s="1">
        <f t="shared" si="1"/>
        <v>8675.125</v>
      </c>
      <c r="S15" s="1">
        <f t="shared" si="6"/>
        <v>-24.875</v>
      </c>
      <c r="T15" s="1">
        <f t="shared" si="2"/>
        <v>0.18052010491333539</v>
      </c>
      <c r="U15" s="1">
        <f t="shared" si="3"/>
        <v>0.3183866960808755</v>
      </c>
      <c r="V15" s="1"/>
      <c r="W15" s="1"/>
      <c r="X15" s="1">
        <f t="shared" si="12"/>
        <v>13</v>
      </c>
      <c r="Y15">
        <f t="shared" si="13"/>
        <v>26607.17600000001</v>
      </c>
      <c r="Z15">
        <f t="shared" si="14"/>
        <v>-192706.71199999962</v>
      </c>
      <c r="AA15">
        <f t="shared" si="8"/>
        <v>12322.499002244376</v>
      </c>
      <c r="AB15">
        <f t="shared" si="9"/>
        <v>-304424.96724990749</v>
      </c>
      <c r="AC15">
        <f t="shared" si="7"/>
        <v>36678.285988333177</v>
      </c>
      <c r="AD15">
        <f t="shared" si="10"/>
        <v>16986.700974777228</v>
      </c>
      <c r="AE15">
        <f t="shared" si="11"/>
        <v>-264683.69719851832</v>
      </c>
    </row>
    <row r="16" spans="1:31" x14ac:dyDescent="0.35">
      <c r="A16" s="1">
        <v>15</v>
      </c>
      <c r="B16" s="62">
        <v>4548.2349752288228</v>
      </c>
      <c r="C16" s="62">
        <v>4</v>
      </c>
      <c r="D16" s="62">
        <v>6995.57</v>
      </c>
      <c r="E16" s="62">
        <v>10</v>
      </c>
      <c r="F16" s="62">
        <v>3.3</v>
      </c>
      <c r="G16" s="62">
        <f>(C16*$M$11*1000)+M24</f>
        <v>14300</v>
      </c>
      <c r="H16" s="62">
        <f>$M$31*C16</f>
        <v>142.4</v>
      </c>
      <c r="I16" s="56">
        <f t="shared" si="4"/>
        <v>2.0355739417945929E-2</v>
      </c>
      <c r="J16" s="56">
        <f t="shared" si="0"/>
        <v>3560</v>
      </c>
      <c r="K16" s="56"/>
      <c r="L16" s="1" t="s">
        <v>263</v>
      </c>
      <c r="M16" s="1">
        <v>2.5000000000000001E-2</v>
      </c>
      <c r="N16" s="4"/>
      <c r="O16" s="56"/>
      <c r="P16" s="1">
        <v>714.76800000000003</v>
      </c>
      <c r="Q16" s="1">
        <f t="shared" si="5"/>
        <v>-13585.232</v>
      </c>
      <c r="R16" s="1">
        <f t="shared" si="1"/>
        <v>17869.2</v>
      </c>
      <c r="S16" s="1">
        <f t="shared" si="6"/>
        <v>3569.2000000000007</v>
      </c>
      <c r="T16" s="1">
        <f t="shared" si="2"/>
        <v>0.14611881083252748</v>
      </c>
      <c r="U16" s="1">
        <f t="shared" si="3"/>
        <v>0.25437337012272171</v>
      </c>
      <c r="V16" s="1"/>
      <c r="W16" s="1"/>
      <c r="X16" s="1">
        <f t="shared" si="12"/>
        <v>14</v>
      </c>
      <c r="Y16">
        <f t="shared" si="13"/>
        <v>26607.17600000001</v>
      </c>
      <c r="Z16">
        <f t="shared" si="14"/>
        <v>-166099.53599999961</v>
      </c>
      <c r="AA16">
        <f t="shared" si="8"/>
        <v>11614.042414933436</v>
      </c>
      <c r="AB16">
        <f t="shared" si="9"/>
        <v>-292810.92483497405</v>
      </c>
      <c r="AC16">
        <f t="shared" si="7"/>
        <v>37595.2431380415</v>
      </c>
      <c r="AD16">
        <f t="shared" si="10"/>
        <v>16410.337887979884</v>
      </c>
      <c r="AE16">
        <f t="shared" si="11"/>
        <v>-248273.35931053845</v>
      </c>
    </row>
    <row r="17" spans="1:36" x14ac:dyDescent="0.35">
      <c r="A17" s="1">
        <v>16</v>
      </c>
      <c r="B17" s="1">
        <v>5476.90270703035</v>
      </c>
      <c r="C17" s="1">
        <v>4</v>
      </c>
      <c r="D17" s="1">
        <v>6995.57</v>
      </c>
      <c r="E17" s="1">
        <v>10</v>
      </c>
      <c r="F17" s="1">
        <v>0</v>
      </c>
      <c r="G17" s="1">
        <f t="shared" si="15"/>
        <v>10400</v>
      </c>
      <c r="H17" s="1">
        <f>$M$12*C17</f>
        <v>106</v>
      </c>
      <c r="I17" s="4">
        <f t="shared" si="4"/>
        <v>1.5152446476841773E-2</v>
      </c>
      <c r="J17" s="4">
        <f t="shared" si="0"/>
        <v>2650</v>
      </c>
      <c r="K17" s="4"/>
      <c r="L17" s="4"/>
      <c r="M17" s="4"/>
      <c r="N17" s="4"/>
      <c r="O17" s="4"/>
      <c r="P17" s="1">
        <v>491.30799999999999</v>
      </c>
      <c r="Q17" s="1">
        <f t="shared" si="5"/>
        <v>-9908.6919999999991</v>
      </c>
      <c r="R17" s="1">
        <f t="shared" si="1"/>
        <v>12282.7</v>
      </c>
      <c r="S17" s="1">
        <f t="shared" si="6"/>
        <v>1882.7000000000007</v>
      </c>
      <c r="T17" s="1">
        <f t="shared" si="2"/>
        <v>9.1107785151382653E-2</v>
      </c>
      <c r="U17" s="1">
        <f t="shared" si="3"/>
        <v>0.15648875606329785</v>
      </c>
      <c r="V17" s="1"/>
      <c r="W17" s="1"/>
      <c r="X17" s="1">
        <f t="shared" si="12"/>
        <v>15</v>
      </c>
      <c r="Y17">
        <f t="shared" si="13"/>
        <v>26607.17600000001</v>
      </c>
      <c r="Z17">
        <f t="shared" si="14"/>
        <v>-139492.35999999961</v>
      </c>
      <c r="AA17">
        <f t="shared" si="8"/>
        <v>10946.317073452816</v>
      </c>
      <c r="AB17">
        <f t="shared" si="9"/>
        <v>-281864.60776152124</v>
      </c>
      <c r="AC17">
        <f t="shared" si="7"/>
        <v>38535.124216492542</v>
      </c>
      <c r="AD17">
        <f t="shared" si="10"/>
        <v>15853.530947388674</v>
      </c>
      <c r="AE17">
        <f t="shared" si="11"/>
        <v>-232419.82836314978</v>
      </c>
    </row>
    <row r="18" spans="1:36" x14ac:dyDescent="0.35">
      <c r="A18" s="1">
        <v>17</v>
      </c>
      <c r="B18" s="62">
        <v>2180.0429312531028</v>
      </c>
      <c r="C18" s="62">
        <v>2</v>
      </c>
      <c r="D18" s="62">
        <v>3497.79</v>
      </c>
      <c r="E18" s="62">
        <v>5</v>
      </c>
      <c r="F18" s="62">
        <v>2</v>
      </c>
      <c r="G18" s="62">
        <f>(C18*$M$11*1000)+M23</f>
        <v>8700</v>
      </c>
      <c r="H18" s="62">
        <f>$M$31*C18</f>
        <v>71.2</v>
      </c>
      <c r="I18" s="56">
        <f t="shared" si="4"/>
        <v>2.0355710319944882E-2</v>
      </c>
      <c r="J18" s="56">
        <f t="shared" si="0"/>
        <v>1780</v>
      </c>
      <c r="K18" s="56"/>
      <c r="L18" s="4"/>
      <c r="M18" s="4"/>
      <c r="N18" s="4" t="s">
        <v>6</v>
      </c>
      <c r="O18" s="56"/>
      <c r="P18" s="1">
        <v>331.69600000000003</v>
      </c>
      <c r="Q18" s="1">
        <f t="shared" si="5"/>
        <v>-8368.3040000000001</v>
      </c>
      <c r="R18" s="1">
        <f t="shared" si="1"/>
        <v>8292.4000000000015</v>
      </c>
      <c r="S18" s="1">
        <f t="shared" si="6"/>
        <v>-407.59999999999854</v>
      </c>
      <c r="T18" s="1">
        <f t="shared" si="2"/>
        <v>0.17998559421400534</v>
      </c>
      <c r="U18" s="1">
        <f t="shared" si="3"/>
        <v>0.31739208831536353</v>
      </c>
      <c r="V18" s="1"/>
      <c r="W18" s="1"/>
      <c r="X18" s="1">
        <f t="shared" si="12"/>
        <v>16</v>
      </c>
      <c r="Y18">
        <f t="shared" si="13"/>
        <v>26607.17600000001</v>
      </c>
      <c r="Z18">
        <f t="shared" si="14"/>
        <v>-112885.1839999996</v>
      </c>
      <c r="AA18">
        <f t="shared" si="8"/>
        <v>10316.981219088422</v>
      </c>
      <c r="AB18">
        <f t="shared" si="9"/>
        <v>-271547.62654243282</v>
      </c>
      <c r="AC18">
        <f t="shared" si="7"/>
        <v>39498.502321904853</v>
      </c>
      <c r="AD18">
        <f t="shared" si="10"/>
        <v>15315.616607986231</v>
      </c>
      <c r="AE18">
        <f t="shared" si="11"/>
        <v>-217104.21175516356</v>
      </c>
    </row>
    <row r="19" spans="1:36" x14ac:dyDescent="0.35">
      <c r="A19" s="1">
        <v>18</v>
      </c>
      <c r="B19" s="62">
        <v>5524.0028847571884</v>
      </c>
      <c r="C19" s="62">
        <v>4</v>
      </c>
      <c r="D19" s="62">
        <v>6995.57</v>
      </c>
      <c r="E19" s="62">
        <v>10</v>
      </c>
      <c r="F19" s="62">
        <v>6</v>
      </c>
      <c r="G19" s="62">
        <f>(C19*$M$11*1000)+M27</f>
        <v>14800</v>
      </c>
      <c r="H19" s="62">
        <f>$M$31*C19</f>
        <v>142.4</v>
      </c>
      <c r="I19" s="56">
        <f t="shared" si="4"/>
        <v>2.0355739417945929E-2</v>
      </c>
      <c r="J19" s="56">
        <f t="shared" si="0"/>
        <v>3560</v>
      </c>
      <c r="K19" s="56"/>
      <c r="L19" s="4"/>
      <c r="M19" s="4"/>
      <c r="N19" s="4" t="s">
        <v>6</v>
      </c>
      <c r="O19" s="56"/>
      <c r="P19" s="1">
        <v>629.01599999999996</v>
      </c>
      <c r="Q19" s="1">
        <f t="shared" si="5"/>
        <v>-14170.984</v>
      </c>
      <c r="R19" s="1">
        <f t="shared" si="1"/>
        <v>15725.4</v>
      </c>
      <c r="S19" s="1">
        <f t="shared" si="6"/>
        <v>925.39999999999964</v>
      </c>
      <c r="T19" s="1">
        <f t="shared" si="2"/>
        <v>0.12752440177211519</v>
      </c>
      <c r="U19" s="1">
        <f t="shared" si="3"/>
        <v>0.21977323270775256</v>
      </c>
      <c r="V19" s="1"/>
      <c r="W19" s="1"/>
      <c r="X19" s="1">
        <f t="shared" si="12"/>
        <v>17</v>
      </c>
      <c r="Y19">
        <f t="shared" si="13"/>
        <v>26607.17600000001</v>
      </c>
      <c r="Z19">
        <f t="shared" si="14"/>
        <v>-86278.007999999594</v>
      </c>
      <c r="AA19">
        <f t="shared" si="8"/>
        <v>9723.8277276987974</v>
      </c>
      <c r="AB19">
        <f t="shared" si="9"/>
        <v>-261823.79881473401</v>
      </c>
      <c r="AC19">
        <f t="shared" si="7"/>
        <v>40485.964879952473</v>
      </c>
      <c r="AD19">
        <f t="shared" si="10"/>
        <v>14795.953839006492</v>
      </c>
      <c r="AE19">
        <f t="shared" si="11"/>
        <v>-202308.25791615708</v>
      </c>
    </row>
    <row r="20" spans="1:36" x14ac:dyDescent="0.35">
      <c r="A20" s="1">
        <v>19</v>
      </c>
      <c r="B20" s="1">
        <v>6393.5501464958952</v>
      </c>
      <c r="C20" s="1">
        <v>4</v>
      </c>
      <c r="D20" s="1">
        <v>6995.57</v>
      </c>
      <c r="E20" s="1">
        <v>10</v>
      </c>
      <c r="F20" s="1">
        <v>0</v>
      </c>
      <c r="G20" s="1">
        <f t="shared" si="15"/>
        <v>10400</v>
      </c>
      <c r="H20" s="1">
        <f>$M$12*C20</f>
        <v>106</v>
      </c>
      <c r="I20" s="4">
        <f t="shared" si="4"/>
        <v>1.5152446476841773E-2</v>
      </c>
      <c r="J20" s="4">
        <f t="shared" si="0"/>
        <v>2650</v>
      </c>
      <c r="K20" s="4"/>
      <c r="L20" s="107" t="s">
        <v>259</v>
      </c>
      <c r="M20" s="107"/>
      <c r="N20" s="4"/>
      <c r="O20" s="4"/>
      <c r="P20" s="1">
        <v>345.351</v>
      </c>
      <c r="Q20" s="1">
        <f t="shared" si="5"/>
        <v>-10054.648999999999</v>
      </c>
      <c r="R20" s="1">
        <f t="shared" si="1"/>
        <v>8633.7749999999996</v>
      </c>
      <c r="S20" s="1">
        <f t="shared" si="6"/>
        <v>-1766.2250000000004</v>
      </c>
      <c r="T20" s="1">
        <f t="shared" si="2"/>
        <v>8.0218018884684161E-2</v>
      </c>
      <c r="U20" s="1">
        <f t="shared" si="3"/>
        <v>0.13622527750796973</v>
      </c>
      <c r="V20" s="1"/>
      <c r="W20" s="1"/>
      <c r="X20" s="1">
        <f>X19+1</f>
        <v>18</v>
      </c>
      <c r="Y20">
        <f t="shared" si="13"/>
        <v>26607.17600000001</v>
      </c>
      <c r="Z20">
        <f t="shared" si="14"/>
        <v>-59670.831999999587</v>
      </c>
      <c r="AA20">
        <f t="shared" si="8"/>
        <v>9164.7763691788841</v>
      </c>
      <c r="AB20">
        <f t="shared" si="9"/>
        <v>-252659.02244555514</v>
      </c>
      <c r="AC20">
        <f t="shared" si="7"/>
        <v>41498.114001951282</v>
      </c>
      <c r="AD20">
        <f t="shared" si="10"/>
        <v>14293.923360020408</v>
      </c>
      <c r="AE20">
        <f t="shared" si="11"/>
        <v>-188014.33455613666</v>
      </c>
    </row>
    <row r="21" spans="1:36" x14ac:dyDescent="0.35">
      <c r="A21" s="1">
        <v>20</v>
      </c>
      <c r="B21" s="62">
        <v>6287.6864400653858</v>
      </c>
      <c r="C21" s="62">
        <v>10</v>
      </c>
      <c r="D21" s="62">
        <v>17488.900000000001</v>
      </c>
      <c r="E21" s="62">
        <v>25</v>
      </c>
      <c r="F21" s="62">
        <v>13.5</v>
      </c>
      <c r="G21" s="62">
        <f>(C21*$M$11*1000)+M29</f>
        <v>33300</v>
      </c>
      <c r="H21" s="62">
        <f>$M$31*C21</f>
        <v>356</v>
      </c>
      <c r="I21" s="56">
        <f t="shared" si="4"/>
        <v>2.0355768516030166E-2</v>
      </c>
      <c r="J21" s="56">
        <f t="shared" si="0"/>
        <v>8900</v>
      </c>
      <c r="K21" s="56"/>
      <c r="L21" s="2" t="s">
        <v>245</v>
      </c>
      <c r="M21" s="2" t="s">
        <v>246</v>
      </c>
      <c r="N21" s="4"/>
      <c r="O21" s="56"/>
      <c r="P21" s="1">
        <v>1809.65</v>
      </c>
      <c r="Q21" s="1">
        <f t="shared" si="5"/>
        <v>-31490.35</v>
      </c>
      <c r="R21" s="1">
        <f t="shared" si="1"/>
        <v>45241.25</v>
      </c>
      <c r="S21" s="1">
        <f t="shared" si="6"/>
        <v>11941.25</v>
      </c>
      <c r="T21" s="1">
        <f t="shared" si="2"/>
        <v>0.23219839341418722</v>
      </c>
      <c r="U21" s="1">
        <f t="shared" si="3"/>
        <v>0.41454866316570171</v>
      </c>
      <c r="V21" s="1"/>
      <c r="W21" s="1"/>
      <c r="X21" s="1">
        <f t="shared" si="12"/>
        <v>19</v>
      </c>
      <c r="Y21">
        <f t="shared" si="13"/>
        <v>26607.17600000001</v>
      </c>
      <c r="Z21">
        <f t="shared" si="14"/>
        <v>-33063.655999999581</v>
      </c>
      <c r="AA21">
        <f t="shared" si="8"/>
        <v>8637.8665119499401</v>
      </c>
      <c r="AB21">
        <f t="shared" si="9"/>
        <v>-244021.15593360519</v>
      </c>
      <c r="AC21">
        <f t="shared" si="7"/>
        <v>42535.566852000069</v>
      </c>
      <c r="AD21">
        <f t="shared" si="10"/>
        <v>13808.92690294149</v>
      </c>
      <c r="AE21">
        <f t="shared" si="11"/>
        <v>-174205.40765319517</v>
      </c>
    </row>
    <row r="22" spans="1:36" x14ac:dyDescent="0.35">
      <c r="A22" s="1">
        <v>21</v>
      </c>
      <c r="B22" s="62">
        <v>1195.617299383852</v>
      </c>
      <c r="C22" s="62">
        <v>2</v>
      </c>
      <c r="D22" s="62">
        <v>3497.79</v>
      </c>
      <c r="E22" s="62">
        <v>5</v>
      </c>
      <c r="F22" s="62">
        <v>1.2</v>
      </c>
      <c r="G22" s="62">
        <f>(C22*$M$11*1000)+M22</f>
        <v>7200</v>
      </c>
      <c r="H22" s="62">
        <f>$M$31*C22</f>
        <v>71.2</v>
      </c>
      <c r="I22" s="56">
        <f t="shared" si="4"/>
        <v>2.0355710319944882E-2</v>
      </c>
      <c r="J22" s="56">
        <f t="shared" si="0"/>
        <v>1780</v>
      </c>
      <c r="K22" s="56"/>
      <c r="L22" s="4" t="s">
        <v>288</v>
      </c>
      <c r="M22" s="4">
        <v>2000</v>
      </c>
      <c r="N22" s="4" t="s">
        <v>289</v>
      </c>
      <c r="O22" s="56"/>
      <c r="P22" s="1">
        <v>404.33800000000002</v>
      </c>
      <c r="Q22" s="1">
        <f t="shared" si="5"/>
        <v>-6795.6620000000003</v>
      </c>
      <c r="R22" s="1">
        <f t="shared" si="1"/>
        <v>10108.450000000001</v>
      </c>
      <c r="S22" s="1">
        <f t="shared" si="6"/>
        <v>2908.4500000000007</v>
      </c>
      <c r="T22" s="1">
        <f t="shared" si="2"/>
        <v>0.26123546352225935</v>
      </c>
      <c r="U22" s="1">
        <f t="shared" si="3"/>
        <v>0.46858036398899439</v>
      </c>
      <c r="V22" s="1"/>
      <c r="W22" s="1"/>
      <c r="X22" s="1">
        <f t="shared" si="12"/>
        <v>20</v>
      </c>
      <c r="Y22">
        <f t="shared" si="13"/>
        <v>26607.17600000001</v>
      </c>
      <c r="Z22">
        <f t="shared" si="14"/>
        <v>-6456.4799999995703</v>
      </c>
      <c r="AA22">
        <f t="shared" si="8"/>
        <v>8141.2502468896691</v>
      </c>
      <c r="AB22">
        <f t="shared" si="9"/>
        <v>-235879.90568671553</v>
      </c>
      <c r="AC22">
        <f t="shared" si="7"/>
        <v>43598.956023300059</v>
      </c>
      <c r="AD22">
        <f t="shared" si="10"/>
        <v>13340.386499071652</v>
      </c>
      <c r="AE22">
        <f t="shared" si="11"/>
        <v>-160865.02115412353</v>
      </c>
    </row>
    <row r="23" spans="1:36" x14ac:dyDescent="0.35">
      <c r="A23" s="1">
        <v>22</v>
      </c>
      <c r="B23" s="1">
        <v>4102.942217502793</v>
      </c>
      <c r="C23" s="1">
        <v>4</v>
      </c>
      <c r="D23" s="1">
        <v>6995.57</v>
      </c>
      <c r="E23" s="1">
        <v>10</v>
      </c>
      <c r="F23" s="1">
        <v>0</v>
      </c>
      <c r="G23" s="1">
        <f t="shared" si="15"/>
        <v>10400</v>
      </c>
      <c r="H23" s="1">
        <f>$M$12*C23</f>
        <v>106</v>
      </c>
      <c r="I23" s="4">
        <f t="shared" si="4"/>
        <v>1.5152446476841773E-2</v>
      </c>
      <c r="J23" s="4">
        <f t="shared" si="0"/>
        <v>2650</v>
      </c>
      <c r="K23" s="4"/>
      <c r="L23" s="4" t="s">
        <v>288</v>
      </c>
      <c r="M23" s="1">
        <v>3500</v>
      </c>
      <c r="N23" s="4" t="s">
        <v>296</v>
      </c>
      <c r="O23" s="4"/>
      <c r="P23" s="1">
        <v>568.94799999999998</v>
      </c>
      <c r="Q23" s="1">
        <f t="shared" si="5"/>
        <v>-9831.0519999999997</v>
      </c>
      <c r="R23" s="1">
        <f t="shared" si="1"/>
        <v>14223.699999999999</v>
      </c>
      <c r="S23" s="1">
        <f t="shared" si="6"/>
        <v>3823.6999999999989</v>
      </c>
      <c r="T23" s="1">
        <f t="shared" si="2"/>
        <v>0.1165431017547495</v>
      </c>
      <c r="U23" s="1">
        <f t="shared" si="3"/>
        <v>0.20381832952865786</v>
      </c>
      <c r="V23" s="1"/>
      <c r="W23" s="1"/>
      <c r="X23" s="1">
        <f t="shared" si="12"/>
        <v>21</v>
      </c>
      <c r="Y23">
        <f t="shared" si="13"/>
        <v>26607.17600000001</v>
      </c>
      <c r="Z23">
        <f t="shared" si="14"/>
        <v>20150.69600000044</v>
      </c>
      <c r="AA23">
        <f t="shared" si="8"/>
        <v>7673.1859065878125</v>
      </c>
      <c r="AB23">
        <f t="shared" si="9"/>
        <v>-228206.71978012772</v>
      </c>
      <c r="AC23">
        <f t="shared" si="7"/>
        <v>44688.929923882562</v>
      </c>
      <c r="AD23">
        <f t="shared" si="10"/>
        <v>12887.743790337838</v>
      </c>
      <c r="AE23">
        <f t="shared" si="11"/>
        <v>-147977.27736378569</v>
      </c>
    </row>
    <row r="24" spans="1:36" x14ac:dyDescent="0.35">
      <c r="A24" s="1">
        <v>23</v>
      </c>
      <c r="B24" s="62">
        <v>2916.9354826987528</v>
      </c>
      <c r="C24" s="62">
        <v>2</v>
      </c>
      <c r="D24" s="62">
        <v>3465.23</v>
      </c>
      <c r="E24" s="62">
        <v>5</v>
      </c>
      <c r="F24" s="62">
        <v>2</v>
      </c>
      <c r="G24" s="62">
        <f>(C24*$M$11*1000)+M23</f>
        <v>8700</v>
      </c>
      <c r="H24" s="62">
        <f>$M$31*C24</f>
        <v>71.2</v>
      </c>
      <c r="I24" s="56">
        <f t="shared" si="4"/>
        <v>2.0546976679758633E-2</v>
      </c>
      <c r="J24" s="56">
        <f t="shared" si="0"/>
        <v>1780</v>
      </c>
      <c r="K24" s="56"/>
      <c r="L24" s="4" t="s">
        <v>288</v>
      </c>
      <c r="M24" s="4">
        <v>3900</v>
      </c>
      <c r="N24" s="4" t="s">
        <v>290</v>
      </c>
      <c r="O24" s="56"/>
      <c r="P24" s="1">
        <v>332.65499999999997</v>
      </c>
      <c r="Q24" s="1">
        <f t="shared" si="5"/>
        <v>-8367.3449999999993</v>
      </c>
      <c r="R24" s="1">
        <f t="shared" si="1"/>
        <v>8316.375</v>
      </c>
      <c r="S24" s="1">
        <f t="shared" si="6"/>
        <v>-383.625</v>
      </c>
      <c r="T24" s="1">
        <f t="shared" si="2"/>
        <v>0.13985026674705553</v>
      </c>
      <c r="U24" s="1">
        <f t="shared" si="3"/>
        <v>0.24254436401134988</v>
      </c>
      <c r="V24" s="1"/>
      <c r="W24" s="1"/>
      <c r="X24" s="1">
        <f t="shared" si="12"/>
        <v>22</v>
      </c>
      <c r="Y24">
        <f t="shared" si="13"/>
        <v>26607.17600000001</v>
      </c>
      <c r="Z24">
        <f t="shared" si="14"/>
        <v>46757.872000000454</v>
      </c>
      <c r="AA24">
        <f t="shared" si="8"/>
        <v>7232.031957198692</v>
      </c>
      <c r="AB24">
        <f t="shared" si="9"/>
        <v>-220974.68782292903</v>
      </c>
      <c r="AC24">
        <f t="shared" si="7"/>
        <v>45806.153171979618</v>
      </c>
      <c r="AD24">
        <f t="shared" si="10"/>
        <v>12450.459363898473</v>
      </c>
      <c r="AE24">
        <f t="shared" si="11"/>
        <v>-135526.81799988722</v>
      </c>
    </row>
    <row r="25" spans="1:36" x14ac:dyDescent="0.35">
      <c r="A25" s="1">
        <v>24</v>
      </c>
      <c r="B25" s="62">
        <v>4395.7178346280416</v>
      </c>
      <c r="C25" s="62">
        <v>4</v>
      </c>
      <c r="D25" s="62">
        <v>6930.46</v>
      </c>
      <c r="E25" s="62">
        <v>10</v>
      </c>
      <c r="F25" s="62">
        <v>3.3</v>
      </c>
      <c r="G25" s="62">
        <f>(C25*$M$11*1000)+M24</f>
        <v>14300</v>
      </c>
      <c r="H25" s="62">
        <f>$M$31*C25</f>
        <v>142.4</v>
      </c>
      <c r="I25" s="56">
        <f t="shared" si="4"/>
        <v>2.0546976679758633E-2</v>
      </c>
      <c r="J25" s="56">
        <f t="shared" si="0"/>
        <v>3560</v>
      </c>
      <c r="K25" s="56"/>
      <c r="L25" s="4" t="s">
        <v>288</v>
      </c>
      <c r="M25" s="4">
        <v>4600</v>
      </c>
      <c r="N25" s="4" t="s">
        <v>291</v>
      </c>
      <c r="O25" s="56"/>
      <c r="P25" s="1">
        <v>688.471</v>
      </c>
      <c r="Q25" s="1">
        <f t="shared" si="5"/>
        <v>-13611.529</v>
      </c>
      <c r="R25" s="1">
        <f t="shared" si="1"/>
        <v>17211.775000000001</v>
      </c>
      <c r="S25" s="1">
        <f t="shared" si="6"/>
        <v>2911.7750000000015</v>
      </c>
      <c r="T25" s="1">
        <f t="shared" si="2"/>
        <v>0.15067361845234223</v>
      </c>
      <c r="U25" s="1">
        <f t="shared" si="3"/>
        <v>0.26268425956149954</v>
      </c>
      <c r="V25" s="1"/>
      <c r="W25" s="1"/>
      <c r="X25" s="1">
        <f t="shared" si="12"/>
        <v>23</v>
      </c>
      <c r="Y25">
        <f t="shared" si="13"/>
        <v>26607.17600000001</v>
      </c>
      <c r="Z25">
        <f t="shared" si="14"/>
        <v>73365.048000000461</v>
      </c>
      <c r="AA25">
        <f t="shared" si="8"/>
        <v>6816.2412414690798</v>
      </c>
      <c r="AB25">
        <f t="shared" si="9"/>
        <v>-214158.44658145995</v>
      </c>
      <c r="AC25">
        <f t="shared" si="7"/>
        <v>46951.307001279114</v>
      </c>
      <c r="AD25">
        <f t="shared" si="10"/>
        <v>12028.012109326992</v>
      </c>
      <c r="AE25">
        <f t="shared" si="11"/>
        <v>-123498.80589056024</v>
      </c>
    </row>
    <row r="26" spans="1:36" x14ac:dyDescent="0.35">
      <c r="A26" s="1">
        <v>25</v>
      </c>
      <c r="B26" s="1">
        <v>3480.4540913845358</v>
      </c>
      <c r="C26" s="1">
        <v>2</v>
      </c>
      <c r="D26" s="1">
        <v>3465.23</v>
      </c>
      <c r="E26" s="1">
        <v>5</v>
      </c>
      <c r="F26" s="1">
        <v>0</v>
      </c>
      <c r="G26" s="1">
        <f t="shared" si="15"/>
        <v>5200</v>
      </c>
      <c r="H26" s="1">
        <f>$M$12*C26</f>
        <v>53</v>
      </c>
      <c r="I26" s="4">
        <f t="shared" si="4"/>
        <v>1.5294800056561902E-2</v>
      </c>
      <c r="J26" s="4">
        <f t="shared" si="0"/>
        <v>1325</v>
      </c>
      <c r="K26" s="4"/>
      <c r="L26" s="4" t="s">
        <v>288</v>
      </c>
      <c r="M26" s="4">
        <v>3400</v>
      </c>
      <c r="N26" s="4" t="s">
        <v>293</v>
      </c>
      <c r="O26" s="4"/>
      <c r="P26" s="1">
        <v>162.71799999999999</v>
      </c>
      <c r="Q26" s="1">
        <f t="shared" si="5"/>
        <v>-5037.2820000000002</v>
      </c>
      <c r="R26" s="1">
        <f t="shared" si="1"/>
        <v>4067.95</v>
      </c>
      <c r="S26" s="1">
        <f t="shared" si="6"/>
        <v>-1132.0500000000002</v>
      </c>
      <c r="T26" s="1">
        <f t="shared" si="2"/>
        <v>7.505711685162611E-2</v>
      </c>
      <c r="U26" s="1">
        <f t="shared" si="3"/>
        <v>0.12649942971852179</v>
      </c>
      <c r="V26" s="1"/>
      <c r="W26" s="1"/>
      <c r="X26" s="1">
        <f>X25+1</f>
        <v>24</v>
      </c>
      <c r="Y26">
        <f t="shared" si="13"/>
        <v>26607.17600000001</v>
      </c>
      <c r="Z26">
        <f t="shared" si="14"/>
        <v>99972.224000000468</v>
      </c>
      <c r="AA26">
        <f t="shared" si="8"/>
        <v>6424.3555527512535</v>
      </c>
      <c r="AB26">
        <f t="shared" si="9"/>
        <v>-207734.0910287087</v>
      </c>
      <c r="AC26">
        <f t="shared" si="7"/>
        <v>48125.089676311087</v>
      </c>
      <c r="AD26">
        <f t="shared" si="10"/>
        <v>11619.898597606189</v>
      </c>
      <c r="AE26">
        <f t="shared" si="11"/>
        <v>-111878.90729295404</v>
      </c>
    </row>
    <row r="27" spans="1:36" x14ac:dyDescent="0.35">
      <c r="A27" s="1">
        <v>26</v>
      </c>
      <c r="B27" s="1">
        <v>5233.1130996820621</v>
      </c>
      <c r="C27" s="1">
        <v>4</v>
      </c>
      <c r="D27" s="1">
        <v>6930.46</v>
      </c>
      <c r="E27" s="1">
        <v>10</v>
      </c>
      <c r="F27" s="1">
        <v>0</v>
      </c>
      <c r="G27" s="1">
        <f t="shared" si="15"/>
        <v>10400</v>
      </c>
      <c r="H27" s="1">
        <f>$M$12*C27</f>
        <v>106</v>
      </c>
      <c r="I27" s="4">
        <f t="shared" si="4"/>
        <v>1.5294800056561902E-2</v>
      </c>
      <c r="J27" s="4">
        <f t="shared" si="0"/>
        <v>2650</v>
      </c>
      <c r="K27" s="4"/>
      <c r="L27" s="4" t="s">
        <v>288</v>
      </c>
      <c r="M27" s="4">
        <v>4400</v>
      </c>
      <c r="N27" s="4" t="s">
        <v>292</v>
      </c>
      <c r="O27" s="4"/>
      <c r="P27" s="1">
        <v>445.92099999999999</v>
      </c>
      <c r="Q27" s="1">
        <f t="shared" si="5"/>
        <v>-9954.0789999999997</v>
      </c>
      <c r="R27" s="1">
        <f t="shared" si="1"/>
        <v>11148.025</v>
      </c>
      <c r="S27" s="1">
        <f t="shared" si="6"/>
        <v>748.02499999999964</v>
      </c>
      <c r="T27" s="1">
        <f t="shared" si="2"/>
        <v>9.4788591242782216E-2</v>
      </c>
      <c r="U27" s="1">
        <f t="shared" si="3"/>
        <v>0.1632153975729371</v>
      </c>
      <c r="V27" s="1"/>
      <c r="W27" s="1"/>
      <c r="X27" s="1">
        <f t="shared" si="12"/>
        <v>25</v>
      </c>
      <c r="Y27">
        <f t="shared" si="13"/>
        <v>26607.17600000001</v>
      </c>
      <c r="Z27">
        <f t="shared" si="14"/>
        <v>126579.40000000047</v>
      </c>
      <c r="AA27">
        <f t="shared" si="8"/>
        <v>6055.0005209719639</v>
      </c>
      <c r="AB27">
        <f t="shared" si="9"/>
        <v>-201679.09050773675</v>
      </c>
      <c r="AC27">
        <f t="shared" si="7"/>
        <v>49328.216918218859</v>
      </c>
      <c r="AD27">
        <f t="shared" si="10"/>
        <v>11225.632481193536</v>
      </c>
      <c r="AE27">
        <f t="shared" si="11"/>
        <v>-100653.27481176051</v>
      </c>
    </row>
    <row r="28" spans="1:36" x14ac:dyDescent="0.35">
      <c r="A28" s="1">
        <v>27</v>
      </c>
      <c r="B28" s="1">
        <v>6696.2920887280334</v>
      </c>
      <c r="C28" s="1">
        <v>4</v>
      </c>
      <c r="D28" s="1">
        <v>6930.46</v>
      </c>
      <c r="E28" s="1">
        <v>10</v>
      </c>
      <c r="F28" s="1">
        <v>0</v>
      </c>
      <c r="G28" s="1">
        <f t="shared" si="15"/>
        <v>10400</v>
      </c>
      <c r="H28" s="1">
        <f>$M$12*C28</f>
        <v>106</v>
      </c>
      <c r="I28" s="4">
        <f t="shared" si="4"/>
        <v>1.5294800056561902E-2</v>
      </c>
      <c r="J28" s="4">
        <f t="shared" si="0"/>
        <v>2650</v>
      </c>
      <c r="K28" s="4"/>
      <c r="L28" s="4" t="s">
        <v>288</v>
      </c>
      <c r="M28" s="4">
        <v>8000</v>
      </c>
      <c r="N28" s="4" t="s">
        <v>294</v>
      </c>
      <c r="O28" s="4"/>
      <c r="P28" s="1">
        <v>303.62900000000002</v>
      </c>
      <c r="Q28" s="1">
        <f t="shared" si="5"/>
        <v>-10096.370999999999</v>
      </c>
      <c r="R28" s="1">
        <f t="shared" si="1"/>
        <v>7590.7250000000004</v>
      </c>
      <c r="S28" s="1">
        <f t="shared" si="6"/>
        <v>-2809.2749999999996</v>
      </c>
      <c r="T28" s="1">
        <f t="shared" si="2"/>
        <v>7.7418732896985462E-2</v>
      </c>
      <c r="U28" s="1">
        <f t="shared" si="3"/>
        <v>0.13089388180491782</v>
      </c>
      <c r="V28" s="1"/>
      <c r="W28" s="1"/>
      <c r="X28" s="1"/>
    </row>
    <row r="29" spans="1:36" x14ac:dyDescent="0.35">
      <c r="A29" s="1">
        <v>28</v>
      </c>
      <c r="B29" s="62">
        <v>8230.4847304692612</v>
      </c>
      <c r="C29" s="62">
        <v>6</v>
      </c>
      <c r="D29" s="62">
        <v>10395.700000000001</v>
      </c>
      <c r="E29" s="62">
        <v>15</v>
      </c>
      <c r="F29" s="62">
        <v>5</v>
      </c>
      <c r="G29" s="62">
        <f>(C29*$M$11*1000)+M26</f>
        <v>19000</v>
      </c>
      <c r="H29" s="62">
        <f>$M$31*C29</f>
        <v>213.60000000000002</v>
      </c>
      <c r="I29" s="56">
        <f t="shared" si="4"/>
        <v>2.0546956914878269E-2</v>
      </c>
      <c r="J29" s="56">
        <f t="shared" si="0"/>
        <v>5340.0000000000009</v>
      </c>
      <c r="K29" s="56"/>
      <c r="L29" s="4" t="s">
        <v>288</v>
      </c>
      <c r="M29" s="4">
        <v>7300</v>
      </c>
      <c r="N29" s="4" t="s">
        <v>295</v>
      </c>
      <c r="O29" s="56"/>
      <c r="P29" s="1">
        <v>1060.5</v>
      </c>
      <c r="Q29" s="1">
        <f t="shared" si="5"/>
        <v>-17939.5</v>
      </c>
      <c r="R29" s="1">
        <f t="shared" si="1"/>
        <v>26512.5</v>
      </c>
      <c r="S29" s="1">
        <f t="shared" si="6"/>
        <v>7512.5</v>
      </c>
      <c r="T29" s="1">
        <f t="shared" si="2"/>
        <v>0.1128865972748779</v>
      </c>
      <c r="U29" s="1">
        <f t="shared" si="3"/>
        <v>0.19237087640188869</v>
      </c>
      <c r="V29" s="1"/>
      <c r="W29" s="1"/>
    </row>
    <row r="30" spans="1:36" x14ac:dyDescent="0.35">
      <c r="A30" s="1">
        <v>29</v>
      </c>
      <c r="B30" s="62">
        <v>3184.1460343074909</v>
      </c>
      <c r="C30" s="62">
        <v>2</v>
      </c>
      <c r="D30" s="62">
        <v>3465.23</v>
      </c>
      <c r="E30" s="62">
        <v>5</v>
      </c>
      <c r="F30" s="62">
        <v>3.3</v>
      </c>
      <c r="G30" s="62">
        <f>(C30*$M$11*1000)+M24</f>
        <v>9100</v>
      </c>
      <c r="H30" s="62">
        <f>$M$31*C30</f>
        <v>71.2</v>
      </c>
      <c r="I30" s="56">
        <f t="shared" si="4"/>
        <v>2.0546976679758633E-2</v>
      </c>
      <c r="J30" s="56">
        <f t="shared" si="0"/>
        <v>1780</v>
      </c>
      <c r="K30" s="56"/>
      <c r="L30" s="4" t="s">
        <v>288</v>
      </c>
      <c r="M30" s="4">
        <v>16000</v>
      </c>
      <c r="N30" s="4" t="s">
        <v>297</v>
      </c>
      <c r="O30" s="56"/>
      <c r="P30" s="1">
        <v>350.53500000000003</v>
      </c>
      <c r="Q30" s="1">
        <f t="shared" si="5"/>
        <v>-8749.4650000000001</v>
      </c>
      <c r="R30" s="1">
        <f t="shared" si="1"/>
        <v>8763.375</v>
      </c>
      <c r="S30" s="1">
        <f t="shared" si="6"/>
        <v>-336.625</v>
      </c>
      <c r="T30" s="1">
        <f t="shared" si="2"/>
        <v>0.1348633415945874</v>
      </c>
      <c r="U30" s="1">
        <f t="shared" si="3"/>
        <v>0.23326478459621694</v>
      </c>
      <c r="V30" s="1"/>
      <c r="W30" s="1"/>
      <c r="Z30" t="s">
        <v>6</v>
      </c>
      <c r="AA30" t="s">
        <v>6</v>
      </c>
      <c r="AJ30" t="s">
        <v>6</v>
      </c>
    </row>
    <row r="31" spans="1:36" x14ac:dyDescent="0.35">
      <c r="A31" s="1">
        <v>30</v>
      </c>
      <c r="B31" s="62">
        <v>2455.556329062375</v>
      </c>
      <c r="C31" s="62">
        <v>2</v>
      </c>
      <c r="D31" s="62">
        <v>3465.23</v>
      </c>
      <c r="E31" s="62">
        <v>5</v>
      </c>
      <c r="F31" s="62">
        <v>1.2</v>
      </c>
      <c r="G31" s="62">
        <f>(C31*$M$11*1000)+M22</f>
        <v>7200</v>
      </c>
      <c r="H31" s="62">
        <f>$M$31*C31</f>
        <v>71.2</v>
      </c>
      <c r="I31" s="56">
        <f t="shared" si="4"/>
        <v>2.0546976679758633E-2</v>
      </c>
      <c r="J31" s="56">
        <f t="shared" si="0"/>
        <v>1780</v>
      </c>
      <c r="K31" s="56"/>
      <c r="L31" s="1" t="s">
        <v>248</v>
      </c>
      <c r="M31" s="1">
        <v>35.6</v>
      </c>
      <c r="O31" s="56"/>
      <c r="P31" s="1">
        <v>355.16899999999998</v>
      </c>
      <c r="Q31" s="1">
        <f t="shared" si="5"/>
        <v>-6844.8310000000001</v>
      </c>
      <c r="R31" s="1">
        <f t="shared" si="1"/>
        <v>8879.2250000000004</v>
      </c>
      <c r="S31" s="1">
        <f t="shared" si="6"/>
        <v>1679.2250000000004</v>
      </c>
      <c r="T31" s="1">
        <f t="shared" si="2"/>
        <v>0.13783200760795133</v>
      </c>
      <c r="U31" s="1">
        <f t="shared" si="3"/>
        <v>0.23878882419692818</v>
      </c>
      <c r="V31" s="1"/>
      <c r="W31" s="1" t="s">
        <v>287</v>
      </c>
      <c r="X31" s="1">
        <v>0</v>
      </c>
      <c r="Y31">
        <f>-W34</f>
        <v>-11000</v>
      </c>
      <c r="Z31">
        <f>Y31</f>
        <v>-11000</v>
      </c>
      <c r="AB31">
        <f>Y31</f>
        <v>-11000</v>
      </c>
      <c r="AC31">
        <f>Y31</f>
        <v>-11000</v>
      </c>
      <c r="AE31">
        <f>Y31</f>
        <v>-11000</v>
      </c>
    </row>
    <row r="32" spans="1:36" ht="29" x14ac:dyDescent="0.35">
      <c r="A32" s="1">
        <v>31</v>
      </c>
      <c r="B32" s="1">
        <v>1553.515228702383</v>
      </c>
      <c r="C32" s="1">
        <v>2</v>
      </c>
      <c r="D32" s="1">
        <v>3465.23</v>
      </c>
      <c r="E32" s="1">
        <v>5</v>
      </c>
      <c r="F32" s="1">
        <v>0</v>
      </c>
      <c r="G32" s="1">
        <f t="shared" si="15"/>
        <v>5200</v>
      </c>
      <c r="H32" s="1">
        <f>$M$12*C32</f>
        <v>53</v>
      </c>
      <c r="I32" s="4">
        <f t="shared" si="4"/>
        <v>1.5294800056561902E-2</v>
      </c>
      <c r="J32" s="4">
        <f t="shared" si="0"/>
        <v>1325</v>
      </c>
      <c r="K32" s="4"/>
      <c r="L32" s="77" t="s">
        <v>260</v>
      </c>
      <c r="M32" s="1">
        <v>220</v>
      </c>
      <c r="O32" s="4"/>
      <c r="P32" s="1">
        <v>341.471</v>
      </c>
      <c r="Q32" s="1">
        <f t="shared" si="5"/>
        <v>-4858.5290000000005</v>
      </c>
      <c r="R32" s="1">
        <f t="shared" si="1"/>
        <v>8536.7749999999996</v>
      </c>
      <c r="S32" s="1">
        <f t="shared" si="6"/>
        <v>3336.7749999999996</v>
      </c>
      <c r="T32" s="1">
        <f t="shared" si="2"/>
        <v>0.1491847009452309</v>
      </c>
      <c r="U32" s="1">
        <f t="shared" si="3"/>
        <v>0.26443468689961436</v>
      </c>
      <c r="V32" s="1"/>
      <c r="W32" s="1"/>
      <c r="X32" s="1">
        <v>1</v>
      </c>
      <c r="Y32">
        <f>W37</f>
        <v>4685.0797199999997</v>
      </c>
      <c r="Z32">
        <f>Z31+Y32</f>
        <v>-6314.9202800000003</v>
      </c>
      <c r="AA32">
        <f>Y32/(1+$M$13)^X32</f>
        <v>4415.7207540056552</v>
      </c>
      <c r="AB32">
        <f>AB31+AA32</f>
        <v>-6584.2792459943448</v>
      </c>
      <c r="AC32">
        <f>$W$37*((1+$M$37)^X32)</f>
        <v>4802.2067129999996</v>
      </c>
      <c r="AD32">
        <f>AC32/(1+$M$13)^X32</f>
        <v>4526.113772855796</v>
      </c>
      <c r="AE32">
        <f>AE31+AD32</f>
        <v>-6473.886227144204</v>
      </c>
    </row>
    <row r="33" spans="1:31" ht="29" x14ac:dyDescent="0.35">
      <c r="A33" s="1">
        <v>32</v>
      </c>
      <c r="B33" s="62">
        <v>14627.53150971361</v>
      </c>
      <c r="C33" s="62">
        <v>10</v>
      </c>
      <c r="D33" s="62">
        <v>17326.099999999999</v>
      </c>
      <c r="E33" s="62">
        <v>25</v>
      </c>
      <c r="F33" s="62">
        <f>19.4</f>
        <v>19.399999999999999</v>
      </c>
      <c r="G33" s="62">
        <f>(C33*$M$11*1000)+M30</f>
        <v>42000</v>
      </c>
      <c r="H33" s="62">
        <f>$M$31*C33</f>
        <v>356</v>
      </c>
      <c r="I33" s="56">
        <f t="shared" si="4"/>
        <v>2.0547035974627877E-2</v>
      </c>
      <c r="J33" s="56">
        <f t="shared" si="0"/>
        <v>8900</v>
      </c>
      <c r="K33" s="56"/>
      <c r="L33" s="77" t="s">
        <v>261</v>
      </c>
      <c r="M33" s="1">
        <v>165</v>
      </c>
      <c r="O33" s="56"/>
      <c r="P33" s="1">
        <v>1573.54</v>
      </c>
      <c r="Q33" s="1">
        <f t="shared" si="5"/>
        <v>-40426.46</v>
      </c>
      <c r="R33" s="1">
        <f t="shared" si="1"/>
        <v>39338.5</v>
      </c>
      <c r="S33" s="1">
        <f t="shared" si="6"/>
        <v>-2661.5</v>
      </c>
      <c r="T33" s="1">
        <f t="shared" si="2"/>
        <v>0.13539895059086871</v>
      </c>
      <c r="U33" s="1">
        <f t="shared" si="3"/>
        <v>0.23426138501273194</v>
      </c>
      <c r="V33" s="1"/>
      <c r="W33" s="73" t="s">
        <v>285</v>
      </c>
      <c r="X33" s="1">
        <f>X32+1</f>
        <v>2</v>
      </c>
      <c r="Y33">
        <f>Y32</f>
        <v>4685.0797199999997</v>
      </c>
      <c r="Z33">
        <f>Z32+Y33</f>
        <v>-1629.8405600000006</v>
      </c>
      <c r="AA33">
        <f t="shared" ref="AA33:AA56" si="16">Y33/(1+$M$13)^X33</f>
        <v>4161.8480245105138</v>
      </c>
      <c r="AB33">
        <f t="shared" ref="AB33:AB56" si="17">AB32+AA33</f>
        <v>-2422.431221483831</v>
      </c>
      <c r="AC33">
        <f>$W$8*((1+$M$37)^X33)</f>
        <v>27954.16428500001</v>
      </c>
      <c r="AD33">
        <f t="shared" ref="AD33:AD56" si="18">AC33/(1+$M$13)^X33</f>
        <v>24832.231329965427</v>
      </c>
      <c r="AE33">
        <f t="shared" ref="AE33:AE56" si="19">AE32+AD33</f>
        <v>18358.345102821222</v>
      </c>
    </row>
    <row r="34" spans="1:31" x14ac:dyDescent="0.35">
      <c r="A34" s="1">
        <v>33</v>
      </c>
      <c r="B34" s="62">
        <v>4264.5516094210579</v>
      </c>
      <c r="C34" s="62">
        <v>4</v>
      </c>
      <c r="D34" s="62">
        <v>6930.46</v>
      </c>
      <c r="E34" s="62">
        <v>10</v>
      </c>
      <c r="F34" s="62">
        <v>6</v>
      </c>
      <c r="G34" s="62">
        <f>(C34*$M$11*1000)+M27</f>
        <v>14800</v>
      </c>
      <c r="H34" s="62">
        <f>$M$31*C34</f>
        <v>142.4</v>
      </c>
      <c r="I34" s="56">
        <f t="shared" si="4"/>
        <v>2.0546976679758633E-2</v>
      </c>
      <c r="J34" s="56">
        <f t="shared" si="0"/>
        <v>3560</v>
      </c>
      <c r="K34" s="56"/>
      <c r="L34" s="1" t="s">
        <v>250</v>
      </c>
      <c r="M34" s="1">
        <v>3.1E-2</v>
      </c>
      <c r="O34" s="56"/>
      <c r="P34" s="1">
        <v>685.03399999999999</v>
      </c>
      <c r="Q34" s="1">
        <f t="shared" si="5"/>
        <v>-14114.966</v>
      </c>
      <c r="R34" s="1">
        <f t="shared" ref="R34:R65" si="20">P34*$M$40</f>
        <v>17125.849999999999</v>
      </c>
      <c r="S34" s="1">
        <f t="shared" si="6"/>
        <v>2325.8499999999985</v>
      </c>
      <c r="T34" s="1">
        <f t="shared" ref="T34:T65" si="21">(G34/($M$40*B34))+I34</f>
        <v>0.15936579146257893</v>
      </c>
      <c r="U34" s="1">
        <f t="shared" ref="U34:U65" si="22">(G34/($M$43*B34))+I34</f>
        <v>0.27885849664597762</v>
      </c>
      <c r="V34" s="1"/>
      <c r="W34" s="1">
        <f>200*55</f>
        <v>11000</v>
      </c>
      <c r="X34" s="1">
        <f t="shared" ref="X34:X48" si="23">X33+1</f>
        <v>3</v>
      </c>
      <c r="Y34">
        <f t="shared" ref="Y34:Y56" si="24">Y33</f>
        <v>4685.0797199999997</v>
      </c>
      <c r="Z34">
        <f t="shared" ref="Z34:Z56" si="25">Z33+Y34</f>
        <v>3055.2391599999992</v>
      </c>
      <c r="AA34">
        <f t="shared" si="16"/>
        <v>3922.5711823850274</v>
      </c>
      <c r="AB34">
        <f t="shared" si="17"/>
        <v>1500.1399609011964</v>
      </c>
      <c r="AC34">
        <f>$W$37*((1+$M$37)^X34)</f>
        <v>5045.3184278456238</v>
      </c>
      <c r="AD34">
        <f t="shared" si="18"/>
        <v>4224.1801322056008</v>
      </c>
      <c r="AE34">
        <f t="shared" si="19"/>
        <v>22582.525235026824</v>
      </c>
    </row>
    <row r="35" spans="1:31" x14ac:dyDescent="0.35">
      <c r="A35" s="1">
        <v>34</v>
      </c>
      <c r="B35" s="1">
        <v>5041.8344142687847</v>
      </c>
      <c r="C35" s="1">
        <v>4</v>
      </c>
      <c r="D35" s="1">
        <v>7106.6</v>
      </c>
      <c r="E35" s="1">
        <v>10</v>
      </c>
      <c r="F35" s="1">
        <v>0</v>
      </c>
      <c r="G35" s="1">
        <f t="shared" si="15"/>
        <v>10400</v>
      </c>
      <c r="H35" s="1">
        <f>$M$12*C35</f>
        <v>106</v>
      </c>
      <c r="I35" s="4">
        <f t="shared" si="4"/>
        <v>1.4915712154898262E-2</v>
      </c>
      <c r="J35" s="4">
        <f t="shared" si="0"/>
        <v>2650</v>
      </c>
      <c r="K35" s="4"/>
      <c r="L35" s="1" t="s">
        <v>251</v>
      </c>
      <c r="M35" s="1" t="s">
        <v>252</v>
      </c>
      <c r="O35" s="4"/>
      <c r="P35" s="1">
        <v>545.86400000000003</v>
      </c>
      <c r="Q35" s="1">
        <f t="shared" si="5"/>
        <v>-9854.1360000000004</v>
      </c>
      <c r="R35" s="1">
        <f t="shared" si="20"/>
        <v>13646.6</v>
      </c>
      <c r="S35" s="1">
        <f t="shared" si="6"/>
        <v>3246.6000000000004</v>
      </c>
      <c r="T35" s="1">
        <f t="shared" si="21"/>
        <v>9.7425363567226989E-2</v>
      </c>
      <c r="U35" s="1">
        <f t="shared" si="22"/>
        <v>0.1684481674027381</v>
      </c>
      <c r="V35" s="1"/>
      <c r="W35" s="1"/>
      <c r="X35" s="1">
        <f t="shared" si="23"/>
        <v>4</v>
      </c>
      <c r="Y35">
        <f t="shared" si="24"/>
        <v>4685.0797199999997</v>
      </c>
      <c r="Z35">
        <f t="shared" si="25"/>
        <v>7740.3188799999989</v>
      </c>
      <c r="AA35">
        <f t="shared" si="16"/>
        <v>3697.0510672808928</v>
      </c>
      <c r="AB35">
        <f t="shared" si="17"/>
        <v>5197.1910281820892</v>
      </c>
      <c r="AC35">
        <f t="shared" ref="AC35:AC56" si="26">$W$8*((1+$M$37)^X35)</f>
        <v>29369.34385192813</v>
      </c>
      <c r="AD35">
        <f t="shared" si="18"/>
        <v>23175.691881953808</v>
      </c>
      <c r="AE35">
        <f t="shared" si="19"/>
        <v>45758.217116980632</v>
      </c>
    </row>
    <row r="36" spans="1:31" ht="29" x14ac:dyDescent="0.35">
      <c r="A36" s="1">
        <v>35</v>
      </c>
      <c r="B36" s="62">
        <v>1680.154057549307</v>
      </c>
      <c r="C36" s="62">
        <v>2</v>
      </c>
      <c r="D36" s="62">
        <v>3553.3</v>
      </c>
      <c r="E36" s="62">
        <v>5</v>
      </c>
      <c r="F36" s="62">
        <v>1.2</v>
      </c>
      <c r="G36" s="62">
        <f>(C36*$M$11*1000)+M22</f>
        <v>7200</v>
      </c>
      <c r="H36" s="62">
        <f>$M$31*C36</f>
        <v>71.2</v>
      </c>
      <c r="I36" s="56">
        <f t="shared" si="4"/>
        <v>2.0037711423184081E-2</v>
      </c>
      <c r="J36" s="56">
        <f t="shared" si="0"/>
        <v>1780</v>
      </c>
      <c r="K36" s="56"/>
      <c r="L36" s="1" t="s">
        <v>262</v>
      </c>
      <c r="M36" s="1">
        <v>7.0000000000000007E-2</v>
      </c>
      <c r="O36" s="56"/>
      <c r="P36" s="1">
        <v>384.86500000000001</v>
      </c>
      <c r="Q36" s="1">
        <f t="shared" si="5"/>
        <v>-6815.1350000000002</v>
      </c>
      <c r="R36" s="1">
        <f t="shared" si="20"/>
        <v>9621.625</v>
      </c>
      <c r="S36" s="1">
        <f t="shared" si="6"/>
        <v>2421.625</v>
      </c>
      <c r="T36" s="1">
        <f t="shared" si="21"/>
        <v>0.1914505641350838</v>
      </c>
      <c r="U36" s="1">
        <f t="shared" si="22"/>
        <v>0.33899962299856012</v>
      </c>
      <c r="V36" s="1"/>
      <c r="W36" s="73" t="s">
        <v>286</v>
      </c>
      <c r="X36" s="1">
        <f t="shared" si="23"/>
        <v>5</v>
      </c>
      <c r="Y36">
        <f t="shared" si="24"/>
        <v>4685.0797199999997</v>
      </c>
      <c r="Z36">
        <f t="shared" si="25"/>
        <v>12425.398599999999</v>
      </c>
      <c r="AA36">
        <f t="shared" si="16"/>
        <v>3484.4967646379764</v>
      </c>
      <c r="AB36">
        <f t="shared" si="17"/>
        <v>8681.6877928200665</v>
      </c>
      <c r="AC36">
        <f t="shared" si="26"/>
        <v>30103.57744822633</v>
      </c>
      <c r="AD36">
        <f t="shared" si="18"/>
        <v>22389.334758720692</v>
      </c>
      <c r="AE36">
        <f t="shared" si="19"/>
        <v>68147.55187570132</v>
      </c>
    </row>
    <row r="37" spans="1:31" x14ac:dyDescent="0.35">
      <c r="A37" s="1">
        <v>36</v>
      </c>
      <c r="B37" s="1">
        <v>5659.8657296841702</v>
      </c>
      <c r="C37" s="1">
        <v>4</v>
      </c>
      <c r="D37" s="1">
        <v>7106.6</v>
      </c>
      <c r="E37" s="1">
        <v>10</v>
      </c>
      <c r="F37" s="1">
        <v>0</v>
      </c>
      <c r="G37" s="1">
        <f t="shared" si="15"/>
        <v>10400</v>
      </c>
      <c r="H37" s="1">
        <f>$M$12*C37</f>
        <v>106</v>
      </c>
      <c r="I37" s="4">
        <f t="shared" si="4"/>
        <v>1.4915712154898262E-2</v>
      </c>
      <c r="J37" s="4">
        <f t="shared" si="0"/>
        <v>2650</v>
      </c>
      <c r="K37" s="4"/>
      <c r="L37" s="1" t="s">
        <v>263</v>
      </c>
      <c r="M37" s="1">
        <v>2.5000000000000001E-2</v>
      </c>
      <c r="N37" s="4"/>
      <c r="O37" s="4"/>
      <c r="P37" s="1">
        <v>492.3</v>
      </c>
      <c r="Q37" s="1">
        <f t="shared" si="5"/>
        <v>-9907.7000000000007</v>
      </c>
      <c r="R37" s="1">
        <f t="shared" si="20"/>
        <v>12307.5</v>
      </c>
      <c r="S37" s="1">
        <f t="shared" si="6"/>
        <v>1907.5</v>
      </c>
      <c r="T37" s="1">
        <f t="shared" si="21"/>
        <v>8.841568898618847E-2</v>
      </c>
      <c r="U37" s="1">
        <f t="shared" si="22"/>
        <v>0.15168312918317045</v>
      </c>
      <c r="V37" s="1"/>
      <c r="W37" s="1">
        <f>SUM(P47:P100)</f>
        <v>4685.0797199999997</v>
      </c>
      <c r="X37" s="1">
        <f t="shared" si="23"/>
        <v>6</v>
      </c>
      <c r="Y37">
        <f t="shared" si="24"/>
        <v>4685.0797199999997</v>
      </c>
      <c r="Z37">
        <f t="shared" si="25"/>
        <v>17110.478319999998</v>
      </c>
      <c r="AA37">
        <f t="shared" si="16"/>
        <v>3284.1628318925318</v>
      </c>
      <c r="AB37">
        <f t="shared" si="17"/>
        <v>11965.850624712599</v>
      </c>
      <c r="AC37">
        <f t="shared" si="26"/>
        <v>30856.166884431987</v>
      </c>
      <c r="AD37">
        <f t="shared" si="18"/>
        <v>21629.658932788599</v>
      </c>
      <c r="AE37">
        <f t="shared" si="19"/>
        <v>89777.210808489923</v>
      </c>
    </row>
    <row r="38" spans="1:31" x14ac:dyDescent="0.35">
      <c r="A38" s="1">
        <v>37</v>
      </c>
      <c r="B38" s="62">
        <v>7074.8321611913698</v>
      </c>
      <c r="C38" s="62">
        <v>6</v>
      </c>
      <c r="D38" s="62">
        <v>10659.9</v>
      </c>
      <c r="E38" s="62">
        <v>15</v>
      </c>
      <c r="F38" s="62">
        <v>5</v>
      </c>
      <c r="G38" s="62">
        <f>(C38*$M$11*1000)+M26</f>
        <v>19000</v>
      </c>
      <c r="H38" s="62">
        <f>$M$31*C38</f>
        <v>213.60000000000002</v>
      </c>
      <c r="I38" s="56">
        <f t="shared" si="4"/>
        <v>2.0037711423184085E-2</v>
      </c>
      <c r="J38" s="56">
        <f t="shared" si="0"/>
        <v>5340.0000000000009</v>
      </c>
      <c r="K38" s="56"/>
      <c r="L38" s="4"/>
      <c r="M38" s="4"/>
      <c r="N38" s="4"/>
      <c r="O38" s="56"/>
      <c r="P38" s="1">
        <v>1096.18</v>
      </c>
      <c r="Q38" s="1">
        <f>P38-G38</f>
        <v>-17903.82</v>
      </c>
      <c r="R38" s="1">
        <f t="shared" si="20"/>
        <v>27404.5</v>
      </c>
      <c r="S38" s="1">
        <f t="shared" si="6"/>
        <v>8404.5</v>
      </c>
      <c r="T38" s="1">
        <f t="shared" si="21"/>
        <v>0.12746075449817618</v>
      </c>
      <c r="U38" s="1">
        <f t="shared" si="22"/>
        <v>0.21992855172109374</v>
      </c>
      <c r="V38" s="1"/>
      <c r="W38" s="1"/>
      <c r="X38" s="1">
        <f t="shared" si="23"/>
        <v>7</v>
      </c>
      <c r="Y38">
        <f t="shared" si="24"/>
        <v>4685.0797199999997</v>
      </c>
      <c r="Z38">
        <f t="shared" si="25"/>
        <v>21795.558039999996</v>
      </c>
      <c r="AA38">
        <f t="shared" si="16"/>
        <v>3095.3466841588429</v>
      </c>
      <c r="AB38">
        <f t="shared" si="17"/>
        <v>15061.197308871442</v>
      </c>
      <c r="AC38">
        <f t="shared" si="26"/>
        <v>31627.571056542787</v>
      </c>
      <c r="AD38">
        <f t="shared" si="18"/>
        <v>20895.759100950349</v>
      </c>
      <c r="AE38">
        <f t="shared" si="19"/>
        <v>110672.96990944027</v>
      </c>
    </row>
    <row r="39" spans="1:31" x14ac:dyDescent="0.35">
      <c r="A39" s="1">
        <v>38</v>
      </c>
      <c r="B39" s="1">
        <v>1036.155497852058</v>
      </c>
      <c r="C39" s="1">
        <v>2</v>
      </c>
      <c r="D39" s="1">
        <v>3553.3</v>
      </c>
      <c r="E39" s="1">
        <v>5</v>
      </c>
      <c r="F39" s="1">
        <v>0</v>
      </c>
      <c r="G39" s="1">
        <f t="shared" si="15"/>
        <v>5200</v>
      </c>
      <c r="H39" s="1">
        <f>$M$12*C39</f>
        <v>53</v>
      </c>
      <c r="I39" s="4">
        <f t="shared" si="4"/>
        <v>1.4915712154898262E-2</v>
      </c>
      <c r="J39" s="4">
        <f t="shared" si="0"/>
        <v>1325</v>
      </c>
      <c r="K39" s="4"/>
      <c r="L39" s="4"/>
      <c r="M39" s="4"/>
      <c r="N39" s="4"/>
      <c r="O39" s="4"/>
      <c r="P39" s="1">
        <v>386.49200000000002</v>
      </c>
      <c r="Q39" s="1">
        <f t="shared" si="5"/>
        <v>-4813.5079999999998</v>
      </c>
      <c r="R39" s="1">
        <f t="shared" si="20"/>
        <v>9662.3000000000011</v>
      </c>
      <c r="S39" s="1">
        <f t="shared" si="6"/>
        <v>4462.3000000000011</v>
      </c>
      <c r="T39" s="1">
        <f t="shared" si="21"/>
        <v>0.21565778265607527</v>
      </c>
      <c r="U39" s="1">
        <f t="shared" si="22"/>
        <v>0.38845289753895179</v>
      </c>
      <c r="V39" s="1"/>
      <c r="W39" s="1"/>
      <c r="X39" s="1">
        <f t="shared" si="23"/>
        <v>8</v>
      </c>
      <c r="Y39">
        <f t="shared" si="24"/>
        <v>4685.0797199999997</v>
      </c>
      <c r="Z39">
        <f t="shared" si="25"/>
        <v>26480.637759999998</v>
      </c>
      <c r="AA39">
        <f t="shared" si="16"/>
        <v>2917.3861302156861</v>
      </c>
      <c r="AB39">
        <f t="shared" si="17"/>
        <v>17978.583439087128</v>
      </c>
      <c r="AC39">
        <f t="shared" si="26"/>
        <v>32418.260332956354</v>
      </c>
      <c r="AD39">
        <f t="shared" si="18"/>
        <v>20186.760677166923</v>
      </c>
      <c r="AE39">
        <f t="shared" si="19"/>
        <v>130859.7305866072</v>
      </c>
    </row>
    <row r="40" spans="1:31" x14ac:dyDescent="0.35">
      <c r="A40" s="1">
        <v>39</v>
      </c>
      <c r="B40" s="62">
        <v>1397.7981728371551</v>
      </c>
      <c r="C40" s="62">
        <v>2</v>
      </c>
      <c r="D40" s="62">
        <v>3553.3</v>
      </c>
      <c r="E40" s="62">
        <v>5</v>
      </c>
      <c r="F40" s="62">
        <v>1.2</v>
      </c>
      <c r="G40" s="62">
        <f>(C40*$M$11*1000)+M22</f>
        <v>7200</v>
      </c>
      <c r="H40" s="62">
        <f>$M$31*C40</f>
        <v>71.2</v>
      </c>
      <c r="I40" s="56">
        <f t="shared" si="4"/>
        <v>2.0037711423184081E-2</v>
      </c>
      <c r="J40" s="56">
        <f t="shared" si="0"/>
        <v>1780</v>
      </c>
      <c r="K40" s="56"/>
      <c r="L40" s="2" t="s">
        <v>49</v>
      </c>
      <c r="M40" s="4">
        <v>25</v>
      </c>
      <c r="N40" s="4"/>
      <c r="O40" s="56"/>
      <c r="P40" s="1">
        <v>390.21499999999997</v>
      </c>
      <c r="Q40" s="1">
        <f t="shared" si="5"/>
        <v>-6809.7849999999999</v>
      </c>
      <c r="R40" s="1">
        <f t="shared" si="20"/>
        <v>9755.375</v>
      </c>
      <c r="S40" s="1">
        <f t="shared" si="6"/>
        <v>2555.375</v>
      </c>
      <c r="T40" s="1">
        <f t="shared" si="21"/>
        <v>0.22607604055866817</v>
      </c>
      <c r="U40" s="1">
        <f t="shared" si="22"/>
        <v>0.40343007832641714</v>
      </c>
      <c r="V40" s="1"/>
      <c r="W40" s="1"/>
      <c r="X40" s="1">
        <f t="shared" si="23"/>
        <v>9</v>
      </c>
      <c r="Y40">
        <f t="shared" si="24"/>
        <v>4685.0797199999997</v>
      </c>
      <c r="Z40">
        <f t="shared" si="25"/>
        <v>31165.717479999999</v>
      </c>
      <c r="AA40">
        <f t="shared" si="16"/>
        <v>2749.6570501561605</v>
      </c>
      <c r="AB40">
        <f t="shared" si="17"/>
        <v>20728.24048924329</v>
      </c>
      <c r="AC40">
        <f t="shared" si="26"/>
        <v>33228.716841280257</v>
      </c>
      <c r="AD40">
        <f t="shared" si="18"/>
        <v>19501.818750326198</v>
      </c>
      <c r="AE40">
        <f t="shared" si="19"/>
        <v>150361.54933693339</v>
      </c>
    </row>
    <row r="41" spans="1:31" x14ac:dyDescent="0.35">
      <c r="A41" s="1">
        <v>40</v>
      </c>
      <c r="B41" s="62">
        <v>2769.3097556877569</v>
      </c>
      <c r="C41" s="62">
        <v>2</v>
      </c>
      <c r="D41" s="62">
        <v>3553.3</v>
      </c>
      <c r="E41" s="62">
        <v>5</v>
      </c>
      <c r="F41" s="62">
        <v>3.3</v>
      </c>
      <c r="G41" s="62">
        <f>(C41*$M$11*1000)+M24</f>
        <v>9100</v>
      </c>
      <c r="H41" s="62">
        <f>$M$31*C41</f>
        <v>71.2</v>
      </c>
      <c r="I41" s="56">
        <f t="shared" si="4"/>
        <v>2.0037711423184081E-2</v>
      </c>
      <c r="J41" s="56">
        <f t="shared" si="0"/>
        <v>1780</v>
      </c>
      <c r="K41" s="56"/>
      <c r="L41" s="1"/>
      <c r="M41" s="4"/>
      <c r="N41" s="4"/>
      <c r="O41" s="56"/>
      <c r="P41" s="1">
        <v>349.49</v>
      </c>
      <c r="Q41" s="1">
        <f t="shared" si="5"/>
        <v>-8750.51</v>
      </c>
      <c r="R41" s="1">
        <f t="shared" si="20"/>
        <v>8737.25</v>
      </c>
      <c r="S41" s="1">
        <f t="shared" si="6"/>
        <v>-362.75</v>
      </c>
      <c r="T41" s="1">
        <f t="shared" si="21"/>
        <v>0.15147840679949484</v>
      </c>
      <c r="U41" s="1">
        <f t="shared" si="22"/>
        <v>0.26462016129635113</v>
      </c>
      <c r="V41" s="1"/>
      <c r="W41" s="1"/>
      <c r="X41" s="1">
        <f t="shared" si="23"/>
        <v>10</v>
      </c>
      <c r="Y41">
        <f t="shared" si="24"/>
        <v>4685.0797199999997</v>
      </c>
      <c r="Z41">
        <f t="shared" si="25"/>
        <v>35850.797200000001</v>
      </c>
      <c r="AA41">
        <f t="shared" si="16"/>
        <v>2591.5712065562302</v>
      </c>
      <c r="AB41">
        <f t="shared" si="17"/>
        <v>23319.811695799519</v>
      </c>
      <c r="AC41">
        <f t="shared" si="26"/>
        <v>34059.434762312267</v>
      </c>
      <c r="AD41">
        <f t="shared" si="18"/>
        <v>18840.117077365081</v>
      </c>
      <c r="AE41">
        <f t="shared" si="19"/>
        <v>169201.66641429847</v>
      </c>
    </row>
    <row r="42" spans="1:31" x14ac:dyDescent="0.35">
      <c r="A42" s="1">
        <v>41</v>
      </c>
      <c r="B42" s="1">
        <v>975.76163139608616</v>
      </c>
      <c r="C42" s="1">
        <v>2</v>
      </c>
      <c r="D42" s="1">
        <v>3553.3</v>
      </c>
      <c r="E42" s="1">
        <v>5</v>
      </c>
      <c r="F42" s="1">
        <v>0</v>
      </c>
      <c r="G42" s="1">
        <f t="shared" si="15"/>
        <v>5200</v>
      </c>
      <c r="H42" s="1">
        <f>$M$12*C42</f>
        <v>53</v>
      </c>
      <c r="I42" s="4">
        <f t="shared" si="4"/>
        <v>1.4915712154898262E-2</v>
      </c>
      <c r="J42" s="4">
        <f t="shared" si="0"/>
        <v>1325</v>
      </c>
      <c r="K42" s="4"/>
      <c r="L42" s="4"/>
      <c r="M42" s="4"/>
      <c r="N42" s="4"/>
      <c r="O42" s="4"/>
      <c r="P42" s="1">
        <v>397.56400000000002</v>
      </c>
      <c r="Q42" s="1">
        <f t="shared" si="5"/>
        <v>-4802.4359999999997</v>
      </c>
      <c r="R42" s="1">
        <f t="shared" si="20"/>
        <v>9939.1</v>
      </c>
      <c r="S42" s="1">
        <f t="shared" si="6"/>
        <v>4739.1000000000004</v>
      </c>
      <c r="T42" s="1">
        <f t="shared" si="21"/>
        <v>0.22808252801175949</v>
      </c>
      <c r="U42" s="1">
        <f t="shared" si="22"/>
        <v>0.41157263720133941</v>
      </c>
      <c r="V42" s="1"/>
      <c r="W42" s="1"/>
      <c r="X42" s="1">
        <f t="shared" si="23"/>
        <v>11</v>
      </c>
      <c r="Y42">
        <f t="shared" si="24"/>
        <v>4685.0797199999997</v>
      </c>
      <c r="Z42">
        <f t="shared" si="25"/>
        <v>40535.876920000002</v>
      </c>
      <c r="AA42">
        <f t="shared" si="16"/>
        <v>2442.5741814856087</v>
      </c>
      <c r="AB42">
        <f t="shared" si="17"/>
        <v>25762.385877285127</v>
      </c>
      <c r="AC42">
        <f t="shared" si="26"/>
        <v>34910.920631370071</v>
      </c>
      <c r="AD42">
        <f t="shared" si="18"/>
        <v>18200.867110555337</v>
      </c>
      <c r="AE42">
        <f t="shared" si="19"/>
        <v>187402.53352485382</v>
      </c>
    </row>
    <row r="43" spans="1:31" x14ac:dyDescent="0.35">
      <c r="A43" s="1">
        <v>42</v>
      </c>
      <c r="B43" s="62">
        <v>1220.838737866377</v>
      </c>
      <c r="C43" s="62">
        <v>2</v>
      </c>
      <c r="D43" s="62">
        <v>3553.3</v>
      </c>
      <c r="E43" s="62">
        <v>5</v>
      </c>
      <c r="F43" s="62">
        <v>2</v>
      </c>
      <c r="G43" s="62">
        <f>(C43*$M$11*1000)+M23</f>
        <v>8700</v>
      </c>
      <c r="H43" s="62">
        <f>$M$31*C43</f>
        <v>71.2</v>
      </c>
      <c r="I43" s="56">
        <f t="shared" si="4"/>
        <v>2.0037711423184081E-2</v>
      </c>
      <c r="J43" s="56">
        <f t="shared" si="0"/>
        <v>1780</v>
      </c>
      <c r="K43" s="56"/>
      <c r="L43" s="2" t="s">
        <v>280</v>
      </c>
      <c r="M43" s="1">
        <f>1+((1-(1+$M$13)^(1-$M$40))/$M$13)</f>
        <v>13.43521330378282</v>
      </c>
      <c r="N43" s="4"/>
      <c r="O43" s="56"/>
      <c r="P43" s="1">
        <v>374.48700000000002</v>
      </c>
      <c r="Q43" s="1">
        <f t="shared" si="5"/>
        <v>-8325.5130000000008</v>
      </c>
      <c r="R43" s="1">
        <f t="shared" si="20"/>
        <v>9362.1750000000011</v>
      </c>
      <c r="S43" s="1">
        <f t="shared" si="6"/>
        <v>662.17500000000109</v>
      </c>
      <c r="T43" s="1">
        <f t="shared" si="21"/>
        <v>0.30508764406882499</v>
      </c>
      <c r="U43" s="1">
        <f t="shared" si="22"/>
        <v>0.55045342980515832</v>
      </c>
      <c r="V43" s="1"/>
      <c r="W43" s="1"/>
      <c r="X43" s="1">
        <f t="shared" si="23"/>
        <v>12</v>
      </c>
      <c r="Y43">
        <f t="shared" si="24"/>
        <v>4685.0797199999997</v>
      </c>
      <c r="Z43">
        <f t="shared" si="25"/>
        <v>45220.956640000004</v>
      </c>
      <c r="AA43">
        <f t="shared" si="16"/>
        <v>2302.1434321259271</v>
      </c>
      <c r="AB43">
        <f t="shared" si="17"/>
        <v>28064.529309411053</v>
      </c>
      <c r="AC43">
        <f t="shared" si="26"/>
        <v>35783.693647154316</v>
      </c>
      <c r="AD43">
        <f t="shared" si="18"/>
        <v>17583.307057793794</v>
      </c>
      <c r="AE43">
        <f t="shared" si="19"/>
        <v>204985.84058264762</v>
      </c>
    </row>
    <row r="44" spans="1:31" x14ac:dyDescent="0.35">
      <c r="A44" s="1">
        <v>43</v>
      </c>
      <c r="B44" s="62">
        <v>3438.0361146713012</v>
      </c>
      <c r="C44" s="62">
        <v>10</v>
      </c>
      <c r="D44" s="62">
        <v>17766.5</v>
      </c>
      <c r="E44" s="62">
        <v>25</v>
      </c>
      <c r="F44" s="62">
        <v>9.6999999999999993</v>
      </c>
      <c r="G44" s="62">
        <f>(C44*$M$11*1000)+M28</f>
        <v>34000</v>
      </c>
      <c r="H44" s="62">
        <f>$M$31*C44</f>
        <v>356</v>
      </c>
      <c r="I44" s="56">
        <f t="shared" si="4"/>
        <v>2.0037711423184081E-2</v>
      </c>
      <c r="J44" s="56">
        <f t="shared" si="0"/>
        <v>8900</v>
      </c>
      <c r="K44" s="56"/>
      <c r="L44" s="4"/>
      <c r="M44" s="4"/>
      <c r="N44" s="4"/>
      <c r="O44" s="56"/>
      <c r="P44" s="1">
        <v>2112.7800000000002</v>
      </c>
      <c r="Q44" s="1">
        <f t="shared" si="5"/>
        <v>-31887.22</v>
      </c>
      <c r="R44" s="1">
        <f t="shared" si="20"/>
        <v>52819.500000000007</v>
      </c>
      <c r="S44" s="1">
        <f t="shared" si="6"/>
        <v>18819.500000000007</v>
      </c>
      <c r="T44" s="1">
        <f t="shared" si="21"/>
        <v>0.41561238098421771</v>
      </c>
      <c r="U44" s="1">
        <f t="shared" si="22"/>
        <v>0.75611584545931365</v>
      </c>
      <c r="V44" s="1"/>
      <c r="W44" s="1"/>
      <c r="X44" s="1">
        <f t="shared" si="23"/>
        <v>13</v>
      </c>
      <c r="Y44">
        <f t="shared" si="24"/>
        <v>4685.0797199999997</v>
      </c>
      <c r="Z44">
        <f t="shared" si="25"/>
        <v>49906.036360000006</v>
      </c>
      <c r="AA44">
        <f t="shared" si="16"/>
        <v>2169.7864581771223</v>
      </c>
      <c r="AB44">
        <f t="shared" si="17"/>
        <v>30234.315767588174</v>
      </c>
      <c r="AC44">
        <f t="shared" si="26"/>
        <v>36678.285988333177</v>
      </c>
      <c r="AD44">
        <f t="shared" si="18"/>
        <v>16986.700974777228</v>
      </c>
      <c r="AE44">
        <f t="shared" si="19"/>
        <v>221972.54155742485</v>
      </c>
    </row>
    <row r="45" spans="1:31" x14ac:dyDescent="0.35">
      <c r="A45" s="1">
        <v>44</v>
      </c>
      <c r="B45" s="1">
        <v>1279.200878938675</v>
      </c>
      <c r="C45" s="1">
        <v>2</v>
      </c>
      <c r="D45" s="1">
        <v>3553.3</v>
      </c>
      <c r="E45" s="1">
        <v>5</v>
      </c>
      <c r="F45" s="1">
        <v>0</v>
      </c>
      <c r="G45" s="1">
        <f t="shared" si="15"/>
        <v>5200</v>
      </c>
      <c r="H45" s="1">
        <f>$M$12*C45</f>
        <v>53</v>
      </c>
      <c r="I45" s="4">
        <f t="shared" si="4"/>
        <v>1.4915712154898262E-2</v>
      </c>
      <c r="J45" s="4">
        <f t="shared" si="0"/>
        <v>1325</v>
      </c>
      <c r="K45" s="4"/>
      <c r="O45" s="4"/>
      <c r="P45" s="1">
        <v>369.66399999999999</v>
      </c>
      <c r="Q45" s="1">
        <f t="shared" si="5"/>
        <v>-4830.3360000000002</v>
      </c>
      <c r="R45" s="1">
        <f t="shared" si="20"/>
        <v>9241.6</v>
      </c>
      <c r="S45" s="1">
        <f>R45-G45</f>
        <v>4041.6000000000004</v>
      </c>
      <c r="T45" s="1">
        <f t="shared" si="21"/>
        <v>0.17751722644761284</v>
      </c>
      <c r="U45" s="1">
        <f t="shared" si="22"/>
        <v>0.31748164582513722</v>
      </c>
      <c r="V45" s="1"/>
      <c r="W45" s="1"/>
      <c r="X45" s="1">
        <f t="shared" si="23"/>
        <v>14</v>
      </c>
      <c r="Y45">
        <f t="shared" si="24"/>
        <v>4685.0797199999997</v>
      </c>
      <c r="Z45">
        <f t="shared" si="25"/>
        <v>54591.116080000007</v>
      </c>
      <c r="AA45">
        <f t="shared" si="16"/>
        <v>2045.0390746249975</v>
      </c>
      <c r="AB45">
        <f t="shared" si="17"/>
        <v>32279.354842213172</v>
      </c>
      <c r="AC45">
        <f t="shared" si="26"/>
        <v>37595.2431380415</v>
      </c>
      <c r="AD45">
        <f t="shared" si="18"/>
        <v>16410.337887979884</v>
      </c>
      <c r="AE45">
        <f t="shared" si="19"/>
        <v>238382.87944540475</v>
      </c>
    </row>
    <row r="46" spans="1:31" x14ac:dyDescent="0.35">
      <c r="A46" s="62">
        <v>45</v>
      </c>
      <c r="B46" s="62">
        <v>3266.9511427123548</v>
      </c>
      <c r="C46" s="62">
        <v>2</v>
      </c>
      <c r="D46" s="62">
        <v>3553.3</v>
      </c>
      <c r="E46" s="62">
        <v>5</v>
      </c>
      <c r="F46" s="62">
        <v>4.2</v>
      </c>
      <c r="G46" s="62">
        <f>(C46*$M$11*1000)+M25</f>
        <v>9800</v>
      </c>
      <c r="H46" s="62">
        <f>$M$31*C46</f>
        <v>71.2</v>
      </c>
      <c r="I46" s="56">
        <f t="shared" si="4"/>
        <v>2.0037711423184081E-2</v>
      </c>
      <c r="J46" s="56">
        <f t="shared" si="0"/>
        <v>1780</v>
      </c>
      <c r="K46" s="4"/>
      <c r="O46" s="56"/>
      <c r="P46" s="1">
        <v>339.32799999999997</v>
      </c>
      <c r="Q46" s="1">
        <f t="shared" si="5"/>
        <v>-9460.6720000000005</v>
      </c>
      <c r="R46" s="1">
        <f t="shared" si="20"/>
        <v>8483.1999999999989</v>
      </c>
      <c r="S46" s="1">
        <f t="shared" si="6"/>
        <v>-1316.8000000000011</v>
      </c>
      <c r="T46" s="1">
        <f t="shared" si="21"/>
        <v>0.14002726219269629</v>
      </c>
      <c r="U46" s="1">
        <f t="shared" si="22"/>
        <v>0.24331208015934683</v>
      </c>
      <c r="V46" s="1"/>
      <c r="W46" s="1"/>
      <c r="X46" s="1">
        <f t="shared" si="23"/>
        <v>15</v>
      </c>
      <c r="Y46">
        <f t="shared" si="24"/>
        <v>4685.0797199999997</v>
      </c>
      <c r="Z46">
        <f t="shared" si="25"/>
        <v>59276.195800000009</v>
      </c>
      <c r="AA46">
        <f t="shared" si="16"/>
        <v>1927.4637838124388</v>
      </c>
      <c r="AB46">
        <f t="shared" si="17"/>
        <v>34206.818626025612</v>
      </c>
      <c r="AC46">
        <f t="shared" si="26"/>
        <v>38535.124216492542</v>
      </c>
      <c r="AD46">
        <f t="shared" si="18"/>
        <v>15853.530947388674</v>
      </c>
      <c r="AE46">
        <f t="shared" si="19"/>
        <v>254236.41039279342</v>
      </c>
    </row>
    <row r="47" spans="1:31" x14ac:dyDescent="0.35">
      <c r="A47" s="70">
        <v>46</v>
      </c>
      <c r="B47" s="70">
        <v>1763.99702425654</v>
      </c>
      <c r="C47" s="70">
        <v>0</v>
      </c>
      <c r="D47" s="70"/>
      <c r="E47" s="70">
        <v>0</v>
      </c>
      <c r="F47" s="70">
        <v>0</v>
      </c>
      <c r="G47" s="71">
        <f t="shared" ref="G47:G100" si="27">$M$11*C47*1000</f>
        <v>0</v>
      </c>
      <c r="H47" s="71">
        <f t="shared" ref="H47:J78" si="28">$M$12*C47</f>
        <v>0</v>
      </c>
      <c r="I47" s="71">
        <f t="shared" si="28"/>
        <v>0</v>
      </c>
      <c r="J47" s="71">
        <f t="shared" si="28"/>
        <v>0</v>
      </c>
      <c r="K47" s="71"/>
      <c r="O47" s="71"/>
      <c r="P47" s="70">
        <v>36.3322</v>
      </c>
      <c r="Q47" s="70">
        <f t="shared" si="5"/>
        <v>36.3322</v>
      </c>
      <c r="R47" s="70">
        <f t="shared" si="20"/>
        <v>908.30500000000006</v>
      </c>
      <c r="S47" s="70">
        <f t="shared" si="6"/>
        <v>908.30500000000006</v>
      </c>
      <c r="T47" s="70">
        <f t="shared" si="21"/>
        <v>0</v>
      </c>
      <c r="U47" s="70">
        <f t="shared" si="22"/>
        <v>0</v>
      </c>
      <c r="V47" s="4"/>
      <c r="W47" s="1"/>
      <c r="X47" s="1">
        <f t="shared" si="23"/>
        <v>16</v>
      </c>
      <c r="Y47">
        <f t="shared" si="24"/>
        <v>4685.0797199999997</v>
      </c>
      <c r="Z47">
        <f t="shared" si="25"/>
        <v>63961.27552000001</v>
      </c>
      <c r="AA47">
        <f t="shared" si="16"/>
        <v>1816.648241105032</v>
      </c>
      <c r="AB47">
        <f t="shared" si="17"/>
        <v>36023.466867130643</v>
      </c>
      <c r="AC47">
        <f t="shared" si="26"/>
        <v>39498.502321904853</v>
      </c>
      <c r="AD47">
        <f t="shared" si="18"/>
        <v>15315.616607986231</v>
      </c>
      <c r="AE47">
        <f t="shared" si="19"/>
        <v>269552.02700077964</v>
      </c>
    </row>
    <row r="48" spans="1:31" x14ac:dyDescent="0.35">
      <c r="A48" s="1">
        <v>47</v>
      </c>
      <c r="B48" s="1">
        <v>2322.9032263370332</v>
      </c>
      <c r="C48" s="1">
        <v>0</v>
      </c>
      <c r="D48" s="1"/>
      <c r="E48" s="1">
        <v>0</v>
      </c>
      <c r="F48" s="1">
        <v>0</v>
      </c>
      <c r="G48" s="4">
        <f t="shared" si="27"/>
        <v>0</v>
      </c>
      <c r="H48" s="4">
        <f t="shared" si="28"/>
        <v>0</v>
      </c>
      <c r="I48" s="4">
        <f t="shared" si="28"/>
        <v>0</v>
      </c>
      <c r="J48" s="4">
        <f t="shared" si="28"/>
        <v>0</v>
      </c>
      <c r="K48" s="4"/>
      <c r="O48" s="4"/>
      <c r="P48" s="1">
        <v>48.805199999999999</v>
      </c>
      <c r="Q48" s="1">
        <f>P48-G48</f>
        <v>48.805199999999999</v>
      </c>
      <c r="R48" s="1">
        <f t="shared" si="20"/>
        <v>1220.1299999999999</v>
      </c>
      <c r="S48" s="1">
        <f t="shared" si="6"/>
        <v>1220.1299999999999</v>
      </c>
      <c r="T48" s="1">
        <f t="shared" si="21"/>
        <v>0</v>
      </c>
      <c r="U48" s="1">
        <f t="shared" si="22"/>
        <v>0</v>
      </c>
      <c r="V48" s="4"/>
      <c r="W48" s="1"/>
      <c r="X48" s="1">
        <f t="shared" si="23"/>
        <v>17</v>
      </c>
      <c r="Y48">
        <f t="shared" si="24"/>
        <v>4685.0797199999997</v>
      </c>
      <c r="Z48">
        <f t="shared" si="25"/>
        <v>68646.355240000004</v>
      </c>
      <c r="AA48">
        <f t="shared" si="16"/>
        <v>1712.2038087700587</v>
      </c>
      <c r="AB48">
        <f t="shared" si="17"/>
        <v>37735.670675900699</v>
      </c>
      <c r="AC48">
        <f t="shared" si="26"/>
        <v>40485.964879952473</v>
      </c>
      <c r="AD48">
        <f t="shared" si="18"/>
        <v>14795.953839006492</v>
      </c>
      <c r="AE48">
        <f t="shared" si="19"/>
        <v>284347.98083978612</v>
      </c>
    </row>
    <row r="49" spans="1:31" x14ac:dyDescent="0.35">
      <c r="A49" s="1">
        <v>48</v>
      </c>
      <c r="B49" s="1">
        <v>1052.7350255677291</v>
      </c>
      <c r="C49" s="1">
        <v>0</v>
      </c>
      <c r="D49" s="1"/>
      <c r="E49" s="1">
        <v>0</v>
      </c>
      <c r="F49" s="1">
        <v>0</v>
      </c>
      <c r="G49" s="4">
        <f t="shared" si="27"/>
        <v>0</v>
      </c>
      <c r="H49" s="4">
        <f t="shared" si="28"/>
        <v>0</v>
      </c>
      <c r="I49" s="4">
        <f t="shared" si="28"/>
        <v>0</v>
      </c>
      <c r="J49" s="4">
        <f t="shared" si="28"/>
        <v>0</v>
      </c>
      <c r="K49" s="4"/>
      <c r="L49" s="4"/>
      <c r="M49" s="4"/>
      <c r="N49" s="4"/>
      <c r="O49" s="4"/>
      <c r="P49" s="1">
        <v>22.118400000000001</v>
      </c>
      <c r="Q49" s="1">
        <f t="shared" si="5"/>
        <v>22.118400000000001</v>
      </c>
      <c r="R49" s="1">
        <f t="shared" si="20"/>
        <v>552.96</v>
      </c>
      <c r="S49" s="1">
        <f t="shared" si="6"/>
        <v>552.96</v>
      </c>
      <c r="T49" s="1">
        <f t="shared" si="21"/>
        <v>0</v>
      </c>
      <c r="U49" s="1">
        <f t="shared" si="22"/>
        <v>0</v>
      </c>
      <c r="V49" s="4"/>
      <c r="W49" s="1"/>
      <c r="X49" s="1">
        <f>X48+1</f>
        <v>18</v>
      </c>
      <c r="Y49">
        <f t="shared" si="24"/>
        <v>4685.0797199999997</v>
      </c>
      <c r="Z49">
        <f t="shared" si="25"/>
        <v>73331.434959999999</v>
      </c>
      <c r="AA49">
        <f t="shared" si="16"/>
        <v>1613.7641929972278</v>
      </c>
      <c r="AB49">
        <f t="shared" si="17"/>
        <v>39349.43486889793</v>
      </c>
      <c r="AC49">
        <f t="shared" si="26"/>
        <v>41498.114001951282</v>
      </c>
      <c r="AD49">
        <f t="shared" si="18"/>
        <v>14293.923360020408</v>
      </c>
      <c r="AE49">
        <f t="shared" si="19"/>
        <v>298641.90419980651</v>
      </c>
    </row>
    <row r="50" spans="1:31" x14ac:dyDescent="0.35">
      <c r="A50" s="1">
        <v>49</v>
      </c>
      <c r="B50" s="1">
        <v>2650.8063291642311</v>
      </c>
      <c r="C50" s="1">
        <v>0</v>
      </c>
      <c r="D50" s="1"/>
      <c r="E50" s="1">
        <v>0</v>
      </c>
      <c r="F50" s="1">
        <v>0</v>
      </c>
      <c r="G50" s="4">
        <f t="shared" si="27"/>
        <v>0</v>
      </c>
      <c r="H50" s="4">
        <f t="shared" si="28"/>
        <v>0</v>
      </c>
      <c r="I50" s="4">
        <f t="shared" si="28"/>
        <v>0</v>
      </c>
      <c r="J50" s="4">
        <f t="shared" si="28"/>
        <v>0</v>
      </c>
      <c r="K50" s="4"/>
      <c r="L50" s="4"/>
      <c r="M50" s="4"/>
      <c r="N50" s="4"/>
      <c r="O50" s="4"/>
      <c r="P50" s="4">
        <v>53.152200000000001</v>
      </c>
      <c r="Q50" s="1">
        <f t="shared" si="5"/>
        <v>53.152200000000001</v>
      </c>
      <c r="R50" s="1">
        <f t="shared" si="20"/>
        <v>1328.8050000000001</v>
      </c>
      <c r="S50" s="1">
        <f t="shared" si="6"/>
        <v>1328.8050000000001</v>
      </c>
      <c r="T50" s="1">
        <f t="shared" si="21"/>
        <v>0</v>
      </c>
      <c r="U50" s="1">
        <f t="shared" si="22"/>
        <v>0</v>
      </c>
      <c r="V50" s="4"/>
      <c r="W50" s="1"/>
      <c r="X50" s="1">
        <f t="shared" ref="X50:X54" si="29">X49+1</f>
        <v>19</v>
      </c>
      <c r="Y50">
        <f t="shared" si="24"/>
        <v>4685.0797199999997</v>
      </c>
      <c r="Z50">
        <f t="shared" si="25"/>
        <v>78016.514679999993</v>
      </c>
      <c r="AA50">
        <f t="shared" si="16"/>
        <v>1520.9841592810819</v>
      </c>
      <c r="AB50">
        <f t="shared" si="17"/>
        <v>40870.419028179014</v>
      </c>
      <c r="AC50">
        <f t="shared" si="26"/>
        <v>42535.566852000069</v>
      </c>
      <c r="AD50">
        <f t="shared" si="18"/>
        <v>13808.92690294149</v>
      </c>
      <c r="AE50">
        <f t="shared" si="19"/>
        <v>312450.83110274799</v>
      </c>
    </row>
    <row r="51" spans="1:31" x14ac:dyDescent="0.35">
      <c r="A51" s="1">
        <v>50</v>
      </c>
      <c r="B51" s="1">
        <v>2336.365059758562</v>
      </c>
      <c r="C51" s="1">
        <v>0</v>
      </c>
      <c r="D51" s="1"/>
      <c r="E51" s="1">
        <v>0</v>
      </c>
      <c r="F51" s="1">
        <v>0</v>
      </c>
      <c r="G51" s="4">
        <f t="shared" si="27"/>
        <v>0</v>
      </c>
      <c r="H51" s="4">
        <f t="shared" si="28"/>
        <v>0</v>
      </c>
      <c r="I51" s="4">
        <f t="shared" si="28"/>
        <v>0</v>
      </c>
      <c r="J51" s="4">
        <f t="shared" si="28"/>
        <v>0</v>
      </c>
      <c r="K51" s="4"/>
      <c r="L51" s="4"/>
      <c r="M51" s="4"/>
      <c r="N51" s="4"/>
      <c r="O51" s="4"/>
      <c r="P51" s="4">
        <v>49.088000000000001</v>
      </c>
      <c r="Q51" s="1">
        <f t="shared" si="5"/>
        <v>49.088000000000001</v>
      </c>
      <c r="R51" s="1">
        <f t="shared" si="20"/>
        <v>1227.2</v>
      </c>
      <c r="S51" s="1">
        <f t="shared" si="6"/>
        <v>1227.2</v>
      </c>
      <c r="T51" s="1">
        <f t="shared" si="21"/>
        <v>0</v>
      </c>
      <c r="U51" s="1">
        <f t="shared" si="22"/>
        <v>0</v>
      </c>
      <c r="V51" s="4"/>
      <c r="W51" s="1"/>
      <c r="X51" s="1">
        <f t="shared" si="29"/>
        <v>20</v>
      </c>
      <c r="Y51">
        <f t="shared" si="24"/>
        <v>4685.0797199999997</v>
      </c>
      <c r="Z51">
        <f t="shared" si="25"/>
        <v>82701.594399999987</v>
      </c>
      <c r="AA51">
        <f t="shared" si="16"/>
        <v>1433.538321659832</v>
      </c>
      <c r="AB51">
        <f t="shared" si="17"/>
        <v>42303.957349838849</v>
      </c>
      <c r="AC51">
        <f t="shared" si="26"/>
        <v>43598.956023300059</v>
      </c>
      <c r="AD51">
        <f t="shared" si="18"/>
        <v>13340.386499071652</v>
      </c>
      <c r="AE51">
        <f t="shared" si="19"/>
        <v>325791.21760181966</v>
      </c>
    </row>
    <row r="52" spans="1:31" x14ac:dyDescent="0.35">
      <c r="A52" s="1">
        <v>51</v>
      </c>
      <c r="B52" s="1">
        <v>586.05584352134008</v>
      </c>
      <c r="C52" s="1">
        <v>0</v>
      </c>
      <c r="D52" s="1"/>
      <c r="E52" s="1">
        <v>0</v>
      </c>
      <c r="F52" s="1">
        <v>0</v>
      </c>
      <c r="G52" s="4">
        <f t="shared" si="27"/>
        <v>0</v>
      </c>
      <c r="H52" s="4">
        <f t="shared" si="28"/>
        <v>0</v>
      </c>
      <c r="I52" s="4">
        <f t="shared" si="28"/>
        <v>0</v>
      </c>
      <c r="J52" s="4">
        <f t="shared" si="28"/>
        <v>0</v>
      </c>
      <c r="K52" s="4"/>
      <c r="L52" s="4"/>
      <c r="M52" s="4"/>
      <c r="N52" s="4"/>
      <c r="O52" s="4"/>
      <c r="P52" s="4">
        <v>11.751200000000001</v>
      </c>
      <c r="Q52" s="1">
        <f t="shared" si="5"/>
        <v>11.751200000000001</v>
      </c>
      <c r="R52" s="1">
        <f t="shared" si="20"/>
        <v>293.78000000000003</v>
      </c>
      <c r="S52" s="1">
        <f t="shared" si="6"/>
        <v>293.78000000000003</v>
      </c>
      <c r="T52" s="1">
        <f t="shared" si="21"/>
        <v>0</v>
      </c>
      <c r="U52" s="1">
        <f t="shared" si="22"/>
        <v>0</v>
      </c>
      <c r="V52" s="4"/>
      <c r="W52" s="1"/>
      <c r="X52" s="1">
        <f t="shared" si="29"/>
        <v>21</v>
      </c>
      <c r="Y52">
        <f t="shared" si="24"/>
        <v>4685.0797199999997</v>
      </c>
      <c r="Z52">
        <f t="shared" si="25"/>
        <v>87386.674119999981</v>
      </c>
      <c r="AA52">
        <f t="shared" si="16"/>
        <v>1351.1200015644035</v>
      </c>
      <c r="AB52">
        <f t="shared" si="17"/>
        <v>43655.077351403255</v>
      </c>
      <c r="AC52">
        <f t="shared" si="26"/>
        <v>44688.929923882562</v>
      </c>
      <c r="AD52">
        <f t="shared" si="18"/>
        <v>12887.743790337838</v>
      </c>
      <c r="AE52">
        <f t="shared" si="19"/>
        <v>338678.96139215748</v>
      </c>
    </row>
    <row r="53" spans="1:31" x14ac:dyDescent="0.35">
      <c r="A53" s="1">
        <v>52</v>
      </c>
      <c r="B53" s="1">
        <v>5329.6971333659421</v>
      </c>
      <c r="C53" s="1">
        <v>0</v>
      </c>
      <c r="D53" s="1"/>
      <c r="E53" s="1">
        <v>0</v>
      </c>
      <c r="F53" s="1">
        <v>0</v>
      </c>
      <c r="G53" s="4">
        <f t="shared" si="27"/>
        <v>0</v>
      </c>
      <c r="H53" s="4">
        <f t="shared" si="28"/>
        <v>0</v>
      </c>
      <c r="I53" s="4">
        <f t="shared" si="28"/>
        <v>0</v>
      </c>
      <c r="J53" s="4">
        <f t="shared" si="28"/>
        <v>0</v>
      </c>
      <c r="K53" s="4"/>
      <c r="L53" s="4"/>
      <c r="M53" s="4"/>
      <c r="N53" s="4"/>
      <c r="O53" s="4"/>
      <c r="P53" s="4">
        <v>110.047</v>
      </c>
      <c r="Q53" s="1">
        <f t="shared" si="5"/>
        <v>110.047</v>
      </c>
      <c r="R53" s="1">
        <f t="shared" si="20"/>
        <v>2751.1749999999997</v>
      </c>
      <c r="S53" s="1">
        <f t="shared" si="6"/>
        <v>2751.1749999999997</v>
      </c>
      <c r="T53" s="1">
        <f t="shared" si="21"/>
        <v>0</v>
      </c>
      <c r="U53" s="1">
        <f t="shared" si="22"/>
        <v>0</v>
      </c>
      <c r="V53" s="4"/>
      <c r="W53" s="1"/>
      <c r="X53" s="1">
        <f t="shared" si="29"/>
        <v>22</v>
      </c>
      <c r="Y53">
        <f t="shared" si="24"/>
        <v>4685.0797199999997</v>
      </c>
      <c r="Z53">
        <f t="shared" si="25"/>
        <v>92071.753839999976</v>
      </c>
      <c r="AA53">
        <f t="shared" si="16"/>
        <v>1273.4401522755923</v>
      </c>
      <c r="AB53">
        <f t="shared" si="17"/>
        <v>44928.51750367885</v>
      </c>
      <c r="AC53">
        <f t="shared" si="26"/>
        <v>45806.153171979618</v>
      </c>
      <c r="AD53">
        <f t="shared" si="18"/>
        <v>12450.459363898473</v>
      </c>
      <c r="AE53">
        <f t="shared" si="19"/>
        <v>351129.42075605597</v>
      </c>
    </row>
    <row r="54" spans="1:31" x14ac:dyDescent="0.35">
      <c r="A54" s="1">
        <v>53</v>
      </c>
      <c r="B54" s="1">
        <v>5328.3833046167756</v>
      </c>
      <c r="C54" s="1">
        <v>0</v>
      </c>
      <c r="D54" s="1"/>
      <c r="E54" s="1">
        <v>0</v>
      </c>
      <c r="F54" s="1">
        <v>0</v>
      </c>
      <c r="G54" s="4">
        <f t="shared" si="27"/>
        <v>0</v>
      </c>
      <c r="H54" s="4">
        <f t="shared" si="28"/>
        <v>0</v>
      </c>
      <c r="I54" s="4">
        <f t="shared" si="28"/>
        <v>0</v>
      </c>
      <c r="J54" s="4">
        <f t="shared" si="28"/>
        <v>0</v>
      </c>
      <c r="K54" s="4"/>
      <c r="L54" s="4"/>
      <c r="M54" s="4"/>
      <c r="N54" s="4"/>
      <c r="O54" s="4"/>
      <c r="P54" s="4">
        <v>104.018</v>
      </c>
      <c r="Q54" s="1">
        <f t="shared" si="5"/>
        <v>104.018</v>
      </c>
      <c r="R54" s="1">
        <f t="shared" si="20"/>
        <v>2600.4499999999998</v>
      </c>
      <c r="S54" s="1">
        <f t="shared" si="6"/>
        <v>2600.4499999999998</v>
      </c>
      <c r="T54" s="1">
        <f t="shared" si="21"/>
        <v>0</v>
      </c>
      <c r="U54" s="1">
        <f t="shared" si="22"/>
        <v>0</v>
      </c>
      <c r="V54" s="4"/>
      <c r="W54" s="1"/>
      <c r="X54" s="1">
        <f t="shared" si="29"/>
        <v>23</v>
      </c>
      <c r="Y54">
        <f t="shared" si="24"/>
        <v>4685.0797199999997</v>
      </c>
      <c r="Z54">
        <f t="shared" si="25"/>
        <v>96756.83355999997</v>
      </c>
      <c r="AA54">
        <f t="shared" si="16"/>
        <v>1200.2263452173352</v>
      </c>
      <c r="AB54">
        <f t="shared" si="17"/>
        <v>46128.743848896185</v>
      </c>
      <c r="AC54">
        <f t="shared" si="26"/>
        <v>46951.307001279114</v>
      </c>
      <c r="AD54">
        <f t="shared" si="18"/>
        <v>12028.012109326992</v>
      </c>
      <c r="AE54">
        <f t="shared" si="19"/>
        <v>363157.43286538299</v>
      </c>
    </row>
    <row r="55" spans="1:31" x14ac:dyDescent="0.35">
      <c r="A55" s="1">
        <v>54</v>
      </c>
      <c r="B55" s="1">
        <v>1132.850191183687</v>
      </c>
      <c r="C55" s="1">
        <v>0</v>
      </c>
      <c r="D55" s="1"/>
      <c r="E55" s="1">
        <v>0</v>
      </c>
      <c r="F55" s="1">
        <v>0</v>
      </c>
      <c r="G55" s="4">
        <f t="shared" si="27"/>
        <v>0</v>
      </c>
      <c r="H55" s="4">
        <f t="shared" si="28"/>
        <v>0</v>
      </c>
      <c r="I55" s="4">
        <f t="shared" si="28"/>
        <v>0</v>
      </c>
      <c r="J55" s="4">
        <f t="shared" si="28"/>
        <v>0</v>
      </c>
      <c r="K55" s="4"/>
      <c r="L55" s="4"/>
      <c r="M55" s="4"/>
      <c r="N55" s="4"/>
      <c r="O55" s="4"/>
      <c r="P55" s="4">
        <v>23.8017</v>
      </c>
      <c r="Q55" s="1">
        <f t="shared" si="5"/>
        <v>23.8017</v>
      </c>
      <c r="R55" s="1">
        <f t="shared" si="20"/>
        <v>595.04250000000002</v>
      </c>
      <c r="S55" s="1">
        <f t="shared" si="6"/>
        <v>595.04250000000002</v>
      </c>
      <c r="T55" s="1">
        <f t="shared" si="21"/>
        <v>0</v>
      </c>
      <c r="U55" s="1">
        <f t="shared" si="22"/>
        <v>0</v>
      </c>
      <c r="V55" s="4"/>
      <c r="W55" s="1"/>
      <c r="X55" s="1">
        <f>X54+1</f>
        <v>24</v>
      </c>
      <c r="Y55">
        <f t="shared" si="24"/>
        <v>4685.0797199999997</v>
      </c>
      <c r="Z55">
        <f t="shared" si="25"/>
        <v>101441.91327999996</v>
      </c>
      <c r="AA55">
        <f t="shared" si="16"/>
        <v>1131.2218145309473</v>
      </c>
      <c r="AB55">
        <f t="shared" si="17"/>
        <v>47259.96566342713</v>
      </c>
      <c r="AC55">
        <f t="shared" si="26"/>
        <v>48125.089676311087</v>
      </c>
      <c r="AD55">
        <f t="shared" si="18"/>
        <v>11619.898597606189</v>
      </c>
      <c r="AE55">
        <f t="shared" si="19"/>
        <v>374777.33146298915</v>
      </c>
    </row>
    <row r="56" spans="1:31" x14ac:dyDescent="0.35">
      <c r="A56" s="1">
        <v>55</v>
      </c>
      <c r="B56" s="1">
        <v>1734.337401732017</v>
      </c>
      <c r="C56" s="1">
        <v>0</v>
      </c>
      <c r="D56" s="1"/>
      <c r="E56" s="1">
        <v>0</v>
      </c>
      <c r="F56" s="1">
        <v>0</v>
      </c>
      <c r="G56" s="4">
        <f t="shared" si="27"/>
        <v>0</v>
      </c>
      <c r="H56" s="4">
        <f t="shared" si="28"/>
        <v>0</v>
      </c>
      <c r="I56" s="4">
        <f t="shared" si="28"/>
        <v>0</v>
      </c>
      <c r="J56" s="4">
        <f t="shared" si="28"/>
        <v>0</v>
      </c>
      <c r="K56" s="4"/>
      <c r="L56" s="4"/>
      <c r="M56" s="4"/>
      <c r="N56" s="4"/>
      <c r="O56" s="4"/>
      <c r="P56" s="4">
        <v>36.4392</v>
      </c>
      <c r="Q56" s="1">
        <f t="shared" si="5"/>
        <v>36.4392</v>
      </c>
      <c r="R56" s="1">
        <f t="shared" si="20"/>
        <v>910.98</v>
      </c>
      <c r="S56" s="1">
        <f t="shared" si="6"/>
        <v>910.98</v>
      </c>
      <c r="T56" s="1">
        <f t="shared" si="21"/>
        <v>0</v>
      </c>
      <c r="U56" s="1">
        <f t="shared" si="22"/>
        <v>0</v>
      </c>
      <c r="V56" s="4"/>
      <c r="W56" s="1"/>
      <c r="X56" s="1">
        <f t="shared" ref="X56" si="30">X55+1</f>
        <v>25</v>
      </c>
      <c r="Y56">
        <f t="shared" si="24"/>
        <v>4685.0797199999997</v>
      </c>
      <c r="Z56">
        <f t="shared" si="25"/>
        <v>106126.99299999996</v>
      </c>
      <c r="AA56">
        <f t="shared" si="16"/>
        <v>1066.1845565795923</v>
      </c>
      <c r="AB56">
        <f t="shared" si="17"/>
        <v>48326.150220006726</v>
      </c>
      <c r="AC56">
        <f t="shared" si="26"/>
        <v>49328.216918218859</v>
      </c>
      <c r="AD56">
        <f t="shared" si="18"/>
        <v>11225.632481193536</v>
      </c>
      <c r="AE56">
        <f t="shared" si="19"/>
        <v>386002.96394418267</v>
      </c>
    </row>
    <row r="57" spans="1:31" x14ac:dyDescent="0.35">
      <c r="A57" s="1">
        <v>56</v>
      </c>
      <c r="B57" s="1">
        <v>1696.5437943175671</v>
      </c>
      <c r="C57" s="1">
        <v>0</v>
      </c>
      <c r="D57" s="1"/>
      <c r="E57" s="1">
        <v>0</v>
      </c>
      <c r="F57" s="1">
        <v>0</v>
      </c>
      <c r="G57" s="4">
        <f t="shared" si="27"/>
        <v>0</v>
      </c>
      <c r="H57" s="4">
        <f t="shared" si="28"/>
        <v>0</v>
      </c>
      <c r="I57" s="4">
        <f t="shared" si="28"/>
        <v>0</v>
      </c>
      <c r="J57" s="4">
        <f t="shared" si="28"/>
        <v>0</v>
      </c>
      <c r="K57" s="4"/>
      <c r="L57" s="4"/>
      <c r="M57" s="4"/>
      <c r="N57" s="4"/>
      <c r="O57" s="4"/>
      <c r="P57" s="4">
        <v>33.6798</v>
      </c>
      <c r="Q57" s="1">
        <f t="shared" si="5"/>
        <v>33.6798</v>
      </c>
      <c r="R57" s="1">
        <f t="shared" si="20"/>
        <v>841.995</v>
      </c>
      <c r="S57" s="1">
        <f t="shared" si="6"/>
        <v>841.995</v>
      </c>
      <c r="T57" s="1">
        <f t="shared" si="21"/>
        <v>0</v>
      </c>
      <c r="U57" s="1">
        <f t="shared" si="22"/>
        <v>0</v>
      </c>
      <c r="V57" s="4"/>
    </row>
    <row r="58" spans="1:31" x14ac:dyDescent="0.35">
      <c r="A58" s="1">
        <v>57</v>
      </c>
      <c r="B58" s="1">
        <v>2227.6855671211929</v>
      </c>
      <c r="C58" s="1">
        <v>0</v>
      </c>
      <c r="D58" s="1"/>
      <c r="E58" s="1">
        <v>0</v>
      </c>
      <c r="F58" s="1">
        <v>0</v>
      </c>
      <c r="G58" s="4">
        <f t="shared" si="27"/>
        <v>0</v>
      </c>
      <c r="H58" s="4">
        <f t="shared" si="28"/>
        <v>0</v>
      </c>
      <c r="I58" s="4">
        <f t="shared" si="28"/>
        <v>0</v>
      </c>
      <c r="J58" s="4">
        <f t="shared" si="28"/>
        <v>0</v>
      </c>
      <c r="K58" s="4"/>
      <c r="L58" s="4"/>
      <c r="M58" s="4"/>
      <c r="N58" s="4"/>
      <c r="O58" s="4"/>
      <c r="P58" s="4">
        <v>43.985100000000003</v>
      </c>
      <c r="Q58" s="1">
        <f t="shared" si="5"/>
        <v>43.985100000000003</v>
      </c>
      <c r="R58" s="1">
        <f t="shared" si="20"/>
        <v>1099.6275000000001</v>
      </c>
      <c r="S58" s="1">
        <f t="shared" si="6"/>
        <v>1099.6275000000001</v>
      </c>
      <c r="T58" s="1">
        <f t="shared" si="21"/>
        <v>0</v>
      </c>
      <c r="U58" s="1">
        <f t="shared" si="22"/>
        <v>0</v>
      </c>
      <c r="V58" s="4"/>
    </row>
    <row r="59" spans="1:31" x14ac:dyDescent="0.35">
      <c r="A59" s="1">
        <v>58</v>
      </c>
      <c r="B59" s="1">
        <v>404.30530639696019</v>
      </c>
      <c r="C59" s="1">
        <v>0</v>
      </c>
      <c r="D59" s="1"/>
      <c r="E59" s="1">
        <v>0</v>
      </c>
      <c r="F59" s="1">
        <v>0</v>
      </c>
      <c r="G59" s="4">
        <f t="shared" si="27"/>
        <v>0</v>
      </c>
      <c r="H59" s="4">
        <f t="shared" si="28"/>
        <v>0</v>
      </c>
      <c r="I59" s="4">
        <f t="shared" si="28"/>
        <v>0</v>
      </c>
      <c r="J59" s="4">
        <f t="shared" si="28"/>
        <v>0</v>
      </c>
      <c r="K59" s="4"/>
      <c r="L59" s="4"/>
      <c r="M59" s="4"/>
      <c r="N59" s="4"/>
      <c r="O59" s="4"/>
      <c r="P59" s="4">
        <v>7.2637200000000002</v>
      </c>
      <c r="Q59" s="1">
        <f t="shared" si="5"/>
        <v>7.2637200000000002</v>
      </c>
      <c r="R59" s="1">
        <f t="shared" si="20"/>
        <v>181.59300000000002</v>
      </c>
      <c r="S59" s="1">
        <f t="shared" si="6"/>
        <v>181.59300000000002</v>
      </c>
      <c r="T59" s="1">
        <f t="shared" si="21"/>
        <v>0</v>
      </c>
      <c r="U59" s="1">
        <f t="shared" si="22"/>
        <v>0</v>
      </c>
      <c r="V59" s="4"/>
    </row>
    <row r="60" spans="1:31" x14ac:dyDescent="0.35">
      <c r="A60" s="1">
        <v>59</v>
      </c>
      <c r="B60" s="1">
        <v>3141.552121160008</v>
      </c>
      <c r="C60" s="1">
        <v>0</v>
      </c>
      <c r="D60" s="1"/>
      <c r="E60" s="1">
        <v>0</v>
      </c>
      <c r="F60" s="1">
        <v>0</v>
      </c>
      <c r="G60" s="4">
        <f t="shared" si="27"/>
        <v>0</v>
      </c>
      <c r="H60" s="4">
        <f t="shared" si="28"/>
        <v>0</v>
      </c>
      <c r="I60" s="4">
        <f t="shared" si="28"/>
        <v>0</v>
      </c>
      <c r="J60" s="4">
        <f t="shared" si="28"/>
        <v>0</v>
      </c>
      <c r="K60" s="4"/>
      <c r="L60" s="4"/>
      <c r="M60" s="4"/>
      <c r="N60" s="4"/>
      <c r="O60" s="4"/>
      <c r="P60" s="4">
        <v>63.6265</v>
      </c>
      <c r="Q60" s="1">
        <f t="shared" si="5"/>
        <v>63.6265</v>
      </c>
      <c r="R60" s="1">
        <f t="shared" si="20"/>
        <v>1590.6624999999999</v>
      </c>
      <c r="S60" s="1">
        <f t="shared" si="6"/>
        <v>1590.6624999999999</v>
      </c>
      <c r="T60" s="1">
        <f t="shared" si="21"/>
        <v>0</v>
      </c>
      <c r="U60" s="1">
        <f t="shared" si="22"/>
        <v>0</v>
      </c>
      <c r="V60" s="4"/>
    </row>
    <row r="61" spans="1:31" x14ac:dyDescent="0.35">
      <c r="A61" s="1">
        <v>60</v>
      </c>
      <c r="B61" s="1">
        <v>2862.8042339526478</v>
      </c>
      <c r="C61" s="1">
        <v>0</v>
      </c>
      <c r="D61" s="1"/>
      <c r="E61" s="1">
        <v>0</v>
      </c>
      <c r="F61" s="1">
        <v>0</v>
      </c>
      <c r="G61" s="4">
        <f t="shared" si="27"/>
        <v>0</v>
      </c>
      <c r="H61" s="4">
        <f t="shared" si="28"/>
        <v>0</v>
      </c>
      <c r="I61" s="4">
        <f t="shared" si="28"/>
        <v>0</v>
      </c>
      <c r="J61" s="4">
        <f t="shared" si="28"/>
        <v>0</v>
      </c>
      <c r="K61" s="4"/>
      <c r="L61" s="4"/>
      <c r="M61" s="4"/>
      <c r="N61" s="4"/>
      <c r="O61" s="4"/>
      <c r="P61" s="4">
        <v>59.825899999999997</v>
      </c>
      <c r="Q61" s="1">
        <f t="shared" si="5"/>
        <v>59.825899999999997</v>
      </c>
      <c r="R61" s="1">
        <f t="shared" si="20"/>
        <v>1495.6475</v>
      </c>
      <c r="S61" s="1">
        <f t="shared" si="6"/>
        <v>1495.6475</v>
      </c>
      <c r="T61" s="1">
        <f t="shared" si="21"/>
        <v>0</v>
      </c>
      <c r="U61" s="1">
        <f t="shared" si="22"/>
        <v>0</v>
      </c>
      <c r="V61" s="4"/>
    </row>
    <row r="62" spans="1:31" x14ac:dyDescent="0.35">
      <c r="A62" s="1">
        <v>61</v>
      </c>
      <c r="B62" s="1">
        <v>2954.0094942934988</v>
      </c>
      <c r="C62" s="1">
        <v>0</v>
      </c>
      <c r="D62" s="1"/>
      <c r="E62" s="1">
        <v>0</v>
      </c>
      <c r="F62" s="1">
        <v>0</v>
      </c>
      <c r="G62" s="4">
        <f t="shared" si="27"/>
        <v>0</v>
      </c>
      <c r="H62" s="4">
        <f t="shared" si="28"/>
        <v>0</v>
      </c>
      <c r="I62" s="4">
        <f t="shared" si="28"/>
        <v>0</v>
      </c>
      <c r="J62" s="4">
        <f t="shared" si="28"/>
        <v>0</v>
      </c>
      <c r="K62" s="4"/>
      <c r="L62" s="4"/>
      <c r="M62" s="4"/>
      <c r="N62" s="4"/>
      <c r="O62" s="4"/>
      <c r="P62" s="4">
        <v>64.215500000000006</v>
      </c>
      <c r="Q62" s="1">
        <f t="shared" si="5"/>
        <v>64.215500000000006</v>
      </c>
      <c r="R62" s="1">
        <f t="shared" si="20"/>
        <v>1605.3875</v>
      </c>
      <c r="S62" s="1">
        <f t="shared" si="6"/>
        <v>1605.3875</v>
      </c>
      <c r="T62" s="1">
        <f t="shared" si="21"/>
        <v>0</v>
      </c>
      <c r="U62" s="1">
        <f t="shared" si="22"/>
        <v>0</v>
      </c>
      <c r="V62" s="4"/>
    </row>
    <row r="63" spans="1:31" x14ac:dyDescent="0.35">
      <c r="A63" s="1">
        <v>62</v>
      </c>
      <c r="B63" s="1">
        <v>1204.0745303370161</v>
      </c>
      <c r="C63" s="1">
        <v>0</v>
      </c>
      <c r="D63" s="1"/>
      <c r="E63" s="1">
        <v>0</v>
      </c>
      <c r="F63" s="1">
        <v>0</v>
      </c>
      <c r="G63" s="4">
        <f t="shared" si="27"/>
        <v>0</v>
      </c>
      <c r="H63" s="4">
        <f t="shared" si="28"/>
        <v>0</v>
      </c>
      <c r="I63" s="4">
        <f t="shared" si="28"/>
        <v>0</v>
      </c>
      <c r="J63" s="4">
        <f t="shared" si="28"/>
        <v>0</v>
      </c>
      <c r="K63" s="4"/>
      <c r="L63" s="4"/>
      <c r="M63" s="4"/>
      <c r="N63" s="4"/>
      <c r="O63" s="4"/>
      <c r="P63" s="4">
        <v>25.6633</v>
      </c>
      <c r="Q63" s="1">
        <f t="shared" si="5"/>
        <v>25.6633</v>
      </c>
      <c r="R63" s="1">
        <f t="shared" si="20"/>
        <v>641.58249999999998</v>
      </c>
      <c r="S63" s="1">
        <f>R63-G63</f>
        <v>641.58249999999998</v>
      </c>
      <c r="T63" s="1">
        <f t="shared" si="21"/>
        <v>0</v>
      </c>
      <c r="U63" s="1">
        <f t="shared" si="22"/>
        <v>0</v>
      </c>
      <c r="V63" s="4"/>
    </row>
    <row r="64" spans="1:31" x14ac:dyDescent="0.35">
      <c r="A64" s="1">
        <v>63</v>
      </c>
      <c r="B64" s="1">
        <v>13474.18710799874</v>
      </c>
      <c r="C64" s="1">
        <v>0</v>
      </c>
      <c r="D64" s="1"/>
      <c r="E64" s="1">
        <v>0</v>
      </c>
      <c r="F64" s="1">
        <v>0</v>
      </c>
      <c r="G64" s="4">
        <f t="shared" si="27"/>
        <v>0</v>
      </c>
      <c r="H64" s="4">
        <f t="shared" si="28"/>
        <v>0</v>
      </c>
      <c r="I64" s="4">
        <f t="shared" si="28"/>
        <v>0</v>
      </c>
      <c r="J64" s="4">
        <f t="shared" si="28"/>
        <v>0</v>
      </c>
      <c r="K64" s="4"/>
      <c r="L64" s="4"/>
      <c r="M64" s="4"/>
      <c r="N64" s="4"/>
      <c r="O64" s="4"/>
      <c r="P64" s="4">
        <v>279.54399999999998</v>
      </c>
      <c r="Q64" s="1">
        <f t="shared" si="5"/>
        <v>279.54399999999998</v>
      </c>
      <c r="R64" s="1">
        <f t="shared" si="20"/>
        <v>6988.5999999999995</v>
      </c>
      <c r="S64" s="1">
        <f t="shared" si="6"/>
        <v>6988.5999999999995</v>
      </c>
      <c r="T64" s="1">
        <f t="shared" si="21"/>
        <v>0</v>
      </c>
      <c r="U64" s="1">
        <f t="shared" si="22"/>
        <v>0</v>
      </c>
      <c r="V64" s="4"/>
    </row>
    <row r="65" spans="1:22" x14ac:dyDescent="0.35">
      <c r="A65" s="1">
        <v>64</v>
      </c>
      <c r="B65" s="1">
        <v>3713.6923624805509</v>
      </c>
      <c r="C65" s="1">
        <v>0</v>
      </c>
      <c r="D65" s="1"/>
      <c r="E65" s="1">
        <v>0</v>
      </c>
      <c r="F65" s="1">
        <v>0</v>
      </c>
      <c r="G65" s="4">
        <f t="shared" si="27"/>
        <v>0</v>
      </c>
      <c r="H65" s="4">
        <f t="shared" si="28"/>
        <v>0</v>
      </c>
      <c r="I65" s="4">
        <f t="shared" si="28"/>
        <v>0</v>
      </c>
      <c r="J65" s="4">
        <f t="shared" si="28"/>
        <v>0</v>
      </c>
      <c r="K65" s="4"/>
      <c r="L65" s="4"/>
      <c r="M65" s="4"/>
      <c r="N65" s="4"/>
      <c r="O65" s="4"/>
      <c r="P65" s="4">
        <v>78.026300000000006</v>
      </c>
      <c r="Q65" s="1">
        <f t="shared" si="5"/>
        <v>78.026300000000006</v>
      </c>
      <c r="R65" s="1">
        <f t="shared" si="20"/>
        <v>1950.6575000000003</v>
      </c>
      <c r="S65" s="1">
        <f t="shared" si="6"/>
        <v>1950.6575000000003</v>
      </c>
      <c r="T65" s="1">
        <f t="shared" si="21"/>
        <v>0</v>
      </c>
      <c r="U65" s="1">
        <f t="shared" si="22"/>
        <v>0</v>
      </c>
      <c r="V65" s="4"/>
    </row>
    <row r="66" spans="1:22" x14ac:dyDescent="0.35">
      <c r="A66" s="1">
        <v>65</v>
      </c>
      <c r="B66" s="1">
        <v>1118.1009256975681</v>
      </c>
      <c r="C66" s="1">
        <v>0</v>
      </c>
      <c r="D66" s="1"/>
      <c r="E66" s="1">
        <v>0</v>
      </c>
      <c r="F66" s="1">
        <v>0</v>
      </c>
      <c r="G66" s="4">
        <f t="shared" si="27"/>
        <v>0</v>
      </c>
      <c r="H66" s="4">
        <f t="shared" si="28"/>
        <v>0</v>
      </c>
      <c r="I66" s="4">
        <f t="shared" si="28"/>
        <v>0</v>
      </c>
      <c r="J66" s="4">
        <f t="shared" si="28"/>
        <v>0</v>
      </c>
      <c r="K66" s="4"/>
      <c r="L66" s="4"/>
      <c r="M66" s="4"/>
      <c r="N66" s="4"/>
      <c r="O66" s="4"/>
      <c r="P66" s="4">
        <v>23.491800000000001</v>
      </c>
      <c r="Q66" s="1">
        <f t="shared" si="5"/>
        <v>23.491800000000001</v>
      </c>
      <c r="R66" s="1">
        <f t="shared" ref="R66:R100" si="31">P66*$M$40</f>
        <v>587.29500000000007</v>
      </c>
      <c r="S66" s="1">
        <f t="shared" si="6"/>
        <v>587.29500000000007</v>
      </c>
      <c r="T66" s="1">
        <f t="shared" ref="T66:T100" si="32">(G66/($M$40*B66))+I66</f>
        <v>0</v>
      </c>
      <c r="U66" s="1">
        <f t="shared" ref="U66:U100" si="33">(G66/($M$43*B66))+I66</f>
        <v>0</v>
      </c>
      <c r="V66" s="4"/>
    </row>
    <row r="67" spans="1:22" x14ac:dyDescent="0.35">
      <c r="A67" s="1">
        <v>66</v>
      </c>
      <c r="B67" s="1">
        <v>789.18834550043005</v>
      </c>
      <c r="C67" s="1">
        <v>0</v>
      </c>
      <c r="D67" s="1"/>
      <c r="E67" s="1">
        <v>0</v>
      </c>
      <c r="F67" s="1">
        <v>0</v>
      </c>
      <c r="G67" s="4">
        <f t="shared" si="27"/>
        <v>0</v>
      </c>
      <c r="H67" s="4">
        <f t="shared" si="28"/>
        <v>0</v>
      </c>
      <c r="I67" s="4">
        <f t="shared" si="28"/>
        <v>0</v>
      </c>
      <c r="J67" s="4">
        <f t="shared" si="28"/>
        <v>0</v>
      </c>
      <c r="K67" s="4"/>
      <c r="L67" s="1" t="s">
        <v>247</v>
      </c>
      <c r="M67" s="1">
        <v>24000</v>
      </c>
      <c r="N67" s="4" t="s">
        <v>268</v>
      </c>
      <c r="O67" s="4"/>
      <c r="P67" s="4">
        <v>16.784199999999998</v>
      </c>
      <c r="Q67" s="1">
        <f t="shared" ref="Q67:Q100" si="34">P67-G67</f>
        <v>16.784199999999998</v>
      </c>
      <c r="R67" s="1">
        <f t="shared" si="31"/>
        <v>419.60499999999996</v>
      </c>
      <c r="S67" s="1">
        <f t="shared" ref="S67:S80" si="35">R67-G67</f>
        <v>419.60499999999996</v>
      </c>
      <c r="T67" s="1">
        <f t="shared" si="32"/>
        <v>0</v>
      </c>
      <c r="U67" s="1">
        <f t="shared" si="33"/>
        <v>0</v>
      </c>
      <c r="V67" s="4"/>
    </row>
    <row r="68" spans="1:22" x14ac:dyDescent="0.35">
      <c r="A68" s="1">
        <v>67</v>
      </c>
      <c r="B68" s="1">
        <v>1631.3808757786551</v>
      </c>
      <c r="C68" s="1">
        <v>0</v>
      </c>
      <c r="D68" s="1"/>
      <c r="E68" s="1">
        <v>0</v>
      </c>
      <c r="F68" s="1">
        <v>0</v>
      </c>
      <c r="G68" s="4">
        <f t="shared" si="27"/>
        <v>0</v>
      </c>
      <c r="H68" s="4">
        <f t="shared" si="28"/>
        <v>0</v>
      </c>
      <c r="I68" s="4">
        <f t="shared" si="28"/>
        <v>0</v>
      </c>
      <c r="J68" s="4">
        <f t="shared" si="28"/>
        <v>0</v>
      </c>
      <c r="K68" s="4"/>
      <c r="L68" s="4" t="s">
        <v>247</v>
      </c>
      <c r="M68" s="4">
        <v>26000</v>
      </c>
      <c r="N68" s="4" t="s">
        <v>264</v>
      </c>
      <c r="O68" s="4"/>
      <c r="P68" s="4">
        <v>31.626000000000001</v>
      </c>
      <c r="Q68" s="1">
        <f t="shared" si="34"/>
        <v>31.626000000000001</v>
      </c>
      <c r="R68" s="1">
        <f t="shared" si="31"/>
        <v>790.65</v>
      </c>
      <c r="S68" s="1">
        <f t="shared" si="35"/>
        <v>790.65</v>
      </c>
      <c r="T68" s="1">
        <f t="shared" si="32"/>
        <v>0</v>
      </c>
      <c r="U68" s="1">
        <f t="shared" si="33"/>
        <v>0</v>
      </c>
      <c r="V68" s="4"/>
    </row>
    <row r="69" spans="1:22" x14ac:dyDescent="0.35">
      <c r="A69" s="1">
        <v>68</v>
      </c>
      <c r="B69" s="1">
        <v>4258.9353884654111</v>
      </c>
      <c r="C69" s="1">
        <v>0</v>
      </c>
      <c r="D69" s="1"/>
      <c r="E69" s="1">
        <v>0</v>
      </c>
      <c r="F69" s="1">
        <v>0</v>
      </c>
      <c r="G69" s="4">
        <f t="shared" si="27"/>
        <v>0</v>
      </c>
      <c r="H69" s="4">
        <f t="shared" si="28"/>
        <v>0</v>
      </c>
      <c r="I69" s="4">
        <f t="shared" si="28"/>
        <v>0</v>
      </c>
      <c r="J69" s="4">
        <f t="shared" si="28"/>
        <v>0</v>
      </c>
      <c r="K69" s="4"/>
      <c r="L69" s="4" t="s">
        <v>247</v>
      </c>
      <c r="M69" s="4">
        <v>32500</v>
      </c>
      <c r="N69" s="4" t="s">
        <v>265</v>
      </c>
      <c r="O69" s="4"/>
      <c r="P69" s="4">
        <v>86.851900000000001</v>
      </c>
      <c r="Q69" s="1">
        <f t="shared" si="34"/>
        <v>86.851900000000001</v>
      </c>
      <c r="R69" s="1">
        <f t="shared" si="31"/>
        <v>2171.2975000000001</v>
      </c>
      <c r="S69" s="1">
        <f t="shared" si="35"/>
        <v>2171.2975000000001</v>
      </c>
      <c r="T69" s="1">
        <f t="shared" si="32"/>
        <v>0</v>
      </c>
      <c r="U69" s="1">
        <f t="shared" si="33"/>
        <v>0</v>
      </c>
      <c r="V69" s="4"/>
    </row>
    <row r="70" spans="1:22" x14ac:dyDescent="0.35">
      <c r="A70" s="1">
        <v>69</v>
      </c>
      <c r="B70" s="1">
        <v>4490.8701254733214</v>
      </c>
      <c r="C70" s="1">
        <v>0</v>
      </c>
      <c r="D70" s="1"/>
      <c r="E70" s="1">
        <v>0</v>
      </c>
      <c r="F70" s="1">
        <v>0</v>
      </c>
      <c r="G70" s="4">
        <f t="shared" si="27"/>
        <v>0</v>
      </c>
      <c r="H70" s="4">
        <f t="shared" si="28"/>
        <v>0</v>
      </c>
      <c r="I70" s="4">
        <f t="shared" si="28"/>
        <v>0</v>
      </c>
      <c r="J70" s="4">
        <f t="shared" si="28"/>
        <v>0</v>
      </c>
      <c r="K70" s="4"/>
      <c r="L70" s="4" t="s">
        <v>247</v>
      </c>
      <c r="M70" s="4">
        <v>34600</v>
      </c>
      <c r="N70" s="4" t="s">
        <v>266</v>
      </c>
      <c r="O70" s="4"/>
      <c r="P70" s="4">
        <v>90.9893</v>
      </c>
      <c r="Q70" s="1">
        <f t="shared" si="34"/>
        <v>90.9893</v>
      </c>
      <c r="R70" s="1">
        <f t="shared" si="31"/>
        <v>2274.7325000000001</v>
      </c>
      <c r="S70" s="1">
        <f t="shared" si="35"/>
        <v>2274.7325000000001</v>
      </c>
      <c r="T70" s="1">
        <f t="shared" si="32"/>
        <v>0</v>
      </c>
      <c r="U70" s="1">
        <f t="shared" si="33"/>
        <v>0</v>
      </c>
      <c r="V70" s="4"/>
    </row>
    <row r="71" spans="1:22" x14ac:dyDescent="0.35">
      <c r="A71" s="1">
        <v>70</v>
      </c>
      <c r="B71" s="1">
        <v>6097.7538980173758</v>
      </c>
      <c r="C71" s="1">
        <v>0</v>
      </c>
      <c r="D71" s="1"/>
      <c r="E71" s="1">
        <v>0</v>
      </c>
      <c r="F71" s="1">
        <v>0</v>
      </c>
      <c r="G71" s="4">
        <f t="shared" si="27"/>
        <v>0</v>
      </c>
      <c r="H71" s="4">
        <f t="shared" si="28"/>
        <v>0</v>
      </c>
      <c r="I71" s="4">
        <f t="shared" si="28"/>
        <v>0</v>
      </c>
      <c r="J71" s="4">
        <f t="shared" si="28"/>
        <v>0</v>
      </c>
      <c r="K71" s="4"/>
      <c r="L71" s="4"/>
      <c r="M71" s="4"/>
      <c r="N71" s="4"/>
      <c r="O71" s="4"/>
      <c r="P71" s="4">
        <v>124.14400000000001</v>
      </c>
      <c r="Q71" s="1">
        <f t="shared" si="34"/>
        <v>124.14400000000001</v>
      </c>
      <c r="R71" s="1">
        <f t="shared" si="31"/>
        <v>3103.6000000000004</v>
      </c>
      <c r="S71" s="1">
        <f t="shared" si="35"/>
        <v>3103.6000000000004</v>
      </c>
      <c r="T71" s="1">
        <f t="shared" si="32"/>
        <v>0</v>
      </c>
      <c r="U71" s="1">
        <f t="shared" si="33"/>
        <v>0</v>
      </c>
      <c r="V71" s="4"/>
    </row>
    <row r="72" spans="1:22" x14ac:dyDescent="0.35">
      <c r="A72" s="1">
        <v>71</v>
      </c>
      <c r="B72" s="1">
        <v>4593.5313049109664</v>
      </c>
      <c r="C72" s="1">
        <v>0</v>
      </c>
      <c r="D72" s="1"/>
      <c r="E72" s="1">
        <v>0</v>
      </c>
      <c r="F72" s="1">
        <v>0</v>
      </c>
      <c r="G72" s="4">
        <f t="shared" si="27"/>
        <v>0</v>
      </c>
      <c r="H72" s="4">
        <f t="shared" si="28"/>
        <v>0</v>
      </c>
      <c r="I72" s="4">
        <f t="shared" si="28"/>
        <v>0</v>
      </c>
      <c r="J72" s="4">
        <f t="shared" si="28"/>
        <v>0</v>
      </c>
      <c r="K72" s="4"/>
      <c r="L72" s="4"/>
      <c r="M72" s="4"/>
      <c r="N72" s="4"/>
      <c r="O72" s="4"/>
      <c r="P72" s="4">
        <v>96.512100000000004</v>
      </c>
      <c r="Q72" s="1">
        <f t="shared" si="34"/>
        <v>96.512100000000004</v>
      </c>
      <c r="R72" s="1">
        <f t="shared" si="31"/>
        <v>2412.8025000000002</v>
      </c>
      <c r="S72" s="1">
        <f t="shared" si="35"/>
        <v>2412.8025000000002</v>
      </c>
      <c r="T72" s="1">
        <f t="shared" si="32"/>
        <v>0</v>
      </c>
      <c r="U72" s="1">
        <f t="shared" si="33"/>
        <v>0</v>
      </c>
      <c r="V72" s="4"/>
    </row>
    <row r="73" spans="1:22" x14ac:dyDescent="0.35">
      <c r="A73" s="1">
        <v>72</v>
      </c>
      <c r="B73" s="1">
        <v>8062.2213477933838</v>
      </c>
      <c r="C73" s="1">
        <v>0</v>
      </c>
      <c r="D73" s="1"/>
      <c r="E73" s="1">
        <v>0</v>
      </c>
      <c r="F73" s="1">
        <v>0</v>
      </c>
      <c r="G73" s="4">
        <f t="shared" si="27"/>
        <v>0</v>
      </c>
      <c r="H73" s="4">
        <f t="shared" si="28"/>
        <v>0</v>
      </c>
      <c r="I73" s="4">
        <f t="shared" si="28"/>
        <v>0</v>
      </c>
      <c r="J73" s="4">
        <f t="shared" si="28"/>
        <v>0</v>
      </c>
      <c r="K73" s="4"/>
      <c r="L73" s="4"/>
      <c r="M73" s="4"/>
      <c r="N73" s="4"/>
      <c r="O73" s="4"/>
      <c r="P73" s="4">
        <v>174.48599999999999</v>
      </c>
      <c r="Q73" s="1">
        <f t="shared" si="34"/>
        <v>174.48599999999999</v>
      </c>
      <c r="R73" s="1">
        <f t="shared" si="31"/>
        <v>4362.1499999999996</v>
      </c>
      <c r="S73" s="1">
        <f t="shared" si="35"/>
        <v>4362.1499999999996</v>
      </c>
      <c r="T73" s="1">
        <f t="shared" si="32"/>
        <v>0</v>
      </c>
      <c r="U73" s="1">
        <f t="shared" si="33"/>
        <v>0</v>
      </c>
      <c r="V73" s="4"/>
    </row>
    <row r="74" spans="1:22" x14ac:dyDescent="0.35">
      <c r="A74" s="1">
        <v>73</v>
      </c>
      <c r="B74" s="1">
        <v>4657.9117518025187</v>
      </c>
      <c r="C74" s="1">
        <v>0</v>
      </c>
      <c r="D74" s="1"/>
      <c r="E74" s="1">
        <v>0</v>
      </c>
      <c r="F74" s="1">
        <v>0</v>
      </c>
      <c r="G74" s="4">
        <f t="shared" si="27"/>
        <v>0</v>
      </c>
      <c r="H74" s="4">
        <f t="shared" si="28"/>
        <v>0</v>
      </c>
      <c r="I74" s="4">
        <f t="shared" si="28"/>
        <v>0</v>
      </c>
      <c r="J74" s="4">
        <f t="shared" si="28"/>
        <v>0</v>
      </c>
      <c r="K74" s="4"/>
      <c r="L74" s="4"/>
      <c r="M74" s="4"/>
      <c r="N74" s="4"/>
      <c r="O74" s="4"/>
      <c r="P74" s="4">
        <v>98.659400000000005</v>
      </c>
      <c r="Q74" s="1">
        <f t="shared" si="34"/>
        <v>98.659400000000005</v>
      </c>
      <c r="R74" s="1">
        <f t="shared" si="31"/>
        <v>2466.4850000000001</v>
      </c>
      <c r="S74" s="1">
        <f t="shared" si="35"/>
        <v>2466.4850000000001</v>
      </c>
      <c r="T74" s="1">
        <f t="shared" si="32"/>
        <v>0</v>
      </c>
      <c r="U74" s="1">
        <f t="shared" si="33"/>
        <v>0</v>
      </c>
      <c r="V74" s="4"/>
    </row>
    <row r="75" spans="1:22" x14ac:dyDescent="0.35">
      <c r="A75" s="1">
        <v>74</v>
      </c>
      <c r="B75" s="1">
        <v>4129.0607113934348</v>
      </c>
      <c r="C75" s="1">
        <v>0</v>
      </c>
      <c r="D75" s="1"/>
      <c r="E75" s="1">
        <v>0</v>
      </c>
      <c r="F75" s="1">
        <v>0</v>
      </c>
      <c r="G75" s="4">
        <f t="shared" si="27"/>
        <v>0</v>
      </c>
      <c r="H75" s="4">
        <f t="shared" si="28"/>
        <v>0</v>
      </c>
      <c r="I75" s="4">
        <f t="shared" si="28"/>
        <v>0</v>
      </c>
      <c r="J75" s="4">
        <f t="shared" si="28"/>
        <v>0</v>
      </c>
      <c r="K75" s="4"/>
      <c r="L75" s="4"/>
      <c r="M75" s="4"/>
      <c r="N75" s="4"/>
      <c r="O75" s="4"/>
      <c r="P75" s="4">
        <v>86.753399999999999</v>
      </c>
      <c r="Q75" s="1">
        <f t="shared" si="34"/>
        <v>86.753399999999999</v>
      </c>
      <c r="R75" s="1">
        <f t="shared" si="31"/>
        <v>2168.835</v>
      </c>
      <c r="S75" s="1">
        <f t="shared" si="35"/>
        <v>2168.835</v>
      </c>
      <c r="T75" s="1">
        <f t="shared" si="32"/>
        <v>0</v>
      </c>
      <c r="U75" s="1">
        <f t="shared" si="33"/>
        <v>0</v>
      </c>
      <c r="V75" s="4"/>
    </row>
    <row r="76" spans="1:22" x14ac:dyDescent="0.35">
      <c r="A76" s="1">
        <v>75</v>
      </c>
      <c r="B76" s="1">
        <v>14350.316193396229</v>
      </c>
      <c r="C76" s="1">
        <v>0</v>
      </c>
      <c r="D76" s="1"/>
      <c r="E76" s="1">
        <v>0</v>
      </c>
      <c r="F76" s="1">
        <v>0</v>
      </c>
      <c r="G76" s="4">
        <f t="shared" si="27"/>
        <v>0</v>
      </c>
      <c r="H76" s="4">
        <f t="shared" si="28"/>
        <v>0</v>
      </c>
      <c r="I76" s="4">
        <f t="shared" si="28"/>
        <v>0</v>
      </c>
      <c r="J76" s="4">
        <f t="shared" si="28"/>
        <v>0</v>
      </c>
      <c r="K76" s="4"/>
      <c r="L76" s="4"/>
      <c r="M76" s="4"/>
      <c r="N76" s="4"/>
      <c r="O76" s="4"/>
      <c r="P76" s="4">
        <v>250.209</v>
      </c>
      <c r="Q76" s="1">
        <f t="shared" si="34"/>
        <v>250.209</v>
      </c>
      <c r="R76" s="1">
        <f t="shared" si="31"/>
        <v>6255.2250000000004</v>
      </c>
      <c r="S76" s="1">
        <f t="shared" si="35"/>
        <v>6255.2250000000004</v>
      </c>
      <c r="T76" s="1">
        <f t="shared" si="32"/>
        <v>0</v>
      </c>
      <c r="U76" s="1">
        <f t="shared" si="33"/>
        <v>0</v>
      </c>
      <c r="V76" s="4"/>
    </row>
    <row r="77" spans="1:22" x14ac:dyDescent="0.35">
      <c r="A77" s="1">
        <v>76</v>
      </c>
      <c r="B77" s="1">
        <v>5149.4780654648821</v>
      </c>
      <c r="C77" s="1">
        <v>0</v>
      </c>
      <c r="D77" s="1"/>
      <c r="E77" s="1">
        <v>0</v>
      </c>
      <c r="F77" s="1">
        <v>0</v>
      </c>
      <c r="G77" s="4">
        <f t="shared" si="27"/>
        <v>0</v>
      </c>
      <c r="H77" s="4">
        <f t="shared" si="28"/>
        <v>0</v>
      </c>
      <c r="I77" s="4">
        <f t="shared" si="28"/>
        <v>0</v>
      </c>
      <c r="J77" s="4">
        <f t="shared" si="28"/>
        <v>0</v>
      </c>
      <c r="K77" s="4"/>
      <c r="L77" s="4"/>
      <c r="M77" s="4"/>
      <c r="N77" s="4"/>
      <c r="O77" s="4"/>
      <c r="P77" s="4">
        <v>108.91500000000001</v>
      </c>
      <c r="Q77" s="1">
        <f t="shared" si="34"/>
        <v>108.91500000000001</v>
      </c>
      <c r="R77" s="1">
        <f t="shared" si="31"/>
        <v>2722.875</v>
      </c>
      <c r="S77" s="1">
        <f t="shared" si="35"/>
        <v>2722.875</v>
      </c>
      <c r="T77" s="1">
        <f t="shared" si="32"/>
        <v>0</v>
      </c>
      <c r="U77" s="1">
        <f t="shared" si="33"/>
        <v>0</v>
      </c>
      <c r="V77" s="4"/>
    </row>
    <row r="78" spans="1:22" x14ac:dyDescent="0.35">
      <c r="A78" s="1">
        <v>77</v>
      </c>
      <c r="B78" s="1">
        <v>4612.9275296437472</v>
      </c>
      <c r="C78" s="1">
        <v>0</v>
      </c>
      <c r="D78" s="1"/>
      <c r="E78" s="1">
        <v>0</v>
      </c>
      <c r="F78" s="1">
        <v>0</v>
      </c>
      <c r="G78" s="4">
        <f t="shared" si="27"/>
        <v>0</v>
      </c>
      <c r="H78" s="4">
        <f t="shared" si="28"/>
        <v>0</v>
      </c>
      <c r="I78" s="4">
        <f t="shared" si="28"/>
        <v>0</v>
      </c>
      <c r="J78" s="4">
        <f t="shared" si="28"/>
        <v>0</v>
      </c>
      <c r="K78" s="4"/>
      <c r="L78" s="4"/>
      <c r="M78" s="4"/>
      <c r="N78" s="4"/>
      <c r="O78" s="4"/>
      <c r="P78" s="4">
        <v>98.416499999999999</v>
      </c>
      <c r="Q78" s="1">
        <f t="shared" si="34"/>
        <v>98.416499999999999</v>
      </c>
      <c r="R78" s="1">
        <f t="shared" si="31"/>
        <v>2460.4124999999999</v>
      </c>
      <c r="S78" s="1">
        <f t="shared" si="35"/>
        <v>2460.4124999999999</v>
      </c>
      <c r="T78" s="1">
        <f t="shared" si="32"/>
        <v>0</v>
      </c>
      <c r="U78" s="1">
        <f t="shared" si="33"/>
        <v>0</v>
      </c>
      <c r="V78" s="4"/>
    </row>
    <row r="79" spans="1:22" x14ac:dyDescent="0.35">
      <c r="A79" s="1">
        <v>78</v>
      </c>
      <c r="B79" s="1">
        <v>4299.5858542619962</v>
      </c>
      <c r="C79" s="1">
        <v>0</v>
      </c>
      <c r="D79" s="1"/>
      <c r="E79" s="1">
        <v>0</v>
      </c>
      <c r="F79" s="1">
        <v>0</v>
      </c>
      <c r="G79" s="4">
        <f t="shared" si="27"/>
        <v>0</v>
      </c>
      <c r="H79" s="4">
        <f t="shared" ref="H79:J100" si="36">$M$12*C79</f>
        <v>0</v>
      </c>
      <c r="I79" s="4">
        <f t="shared" si="36"/>
        <v>0</v>
      </c>
      <c r="J79" s="4">
        <f t="shared" si="36"/>
        <v>0</v>
      </c>
      <c r="K79" s="4"/>
      <c r="L79" s="4"/>
      <c r="M79" s="4"/>
      <c r="N79" s="4"/>
      <c r="O79" s="4"/>
      <c r="P79" s="4">
        <v>78.811800000000005</v>
      </c>
      <c r="Q79" s="1">
        <f t="shared" si="34"/>
        <v>78.811800000000005</v>
      </c>
      <c r="R79" s="1">
        <f t="shared" si="31"/>
        <v>1970.2950000000001</v>
      </c>
      <c r="S79" s="1">
        <f t="shared" si="35"/>
        <v>1970.2950000000001</v>
      </c>
      <c r="T79" s="1">
        <f t="shared" si="32"/>
        <v>0</v>
      </c>
      <c r="U79" s="1">
        <f t="shared" si="33"/>
        <v>0</v>
      </c>
      <c r="V79" s="4"/>
    </row>
    <row r="80" spans="1:22" x14ac:dyDescent="0.35">
      <c r="A80" s="1">
        <v>79</v>
      </c>
      <c r="B80" s="1">
        <v>3153.09355833985</v>
      </c>
      <c r="C80" s="1">
        <v>0</v>
      </c>
      <c r="D80" s="1"/>
      <c r="E80" s="1">
        <v>0</v>
      </c>
      <c r="F80" s="1">
        <v>0</v>
      </c>
      <c r="G80" s="4">
        <f t="shared" si="27"/>
        <v>0</v>
      </c>
      <c r="H80" s="4">
        <f t="shared" si="36"/>
        <v>0</v>
      </c>
      <c r="I80" s="4">
        <f t="shared" si="36"/>
        <v>0</v>
      </c>
      <c r="J80" s="4">
        <f t="shared" si="36"/>
        <v>0</v>
      </c>
      <c r="K80" s="4"/>
      <c r="L80" s="4"/>
      <c r="M80" s="4"/>
      <c r="N80" s="4"/>
      <c r="O80" s="4"/>
      <c r="P80" s="4">
        <v>66.247900000000001</v>
      </c>
      <c r="Q80" s="1">
        <f t="shared" si="34"/>
        <v>66.247900000000001</v>
      </c>
      <c r="R80" s="1">
        <f t="shared" si="31"/>
        <v>1656.1975</v>
      </c>
      <c r="S80" s="1">
        <f t="shared" si="35"/>
        <v>1656.1975</v>
      </c>
      <c r="T80" s="1">
        <f t="shared" si="32"/>
        <v>0</v>
      </c>
      <c r="U80" s="1">
        <f t="shared" si="33"/>
        <v>0</v>
      </c>
      <c r="V80" s="4"/>
    </row>
    <row r="81" spans="1:22" x14ac:dyDescent="0.35">
      <c r="A81" s="1">
        <v>80</v>
      </c>
      <c r="B81" s="1">
        <v>4296.4999200900902</v>
      </c>
      <c r="C81" s="1">
        <v>0</v>
      </c>
      <c r="D81" s="1"/>
      <c r="E81" s="1">
        <v>0</v>
      </c>
      <c r="F81" s="1">
        <v>0</v>
      </c>
      <c r="G81" s="4">
        <f t="shared" si="27"/>
        <v>0</v>
      </c>
      <c r="H81" s="4">
        <f t="shared" si="36"/>
        <v>0</v>
      </c>
      <c r="I81" s="4">
        <f t="shared" si="36"/>
        <v>0</v>
      </c>
      <c r="J81" s="4">
        <f t="shared" si="36"/>
        <v>0</v>
      </c>
      <c r="K81" s="4"/>
      <c r="L81" s="4"/>
      <c r="M81" s="4"/>
      <c r="N81" s="4"/>
      <c r="O81" s="4"/>
      <c r="P81" s="4">
        <v>89.923500000000004</v>
      </c>
      <c r="Q81" s="1">
        <f t="shared" si="34"/>
        <v>89.923500000000004</v>
      </c>
      <c r="R81" s="1">
        <f t="shared" si="31"/>
        <v>2248.0875000000001</v>
      </c>
      <c r="S81" s="1">
        <f>R81-G81</f>
        <v>2248.0875000000001</v>
      </c>
      <c r="T81" s="1">
        <f t="shared" si="32"/>
        <v>0</v>
      </c>
      <c r="U81" s="1">
        <f t="shared" si="33"/>
        <v>0</v>
      </c>
      <c r="V81" s="4"/>
    </row>
    <row r="82" spans="1:22" x14ac:dyDescent="0.35">
      <c r="A82" s="1">
        <v>81</v>
      </c>
      <c r="B82" s="1">
        <v>1722.7511821559251</v>
      </c>
      <c r="C82" s="1">
        <v>0</v>
      </c>
      <c r="D82" s="1"/>
      <c r="E82" s="1">
        <v>0</v>
      </c>
      <c r="F82" s="1">
        <v>0</v>
      </c>
      <c r="G82" s="4">
        <f t="shared" si="27"/>
        <v>0</v>
      </c>
      <c r="H82" s="4">
        <f t="shared" si="36"/>
        <v>0</v>
      </c>
      <c r="I82" s="4">
        <f t="shared" si="36"/>
        <v>0</v>
      </c>
      <c r="J82" s="4">
        <f t="shared" si="36"/>
        <v>0</v>
      </c>
      <c r="K82" s="4"/>
      <c r="L82" s="4"/>
      <c r="M82" s="4"/>
      <c r="N82" s="4"/>
      <c r="O82" s="4"/>
      <c r="P82" s="4">
        <v>30.037500000000001</v>
      </c>
      <c r="Q82" s="1">
        <f t="shared" si="34"/>
        <v>30.037500000000001</v>
      </c>
      <c r="R82" s="1">
        <f t="shared" si="31"/>
        <v>750.9375</v>
      </c>
      <c r="S82" s="1">
        <f t="shared" ref="S82:S96" si="37">R82-G82</f>
        <v>750.9375</v>
      </c>
      <c r="T82" s="1">
        <f t="shared" si="32"/>
        <v>0</v>
      </c>
      <c r="U82" s="1">
        <f t="shared" si="33"/>
        <v>0</v>
      </c>
      <c r="V82" s="4"/>
    </row>
    <row r="83" spans="1:22" x14ac:dyDescent="0.35">
      <c r="A83" s="1">
        <v>82</v>
      </c>
      <c r="B83" s="1">
        <v>8378.7212496204556</v>
      </c>
      <c r="C83" s="1">
        <v>0</v>
      </c>
      <c r="D83" s="1"/>
      <c r="E83" s="1">
        <v>0</v>
      </c>
      <c r="F83" s="1">
        <v>0</v>
      </c>
      <c r="G83" s="4">
        <f t="shared" si="27"/>
        <v>0</v>
      </c>
      <c r="H83" s="4">
        <f t="shared" si="36"/>
        <v>0</v>
      </c>
      <c r="I83" s="4">
        <f t="shared" si="36"/>
        <v>0</v>
      </c>
      <c r="J83" s="4">
        <f t="shared" si="36"/>
        <v>0</v>
      </c>
      <c r="K83" s="4"/>
      <c r="L83" s="4"/>
      <c r="M83" s="4"/>
      <c r="N83" s="4"/>
      <c r="O83" s="4"/>
      <c r="P83" s="4">
        <v>122.405</v>
      </c>
      <c r="Q83" s="1">
        <f t="shared" si="34"/>
        <v>122.405</v>
      </c>
      <c r="R83" s="1">
        <f t="shared" si="31"/>
        <v>3060.125</v>
      </c>
      <c r="S83" s="1">
        <f t="shared" si="37"/>
        <v>3060.125</v>
      </c>
      <c r="T83" s="1">
        <f t="shared" si="32"/>
        <v>0</v>
      </c>
      <c r="U83" s="1">
        <f t="shared" si="33"/>
        <v>0</v>
      </c>
      <c r="V83" s="4"/>
    </row>
    <row r="84" spans="1:22" x14ac:dyDescent="0.35">
      <c r="A84" s="1">
        <v>83</v>
      </c>
      <c r="B84" s="1">
        <v>4180.060549855245</v>
      </c>
      <c r="C84" s="1">
        <v>0</v>
      </c>
      <c r="D84" s="1"/>
      <c r="E84" s="1">
        <v>0</v>
      </c>
      <c r="F84" s="1">
        <v>0</v>
      </c>
      <c r="G84" s="4">
        <f t="shared" si="27"/>
        <v>0</v>
      </c>
      <c r="H84" s="4">
        <f t="shared" si="36"/>
        <v>0</v>
      </c>
      <c r="I84" s="4">
        <f t="shared" si="36"/>
        <v>0</v>
      </c>
      <c r="J84" s="4">
        <f t="shared" si="36"/>
        <v>0</v>
      </c>
      <c r="K84" s="4"/>
      <c r="L84" s="4"/>
      <c r="M84" s="4"/>
      <c r="N84" s="4"/>
      <c r="O84" s="4"/>
      <c r="P84" s="4">
        <v>92.304299999999998</v>
      </c>
      <c r="Q84" s="1">
        <f t="shared" si="34"/>
        <v>92.304299999999998</v>
      </c>
      <c r="R84" s="1">
        <f t="shared" si="31"/>
        <v>2307.6075000000001</v>
      </c>
      <c r="S84" s="1">
        <f t="shared" si="37"/>
        <v>2307.6075000000001</v>
      </c>
      <c r="T84" s="1">
        <f t="shared" si="32"/>
        <v>0</v>
      </c>
      <c r="U84" s="1">
        <f t="shared" si="33"/>
        <v>0</v>
      </c>
      <c r="V84" s="4"/>
    </row>
    <row r="85" spans="1:22" x14ac:dyDescent="0.35">
      <c r="A85" s="1">
        <v>84</v>
      </c>
      <c r="B85" s="1">
        <v>3330.950005722922</v>
      </c>
      <c r="C85" s="1">
        <v>0</v>
      </c>
      <c r="D85" s="1"/>
      <c r="E85" s="1">
        <v>0</v>
      </c>
      <c r="F85" s="1">
        <v>0</v>
      </c>
      <c r="G85" s="4">
        <f t="shared" si="27"/>
        <v>0</v>
      </c>
      <c r="H85" s="4">
        <f t="shared" si="36"/>
        <v>0</v>
      </c>
      <c r="I85" s="4">
        <f t="shared" si="36"/>
        <v>0</v>
      </c>
      <c r="J85" s="4">
        <f t="shared" si="36"/>
        <v>0</v>
      </c>
      <c r="K85" s="4"/>
      <c r="L85" s="4"/>
      <c r="M85" s="4"/>
      <c r="N85" s="4"/>
      <c r="O85" s="4"/>
      <c r="P85" s="4">
        <v>57.065800000000003</v>
      </c>
      <c r="Q85" s="1">
        <f t="shared" si="34"/>
        <v>57.065800000000003</v>
      </c>
      <c r="R85" s="1">
        <f t="shared" si="31"/>
        <v>1426.645</v>
      </c>
      <c r="S85" s="1">
        <f t="shared" si="37"/>
        <v>1426.645</v>
      </c>
      <c r="T85" s="1">
        <f t="shared" si="32"/>
        <v>0</v>
      </c>
      <c r="U85" s="1">
        <f t="shared" si="33"/>
        <v>0</v>
      </c>
      <c r="V85" s="4"/>
    </row>
    <row r="86" spans="1:22" x14ac:dyDescent="0.35">
      <c r="A86" s="1">
        <v>85</v>
      </c>
      <c r="B86" s="1">
        <v>2875.5642031497382</v>
      </c>
      <c r="C86" s="1">
        <v>0</v>
      </c>
      <c r="D86" s="1"/>
      <c r="E86" s="1">
        <v>0</v>
      </c>
      <c r="F86" s="1">
        <v>0</v>
      </c>
      <c r="G86" s="4">
        <f t="shared" si="27"/>
        <v>0</v>
      </c>
      <c r="H86" s="4">
        <f t="shared" si="36"/>
        <v>0</v>
      </c>
      <c r="I86" s="4">
        <f t="shared" si="36"/>
        <v>0</v>
      </c>
      <c r="J86" s="4">
        <f t="shared" si="36"/>
        <v>0</v>
      </c>
      <c r="K86" s="4"/>
      <c r="L86" s="4"/>
      <c r="M86" s="4"/>
      <c r="N86" s="4"/>
      <c r="O86" s="4"/>
      <c r="P86" s="4">
        <v>62.269399999999997</v>
      </c>
      <c r="Q86" s="1">
        <f t="shared" si="34"/>
        <v>62.269399999999997</v>
      </c>
      <c r="R86" s="1">
        <f t="shared" si="31"/>
        <v>1556.7349999999999</v>
      </c>
      <c r="S86" s="1">
        <f t="shared" si="37"/>
        <v>1556.7349999999999</v>
      </c>
      <c r="T86" s="1">
        <f t="shared" si="32"/>
        <v>0</v>
      </c>
      <c r="U86" s="1">
        <f t="shared" si="33"/>
        <v>0</v>
      </c>
      <c r="V86" s="4"/>
    </row>
    <row r="87" spans="1:22" x14ac:dyDescent="0.35">
      <c r="A87" s="1">
        <v>86</v>
      </c>
      <c r="B87" s="1">
        <v>2673.7959050516761</v>
      </c>
      <c r="C87" s="1">
        <v>0</v>
      </c>
      <c r="D87" s="1"/>
      <c r="E87" s="1">
        <v>0</v>
      </c>
      <c r="F87" s="1">
        <v>0</v>
      </c>
      <c r="G87" s="4">
        <f t="shared" si="27"/>
        <v>0</v>
      </c>
      <c r="H87" s="4">
        <f t="shared" si="36"/>
        <v>0</v>
      </c>
      <c r="I87" s="4">
        <f t="shared" si="36"/>
        <v>0</v>
      </c>
      <c r="J87" s="4">
        <f t="shared" si="36"/>
        <v>0</v>
      </c>
      <c r="K87" s="4"/>
      <c r="L87" s="4"/>
      <c r="M87" s="4"/>
      <c r="N87" s="4"/>
      <c r="O87" s="4"/>
      <c r="P87" s="4">
        <v>54.038899999999998</v>
      </c>
      <c r="Q87" s="1">
        <f t="shared" si="34"/>
        <v>54.038899999999998</v>
      </c>
      <c r="R87" s="1">
        <f t="shared" si="31"/>
        <v>1350.9724999999999</v>
      </c>
      <c r="S87" s="1">
        <f t="shared" si="37"/>
        <v>1350.9724999999999</v>
      </c>
      <c r="T87" s="1">
        <f t="shared" si="32"/>
        <v>0</v>
      </c>
      <c r="U87" s="1">
        <f t="shared" si="33"/>
        <v>0</v>
      </c>
      <c r="V87" s="4"/>
    </row>
    <row r="88" spans="1:22" x14ac:dyDescent="0.35">
      <c r="A88" s="1">
        <v>87</v>
      </c>
      <c r="B88" s="1">
        <v>19513.44492845656</v>
      </c>
      <c r="C88" s="1">
        <v>0</v>
      </c>
      <c r="D88" s="1"/>
      <c r="E88" s="1">
        <v>0</v>
      </c>
      <c r="F88" s="1">
        <v>0</v>
      </c>
      <c r="G88" s="4">
        <f t="shared" si="27"/>
        <v>0</v>
      </c>
      <c r="H88" s="4">
        <f t="shared" si="36"/>
        <v>0</v>
      </c>
      <c r="I88" s="4">
        <f t="shared" si="36"/>
        <v>0</v>
      </c>
      <c r="J88" s="4">
        <f t="shared" si="36"/>
        <v>0</v>
      </c>
      <c r="K88" s="4"/>
      <c r="L88" s="4"/>
      <c r="M88" s="4"/>
      <c r="N88" s="4"/>
      <c r="O88" s="4"/>
      <c r="P88" s="4">
        <v>382.77600000000001</v>
      </c>
      <c r="Q88" s="1">
        <f t="shared" si="34"/>
        <v>382.77600000000001</v>
      </c>
      <c r="R88" s="1">
        <f t="shared" si="31"/>
        <v>9569.4</v>
      </c>
      <c r="S88" s="1">
        <f t="shared" si="37"/>
        <v>9569.4</v>
      </c>
      <c r="T88" s="1">
        <f t="shared" si="32"/>
        <v>0</v>
      </c>
      <c r="U88" s="1">
        <f t="shared" si="33"/>
        <v>0</v>
      </c>
      <c r="V88" s="4"/>
    </row>
    <row r="89" spans="1:22" x14ac:dyDescent="0.35">
      <c r="A89" s="1">
        <v>88</v>
      </c>
      <c r="B89" s="1">
        <v>5533.3813285011611</v>
      </c>
      <c r="C89" s="1">
        <v>0</v>
      </c>
      <c r="D89" s="1"/>
      <c r="E89" s="1">
        <v>0</v>
      </c>
      <c r="F89" s="1">
        <v>0</v>
      </c>
      <c r="G89" s="4">
        <f t="shared" si="27"/>
        <v>0</v>
      </c>
      <c r="H89" s="4">
        <f t="shared" si="36"/>
        <v>0</v>
      </c>
      <c r="I89" s="4">
        <f t="shared" si="36"/>
        <v>0</v>
      </c>
      <c r="J89" s="4">
        <f t="shared" si="36"/>
        <v>0</v>
      </c>
      <c r="K89" s="4"/>
      <c r="L89" s="4"/>
      <c r="M89" s="4"/>
      <c r="N89" s="4"/>
      <c r="O89" s="4"/>
      <c r="P89" s="4">
        <v>110.304</v>
      </c>
      <c r="Q89" s="1">
        <f t="shared" si="34"/>
        <v>110.304</v>
      </c>
      <c r="R89" s="1">
        <f t="shared" si="31"/>
        <v>2757.6</v>
      </c>
      <c r="S89" s="1">
        <f t="shared" si="37"/>
        <v>2757.6</v>
      </c>
      <c r="T89" s="1">
        <f t="shared" si="32"/>
        <v>0</v>
      </c>
      <c r="U89" s="1">
        <f t="shared" si="33"/>
        <v>0</v>
      </c>
      <c r="V89" s="4"/>
    </row>
    <row r="90" spans="1:22" x14ac:dyDescent="0.35">
      <c r="A90" s="1">
        <v>89</v>
      </c>
      <c r="B90" s="1">
        <v>7532.7075080212007</v>
      </c>
      <c r="C90" s="1">
        <v>0</v>
      </c>
      <c r="D90" s="1"/>
      <c r="E90" s="1">
        <v>0</v>
      </c>
      <c r="F90" s="1">
        <v>0</v>
      </c>
      <c r="G90" s="4">
        <f t="shared" si="27"/>
        <v>0</v>
      </c>
      <c r="H90" s="4">
        <f t="shared" si="36"/>
        <v>0</v>
      </c>
      <c r="I90" s="4">
        <f t="shared" si="36"/>
        <v>0</v>
      </c>
      <c r="J90" s="4">
        <f t="shared" si="36"/>
        <v>0</v>
      </c>
      <c r="K90" s="4"/>
      <c r="L90" s="4"/>
      <c r="M90" s="4"/>
      <c r="N90" s="4"/>
      <c r="O90" s="4"/>
      <c r="P90" s="4">
        <v>158.81</v>
      </c>
      <c r="Q90" s="1">
        <f t="shared" si="34"/>
        <v>158.81</v>
      </c>
      <c r="R90" s="1">
        <f t="shared" si="31"/>
        <v>3970.25</v>
      </c>
      <c r="S90" s="1">
        <f t="shared" si="37"/>
        <v>3970.25</v>
      </c>
      <c r="T90" s="1">
        <f t="shared" si="32"/>
        <v>0</v>
      </c>
      <c r="U90" s="1">
        <f t="shared" si="33"/>
        <v>0</v>
      </c>
      <c r="V90" s="4"/>
    </row>
    <row r="91" spans="1:22" x14ac:dyDescent="0.35">
      <c r="A91" s="1">
        <v>90</v>
      </c>
      <c r="B91" s="1">
        <v>4797.2959806436729</v>
      </c>
      <c r="C91" s="1">
        <v>0</v>
      </c>
      <c r="D91" s="1"/>
      <c r="E91" s="1">
        <v>0</v>
      </c>
      <c r="F91" s="1">
        <v>0</v>
      </c>
      <c r="G91" s="4">
        <f t="shared" si="27"/>
        <v>0</v>
      </c>
      <c r="H91" s="4">
        <f t="shared" si="36"/>
        <v>0</v>
      </c>
      <c r="I91" s="4">
        <f t="shared" si="36"/>
        <v>0</v>
      </c>
      <c r="J91" s="4">
        <f t="shared" si="36"/>
        <v>0</v>
      </c>
      <c r="K91" s="4"/>
      <c r="L91" s="4"/>
      <c r="M91" s="4"/>
      <c r="N91" s="4"/>
      <c r="O91" s="4"/>
      <c r="P91" s="4">
        <v>100.91</v>
      </c>
      <c r="Q91" s="1">
        <f t="shared" si="34"/>
        <v>100.91</v>
      </c>
      <c r="R91" s="1">
        <f t="shared" si="31"/>
        <v>2522.75</v>
      </c>
      <c r="S91" s="1">
        <f t="shared" si="37"/>
        <v>2522.75</v>
      </c>
      <c r="T91" s="1">
        <f t="shared" si="32"/>
        <v>0</v>
      </c>
      <c r="U91" s="1">
        <f t="shared" si="33"/>
        <v>0</v>
      </c>
      <c r="V91" s="4"/>
    </row>
    <row r="92" spans="1:22" x14ac:dyDescent="0.35">
      <c r="A92" s="1">
        <v>91</v>
      </c>
      <c r="B92" s="1">
        <v>5147.5629031179114</v>
      </c>
      <c r="C92" s="1">
        <v>0</v>
      </c>
      <c r="D92" s="1"/>
      <c r="E92" s="1">
        <v>0</v>
      </c>
      <c r="F92" s="1">
        <v>0</v>
      </c>
      <c r="G92" s="4">
        <f t="shared" si="27"/>
        <v>0</v>
      </c>
      <c r="H92" s="4">
        <f t="shared" si="36"/>
        <v>0</v>
      </c>
      <c r="I92" s="4">
        <f t="shared" si="36"/>
        <v>0</v>
      </c>
      <c r="J92" s="4">
        <f t="shared" si="36"/>
        <v>0</v>
      </c>
      <c r="K92" s="4"/>
      <c r="L92" s="4"/>
      <c r="M92" s="4"/>
      <c r="N92" s="4" t="s">
        <v>6</v>
      </c>
      <c r="O92" s="4"/>
      <c r="P92" s="4">
        <v>83.866</v>
      </c>
      <c r="Q92" s="1">
        <f t="shared" si="34"/>
        <v>83.866</v>
      </c>
      <c r="R92" s="1">
        <f t="shared" si="31"/>
        <v>2096.65</v>
      </c>
      <c r="S92" s="1">
        <f t="shared" si="37"/>
        <v>2096.65</v>
      </c>
      <c r="T92" s="1">
        <f t="shared" si="32"/>
        <v>0</v>
      </c>
      <c r="U92" s="1">
        <f t="shared" si="33"/>
        <v>0</v>
      </c>
      <c r="V92" s="4"/>
    </row>
    <row r="93" spans="1:22" x14ac:dyDescent="0.35">
      <c r="A93" s="1">
        <v>92</v>
      </c>
      <c r="B93" s="1">
        <v>2534.563494353717</v>
      </c>
      <c r="C93" s="1">
        <v>0</v>
      </c>
      <c r="D93" s="1"/>
      <c r="E93" s="1">
        <v>0</v>
      </c>
      <c r="F93" s="1">
        <v>0</v>
      </c>
      <c r="G93" s="4">
        <f t="shared" si="27"/>
        <v>0</v>
      </c>
      <c r="H93" s="4">
        <f t="shared" si="36"/>
        <v>0</v>
      </c>
      <c r="I93" s="4">
        <f t="shared" si="36"/>
        <v>0</v>
      </c>
      <c r="J93" s="4">
        <f t="shared" si="36"/>
        <v>0</v>
      </c>
      <c r="K93" s="4"/>
      <c r="L93" s="4"/>
      <c r="M93" s="4"/>
      <c r="N93" s="4"/>
      <c r="O93" s="4"/>
      <c r="P93" s="4">
        <v>53.252299999999998</v>
      </c>
      <c r="Q93" s="1">
        <f t="shared" si="34"/>
        <v>53.252299999999998</v>
      </c>
      <c r="R93" s="1">
        <f t="shared" si="31"/>
        <v>1331.3074999999999</v>
      </c>
      <c r="S93" s="1">
        <f t="shared" si="37"/>
        <v>1331.3074999999999</v>
      </c>
      <c r="T93" s="1">
        <f t="shared" si="32"/>
        <v>0</v>
      </c>
      <c r="U93" s="1">
        <f t="shared" si="33"/>
        <v>0</v>
      </c>
      <c r="V93" s="4"/>
    </row>
    <row r="94" spans="1:22" x14ac:dyDescent="0.35">
      <c r="A94" s="1">
        <v>93</v>
      </c>
      <c r="B94" s="1">
        <v>5159.4345472126533</v>
      </c>
      <c r="C94" s="1">
        <v>0</v>
      </c>
      <c r="D94" s="1"/>
      <c r="E94" s="1">
        <v>0</v>
      </c>
      <c r="F94" s="1">
        <v>0</v>
      </c>
      <c r="G94" s="4">
        <f t="shared" si="27"/>
        <v>0</v>
      </c>
      <c r="H94" s="4">
        <f t="shared" si="36"/>
        <v>0</v>
      </c>
      <c r="I94" s="4">
        <f t="shared" si="36"/>
        <v>0</v>
      </c>
      <c r="J94" s="4">
        <f t="shared" si="36"/>
        <v>0</v>
      </c>
      <c r="K94" s="4"/>
      <c r="L94" s="4"/>
      <c r="M94" s="4"/>
      <c r="N94" s="4"/>
      <c r="O94" s="4"/>
      <c r="P94" s="4">
        <v>109.45699999999999</v>
      </c>
      <c r="Q94" s="1">
        <f t="shared" si="34"/>
        <v>109.45699999999999</v>
      </c>
      <c r="R94" s="1">
        <f t="shared" si="31"/>
        <v>2736.4249999999997</v>
      </c>
      <c r="S94" s="1">
        <f t="shared" si="37"/>
        <v>2736.4249999999997</v>
      </c>
      <c r="T94" s="1">
        <f t="shared" si="32"/>
        <v>0</v>
      </c>
      <c r="U94" s="1">
        <f t="shared" si="33"/>
        <v>0</v>
      </c>
      <c r="V94" s="4"/>
    </row>
    <row r="95" spans="1:22" x14ac:dyDescent="0.35">
      <c r="A95" s="1">
        <v>94</v>
      </c>
      <c r="B95" s="1">
        <v>4317.7330751348463</v>
      </c>
      <c r="C95" s="1">
        <v>0</v>
      </c>
      <c r="D95" s="1"/>
      <c r="E95" s="1">
        <v>0</v>
      </c>
      <c r="F95" s="1">
        <v>0</v>
      </c>
      <c r="G95" s="4">
        <f t="shared" si="27"/>
        <v>0</v>
      </c>
      <c r="H95" s="4">
        <f t="shared" si="36"/>
        <v>0</v>
      </c>
      <c r="I95" s="4">
        <f t="shared" si="36"/>
        <v>0</v>
      </c>
      <c r="J95" s="4">
        <f t="shared" si="36"/>
        <v>0</v>
      </c>
      <c r="K95" s="4"/>
      <c r="L95" s="4"/>
      <c r="M95" s="4"/>
      <c r="N95" s="4"/>
      <c r="O95" s="4"/>
      <c r="P95" s="4">
        <v>97.187200000000004</v>
      </c>
      <c r="Q95" s="1">
        <f t="shared" si="34"/>
        <v>97.187200000000004</v>
      </c>
      <c r="R95" s="1">
        <f t="shared" si="31"/>
        <v>2429.6800000000003</v>
      </c>
      <c r="S95" s="1">
        <f t="shared" si="37"/>
        <v>2429.6800000000003</v>
      </c>
      <c r="T95" s="1">
        <f t="shared" si="32"/>
        <v>0</v>
      </c>
      <c r="U95" s="1">
        <f t="shared" si="33"/>
        <v>0</v>
      </c>
      <c r="V95" s="4"/>
    </row>
    <row r="96" spans="1:22" x14ac:dyDescent="0.35">
      <c r="A96" s="1">
        <v>95</v>
      </c>
      <c r="B96" s="1">
        <v>6988.6643510423764</v>
      </c>
      <c r="C96" s="1">
        <v>0</v>
      </c>
      <c r="D96" s="1"/>
      <c r="E96" s="1">
        <v>0</v>
      </c>
      <c r="F96" s="1">
        <v>0</v>
      </c>
      <c r="G96" s="4">
        <f t="shared" si="27"/>
        <v>0</v>
      </c>
      <c r="H96" s="4">
        <f t="shared" si="36"/>
        <v>0</v>
      </c>
      <c r="I96" s="4">
        <f t="shared" si="36"/>
        <v>0</v>
      </c>
      <c r="J96" s="4">
        <f t="shared" si="36"/>
        <v>0</v>
      </c>
      <c r="K96" s="4"/>
      <c r="L96" s="4"/>
      <c r="M96" s="4"/>
      <c r="N96" s="4"/>
      <c r="O96" s="4"/>
      <c r="P96" s="4">
        <v>114.952</v>
      </c>
      <c r="Q96" s="1">
        <f t="shared" si="34"/>
        <v>114.952</v>
      </c>
      <c r="R96" s="1">
        <f t="shared" si="31"/>
        <v>2873.8</v>
      </c>
      <c r="S96" s="1">
        <f t="shared" si="37"/>
        <v>2873.8</v>
      </c>
      <c r="T96" s="1">
        <f t="shared" si="32"/>
        <v>0</v>
      </c>
      <c r="U96" s="1">
        <f t="shared" si="33"/>
        <v>0</v>
      </c>
      <c r="V96" s="4"/>
    </row>
    <row r="97" spans="1:22" x14ac:dyDescent="0.35">
      <c r="A97" s="1">
        <v>96</v>
      </c>
      <c r="B97" s="1">
        <v>2938.8092172996649</v>
      </c>
      <c r="C97" s="1">
        <v>0</v>
      </c>
      <c r="D97" s="1"/>
      <c r="E97" s="1">
        <v>0</v>
      </c>
      <c r="F97" s="1">
        <v>0</v>
      </c>
      <c r="G97" s="4">
        <f t="shared" si="27"/>
        <v>0</v>
      </c>
      <c r="H97" s="4">
        <f t="shared" si="36"/>
        <v>0</v>
      </c>
      <c r="I97" s="4">
        <f t="shared" si="36"/>
        <v>0</v>
      </c>
      <c r="J97" s="4">
        <f t="shared" si="36"/>
        <v>0</v>
      </c>
      <c r="K97" s="4"/>
      <c r="L97" s="4"/>
      <c r="M97" s="4"/>
      <c r="N97" s="4"/>
      <c r="O97" s="4"/>
      <c r="P97" s="4">
        <v>61.982599999999998</v>
      </c>
      <c r="Q97" s="1">
        <f t="shared" si="34"/>
        <v>61.982599999999998</v>
      </c>
      <c r="R97" s="1">
        <f t="shared" si="31"/>
        <v>1549.5650000000001</v>
      </c>
      <c r="S97" s="1">
        <f>R97-G97</f>
        <v>1549.5650000000001</v>
      </c>
      <c r="T97" s="1">
        <f t="shared" si="32"/>
        <v>0</v>
      </c>
      <c r="U97" s="1">
        <f t="shared" si="33"/>
        <v>0</v>
      </c>
      <c r="V97" s="4"/>
    </row>
    <row r="98" spans="1:22" x14ac:dyDescent="0.35">
      <c r="A98" s="1">
        <v>97</v>
      </c>
      <c r="B98" s="1">
        <v>6184.3427862351964</v>
      </c>
      <c r="C98" s="1">
        <v>0</v>
      </c>
      <c r="D98" s="1"/>
      <c r="E98" s="1">
        <v>0</v>
      </c>
      <c r="F98" s="1">
        <v>0</v>
      </c>
      <c r="G98" s="4">
        <f t="shared" si="27"/>
        <v>0</v>
      </c>
      <c r="H98" s="4">
        <f t="shared" si="36"/>
        <v>0</v>
      </c>
      <c r="I98" s="4">
        <f t="shared" si="36"/>
        <v>0</v>
      </c>
      <c r="J98" s="4">
        <f t="shared" si="36"/>
        <v>0</v>
      </c>
      <c r="K98" s="4"/>
      <c r="L98" s="4"/>
      <c r="M98" s="4"/>
      <c r="N98" s="4"/>
      <c r="O98" s="4"/>
      <c r="P98" s="4">
        <v>129.93600000000001</v>
      </c>
      <c r="Q98" s="1">
        <f t="shared" si="34"/>
        <v>129.93600000000001</v>
      </c>
      <c r="R98" s="1">
        <f t="shared" si="31"/>
        <v>3248.4</v>
      </c>
      <c r="S98" s="1">
        <f t="shared" ref="S98:S100" si="38">R98-G98</f>
        <v>3248.4</v>
      </c>
      <c r="T98" s="1">
        <f t="shared" si="32"/>
        <v>0</v>
      </c>
      <c r="U98" s="1">
        <f t="shared" si="33"/>
        <v>0</v>
      </c>
      <c r="V98" s="4"/>
    </row>
    <row r="99" spans="1:22" x14ac:dyDescent="0.35">
      <c r="A99" s="1">
        <v>98</v>
      </c>
      <c r="B99" s="1">
        <v>3973.5840486666689</v>
      </c>
      <c r="C99" s="1">
        <v>0</v>
      </c>
      <c r="D99" s="1"/>
      <c r="E99" s="1">
        <v>0</v>
      </c>
      <c r="F99" s="1">
        <v>0</v>
      </c>
      <c r="G99" s="4">
        <f t="shared" si="27"/>
        <v>0</v>
      </c>
      <c r="H99" s="4">
        <f t="shared" si="36"/>
        <v>0</v>
      </c>
      <c r="I99" s="4">
        <f t="shared" si="36"/>
        <v>0</v>
      </c>
      <c r="J99" s="4">
        <f t="shared" si="36"/>
        <v>0</v>
      </c>
      <c r="K99" s="4"/>
      <c r="L99" s="4"/>
      <c r="M99" s="4"/>
      <c r="N99" s="4"/>
      <c r="O99" s="4"/>
      <c r="P99" s="4">
        <v>82.931700000000006</v>
      </c>
      <c r="Q99" s="1">
        <f t="shared" si="34"/>
        <v>82.931700000000006</v>
      </c>
      <c r="R99" s="1">
        <f t="shared" si="31"/>
        <v>2073.2925</v>
      </c>
      <c r="S99" s="1">
        <f t="shared" si="38"/>
        <v>2073.2925</v>
      </c>
      <c r="T99" s="1">
        <f t="shared" si="32"/>
        <v>0</v>
      </c>
      <c r="U99" s="1">
        <f t="shared" si="33"/>
        <v>0</v>
      </c>
      <c r="V99" s="4"/>
    </row>
    <row r="100" spans="1:22" x14ac:dyDescent="0.35">
      <c r="A100" s="1">
        <v>99</v>
      </c>
      <c r="B100" s="1">
        <v>6386.1720264839241</v>
      </c>
      <c r="C100" s="1">
        <v>0</v>
      </c>
      <c r="D100" s="1"/>
      <c r="E100" s="1">
        <v>0</v>
      </c>
      <c r="F100" s="1">
        <v>0</v>
      </c>
      <c r="G100" s="4">
        <f t="shared" si="27"/>
        <v>0</v>
      </c>
      <c r="H100" s="4">
        <f t="shared" si="36"/>
        <v>0</v>
      </c>
      <c r="I100" s="4">
        <f t="shared" si="36"/>
        <v>0</v>
      </c>
      <c r="J100" s="4">
        <f t="shared" si="36"/>
        <v>0</v>
      </c>
      <c r="K100" s="4"/>
      <c r="L100" s="4"/>
      <c r="M100" s="4"/>
      <c r="N100" s="4"/>
      <c r="O100" s="4"/>
      <c r="P100" s="4">
        <v>106.389</v>
      </c>
      <c r="Q100" s="1">
        <f t="shared" si="34"/>
        <v>106.389</v>
      </c>
      <c r="R100" s="1">
        <f t="shared" si="31"/>
        <v>2659.7249999999999</v>
      </c>
      <c r="S100" s="1">
        <f t="shared" si="38"/>
        <v>2659.7249999999999</v>
      </c>
      <c r="T100" s="1">
        <f t="shared" si="32"/>
        <v>0</v>
      </c>
      <c r="U100" s="1">
        <f t="shared" si="33"/>
        <v>0</v>
      </c>
      <c r="V100" s="4"/>
    </row>
    <row r="101" spans="1:22" x14ac:dyDescent="0.35">
      <c r="C101" s="4"/>
      <c r="D101" s="4"/>
      <c r="E101" s="4"/>
      <c r="F101" s="4"/>
      <c r="G101" s="4"/>
      <c r="H101" s="4"/>
      <c r="I101" s="4"/>
      <c r="J101" s="4"/>
      <c r="K101" s="4"/>
      <c r="L101" s="4"/>
      <c r="M101" s="4"/>
      <c r="N101" s="4"/>
      <c r="O101" s="4"/>
      <c r="P101" s="4"/>
      <c r="Q101" s="4"/>
      <c r="R101" s="4"/>
      <c r="S101" s="4"/>
      <c r="T101" s="4"/>
      <c r="U101" s="4"/>
      <c r="V101" s="4"/>
    </row>
    <row r="102" spans="1:22" x14ac:dyDescent="0.35">
      <c r="A102" s="1" t="s">
        <v>57</v>
      </c>
      <c r="B102" s="1">
        <f>SUM(B2:B100)</f>
        <v>404431.86611276446</v>
      </c>
      <c r="C102" s="1">
        <f t="shared" ref="C102:S102" si="39">SUM(C2:C100)</f>
        <v>162</v>
      </c>
      <c r="D102" s="1"/>
      <c r="E102" s="1">
        <f t="shared" si="39"/>
        <v>405</v>
      </c>
      <c r="F102" s="1">
        <f t="shared" si="39"/>
        <v>125.40000000000002</v>
      </c>
      <c r="G102" s="1">
        <f t="shared" si="39"/>
        <v>538600</v>
      </c>
      <c r="H102" s="1">
        <f t="shared" si="39"/>
        <v>5293.9999999999991</v>
      </c>
      <c r="I102" s="1"/>
      <c r="J102" s="1">
        <f t="shared" si="39"/>
        <v>132350</v>
      </c>
      <c r="K102" s="1">
        <f t="shared" si="39"/>
        <v>0</v>
      </c>
      <c r="L102" s="1">
        <f t="shared" si="39"/>
        <v>0</v>
      </c>
      <c r="M102" s="1">
        <f t="shared" si="39"/>
        <v>170688.41721330379</v>
      </c>
      <c r="N102" s="1">
        <f t="shared" si="39"/>
        <v>0</v>
      </c>
      <c r="O102" s="1">
        <f t="shared" si="39"/>
        <v>0</v>
      </c>
      <c r="P102" s="1">
        <f t="shared" si="39"/>
        <v>31292.255720000016</v>
      </c>
      <c r="Q102" s="1">
        <f t="shared" si="39"/>
        <v>-507307.74428000016</v>
      </c>
      <c r="R102" s="1">
        <f t="shared" si="39"/>
        <v>782306.39299999992</v>
      </c>
      <c r="S102" s="1">
        <f t="shared" si="39"/>
        <v>243706.39300000001</v>
      </c>
      <c r="T102" s="1"/>
      <c r="U102" s="1"/>
      <c r="V102" s="4"/>
    </row>
    <row r="103" spans="1:22" x14ac:dyDescent="0.35">
      <c r="C103" s="4"/>
      <c r="D103" s="4"/>
      <c r="E103" s="4"/>
      <c r="F103" s="4"/>
      <c r="G103" s="4"/>
      <c r="H103" s="4"/>
      <c r="I103" s="4"/>
      <c r="J103" s="4"/>
      <c r="K103" s="4"/>
      <c r="L103" s="4"/>
      <c r="M103" s="4"/>
      <c r="N103" s="4"/>
      <c r="O103" s="4"/>
      <c r="P103" s="4"/>
      <c r="Q103" s="4"/>
      <c r="R103" s="4"/>
      <c r="S103" s="4"/>
      <c r="T103" s="4"/>
      <c r="U103" s="4"/>
      <c r="V103" s="4"/>
    </row>
    <row r="104" spans="1:22" x14ac:dyDescent="0.35">
      <c r="C104" s="4"/>
      <c r="D104" s="4"/>
      <c r="E104" s="4"/>
      <c r="F104" s="4"/>
      <c r="G104" s="4"/>
      <c r="H104" s="4"/>
      <c r="I104" s="4"/>
      <c r="J104" s="4"/>
      <c r="K104" s="4"/>
      <c r="L104" s="4"/>
      <c r="M104" s="4"/>
      <c r="N104" s="4"/>
      <c r="O104" s="4"/>
      <c r="P104" s="4"/>
      <c r="Q104" s="4"/>
      <c r="R104" s="4"/>
      <c r="S104" s="4"/>
      <c r="T104" s="4"/>
      <c r="U104" s="4"/>
      <c r="V104" s="4"/>
    </row>
  </sheetData>
  <mergeCells count="2">
    <mergeCell ref="L9:M9"/>
    <mergeCell ref="L20:M20"/>
  </mergeCell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3151D-336D-49B8-A727-2A09EBA1403B}">
  <dimension ref="A1:AJ104"/>
  <sheetViews>
    <sheetView topLeftCell="A55" zoomScale="80" zoomScaleNormal="80" workbookViewId="0">
      <selection activeCell="N87" sqref="N87"/>
    </sheetView>
  </sheetViews>
  <sheetFormatPr defaultRowHeight="14.5" x14ac:dyDescent="0.35"/>
  <cols>
    <col min="1" max="1" width="23.26953125" style="1" bestFit="1" customWidth="1"/>
    <col min="2" max="2" width="25.54296875" style="1" bestFit="1" customWidth="1"/>
    <col min="3" max="3" width="16.7265625" bestFit="1" customWidth="1"/>
    <col min="4" max="4" width="16.7265625" customWidth="1"/>
    <col min="5" max="5" width="16.1796875" bestFit="1" customWidth="1"/>
    <col min="6" max="6" width="20.54296875" customWidth="1"/>
    <col min="7" max="7" width="12" customWidth="1"/>
    <col min="8" max="9" width="12.26953125" customWidth="1"/>
    <col min="10" max="10" width="13" customWidth="1"/>
    <col min="11" max="11" width="8.7265625" customWidth="1"/>
    <col min="12" max="12" width="24.08984375" bestFit="1" customWidth="1"/>
    <col min="13" max="13" width="12.6328125" bestFit="1" customWidth="1"/>
    <col min="14" max="14" width="21.6328125" bestFit="1" customWidth="1"/>
    <col min="16" max="16" width="12.453125" customWidth="1"/>
    <col min="18" max="18" width="14.36328125" customWidth="1"/>
    <col min="19" max="19" width="10.36328125" customWidth="1"/>
    <col min="20" max="20" width="12.453125" customWidth="1"/>
    <col min="21" max="21" width="11.1796875" customWidth="1"/>
    <col min="23" max="23" width="14" customWidth="1"/>
    <col min="26" max="26" width="20.54296875" customWidth="1"/>
    <col min="27" max="27" width="19.81640625" customWidth="1"/>
    <col min="28" max="28" width="18.1796875" customWidth="1"/>
    <col min="29" max="29" width="16" customWidth="1"/>
    <col min="30" max="30" width="15.26953125" bestFit="1" customWidth="1"/>
    <col min="31" max="31" width="14.81640625" bestFit="1" customWidth="1"/>
  </cols>
  <sheetData>
    <row r="1" spans="1:31" ht="63" customHeight="1" x14ac:dyDescent="0.35">
      <c r="A1" s="57" t="s">
        <v>7</v>
      </c>
      <c r="B1" s="60" t="s">
        <v>8</v>
      </c>
      <c r="C1" s="60" t="s">
        <v>253</v>
      </c>
      <c r="D1" s="61" t="s">
        <v>281</v>
      </c>
      <c r="E1" s="60" t="s">
        <v>254</v>
      </c>
      <c r="F1" s="61" t="s">
        <v>255</v>
      </c>
      <c r="G1" s="61" t="s">
        <v>256</v>
      </c>
      <c r="H1" s="61" t="s">
        <v>257</v>
      </c>
      <c r="I1" s="61" t="s">
        <v>282</v>
      </c>
      <c r="J1" s="61" t="s">
        <v>275</v>
      </c>
      <c r="K1" s="69"/>
      <c r="L1" s="69"/>
      <c r="M1" s="69"/>
      <c r="N1" s="69"/>
      <c r="O1" s="69"/>
      <c r="P1" s="61" t="s">
        <v>276</v>
      </c>
      <c r="Q1" s="61" t="s">
        <v>277</v>
      </c>
      <c r="R1" s="61" t="s">
        <v>278</v>
      </c>
      <c r="S1" s="61" t="s">
        <v>279</v>
      </c>
      <c r="T1" s="61" t="s">
        <v>31</v>
      </c>
      <c r="U1" s="12" t="s">
        <v>283</v>
      </c>
      <c r="V1" s="1"/>
      <c r="W1" s="6" t="s">
        <v>33</v>
      </c>
      <c r="X1" s="6" t="s">
        <v>34</v>
      </c>
      <c r="Y1" s="6" t="s">
        <v>35</v>
      </c>
      <c r="Z1" s="6" t="s">
        <v>36</v>
      </c>
      <c r="AA1" s="6" t="s">
        <v>37</v>
      </c>
      <c r="AB1" s="6" t="s">
        <v>38</v>
      </c>
      <c r="AC1" s="12" t="s">
        <v>39</v>
      </c>
      <c r="AD1" s="12" t="s">
        <v>40</v>
      </c>
      <c r="AE1" s="12" t="s">
        <v>41</v>
      </c>
    </row>
    <row r="2" spans="1:31" x14ac:dyDescent="0.35">
      <c r="A2" s="1">
        <v>1</v>
      </c>
      <c r="B2" s="62">
        <v>1079.529030351737</v>
      </c>
      <c r="C2" s="62">
        <v>2</v>
      </c>
      <c r="D2" s="62">
        <v>3494.71</v>
      </c>
      <c r="E2" s="62">
        <v>5</v>
      </c>
      <c r="F2" s="62">
        <v>1.2</v>
      </c>
      <c r="G2" s="62">
        <f>M22</f>
        <v>8000</v>
      </c>
      <c r="H2" s="62">
        <f>$M$28*C2</f>
        <v>71.2</v>
      </c>
      <c r="I2" s="56">
        <f>H2/D2</f>
        <v>2.0373650460267088E-2</v>
      </c>
      <c r="J2" s="56">
        <f t="shared" ref="J2:J46" si="0">H2*25</f>
        <v>1780</v>
      </c>
      <c r="K2" s="56"/>
      <c r="L2" s="56"/>
      <c r="M2" s="56"/>
      <c r="N2" s="56"/>
      <c r="O2" s="56"/>
      <c r="P2" s="1">
        <v>387.59899999999999</v>
      </c>
      <c r="Q2" s="1">
        <f>P2-G2</f>
        <v>-7612.4009999999998</v>
      </c>
      <c r="R2" s="1">
        <f>P2*$M$37</f>
        <v>9689.9750000000004</v>
      </c>
      <c r="S2" s="1">
        <f>R2-G2</f>
        <v>1689.9750000000004</v>
      </c>
      <c r="T2" s="1">
        <f>(G2/($M$37*B2))+I2</f>
        <v>0.31679921290737989</v>
      </c>
      <c r="U2" s="1">
        <f>(G2/($M$40*B2))+I2</f>
        <v>0.57195693340608234</v>
      </c>
      <c r="V2" s="1"/>
      <c r="W2" s="1" t="s">
        <v>284</v>
      </c>
      <c r="X2" s="1">
        <v>0</v>
      </c>
      <c r="Y2">
        <f>-W5</f>
        <v>-558400</v>
      </c>
      <c r="Z2">
        <f>Y2</f>
        <v>-558400</v>
      </c>
      <c r="AB2">
        <f>Y2</f>
        <v>-558400</v>
      </c>
      <c r="AC2">
        <f>Y2</f>
        <v>-558400</v>
      </c>
      <c r="AE2">
        <f>Y2</f>
        <v>-558400</v>
      </c>
    </row>
    <row r="3" spans="1:31" x14ac:dyDescent="0.35">
      <c r="A3" s="1">
        <v>2</v>
      </c>
      <c r="B3" s="62">
        <v>3886.3217817133332</v>
      </c>
      <c r="C3" s="62">
        <v>4</v>
      </c>
      <c r="D3" s="62">
        <v>6989.42</v>
      </c>
      <c r="E3" s="62">
        <v>10</v>
      </c>
      <c r="F3" s="62">
        <v>3.3</v>
      </c>
      <c r="G3" s="62">
        <f>M24</f>
        <v>18000</v>
      </c>
      <c r="H3" s="62">
        <f>$M$28*C3</f>
        <v>142.4</v>
      </c>
      <c r="I3" s="56">
        <f t="shared" ref="I3:I46" si="1">H3/D3</f>
        <v>2.0373650460267088E-2</v>
      </c>
      <c r="J3" s="56">
        <f t="shared" si="0"/>
        <v>3560</v>
      </c>
      <c r="K3" s="56"/>
      <c r="L3" s="56" t="s">
        <v>267</v>
      </c>
      <c r="M3" s="56"/>
      <c r="N3" s="56"/>
      <c r="O3" s="56"/>
      <c r="P3" s="1">
        <v>644.56899999999996</v>
      </c>
      <c r="Q3" s="1">
        <f t="shared" ref="Q3:Q66" si="2">P3-G3</f>
        <v>-17355.431</v>
      </c>
      <c r="R3" s="1">
        <f t="shared" ref="R3:R66" si="3">P3*$M$37</f>
        <v>16114.224999999999</v>
      </c>
      <c r="S3" s="1">
        <f t="shared" ref="S3:S66" si="4">R3-G3</f>
        <v>-1885.7750000000015</v>
      </c>
      <c r="T3" s="1">
        <f t="shared" ref="T3:T66" si="5">(G3/($M$37*B3))+I3</f>
        <v>0.20563880358986181</v>
      </c>
      <c r="U3" s="1">
        <f t="shared" ref="U3:U66" si="6">(G3/($M$40*B3))+I3</f>
        <v>0.36511167013396928</v>
      </c>
      <c r="V3" s="1"/>
      <c r="W3" s="1"/>
      <c r="X3" s="1">
        <v>1</v>
      </c>
      <c r="Y3">
        <f>W8</f>
        <v>26607.17600000001</v>
      </c>
      <c r="Z3">
        <f>Z2+Y3</f>
        <v>-531792.82400000002</v>
      </c>
      <c r="AA3">
        <f>Y3/(1+$M$13)^X3</f>
        <v>25077.451460885968</v>
      </c>
      <c r="AB3">
        <f>AB2+AA3</f>
        <v>-533322.54853911407</v>
      </c>
      <c r="AC3">
        <f>$W$8*((1+$M$34)^X3)</f>
        <v>27272.355400000008</v>
      </c>
      <c r="AD3">
        <f>AC3/(1+$M$13)^X3</f>
        <v>25704.387747408113</v>
      </c>
      <c r="AE3">
        <f>AE2+AD3</f>
        <v>-532695.61225259188</v>
      </c>
    </row>
    <row r="4" spans="1:31" ht="29" x14ac:dyDescent="0.35">
      <c r="A4" s="1">
        <v>3</v>
      </c>
      <c r="B4" s="1">
        <v>3457.332910813851</v>
      </c>
      <c r="C4" s="1">
        <v>2</v>
      </c>
      <c r="D4" s="1">
        <v>3494.71</v>
      </c>
      <c r="E4" s="1">
        <v>5</v>
      </c>
      <c r="F4" s="1">
        <v>0</v>
      </c>
      <c r="G4" s="1">
        <f>$M$11*C4*1000</f>
        <v>4000</v>
      </c>
      <c r="H4" s="1">
        <f>$M$12*C4</f>
        <v>53</v>
      </c>
      <c r="I4" s="56">
        <f t="shared" si="1"/>
        <v>1.5165779134749377E-2</v>
      </c>
      <c r="J4" s="4">
        <f t="shared" si="0"/>
        <v>1325</v>
      </c>
      <c r="K4" s="4"/>
      <c r="L4" s="4"/>
      <c r="M4" s="4"/>
      <c r="O4" s="4"/>
      <c r="P4" s="1">
        <v>180.26599999999999</v>
      </c>
      <c r="Q4" s="1">
        <f t="shared" si="2"/>
        <v>-3819.7339999999999</v>
      </c>
      <c r="R4" s="1">
        <f t="shared" si="3"/>
        <v>4506.6499999999996</v>
      </c>
      <c r="S4" s="1">
        <f t="shared" si="4"/>
        <v>506.64999999999964</v>
      </c>
      <c r="T4" s="1">
        <f t="shared" si="5"/>
        <v>6.144422674954278E-2</v>
      </c>
      <c r="U4" s="1">
        <f t="shared" si="6"/>
        <v>0.10127987082870715</v>
      </c>
      <c r="V4" s="1"/>
      <c r="W4" s="73" t="s">
        <v>285</v>
      </c>
      <c r="X4" s="1">
        <f>X3+1</f>
        <v>2</v>
      </c>
      <c r="Y4">
        <f>Y3</f>
        <v>26607.17600000001</v>
      </c>
      <c r="Z4">
        <f>Z3+Y4</f>
        <v>-505185.64799999999</v>
      </c>
      <c r="AA4">
        <f t="shared" ref="AA4:AA27" si="7">Y4/(1+$M$13)^X4</f>
        <v>23635.675269449544</v>
      </c>
      <c r="AB4">
        <f t="shared" ref="AB4:AB27" si="8">AB3+AA4</f>
        <v>-509686.87326966453</v>
      </c>
      <c r="AC4">
        <f t="shared" ref="AC4:AC27" si="9">$W$8*((1+$M$34)^X4)</f>
        <v>27954.16428500001</v>
      </c>
      <c r="AD4">
        <f t="shared" ref="AD4:AD27" si="10">AC4/(1+$M$13)^X4</f>
        <v>24832.231329965427</v>
      </c>
      <c r="AE4">
        <f t="shared" ref="AE4:AE27" si="11">AE3+AD4</f>
        <v>-507863.38092262647</v>
      </c>
    </row>
    <row r="5" spans="1:31" x14ac:dyDescent="0.35">
      <c r="A5" s="1">
        <v>4</v>
      </c>
      <c r="B5" s="62">
        <v>1453.8912212817379</v>
      </c>
      <c r="C5" s="62">
        <v>2</v>
      </c>
      <c r="D5" s="62">
        <v>3494.71</v>
      </c>
      <c r="E5" s="62">
        <v>5</v>
      </c>
      <c r="F5" s="62">
        <v>1.2</v>
      </c>
      <c r="G5" s="62">
        <f>M23</f>
        <v>13000</v>
      </c>
      <c r="H5" s="62">
        <f>$M$28*C5</f>
        <v>71.2</v>
      </c>
      <c r="I5" s="56">
        <f t="shared" si="1"/>
        <v>2.0373650460267088E-2</v>
      </c>
      <c r="J5" s="56">
        <f t="shared" si="0"/>
        <v>1780</v>
      </c>
      <c r="K5" s="56"/>
      <c r="L5" s="56"/>
      <c r="M5" s="56"/>
      <c r="N5" s="4" t="s">
        <v>6</v>
      </c>
      <c r="O5" s="56"/>
      <c r="P5" s="1">
        <v>364.54300000000001</v>
      </c>
      <c r="Q5" s="1">
        <f t="shared" si="2"/>
        <v>-12635.457</v>
      </c>
      <c r="R5" s="1">
        <f t="shared" si="3"/>
        <v>9113.5750000000007</v>
      </c>
      <c r="S5" s="1">
        <f t="shared" si="4"/>
        <v>-3886.4249999999993</v>
      </c>
      <c r="T5" s="1">
        <f t="shared" si="5"/>
        <v>0.37803452108686902</v>
      </c>
      <c r="U5" s="1">
        <f t="shared" si="6"/>
        <v>0.68590247858445275</v>
      </c>
      <c r="V5" s="1"/>
      <c r="W5" s="1">
        <f>SUM(G2:G46)</f>
        <v>558400</v>
      </c>
      <c r="X5" s="1">
        <f t="shared" ref="X5:X27" si="12">X4+1</f>
        <v>3</v>
      </c>
      <c r="Y5">
        <f t="shared" ref="Y5:Y27" si="13">Y4</f>
        <v>26607.17600000001</v>
      </c>
      <c r="Z5">
        <f t="shared" ref="Z5:Z27" si="14">Z4+Y5</f>
        <v>-478578.47199999995</v>
      </c>
      <c r="AA5">
        <f t="shared" si="7"/>
        <v>22276.79101738883</v>
      </c>
      <c r="AB5">
        <f t="shared" si="8"/>
        <v>-487410.08225227572</v>
      </c>
      <c r="AC5">
        <f t="shared" si="9"/>
        <v>28653.018392125006</v>
      </c>
      <c r="AD5">
        <f t="shared" si="10"/>
        <v>23989.667401710238</v>
      </c>
      <c r="AE5">
        <f t="shared" si="11"/>
        <v>-483873.71352091624</v>
      </c>
    </row>
    <row r="6" spans="1:31" x14ac:dyDescent="0.35">
      <c r="A6" s="1">
        <v>5</v>
      </c>
      <c r="B6" s="1">
        <v>3955.020115733626</v>
      </c>
      <c r="C6" s="1">
        <v>4</v>
      </c>
      <c r="D6" s="1">
        <v>6989.42</v>
      </c>
      <c r="E6" s="1">
        <v>10</v>
      </c>
      <c r="F6" s="1">
        <v>0</v>
      </c>
      <c r="G6" s="1">
        <f>$M$11*C6*1000</f>
        <v>8000</v>
      </c>
      <c r="H6" s="1">
        <f>$M$12*C6</f>
        <v>106</v>
      </c>
      <c r="I6" s="56">
        <f t="shared" si="1"/>
        <v>1.5165779134749377E-2</v>
      </c>
      <c r="J6" s="4">
        <f t="shared" si="0"/>
        <v>2650</v>
      </c>
      <c r="K6" s="4"/>
      <c r="L6" s="4"/>
      <c r="M6" s="4"/>
      <c r="N6" s="4"/>
      <c r="O6" s="4"/>
      <c r="P6" s="1">
        <v>615.86800000000005</v>
      </c>
      <c r="Q6" s="1">
        <f t="shared" si="2"/>
        <v>-7384.1319999999996</v>
      </c>
      <c r="R6" s="1">
        <f t="shared" si="3"/>
        <v>15396.7</v>
      </c>
      <c r="S6" s="1">
        <f t="shared" si="4"/>
        <v>7396.7000000000007</v>
      </c>
      <c r="T6" s="1">
        <f t="shared" si="5"/>
        <v>9.6075607817287564E-2</v>
      </c>
      <c r="U6" s="1">
        <f t="shared" si="6"/>
        <v>0.16572131341077981</v>
      </c>
      <c r="V6" s="1"/>
      <c r="W6" s="1"/>
      <c r="X6" s="1">
        <f t="shared" si="12"/>
        <v>4</v>
      </c>
      <c r="Y6">
        <f t="shared" si="13"/>
        <v>26607.17600000001</v>
      </c>
      <c r="Z6">
        <f t="shared" si="14"/>
        <v>-451971.29599999991</v>
      </c>
      <c r="AA6">
        <f t="shared" si="7"/>
        <v>20996.033004136501</v>
      </c>
      <c r="AB6">
        <f t="shared" si="8"/>
        <v>-466414.0492481392</v>
      </c>
      <c r="AC6">
        <f t="shared" si="9"/>
        <v>29369.34385192813</v>
      </c>
      <c r="AD6">
        <f t="shared" si="10"/>
        <v>23175.691881953808</v>
      </c>
      <c r="AE6">
        <f t="shared" si="11"/>
        <v>-460698.02163896244</v>
      </c>
    </row>
    <row r="7" spans="1:31" ht="29" x14ac:dyDescent="0.35">
      <c r="A7" s="1">
        <v>6</v>
      </c>
      <c r="B7" s="62">
        <v>2105.0165005377999</v>
      </c>
      <c r="C7" s="62">
        <v>2</v>
      </c>
      <c r="D7" s="62">
        <v>3494.71</v>
      </c>
      <c r="E7" s="62">
        <v>5</v>
      </c>
      <c r="F7" s="62">
        <v>4.2</v>
      </c>
      <c r="G7" s="62">
        <f>M23</f>
        <v>13000</v>
      </c>
      <c r="H7" s="62">
        <f>$M$28*C7</f>
        <v>71.2</v>
      </c>
      <c r="I7" s="56">
        <f t="shared" si="1"/>
        <v>2.0373650460267088E-2</v>
      </c>
      <c r="J7" s="56">
        <f t="shared" si="0"/>
        <v>1780</v>
      </c>
      <c r="K7" s="56"/>
      <c r="L7" s="56"/>
      <c r="M7" s="56"/>
      <c r="N7" s="56"/>
      <c r="O7" s="56"/>
      <c r="P7" s="1">
        <v>341.173</v>
      </c>
      <c r="Q7" s="1">
        <f t="shared" si="2"/>
        <v>-12658.826999999999</v>
      </c>
      <c r="R7" s="1">
        <f t="shared" si="3"/>
        <v>8529.3250000000007</v>
      </c>
      <c r="S7" s="1">
        <f t="shared" si="4"/>
        <v>-4470.6749999999993</v>
      </c>
      <c r="T7" s="1">
        <f t="shared" si="5"/>
        <v>0.26740259292563395</v>
      </c>
      <c r="U7" s="1">
        <f t="shared" si="6"/>
        <v>0.48004060341406452</v>
      </c>
      <c r="V7" s="1"/>
      <c r="W7" s="73" t="s">
        <v>286</v>
      </c>
      <c r="X7" s="1">
        <f t="shared" si="12"/>
        <v>5</v>
      </c>
      <c r="Y7">
        <f t="shared" si="13"/>
        <v>26607.17600000001</v>
      </c>
      <c r="Z7">
        <f t="shared" si="14"/>
        <v>-425364.11999999988</v>
      </c>
      <c r="AA7">
        <f t="shared" si="7"/>
        <v>19788.909523220078</v>
      </c>
      <c r="AB7">
        <f t="shared" si="8"/>
        <v>-446625.13972491911</v>
      </c>
      <c r="AC7">
        <f t="shared" si="9"/>
        <v>30103.57744822633</v>
      </c>
      <c r="AD7">
        <f t="shared" si="10"/>
        <v>22389.334758720692</v>
      </c>
      <c r="AE7">
        <f t="shared" si="11"/>
        <v>-438308.68688024173</v>
      </c>
    </row>
    <row r="8" spans="1:31" ht="15" thickBot="1" x14ac:dyDescent="0.4">
      <c r="A8" s="1">
        <v>7</v>
      </c>
      <c r="B8" s="1">
        <v>1617.7934488334181</v>
      </c>
      <c r="C8" s="1">
        <v>2</v>
      </c>
      <c r="D8" s="1">
        <v>3494.71</v>
      </c>
      <c r="E8" s="1">
        <v>5</v>
      </c>
      <c r="F8" s="1">
        <v>0</v>
      </c>
      <c r="G8" s="1">
        <f>$M$11*C8*1000</f>
        <v>4000</v>
      </c>
      <c r="H8" s="1">
        <f>$M$12*C8</f>
        <v>53</v>
      </c>
      <c r="I8" s="56">
        <f t="shared" si="1"/>
        <v>1.5165779134749377E-2</v>
      </c>
      <c r="J8" s="4">
        <f t="shared" si="0"/>
        <v>1325</v>
      </c>
      <c r="K8" s="4"/>
      <c r="L8" s="4"/>
      <c r="M8" s="4"/>
      <c r="N8" s="4"/>
      <c r="O8" s="4"/>
      <c r="P8" s="1">
        <v>323.84300000000002</v>
      </c>
      <c r="Q8" s="1">
        <f t="shared" si="2"/>
        <v>-3676.1570000000002</v>
      </c>
      <c r="R8" s="1">
        <f t="shared" si="3"/>
        <v>8096.0750000000007</v>
      </c>
      <c r="S8" s="1">
        <f t="shared" si="4"/>
        <v>4096.0750000000007</v>
      </c>
      <c r="T8" s="1">
        <f t="shared" si="5"/>
        <v>0.11406592001205057</v>
      </c>
      <c r="U8" s="1">
        <f t="shared" si="6"/>
        <v>0.19919735839046326</v>
      </c>
      <c r="V8" s="1"/>
      <c r="W8" s="1">
        <f>SUM(P2:P46)</f>
        <v>26607.17600000001</v>
      </c>
      <c r="X8" s="1">
        <f t="shared" si="12"/>
        <v>6</v>
      </c>
      <c r="Y8">
        <f t="shared" si="13"/>
        <v>26607.17600000001</v>
      </c>
      <c r="Z8">
        <f t="shared" si="14"/>
        <v>-398756.94399999984</v>
      </c>
      <c r="AA8">
        <f t="shared" si="7"/>
        <v>18651.187109538245</v>
      </c>
      <c r="AB8">
        <f t="shared" si="8"/>
        <v>-427973.95261538087</v>
      </c>
      <c r="AC8">
        <f t="shared" si="9"/>
        <v>30856.166884431987</v>
      </c>
      <c r="AD8">
        <f t="shared" si="10"/>
        <v>21629.658932788599</v>
      </c>
      <c r="AE8">
        <f t="shared" si="11"/>
        <v>-416679.02794745314</v>
      </c>
    </row>
    <row r="9" spans="1:31" x14ac:dyDescent="0.35">
      <c r="A9" s="1">
        <v>8</v>
      </c>
      <c r="B9" s="62">
        <v>10161.74794678937</v>
      </c>
      <c r="C9" s="62">
        <v>10</v>
      </c>
      <c r="D9" s="62">
        <v>17473.5</v>
      </c>
      <c r="E9" s="62">
        <v>25</v>
      </c>
      <c r="F9" s="62">
        <v>9.6999999999999993</v>
      </c>
      <c r="G9" s="62">
        <f>M27</f>
        <v>34600</v>
      </c>
      <c r="H9" s="62">
        <f>$M$28*C9</f>
        <v>356</v>
      </c>
      <c r="I9" s="56">
        <f t="shared" si="1"/>
        <v>2.0373708758977881E-2</v>
      </c>
      <c r="J9" s="56">
        <f t="shared" si="0"/>
        <v>8900</v>
      </c>
      <c r="K9" s="56"/>
      <c r="L9" s="108" t="s">
        <v>258</v>
      </c>
      <c r="M9" s="109"/>
      <c r="N9" s="64"/>
      <c r="O9" s="56"/>
      <c r="P9" s="1">
        <v>1533.56</v>
      </c>
      <c r="Q9" s="1">
        <f t="shared" si="2"/>
        <v>-33066.44</v>
      </c>
      <c r="R9" s="1">
        <f t="shared" si="3"/>
        <v>38339</v>
      </c>
      <c r="S9" s="1">
        <f t="shared" si="4"/>
        <v>3739</v>
      </c>
      <c r="T9" s="1">
        <f t="shared" si="5"/>
        <v>0.1565707495876946</v>
      </c>
      <c r="U9" s="1">
        <f t="shared" si="6"/>
        <v>0.27380667954472837</v>
      </c>
      <c r="V9" s="1"/>
      <c r="W9" s="1"/>
      <c r="X9" s="1">
        <f t="shared" si="12"/>
        <v>7</v>
      </c>
      <c r="Y9">
        <f t="shared" si="13"/>
        <v>26607.17600000001</v>
      </c>
      <c r="Z9">
        <f t="shared" si="14"/>
        <v>-372149.76799999981</v>
      </c>
      <c r="AA9">
        <f t="shared" si="7"/>
        <v>17578.875692307491</v>
      </c>
      <c r="AB9">
        <f t="shared" si="8"/>
        <v>-410395.07692307339</v>
      </c>
      <c r="AC9">
        <f t="shared" si="9"/>
        <v>31627.571056542787</v>
      </c>
      <c r="AD9">
        <f t="shared" si="10"/>
        <v>20895.759100950349</v>
      </c>
      <c r="AE9">
        <f t="shared" si="11"/>
        <v>-395783.26884650282</v>
      </c>
    </row>
    <row r="10" spans="1:31" x14ac:dyDescent="0.35">
      <c r="A10" s="1">
        <v>9</v>
      </c>
      <c r="B10" s="62">
        <v>5057.043251595851</v>
      </c>
      <c r="C10" s="62">
        <v>4</v>
      </c>
      <c r="D10" s="62">
        <v>6989.42</v>
      </c>
      <c r="E10" s="62">
        <v>10</v>
      </c>
      <c r="F10" s="62">
        <v>6</v>
      </c>
      <c r="G10" s="62">
        <f>M24</f>
        <v>18000</v>
      </c>
      <c r="H10" s="62">
        <f>$M$28*C10</f>
        <v>142.4</v>
      </c>
      <c r="I10" s="56">
        <f t="shared" si="1"/>
        <v>2.0373650460267088E-2</v>
      </c>
      <c r="J10" s="56">
        <f t="shared" si="0"/>
        <v>3560</v>
      </c>
      <c r="K10" s="56"/>
      <c r="L10" s="50" t="s">
        <v>245</v>
      </c>
      <c r="M10" s="2" t="s">
        <v>246</v>
      </c>
      <c r="N10" s="46"/>
      <c r="O10" s="56"/>
      <c r="P10" s="1">
        <v>675.73099999999999</v>
      </c>
      <c r="Q10" s="1">
        <f t="shared" si="2"/>
        <v>-17324.269</v>
      </c>
      <c r="R10" s="1">
        <f t="shared" si="3"/>
        <v>16893.275000000001</v>
      </c>
      <c r="S10" s="1">
        <f t="shared" si="4"/>
        <v>-1106.7249999999985</v>
      </c>
      <c r="T10" s="1">
        <f t="shared" si="5"/>
        <v>0.16274933604942823</v>
      </c>
      <c r="U10" s="1">
        <f t="shared" si="6"/>
        <v>0.28530373078335697</v>
      </c>
      <c r="V10" s="1"/>
      <c r="W10" s="1"/>
      <c r="X10" s="1">
        <f t="shared" si="12"/>
        <v>8</v>
      </c>
      <c r="Y10">
        <f t="shared" si="13"/>
        <v>26607.17600000001</v>
      </c>
      <c r="Z10">
        <f t="shared" si="14"/>
        <v>-345542.59199999977</v>
      </c>
      <c r="AA10">
        <f t="shared" si="7"/>
        <v>16568.214601609321</v>
      </c>
      <c r="AB10">
        <f t="shared" si="8"/>
        <v>-393826.86232146405</v>
      </c>
      <c r="AC10">
        <f t="shared" si="9"/>
        <v>32418.260332956354</v>
      </c>
      <c r="AD10">
        <f t="shared" si="10"/>
        <v>20186.760677166923</v>
      </c>
      <c r="AE10">
        <f t="shared" si="11"/>
        <v>-375596.5081693359</v>
      </c>
    </row>
    <row r="11" spans="1:31" x14ac:dyDescent="0.35">
      <c r="A11" s="1">
        <v>10</v>
      </c>
      <c r="B11" s="1">
        <v>507.10444675644749</v>
      </c>
      <c r="C11" s="1">
        <v>2</v>
      </c>
      <c r="D11" s="1">
        <v>3494.71</v>
      </c>
      <c r="E11" s="1">
        <v>5</v>
      </c>
      <c r="F11" s="1">
        <v>0</v>
      </c>
      <c r="G11" s="1">
        <f>$M$11*C11*1000</f>
        <v>4000</v>
      </c>
      <c r="H11" s="1">
        <f>$M$12*C11</f>
        <v>53</v>
      </c>
      <c r="I11" s="56">
        <f t="shared" si="1"/>
        <v>1.5165779134749377E-2</v>
      </c>
      <c r="J11" s="4">
        <f t="shared" si="0"/>
        <v>1325</v>
      </c>
      <c r="K11" s="4"/>
      <c r="L11" s="65" t="s">
        <v>247</v>
      </c>
      <c r="M11" s="1">
        <f>2.5*0.8</f>
        <v>2</v>
      </c>
      <c r="N11" s="46">
        <f>0.1*8000</f>
        <v>800</v>
      </c>
      <c r="O11" s="4"/>
      <c r="P11" s="1">
        <v>425.71899999999999</v>
      </c>
      <c r="Q11" s="1">
        <f t="shared" si="2"/>
        <v>-3574.2809999999999</v>
      </c>
      <c r="R11" s="1">
        <f t="shared" si="3"/>
        <v>10642.975</v>
      </c>
      <c r="S11" s="1">
        <f t="shared" si="4"/>
        <v>6642.9750000000004</v>
      </c>
      <c r="T11" s="1">
        <f t="shared" si="5"/>
        <v>0.33068263374605378</v>
      </c>
      <c r="U11" s="1">
        <f t="shared" si="6"/>
        <v>0.60227379051717278</v>
      </c>
      <c r="V11" s="1"/>
      <c r="W11" s="1"/>
      <c r="X11" s="1">
        <f t="shared" si="12"/>
        <v>9</v>
      </c>
      <c r="Y11">
        <f t="shared" si="13"/>
        <v>26607.17600000001</v>
      </c>
      <c r="Z11">
        <f t="shared" si="14"/>
        <v>-318935.41599999974</v>
      </c>
      <c r="AA11">
        <f t="shared" si="7"/>
        <v>15615.659379462133</v>
      </c>
      <c r="AB11">
        <f t="shared" si="8"/>
        <v>-378211.20294200192</v>
      </c>
      <c r="AC11">
        <f t="shared" si="9"/>
        <v>33228.716841280257</v>
      </c>
      <c r="AD11">
        <f t="shared" si="10"/>
        <v>19501.818750326198</v>
      </c>
      <c r="AE11">
        <f t="shared" si="11"/>
        <v>-356094.68941900972</v>
      </c>
    </row>
    <row r="12" spans="1:31" x14ac:dyDescent="0.35">
      <c r="A12" s="1">
        <v>11</v>
      </c>
      <c r="B12" s="1">
        <v>480.82648360578531</v>
      </c>
      <c r="C12" s="1">
        <v>2</v>
      </c>
      <c r="D12" s="1">
        <v>3494.71</v>
      </c>
      <c r="E12" s="1">
        <v>5</v>
      </c>
      <c r="F12" s="1">
        <v>0</v>
      </c>
      <c r="G12" s="1">
        <f>$M$11*C12*1000</f>
        <v>4000</v>
      </c>
      <c r="H12" s="1">
        <f>$M$12*C12</f>
        <v>53</v>
      </c>
      <c r="I12" s="56">
        <f t="shared" si="1"/>
        <v>1.5165779134749377E-2</v>
      </c>
      <c r="J12" s="4">
        <f t="shared" si="0"/>
        <v>1325</v>
      </c>
      <c r="K12" s="4"/>
      <c r="L12" s="65" t="s">
        <v>248</v>
      </c>
      <c r="M12" s="1">
        <v>26.5</v>
      </c>
      <c r="N12" s="78">
        <f>0.1*13000</f>
        <v>1300</v>
      </c>
      <c r="O12" s="4"/>
      <c r="P12" s="1">
        <v>425.47199999999998</v>
      </c>
      <c r="Q12" s="1">
        <f t="shared" si="2"/>
        <v>-3574.5280000000002</v>
      </c>
      <c r="R12" s="1">
        <f t="shared" si="3"/>
        <v>10636.8</v>
      </c>
      <c r="S12" s="1">
        <f t="shared" si="4"/>
        <v>6636.7999999999993</v>
      </c>
      <c r="T12" s="1">
        <f t="shared" si="5"/>
        <v>0.34792615206624333</v>
      </c>
      <c r="U12" s="1">
        <f t="shared" si="6"/>
        <v>0.63436021506864326</v>
      </c>
      <c r="V12" s="1"/>
      <c r="W12" s="1"/>
      <c r="X12" s="1">
        <f t="shared" si="12"/>
        <v>10</v>
      </c>
      <c r="Y12">
        <f t="shared" si="13"/>
        <v>26607.17600000001</v>
      </c>
      <c r="Z12">
        <f t="shared" si="14"/>
        <v>-292328.2399999997</v>
      </c>
      <c r="AA12">
        <f t="shared" si="7"/>
        <v>14717.869349163177</v>
      </c>
      <c r="AB12">
        <f t="shared" si="8"/>
        <v>-363493.33359283872</v>
      </c>
      <c r="AC12">
        <f t="shared" si="9"/>
        <v>34059.434762312267</v>
      </c>
      <c r="AD12">
        <f t="shared" si="10"/>
        <v>18840.117077365081</v>
      </c>
      <c r="AE12">
        <f t="shared" si="11"/>
        <v>-337254.57234164467</v>
      </c>
    </row>
    <row r="13" spans="1:31" x14ac:dyDescent="0.35">
      <c r="A13" s="1">
        <v>12</v>
      </c>
      <c r="B13" s="1">
        <v>569.06841271947087</v>
      </c>
      <c r="C13" s="1">
        <v>2</v>
      </c>
      <c r="D13" s="1">
        <v>3497.79</v>
      </c>
      <c r="E13" s="1">
        <v>5</v>
      </c>
      <c r="F13" s="1">
        <v>0</v>
      </c>
      <c r="G13" s="1">
        <f>$M$11*C13*1000</f>
        <v>4000</v>
      </c>
      <c r="H13" s="1">
        <f>$M$12*C13</f>
        <v>53</v>
      </c>
      <c r="I13" s="56">
        <f t="shared" si="1"/>
        <v>1.5152424816812901E-2</v>
      </c>
      <c r="J13" s="4">
        <f t="shared" si="0"/>
        <v>1325</v>
      </c>
      <c r="K13" s="4"/>
      <c r="L13" s="65" t="s">
        <v>250</v>
      </c>
      <c r="M13" s="1">
        <v>6.0999999999999999E-2</v>
      </c>
      <c r="N13" s="46">
        <f>0.1*18000</f>
        <v>1800</v>
      </c>
      <c r="O13" s="4"/>
      <c r="P13" s="1">
        <v>421.27100000000002</v>
      </c>
      <c r="Q13" s="1">
        <f t="shared" si="2"/>
        <v>-3578.7289999999998</v>
      </c>
      <c r="R13" s="1">
        <f t="shared" si="3"/>
        <v>10531.775</v>
      </c>
      <c r="S13" s="1">
        <f t="shared" si="4"/>
        <v>6531.7749999999996</v>
      </c>
      <c r="T13" s="1">
        <f t="shared" si="5"/>
        <v>0.2963136989690543</v>
      </c>
      <c r="U13" s="1">
        <f t="shared" si="6"/>
        <v>0.53833219836212309</v>
      </c>
      <c r="V13" s="1"/>
      <c r="W13" s="1"/>
      <c r="X13" s="1">
        <f t="shared" si="12"/>
        <v>11</v>
      </c>
      <c r="Y13">
        <f t="shared" si="13"/>
        <v>26607.17600000001</v>
      </c>
      <c r="Z13">
        <f t="shared" si="14"/>
        <v>-265721.06399999966</v>
      </c>
      <c r="AA13">
        <f t="shared" si="7"/>
        <v>13871.695899305543</v>
      </c>
      <c r="AB13">
        <f t="shared" si="8"/>
        <v>-349621.63769353321</v>
      </c>
      <c r="AC13">
        <f t="shared" si="9"/>
        <v>34910.920631370071</v>
      </c>
      <c r="AD13">
        <f t="shared" si="10"/>
        <v>18200.867110555337</v>
      </c>
      <c r="AE13">
        <f t="shared" si="11"/>
        <v>-319053.70523108932</v>
      </c>
    </row>
    <row r="14" spans="1:31" x14ac:dyDescent="0.35">
      <c r="A14" s="1">
        <v>13</v>
      </c>
      <c r="B14" s="62">
        <v>4563.0069277860366</v>
      </c>
      <c r="C14" s="62">
        <v>6</v>
      </c>
      <c r="D14" s="62">
        <v>10493.4</v>
      </c>
      <c r="E14" s="62">
        <v>15</v>
      </c>
      <c r="F14" s="62">
        <v>5</v>
      </c>
      <c r="G14" s="62">
        <f>M25</f>
        <v>22000</v>
      </c>
      <c r="H14" s="62">
        <f>$M$28*C14</f>
        <v>213.60000000000002</v>
      </c>
      <c r="I14" s="56">
        <f t="shared" si="1"/>
        <v>2.0355652124192353E-2</v>
      </c>
      <c r="J14" s="56">
        <f t="shared" si="0"/>
        <v>5340.0000000000009</v>
      </c>
      <c r="K14" s="56"/>
      <c r="L14" s="65" t="s">
        <v>251</v>
      </c>
      <c r="M14" s="1" t="s">
        <v>252</v>
      </c>
      <c r="N14" s="46">
        <f>0.1*22000</f>
        <v>2200</v>
      </c>
      <c r="O14" s="56"/>
      <c r="P14" s="1">
        <v>1086.6099999999999</v>
      </c>
      <c r="Q14" s="1">
        <f t="shared" si="2"/>
        <v>-20913.39</v>
      </c>
      <c r="R14" s="1">
        <f t="shared" si="3"/>
        <v>27165.249999999996</v>
      </c>
      <c r="S14" s="1">
        <f t="shared" si="4"/>
        <v>5165.2499999999964</v>
      </c>
      <c r="T14" s="1">
        <f t="shared" si="5"/>
        <v>0.21321093679214148</v>
      </c>
      <c r="U14" s="1">
        <f t="shared" si="6"/>
        <v>0.37921725020103259</v>
      </c>
      <c r="V14" s="1"/>
      <c r="W14" s="1"/>
      <c r="X14" s="1">
        <f t="shared" si="12"/>
        <v>12</v>
      </c>
      <c r="Y14">
        <f t="shared" si="13"/>
        <v>26607.17600000001</v>
      </c>
      <c r="Z14">
        <f t="shared" si="14"/>
        <v>-239113.88799999966</v>
      </c>
      <c r="AA14">
        <f t="shared" si="7"/>
        <v>13074.171441381284</v>
      </c>
      <c r="AB14">
        <f t="shared" si="8"/>
        <v>-336547.46625215193</v>
      </c>
      <c r="AC14">
        <f t="shared" si="9"/>
        <v>35783.693647154316</v>
      </c>
      <c r="AD14">
        <f t="shared" si="10"/>
        <v>17583.307057793794</v>
      </c>
      <c r="AE14">
        <f t="shared" si="11"/>
        <v>-301470.39817329554</v>
      </c>
    </row>
    <row r="15" spans="1:31" x14ac:dyDescent="0.35">
      <c r="A15" s="1">
        <v>14</v>
      </c>
      <c r="B15" s="62">
        <v>2172.7675547581462</v>
      </c>
      <c r="C15" s="62">
        <v>2</v>
      </c>
      <c r="D15" s="62">
        <v>3497.79</v>
      </c>
      <c r="E15" s="62">
        <v>5</v>
      </c>
      <c r="F15" s="62">
        <v>2</v>
      </c>
      <c r="G15" s="62">
        <f>M22</f>
        <v>8000</v>
      </c>
      <c r="H15" s="62">
        <f>$M$28*C15</f>
        <v>71.2</v>
      </c>
      <c r="I15" s="56">
        <f t="shared" si="1"/>
        <v>2.0355710319944882E-2</v>
      </c>
      <c r="J15" s="56">
        <f t="shared" si="0"/>
        <v>1780</v>
      </c>
      <c r="K15" s="56"/>
      <c r="L15" s="65" t="s">
        <v>262</v>
      </c>
      <c r="M15" s="1">
        <v>7.0000000000000007E-2</v>
      </c>
      <c r="N15" s="46">
        <f>0.1*32500</f>
        <v>3250</v>
      </c>
      <c r="O15" s="56"/>
      <c r="P15" s="1">
        <v>347.005</v>
      </c>
      <c r="Q15" s="1">
        <f t="shared" si="2"/>
        <v>-7652.9949999999999</v>
      </c>
      <c r="R15" s="1">
        <f t="shared" si="3"/>
        <v>8675.125</v>
      </c>
      <c r="S15" s="1">
        <f t="shared" si="4"/>
        <v>675.125</v>
      </c>
      <c r="T15" s="1">
        <f t="shared" si="5"/>
        <v>0.16763331454375224</v>
      </c>
      <c r="U15" s="1">
        <f t="shared" si="6"/>
        <v>0.29440719147942129</v>
      </c>
      <c r="V15" s="1"/>
      <c r="W15" s="1"/>
      <c r="X15" s="1">
        <f t="shared" si="12"/>
        <v>13</v>
      </c>
      <c r="Y15">
        <f t="shared" si="13"/>
        <v>26607.17600000001</v>
      </c>
      <c r="Z15">
        <f t="shared" si="14"/>
        <v>-212506.71199999965</v>
      </c>
      <c r="AA15">
        <f t="shared" si="7"/>
        <v>12322.499002244376</v>
      </c>
      <c r="AB15">
        <f t="shared" si="8"/>
        <v>-324224.96724990755</v>
      </c>
      <c r="AC15">
        <f t="shared" si="9"/>
        <v>36678.285988333177</v>
      </c>
      <c r="AD15">
        <f t="shared" si="10"/>
        <v>16986.700974777228</v>
      </c>
      <c r="AE15">
        <f t="shared" si="11"/>
        <v>-284483.69719851832</v>
      </c>
    </row>
    <row r="16" spans="1:31" x14ac:dyDescent="0.35">
      <c r="A16" s="1">
        <v>15</v>
      </c>
      <c r="B16" s="62">
        <v>4548.2349752288228</v>
      </c>
      <c r="C16" s="62">
        <v>4</v>
      </c>
      <c r="D16" s="62">
        <v>6995.57</v>
      </c>
      <c r="E16" s="62">
        <v>10</v>
      </c>
      <c r="F16" s="62">
        <v>3.3</v>
      </c>
      <c r="G16" s="62">
        <f>M24</f>
        <v>18000</v>
      </c>
      <c r="H16" s="62">
        <f>$M$28*C16</f>
        <v>142.4</v>
      </c>
      <c r="I16" s="56">
        <f t="shared" si="1"/>
        <v>2.0355739417945929E-2</v>
      </c>
      <c r="J16" s="56">
        <f t="shared" si="0"/>
        <v>3560</v>
      </c>
      <c r="K16" s="56"/>
      <c r="L16" s="65" t="s">
        <v>263</v>
      </c>
      <c r="M16" s="1">
        <v>2.5000000000000001E-2</v>
      </c>
      <c r="N16" s="46">
        <f>0.1*34600</f>
        <v>3460</v>
      </c>
      <c r="O16" s="56"/>
      <c r="P16" s="1">
        <v>714.76800000000003</v>
      </c>
      <c r="Q16" s="1">
        <f t="shared" si="2"/>
        <v>-17285.232</v>
      </c>
      <c r="R16" s="1">
        <f t="shared" si="3"/>
        <v>17869.2</v>
      </c>
      <c r="S16" s="1">
        <f t="shared" si="4"/>
        <v>-130.79999999999927</v>
      </c>
      <c r="T16" s="1">
        <f t="shared" si="5"/>
        <v>0.17865890623350314</v>
      </c>
      <c r="U16" s="1">
        <f t="shared" si="6"/>
        <v>0.31492338645892248</v>
      </c>
      <c r="V16" s="1"/>
      <c r="W16" s="1"/>
      <c r="X16" s="1">
        <f t="shared" si="12"/>
        <v>14</v>
      </c>
      <c r="Y16">
        <f t="shared" si="13"/>
        <v>26607.17600000001</v>
      </c>
      <c r="Z16">
        <f t="shared" si="14"/>
        <v>-185899.53599999964</v>
      </c>
      <c r="AA16">
        <f t="shared" si="7"/>
        <v>11614.042414933436</v>
      </c>
      <c r="AB16">
        <f t="shared" si="8"/>
        <v>-312610.92483497411</v>
      </c>
      <c r="AC16">
        <f t="shared" si="9"/>
        <v>37595.2431380415</v>
      </c>
      <c r="AD16">
        <f t="shared" si="10"/>
        <v>16410.337887979884</v>
      </c>
      <c r="AE16">
        <f t="shared" si="11"/>
        <v>-268073.35931053845</v>
      </c>
    </row>
    <row r="17" spans="1:36" x14ac:dyDescent="0.35">
      <c r="A17" s="1">
        <v>16</v>
      </c>
      <c r="B17" s="1">
        <v>5476.90270703035</v>
      </c>
      <c r="C17" s="1">
        <v>4</v>
      </c>
      <c r="D17" s="1">
        <v>6995.57</v>
      </c>
      <c r="E17" s="1">
        <v>10</v>
      </c>
      <c r="F17" s="1">
        <v>0</v>
      </c>
      <c r="G17" s="1">
        <f>$M$11*C17*1000</f>
        <v>8000</v>
      </c>
      <c r="H17" s="1">
        <f>$M$12*C17</f>
        <v>106</v>
      </c>
      <c r="I17" s="56">
        <f t="shared" si="1"/>
        <v>1.5152446476841773E-2</v>
      </c>
      <c r="J17" s="4">
        <f t="shared" si="0"/>
        <v>2650</v>
      </c>
      <c r="K17" s="4"/>
      <c r="L17" s="63"/>
      <c r="M17" s="4"/>
      <c r="N17" s="46"/>
      <c r="O17" s="4"/>
      <c r="P17" s="1">
        <v>491.30799999999999</v>
      </c>
      <c r="Q17" s="1">
        <f t="shared" si="2"/>
        <v>-7508.692</v>
      </c>
      <c r="R17" s="1">
        <f t="shared" si="3"/>
        <v>12282.7</v>
      </c>
      <c r="S17" s="1">
        <f t="shared" si="4"/>
        <v>4282.7000000000007</v>
      </c>
      <c r="T17" s="1">
        <f t="shared" si="5"/>
        <v>7.3579630072642441E-2</v>
      </c>
      <c r="U17" s="1">
        <f t="shared" si="6"/>
        <v>0.12387268462026951</v>
      </c>
      <c r="V17" s="1"/>
      <c r="W17" s="1"/>
      <c r="X17" s="1">
        <f t="shared" si="12"/>
        <v>15</v>
      </c>
      <c r="Y17">
        <f t="shared" si="13"/>
        <v>26607.17600000001</v>
      </c>
      <c r="Z17">
        <f t="shared" si="14"/>
        <v>-159292.35999999964</v>
      </c>
      <c r="AA17">
        <f t="shared" si="7"/>
        <v>10946.317073452816</v>
      </c>
      <c r="AB17">
        <f t="shared" si="8"/>
        <v>-301664.6077615213</v>
      </c>
      <c r="AC17">
        <f t="shared" si="9"/>
        <v>38535.124216492542</v>
      </c>
      <c r="AD17">
        <f t="shared" si="10"/>
        <v>15853.530947388674</v>
      </c>
      <c r="AE17">
        <f t="shared" si="11"/>
        <v>-252219.82836314978</v>
      </c>
    </row>
    <row r="18" spans="1:36" x14ac:dyDescent="0.35">
      <c r="A18" s="1">
        <v>17</v>
      </c>
      <c r="B18" s="62">
        <v>2180.0429312531028</v>
      </c>
      <c r="C18" s="62">
        <v>2</v>
      </c>
      <c r="D18" s="62">
        <v>3497.79</v>
      </c>
      <c r="E18" s="62">
        <v>5</v>
      </c>
      <c r="F18" s="62">
        <v>2</v>
      </c>
      <c r="G18" s="62">
        <f>M23</f>
        <v>13000</v>
      </c>
      <c r="H18" s="62">
        <f>$M$28*C18</f>
        <v>71.2</v>
      </c>
      <c r="I18" s="56">
        <f t="shared" si="1"/>
        <v>2.0355710319944882E-2</v>
      </c>
      <c r="J18" s="56">
        <f t="shared" si="0"/>
        <v>1780</v>
      </c>
      <c r="K18" s="56"/>
      <c r="L18" s="63"/>
      <c r="M18" s="4"/>
      <c r="N18" s="46" t="s">
        <v>6</v>
      </c>
      <c r="O18" s="56"/>
      <c r="P18" s="1">
        <v>331.69600000000003</v>
      </c>
      <c r="Q18" s="1">
        <f t="shared" si="2"/>
        <v>-12668.304</v>
      </c>
      <c r="R18" s="1">
        <f t="shared" si="3"/>
        <v>8292.4000000000015</v>
      </c>
      <c r="S18" s="1">
        <f t="shared" si="4"/>
        <v>-4707.5999999999985</v>
      </c>
      <c r="T18" s="1">
        <f t="shared" si="5"/>
        <v>0.25888312303520761</v>
      </c>
      <c r="U18" s="1">
        <f t="shared" si="6"/>
        <v>0.46420317169240954</v>
      </c>
      <c r="V18" s="1"/>
      <c r="W18" s="1"/>
      <c r="X18" s="1">
        <f t="shared" si="12"/>
        <v>16</v>
      </c>
      <c r="Y18">
        <f t="shared" si="13"/>
        <v>26607.17600000001</v>
      </c>
      <c r="Z18">
        <f t="shared" si="14"/>
        <v>-132685.18399999963</v>
      </c>
      <c r="AA18">
        <f t="shared" si="7"/>
        <v>10316.981219088422</v>
      </c>
      <c r="AB18">
        <f t="shared" si="8"/>
        <v>-291347.62654243287</v>
      </c>
      <c r="AC18">
        <f t="shared" si="9"/>
        <v>39498.502321904853</v>
      </c>
      <c r="AD18">
        <f t="shared" si="10"/>
        <v>15315.616607986231</v>
      </c>
      <c r="AE18">
        <f t="shared" si="11"/>
        <v>-236904.21175516356</v>
      </c>
    </row>
    <row r="19" spans="1:36" x14ac:dyDescent="0.35">
      <c r="A19" s="1">
        <v>18</v>
      </c>
      <c r="B19" s="62">
        <v>5524.0028847571884</v>
      </c>
      <c r="C19" s="62">
        <v>4</v>
      </c>
      <c r="D19" s="62">
        <v>6995.57</v>
      </c>
      <c r="E19" s="62">
        <v>10</v>
      </c>
      <c r="F19" s="62">
        <v>6</v>
      </c>
      <c r="G19" s="62">
        <f>M24</f>
        <v>18000</v>
      </c>
      <c r="H19" s="62">
        <f>$M$28*C19</f>
        <v>142.4</v>
      </c>
      <c r="I19" s="56">
        <f t="shared" si="1"/>
        <v>2.0355739417945929E-2</v>
      </c>
      <c r="J19" s="56">
        <f t="shared" si="0"/>
        <v>3560</v>
      </c>
      <c r="K19" s="56"/>
      <c r="L19" s="63"/>
      <c r="M19" s="4"/>
      <c r="N19" s="46" t="s">
        <v>6</v>
      </c>
      <c r="O19" s="56"/>
      <c r="P19" s="1">
        <v>629.01599999999996</v>
      </c>
      <c r="Q19" s="1">
        <f t="shared" si="2"/>
        <v>-17370.984</v>
      </c>
      <c r="R19" s="1">
        <f t="shared" si="3"/>
        <v>15725.4</v>
      </c>
      <c r="S19" s="1">
        <f t="shared" si="4"/>
        <v>-2274.6000000000004</v>
      </c>
      <c r="T19" s="1">
        <f t="shared" si="5"/>
        <v>0.15069600444328693</v>
      </c>
      <c r="U19" s="1">
        <f t="shared" si="6"/>
        <v>0.2628905285541972</v>
      </c>
      <c r="V19" s="1"/>
      <c r="W19" s="1"/>
      <c r="X19" s="1">
        <f t="shared" si="12"/>
        <v>17</v>
      </c>
      <c r="Y19">
        <f t="shared" si="13"/>
        <v>26607.17600000001</v>
      </c>
      <c r="Z19">
        <f t="shared" si="14"/>
        <v>-106078.00799999962</v>
      </c>
      <c r="AA19">
        <f t="shared" si="7"/>
        <v>9723.8277276987974</v>
      </c>
      <c r="AB19">
        <f t="shared" si="8"/>
        <v>-281623.79881473409</v>
      </c>
      <c r="AC19">
        <f t="shared" si="9"/>
        <v>40485.964879952473</v>
      </c>
      <c r="AD19">
        <f t="shared" si="10"/>
        <v>14795.953839006492</v>
      </c>
      <c r="AE19">
        <f t="shared" si="11"/>
        <v>-222108.25791615708</v>
      </c>
    </row>
    <row r="20" spans="1:36" x14ac:dyDescent="0.35">
      <c r="A20" s="1">
        <v>19</v>
      </c>
      <c r="B20" s="1">
        <v>6393.5501464958952</v>
      </c>
      <c r="C20" s="1">
        <v>4</v>
      </c>
      <c r="D20" s="1">
        <v>6995.57</v>
      </c>
      <c r="E20" s="1">
        <v>10</v>
      </c>
      <c r="F20" s="1">
        <v>0</v>
      </c>
      <c r="G20" s="1">
        <f>$M$11*C20*1000</f>
        <v>8000</v>
      </c>
      <c r="H20" s="1">
        <f>$M$12*C20</f>
        <v>106</v>
      </c>
      <c r="I20" s="56">
        <f t="shared" si="1"/>
        <v>1.5152446476841773E-2</v>
      </c>
      <c r="J20" s="4">
        <f t="shared" si="0"/>
        <v>2650</v>
      </c>
      <c r="K20" s="4"/>
      <c r="L20" s="106" t="s">
        <v>259</v>
      </c>
      <c r="M20" s="107"/>
      <c r="N20" s="46"/>
      <c r="O20" s="4"/>
      <c r="P20" s="1">
        <v>345.351</v>
      </c>
      <c r="Q20" s="1">
        <f t="shared" si="2"/>
        <v>-7654.6490000000003</v>
      </c>
      <c r="R20" s="1">
        <f t="shared" si="3"/>
        <v>8633.7749999999996</v>
      </c>
      <c r="S20" s="1">
        <f t="shared" si="4"/>
        <v>633.77499999999964</v>
      </c>
      <c r="T20" s="1">
        <f t="shared" si="5"/>
        <v>6.5202886790566683E-2</v>
      </c>
      <c r="U20" s="1">
        <f t="shared" si="6"/>
        <v>0.10828539342386327</v>
      </c>
      <c r="V20" s="1"/>
      <c r="W20" s="1"/>
      <c r="X20" s="1">
        <f>X19+1</f>
        <v>18</v>
      </c>
      <c r="Y20">
        <f t="shared" si="13"/>
        <v>26607.17600000001</v>
      </c>
      <c r="Z20">
        <f t="shared" si="14"/>
        <v>-79470.831999999617</v>
      </c>
      <c r="AA20">
        <f t="shared" si="7"/>
        <v>9164.7763691788841</v>
      </c>
      <c r="AB20">
        <f t="shared" si="8"/>
        <v>-272459.02244555519</v>
      </c>
      <c r="AC20">
        <f t="shared" si="9"/>
        <v>41498.114001951282</v>
      </c>
      <c r="AD20">
        <f t="shared" si="10"/>
        <v>14293.923360020408</v>
      </c>
      <c r="AE20">
        <f t="shared" si="11"/>
        <v>-207814.33455613666</v>
      </c>
    </row>
    <row r="21" spans="1:36" x14ac:dyDescent="0.35">
      <c r="A21" s="1">
        <v>20</v>
      </c>
      <c r="B21" s="62">
        <v>6287.6864400653858</v>
      </c>
      <c r="C21" s="62">
        <v>10</v>
      </c>
      <c r="D21" s="62">
        <v>17488.900000000001</v>
      </c>
      <c r="E21" s="62">
        <v>25</v>
      </c>
      <c r="F21" s="62">
        <v>13.5</v>
      </c>
      <c r="G21" s="62">
        <f>M27</f>
        <v>34600</v>
      </c>
      <c r="H21" s="62">
        <f>$M$28*C21</f>
        <v>356</v>
      </c>
      <c r="I21" s="56">
        <f t="shared" si="1"/>
        <v>2.0355768516030166E-2</v>
      </c>
      <c r="J21" s="56">
        <f t="shared" si="0"/>
        <v>8900</v>
      </c>
      <c r="K21" s="56"/>
      <c r="L21" s="50" t="s">
        <v>245</v>
      </c>
      <c r="M21" s="2" t="s">
        <v>246</v>
      </c>
      <c r="N21" s="46"/>
      <c r="O21" s="56"/>
      <c r="P21" s="1">
        <v>1809.65</v>
      </c>
      <c r="Q21" s="1">
        <f t="shared" si="2"/>
        <v>-32790.35</v>
      </c>
      <c r="R21" s="1">
        <f t="shared" si="3"/>
        <v>45241.25</v>
      </c>
      <c r="S21" s="1">
        <f t="shared" si="4"/>
        <v>10641.25</v>
      </c>
      <c r="T21" s="1">
        <f t="shared" si="5"/>
        <v>0.24046852591771889</v>
      </c>
      <c r="U21" s="1">
        <f t="shared" si="6"/>
        <v>0.42993757496884205</v>
      </c>
      <c r="V21" s="1"/>
      <c r="W21" s="1"/>
      <c r="X21" s="1">
        <f t="shared" si="12"/>
        <v>19</v>
      </c>
      <c r="Y21">
        <f t="shared" si="13"/>
        <v>26607.17600000001</v>
      </c>
      <c r="Z21">
        <f t="shared" si="14"/>
        <v>-52863.65599999961</v>
      </c>
      <c r="AA21">
        <f t="shared" si="7"/>
        <v>8637.8665119499401</v>
      </c>
      <c r="AB21">
        <f t="shared" si="8"/>
        <v>-263821.15593360527</v>
      </c>
      <c r="AC21">
        <f t="shared" si="9"/>
        <v>42535.566852000069</v>
      </c>
      <c r="AD21">
        <f t="shared" si="10"/>
        <v>13808.92690294149</v>
      </c>
      <c r="AE21">
        <f t="shared" si="11"/>
        <v>-194005.40765319517</v>
      </c>
    </row>
    <row r="22" spans="1:36" x14ac:dyDescent="0.35">
      <c r="A22" s="1">
        <v>21</v>
      </c>
      <c r="B22" s="62">
        <v>1195.617299383852</v>
      </c>
      <c r="C22" s="62">
        <v>2</v>
      </c>
      <c r="D22" s="62">
        <v>3497.79</v>
      </c>
      <c r="E22" s="62">
        <v>5</v>
      </c>
      <c r="F22" s="62">
        <v>1.2</v>
      </c>
      <c r="G22" s="62">
        <f>M22</f>
        <v>8000</v>
      </c>
      <c r="H22" s="62">
        <f>$M$28*C22</f>
        <v>71.2</v>
      </c>
      <c r="I22" s="56">
        <f t="shared" si="1"/>
        <v>2.0355710319944882E-2</v>
      </c>
      <c r="J22" s="56">
        <f t="shared" si="0"/>
        <v>1780</v>
      </c>
      <c r="K22" s="56"/>
      <c r="L22" s="63" t="s">
        <v>247</v>
      </c>
      <c r="M22" s="4">
        <v>8000</v>
      </c>
      <c r="N22" s="46" t="s">
        <v>269</v>
      </c>
      <c r="O22" s="56"/>
      <c r="P22" s="1">
        <v>404.33800000000002</v>
      </c>
      <c r="Q22" s="1">
        <f t="shared" si="2"/>
        <v>-7595.6620000000003</v>
      </c>
      <c r="R22" s="1">
        <f t="shared" si="3"/>
        <v>10108.450000000001</v>
      </c>
      <c r="S22" s="1">
        <f t="shared" si="4"/>
        <v>2108.4500000000007</v>
      </c>
      <c r="T22" s="1">
        <f t="shared" si="5"/>
        <v>0.28799988054473868</v>
      </c>
      <c r="U22" s="1">
        <f t="shared" si="6"/>
        <v>0.51838310328555548</v>
      </c>
      <c r="V22" s="1"/>
      <c r="W22" s="1"/>
      <c r="X22" s="1">
        <f t="shared" si="12"/>
        <v>20</v>
      </c>
      <c r="Y22">
        <f t="shared" si="13"/>
        <v>26607.17600000001</v>
      </c>
      <c r="Z22">
        <f t="shared" si="14"/>
        <v>-26256.479999999599</v>
      </c>
      <c r="AA22">
        <f t="shared" si="7"/>
        <v>8141.2502468896691</v>
      </c>
      <c r="AB22">
        <f t="shared" si="8"/>
        <v>-255679.90568671562</v>
      </c>
      <c r="AC22">
        <f t="shared" si="9"/>
        <v>43598.956023300059</v>
      </c>
      <c r="AD22">
        <f t="shared" si="10"/>
        <v>13340.386499071652</v>
      </c>
      <c r="AE22">
        <f t="shared" si="11"/>
        <v>-180665.02115412353</v>
      </c>
    </row>
    <row r="23" spans="1:36" x14ac:dyDescent="0.35">
      <c r="A23" s="1">
        <v>22</v>
      </c>
      <c r="B23" s="1">
        <v>4102.942217502793</v>
      </c>
      <c r="C23" s="1">
        <v>4</v>
      </c>
      <c r="D23" s="1">
        <v>6995.57</v>
      </c>
      <c r="E23" s="1">
        <v>10</v>
      </c>
      <c r="F23" s="1">
        <v>0</v>
      </c>
      <c r="G23" s="1">
        <f>$M$11*C23*1000</f>
        <v>8000</v>
      </c>
      <c r="H23" s="1">
        <f>$M$12*C23</f>
        <v>106</v>
      </c>
      <c r="I23" s="56">
        <f t="shared" si="1"/>
        <v>1.5152446476841773E-2</v>
      </c>
      <c r="J23" s="4">
        <f t="shared" si="0"/>
        <v>2650</v>
      </c>
      <c r="K23" s="4"/>
      <c r="L23" s="63" t="s">
        <v>247</v>
      </c>
      <c r="M23" s="1">
        <v>13000</v>
      </c>
      <c r="N23" s="46" t="s">
        <v>274</v>
      </c>
      <c r="O23" s="4"/>
      <c r="P23" s="1">
        <v>568.94799999999998</v>
      </c>
      <c r="Q23" s="1">
        <f t="shared" si="2"/>
        <v>-7431.0519999999997</v>
      </c>
      <c r="R23" s="1">
        <f t="shared" si="3"/>
        <v>14223.699999999999</v>
      </c>
      <c r="S23" s="1">
        <f t="shared" si="4"/>
        <v>6223.6999999999989</v>
      </c>
      <c r="T23" s="1">
        <f t="shared" si="5"/>
        <v>9.3145258229078487E-2</v>
      </c>
      <c r="U23" s="1">
        <f t="shared" si="6"/>
        <v>0.16028004882439262</v>
      </c>
      <c r="V23" s="1"/>
      <c r="W23" s="1"/>
      <c r="X23" s="1">
        <f t="shared" si="12"/>
        <v>21</v>
      </c>
      <c r="Y23">
        <f t="shared" si="13"/>
        <v>26607.17600000001</v>
      </c>
      <c r="Z23">
        <f t="shared" si="14"/>
        <v>350.696000000411</v>
      </c>
      <c r="AA23">
        <f t="shared" si="7"/>
        <v>7673.1859065878125</v>
      </c>
      <c r="AB23">
        <f t="shared" si="8"/>
        <v>-248006.71978012781</v>
      </c>
      <c r="AC23">
        <f t="shared" si="9"/>
        <v>44688.929923882562</v>
      </c>
      <c r="AD23">
        <f t="shared" si="10"/>
        <v>12887.743790337838</v>
      </c>
      <c r="AE23">
        <f t="shared" si="11"/>
        <v>-167777.27736378569</v>
      </c>
    </row>
    <row r="24" spans="1:36" x14ac:dyDescent="0.35">
      <c r="A24" s="1">
        <v>23</v>
      </c>
      <c r="B24" s="62">
        <v>2916.9354826987528</v>
      </c>
      <c r="C24" s="62">
        <v>2</v>
      </c>
      <c r="D24" s="62">
        <v>3465.23</v>
      </c>
      <c r="E24" s="62">
        <v>5</v>
      </c>
      <c r="F24" s="62">
        <v>2</v>
      </c>
      <c r="G24" s="62">
        <f>M22</f>
        <v>8000</v>
      </c>
      <c r="H24" s="62">
        <f>$M$28*C24</f>
        <v>71.2</v>
      </c>
      <c r="I24" s="56">
        <f t="shared" si="1"/>
        <v>2.0546976679758633E-2</v>
      </c>
      <c r="J24" s="56">
        <f t="shared" si="0"/>
        <v>1780</v>
      </c>
      <c r="K24" s="56"/>
      <c r="L24" s="63" t="s">
        <v>247</v>
      </c>
      <c r="M24" s="4">
        <v>18000</v>
      </c>
      <c r="N24" s="46" t="s">
        <v>270</v>
      </c>
      <c r="O24" s="56"/>
      <c r="P24" s="1">
        <v>332.65499999999997</v>
      </c>
      <c r="Q24" s="1">
        <f t="shared" si="2"/>
        <v>-7667.3450000000003</v>
      </c>
      <c r="R24" s="1">
        <f t="shared" si="3"/>
        <v>8316.375</v>
      </c>
      <c r="S24" s="1">
        <f t="shared" si="4"/>
        <v>316.375</v>
      </c>
      <c r="T24" s="1">
        <f t="shared" si="5"/>
        <v>0.13025115145428451</v>
      </c>
      <c r="U24" s="1">
        <f t="shared" si="6"/>
        <v>0.22468250526053221</v>
      </c>
      <c r="V24" s="1"/>
      <c r="W24" s="1"/>
      <c r="X24" s="1">
        <f t="shared" si="12"/>
        <v>22</v>
      </c>
      <c r="Y24">
        <f t="shared" si="13"/>
        <v>26607.17600000001</v>
      </c>
      <c r="Z24">
        <f t="shared" si="14"/>
        <v>26957.872000000421</v>
      </c>
      <c r="AA24">
        <f t="shared" si="7"/>
        <v>7232.031957198692</v>
      </c>
      <c r="AB24">
        <f t="shared" si="8"/>
        <v>-240774.68782292912</v>
      </c>
      <c r="AC24">
        <f t="shared" si="9"/>
        <v>45806.153171979618</v>
      </c>
      <c r="AD24">
        <f t="shared" si="10"/>
        <v>12450.459363898473</v>
      </c>
      <c r="AE24">
        <f t="shared" si="11"/>
        <v>-155326.81799988722</v>
      </c>
    </row>
    <row r="25" spans="1:36" x14ac:dyDescent="0.35">
      <c r="A25" s="1">
        <v>24</v>
      </c>
      <c r="B25" s="62">
        <v>4395.7178346280416</v>
      </c>
      <c r="C25" s="62">
        <v>4</v>
      </c>
      <c r="D25" s="62">
        <v>6930.46</v>
      </c>
      <c r="E25" s="62">
        <v>10</v>
      </c>
      <c r="F25" s="62">
        <v>3.3</v>
      </c>
      <c r="G25" s="62">
        <f>M24</f>
        <v>18000</v>
      </c>
      <c r="H25" s="62">
        <f>$M$28*C25</f>
        <v>142.4</v>
      </c>
      <c r="I25" s="56">
        <f t="shared" si="1"/>
        <v>2.0546976679758633E-2</v>
      </c>
      <c r="J25" s="56">
        <f t="shared" si="0"/>
        <v>3560</v>
      </c>
      <c r="K25" s="56"/>
      <c r="L25" s="63" t="s">
        <v>247</v>
      </c>
      <c r="M25" s="4">
        <v>22000</v>
      </c>
      <c r="N25" s="46" t="s">
        <v>271</v>
      </c>
      <c r="O25" s="56"/>
      <c r="P25" s="1">
        <v>688.471</v>
      </c>
      <c r="Q25" s="1">
        <f t="shared" si="2"/>
        <v>-17311.528999999999</v>
      </c>
      <c r="R25" s="1">
        <f t="shared" si="3"/>
        <v>17211.775000000001</v>
      </c>
      <c r="S25" s="1">
        <f t="shared" si="4"/>
        <v>-788.22499999999854</v>
      </c>
      <c r="T25" s="1">
        <f t="shared" si="5"/>
        <v>0.18434274954035337</v>
      </c>
      <c r="U25" s="1">
        <f t="shared" si="6"/>
        <v>0.32533516492250947</v>
      </c>
      <c r="V25" s="1"/>
      <c r="W25" s="1"/>
      <c r="X25" s="1">
        <f t="shared" si="12"/>
        <v>23</v>
      </c>
      <c r="Y25">
        <f t="shared" si="13"/>
        <v>26607.17600000001</v>
      </c>
      <c r="Z25">
        <f t="shared" si="14"/>
        <v>53565.048000000432</v>
      </c>
      <c r="AA25">
        <f t="shared" si="7"/>
        <v>6816.2412414690798</v>
      </c>
      <c r="AB25">
        <f t="shared" si="8"/>
        <v>-233958.44658146004</v>
      </c>
      <c r="AC25">
        <f t="shared" si="9"/>
        <v>46951.307001279114</v>
      </c>
      <c r="AD25">
        <f t="shared" si="10"/>
        <v>12028.012109326992</v>
      </c>
      <c r="AE25">
        <f t="shared" si="11"/>
        <v>-143298.80589056024</v>
      </c>
    </row>
    <row r="26" spans="1:36" x14ac:dyDescent="0.35">
      <c r="A26" s="1">
        <v>25</v>
      </c>
      <c r="B26" s="1">
        <v>3480.4540913845358</v>
      </c>
      <c r="C26" s="1">
        <v>2</v>
      </c>
      <c r="D26" s="1">
        <v>3465.23</v>
      </c>
      <c r="E26" s="1">
        <v>5</v>
      </c>
      <c r="F26" s="1">
        <v>0</v>
      </c>
      <c r="G26" s="1">
        <f>$M$11*C26*1000</f>
        <v>4000</v>
      </c>
      <c r="H26" s="1">
        <f>$M$12*C26</f>
        <v>53</v>
      </c>
      <c r="I26" s="56">
        <f t="shared" si="1"/>
        <v>1.5294800056561902E-2</v>
      </c>
      <c r="J26" s="4">
        <f t="shared" si="0"/>
        <v>1325</v>
      </c>
      <c r="K26" s="4"/>
      <c r="L26" s="63" t="s">
        <v>247</v>
      </c>
      <c r="M26" s="4">
        <v>32500</v>
      </c>
      <c r="N26" s="46" t="s">
        <v>272</v>
      </c>
      <c r="O26" s="4"/>
      <c r="P26" s="1">
        <v>162.71799999999999</v>
      </c>
      <c r="Q26" s="1">
        <f t="shared" si="2"/>
        <v>-3837.2820000000002</v>
      </c>
      <c r="R26" s="1">
        <f t="shared" si="3"/>
        <v>4067.95</v>
      </c>
      <c r="S26" s="1">
        <f t="shared" si="4"/>
        <v>67.949999999999818</v>
      </c>
      <c r="T26" s="1">
        <f t="shared" si="5"/>
        <v>6.1265812975842063E-2</v>
      </c>
      <c r="U26" s="1">
        <f t="shared" si="6"/>
        <v>0.10083682287345413</v>
      </c>
      <c r="V26" s="1"/>
      <c r="W26" s="1"/>
      <c r="X26" s="1">
        <f>X25+1</f>
        <v>24</v>
      </c>
      <c r="Y26">
        <f t="shared" si="13"/>
        <v>26607.17600000001</v>
      </c>
      <c r="Z26">
        <f t="shared" si="14"/>
        <v>80172.224000000439</v>
      </c>
      <c r="AA26">
        <f t="shared" si="7"/>
        <v>6424.3555527512535</v>
      </c>
      <c r="AB26">
        <f t="shared" si="8"/>
        <v>-227534.09102870879</v>
      </c>
      <c r="AC26">
        <f t="shared" si="9"/>
        <v>48125.089676311087</v>
      </c>
      <c r="AD26">
        <f t="shared" si="10"/>
        <v>11619.898597606189</v>
      </c>
      <c r="AE26">
        <f t="shared" si="11"/>
        <v>-131678.90729295404</v>
      </c>
    </row>
    <row r="27" spans="1:36" x14ac:dyDescent="0.35">
      <c r="A27" s="1">
        <v>26</v>
      </c>
      <c r="B27" s="1">
        <v>5233.1130996820621</v>
      </c>
      <c r="C27" s="1">
        <v>4</v>
      </c>
      <c r="D27" s="1">
        <v>6930.46</v>
      </c>
      <c r="E27" s="1">
        <v>10</v>
      </c>
      <c r="F27" s="1">
        <v>0</v>
      </c>
      <c r="G27" s="1">
        <f>$M$11*C27*1000</f>
        <v>8000</v>
      </c>
      <c r="H27" s="1">
        <f>$M$12*C27</f>
        <v>106</v>
      </c>
      <c r="I27" s="56">
        <f t="shared" si="1"/>
        <v>1.5294800056561902E-2</v>
      </c>
      <c r="J27" s="4">
        <f t="shared" si="0"/>
        <v>2650</v>
      </c>
      <c r="K27" s="4"/>
      <c r="L27" s="63" t="s">
        <v>247</v>
      </c>
      <c r="M27" s="4">
        <v>34600</v>
      </c>
      <c r="N27" s="46" t="s">
        <v>273</v>
      </c>
      <c r="O27" s="4"/>
      <c r="P27" s="1">
        <v>445.92099999999999</v>
      </c>
      <c r="Q27" s="1">
        <f t="shared" si="2"/>
        <v>-7554.0789999999997</v>
      </c>
      <c r="R27" s="1">
        <f t="shared" si="3"/>
        <v>11148.025</v>
      </c>
      <c r="S27" s="1">
        <f t="shared" si="4"/>
        <v>3148.0249999999996</v>
      </c>
      <c r="T27" s="1">
        <f t="shared" si="5"/>
        <v>7.6443870199808306E-2</v>
      </c>
      <c r="U27" s="1">
        <f t="shared" si="6"/>
        <v>0.12907987506915822</v>
      </c>
      <c r="V27" s="1"/>
      <c r="W27" s="1"/>
      <c r="X27" s="1">
        <f t="shared" si="12"/>
        <v>25</v>
      </c>
      <c r="Y27">
        <f t="shared" si="13"/>
        <v>26607.17600000001</v>
      </c>
      <c r="Z27">
        <f t="shared" si="14"/>
        <v>106779.40000000045</v>
      </c>
      <c r="AA27">
        <f t="shared" si="7"/>
        <v>6055.0005209719639</v>
      </c>
      <c r="AB27">
        <f t="shared" si="8"/>
        <v>-221479.09050773684</v>
      </c>
      <c r="AC27">
        <f t="shared" si="9"/>
        <v>49328.216918218859</v>
      </c>
      <c r="AD27">
        <f t="shared" si="10"/>
        <v>11225.632481193536</v>
      </c>
      <c r="AE27">
        <f t="shared" si="11"/>
        <v>-120453.27481176051</v>
      </c>
    </row>
    <row r="28" spans="1:36" x14ac:dyDescent="0.35">
      <c r="A28" s="1">
        <v>27</v>
      </c>
      <c r="B28" s="1">
        <v>6696.2920887280334</v>
      </c>
      <c r="C28" s="1">
        <v>4</v>
      </c>
      <c r="D28" s="1">
        <v>6930.46</v>
      </c>
      <c r="E28" s="1">
        <v>10</v>
      </c>
      <c r="F28" s="1">
        <v>0</v>
      </c>
      <c r="G28" s="1">
        <f>$M$11*C28*1000</f>
        <v>8000</v>
      </c>
      <c r="H28" s="1">
        <f>$M$12*C28</f>
        <v>106</v>
      </c>
      <c r="I28" s="56">
        <f t="shared" si="1"/>
        <v>1.5294800056561902E-2</v>
      </c>
      <c r="J28" s="4">
        <f t="shared" si="0"/>
        <v>2650</v>
      </c>
      <c r="K28" s="4"/>
      <c r="L28" s="65" t="s">
        <v>248</v>
      </c>
      <c r="M28" s="1">
        <v>35.6</v>
      </c>
      <c r="N28" s="46"/>
      <c r="O28" s="4"/>
      <c r="P28" s="1">
        <v>303.62900000000002</v>
      </c>
      <c r="Q28" s="1">
        <f t="shared" si="2"/>
        <v>-7696.3710000000001</v>
      </c>
      <c r="R28" s="1">
        <f t="shared" si="3"/>
        <v>7590.7250000000004</v>
      </c>
      <c r="S28" s="1">
        <f t="shared" si="4"/>
        <v>-409.27499999999964</v>
      </c>
      <c r="T28" s="1">
        <f t="shared" si="5"/>
        <v>6.3082440703041573E-2</v>
      </c>
      <c r="U28" s="1">
        <f t="shared" si="6"/>
        <v>0.1042171706322203</v>
      </c>
      <c r="V28" s="1"/>
      <c r="W28" s="1"/>
      <c r="X28" s="1"/>
    </row>
    <row r="29" spans="1:36" ht="29" x14ac:dyDescent="0.35">
      <c r="A29" s="1">
        <v>28</v>
      </c>
      <c r="B29" s="62">
        <v>8230.4847304692612</v>
      </c>
      <c r="C29" s="62">
        <v>6</v>
      </c>
      <c r="D29" s="62">
        <v>10395.700000000001</v>
      </c>
      <c r="E29" s="62">
        <v>15</v>
      </c>
      <c r="F29" s="62">
        <v>5</v>
      </c>
      <c r="G29" s="62">
        <f>M25</f>
        <v>22000</v>
      </c>
      <c r="H29" s="62">
        <f>$M$28*C29</f>
        <v>213.60000000000002</v>
      </c>
      <c r="I29" s="56">
        <f t="shared" si="1"/>
        <v>2.0546956914878269E-2</v>
      </c>
      <c r="J29" s="56">
        <f t="shared" si="0"/>
        <v>5340.0000000000009</v>
      </c>
      <c r="K29" s="56"/>
      <c r="L29" s="68" t="s">
        <v>260</v>
      </c>
      <c r="M29" s="1">
        <v>220</v>
      </c>
      <c r="N29" s="46"/>
      <c r="O29" s="56"/>
      <c r="P29" s="1">
        <v>1060.5</v>
      </c>
      <c r="Q29" s="1">
        <f t="shared" si="2"/>
        <v>-20939.5</v>
      </c>
      <c r="R29" s="1">
        <f t="shared" si="3"/>
        <v>26512.5</v>
      </c>
      <c r="S29" s="1">
        <f t="shared" si="4"/>
        <v>4512.5</v>
      </c>
      <c r="T29" s="1">
        <f t="shared" si="5"/>
        <v>0.12746654048961467</v>
      </c>
      <c r="U29" s="1">
        <f t="shared" si="6"/>
        <v>0.21950096895246926</v>
      </c>
      <c r="V29" s="1"/>
      <c r="W29" s="1"/>
    </row>
    <row r="30" spans="1:36" ht="29" x14ac:dyDescent="0.35">
      <c r="A30" s="1">
        <v>29</v>
      </c>
      <c r="B30" s="62">
        <v>3184.1460343074909</v>
      </c>
      <c r="C30" s="62">
        <v>2</v>
      </c>
      <c r="D30" s="62">
        <v>3465.23</v>
      </c>
      <c r="E30" s="62">
        <v>5</v>
      </c>
      <c r="F30" s="62">
        <v>3.3</v>
      </c>
      <c r="G30" s="62">
        <f>M23</f>
        <v>13000</v>
      </c>
      <c r="H30" s="62">
        <f>$M$28*C30</f>
        <v>71.2</v>
      </c>
      <c r="I30" s="56">
        <f t="shared" si="1"/>
        <v>2.0546976679758633E-2</v>
      </c>
      <c r="J30" s="56">
        <f t="shared" si="0"/>
        <v>1780</v>
      </c>
      <c r="K30" s="56"/>
      <c r="L30" s="68" t="s">
        <v>261</v>
      </c>
      <c r="M30" s="1">
        <v>165</v>
      </c>
      <c r="N30" s="46"/>
      <c r="O30" s="56"/>
      <c r="P30" s="1">
        <v>350.53500000000003</v>
      </c>
      <c r="Q30" s="1">
        <f t="shared" si="2"/>
        <v>-12649.465</v>
      </c>
      <c r="R30" s="1">
        <f t="shared" si="3"/>
        <v>8763.375</v>
      </c>
      <c r="S30" s="1">
        <f t="shared" si="4"/>
        <v>-4236.625</v>
      </c>
      <c r="T30" s="1">
        <f t="shared" si="5"/>
        <v>0.18385606941522831</v>
      </c>
      <c r="U30" s="1">
        <f t="shared" si="6"/>
        <v>0.32442955941755619</v>
      </c>
      <c r="V30" s="1"/>
      <c r="W30" s="1"/>
      <c r="Z30" t="s">
        <v>6</v>
      </c>
      <c r="AA30" t="s">
        <v>6</v>
      </c>
      <c r="AJ30" t="s">
        <v>6</v>
      </c>
    </row>
    <row r="31" spans="1:36" x14ac:dyDescent="0.35">
      <c r="A31" s="1">
        <v>30</v>
      </c>
      <c r="B31" s="62">
        <v>2455.556329062375</v>
      </c>
      <c r="C31" s="62">
        <v>2</v>
      </c>
      <c r="D31" s="62">
        <v>3465.23</v>
      </c>
      <c r="E31" s="62">
        <v>5</v>
      </c>
      <c r="F31" s="62">
        <v>1.2</v>
      </c>
      <c r="G31" s="62">
        <f>M22</f>
        <v>8000</v>
      </c>
      <c r="H31" s="62">
        <f>$M$28*C31</f>
        <v>71.2</v>
      </c>
      <c r="I31" s="56">
        <f t="shared" si="1"/>
        <v>2.0546976679758633E-2</v>
      </c>
      <c r="J31" s="56">
        <f t="shared" si="0"/>
        <v>1780</v>
      </c>
      <c r="K31" s="56"/>
      <c r="L31" s="65" t="s">
        <v>250</v>
      </c>
      <c r="M31" s="1">
        <v>3.1E-2</v>
      </c>
      <c r="N31" s="30"/>
      <c r="O31" s="56"/>
      <c r="P31" s="1">
        <v>355.16899999999998</v>
      </c>
      <c r="Q31" s="1">
        <f t="shared" si="2"/>
        <v>-7644.8310000000001</v>
      </c>
      <c r="R31" s="1">
        <f t="shared" si="3"/>
        <v>8879.2250000000004</v>
      </c>
      <c r="S31" s="1">
        <f t="shared" si="4"/>
        <v>879.22500000000036</v>
      </c>
      <c r="T31" s="1">
        <f t="shared" si="5"/>
        <v>0.15086367771108386</v>
      </c>
      <c r="U31" s="1">
        <f t="shared" si="6"/>
        <v>0.26303791836550255</v>
      </c>
      <c r="V31" s="1"/>
      <c r="W31" s="1" t="s">
        <v>287</v>
      </c>
      <c r="X31" s="1">
        <v>0</v>
      </c>
      <c r="Y31">
        <f>-W34</f>
        <v>-11000</v>
      </c>
      <c r="Z31">
        <f>Y31</f>
        <v>-11000</v>
      </c>
      <c r="AB31">
        <f>Y31</f>
        <v>-11000</v>
      </c>
      <c r="AC31">
        <f>Y31</f>
        <v>-11000</v>
      </c>
      <c r="AE31">
        <f>Y31</f>
        <v>-11000</v>
      </c>
    </row>
    <row r="32" spans="1:36" x14ac:dyDescent="0.35">
      <c r="A32" s="1">
        <v>31</v>
      </c>
      <c r="B32" s="1">
        <v>1553.515228702383</v>
      </c>
      <c r="C32" s="1">
        <v>2</v>
      </c>
      <c r="D32" s="1">
        <v>3465.23</v>
      </c>
      <c r="E32" s="1">
        <v>5</v>
      </c>
      <c r="F32" s="1">
        <v>0</v>
      </c>
      <c r="G32" s="1">
        <f>$M$11*C32*1000</f>
        <v>4000</v>
      </c>
      <c r="H32" s="1">
        <f>$M$12*C32</f>
        <v>53</v>
      </c>
      <c r="I32" s="56">
        <f t="shared" si="1"/>
        <v>1.5294800056561902E-2</v>
      </c>
      <c r="J32" s="4">
        <f t="shared" si="0"/>
        <v>1325</v>
      </c>
      <c r="K32" s="4"/>
      <c r="L32" s="65" t="s">
        <v>251</v>
      </c>
      <c r="M32" s="1" t="s">
        <v>252</v>
      </c>
      <c r="N32" s="30"/>
      <c r="O32" s="4"/>
      <c r="P32" s="1">
        <v>341.471</v>
      </c>
      <c r="Q32" s="1">
        <f t="shared" si="2"/>
        <v>-3658.529</v>
      </c>
      <c r="R32" s="1">
        <f t="shared" si="3"/>
        <v>8536.7749999999996</v>
      </c>
      <c r="S32" s="1">
        <f t="shared" si="4"/>
        <v>4536.7749999999996</v>
      </c>
      <c r="T32" s="1">
        <f t="shared" si="5"/>
        <v>0.11828703150938422</v>
      </c>
      <c r="U32" s="1">
        <f t="shared" si="6"/>
        <v>0.20694086685890994</v>
      </c>
      <c r="V32" s="1"/>
      <c r="W32" s="1"/>
      <c r="X32" s="1">
        <v>1</v>
      </c>
      <c r="Y32">
        <f>W37</f>
        <v>4685.0797199999997</v>
      </c>
      <c r="Z32">
        <f>Z31+Y32</f>
        <v>-6314.9202800000003</v>
      </c>
      <c r="AA32">
        <f>Y32/(1+$M$13)^X32</f>
        <v>4415.7207540056552</v>
      </c>
      <c r="AB32">
        <f>AB31+AA32</f>
        <v>-6584.2792459943448</v>
      </c>
      <c r="AC32">
        <f>$W$37*((1+$M$34)^X32)</f>
        <v>4802.2067129999996</v>
      </c>
      <c r="AD32">
        <f>AC32/(1+$M$13)^X32</f>
        <v>4526.113772855796</v>
      </c>
      <c r="AE32">
        <f>AE31+AD32</f>
        <v>-6473.886227144204</v>
      </c>
    </row>
    <row r="33" spans="1:31" ht="29" x14ac:dyDescent="0.35">
      <c r="A33" s="1">
        <v>32</v>
      </c>
      <c r="B33" s="62">
        <v>14627.53150971361</v>
      </c>
      <c r="C33" s="62">
        <v>10</v>
      </c>
      <c r="D33" s="62">
        <v>17326.099999999999</v>
      </c>
      <c r="E33" s="62">
        <v>25</v>
      </c>
      <c r="F33" s="62">
        <f>19.4</f>
        <v>19.399999999999999</v>
      </c>
      <c r="G33" s="62">
        <f>M27</f>
        <v>34600</v>
      </c>
      <c r="H33" s="62">
        <f>$M$28*C33</f>
        <v>356</v>
      </c>
      <c r="I33" s="56">
        <f t="shared" si="1"/>
        <v>2.0547035974627877E-2</v>
      </c>
      <c r="J33" s="56">
        <f t="shared" si="0"/>
        <v>8900</v>
      </c>
      <c r="K33" s="56"/>
      <c r="L33" s="65" t="s">
        <v>262</v>
      </c>
      <c r="M33" s="1">
        <v>7.0000000000000007E-2</v>
      </c>
      <c r="N33" s="30"/>
      <c r="O33" s="56"/>
      <c r="P33" s="1">
        <v>1573.54</v>
      </c>
      <c r="Q33" s="1">
        <f t="shared" si="2"/>
        <v>-33026.46</v>
      </c>
      <c r="R33" s="1">
        <f t="shared" si="3"/>
        <v>39338.5</v>
      </c>
      <c r="S33" s="1">
        <f t="shared" si="4"/>
        <v>4738.5</v>
      </c>
      <c r="T33" s="1">
        <f t="shared" si="5"/>
        <v>0.11516313706324532</v>
      </c>
      <c r="U33" s="1">
        <f t="shared" si="6"/>
        <v>0.19660695208697074</v>
      </c>
      <c r="V33" s="1"/>
      <c r="W33" s="73" t="s">
        <v>285</v>
      </c>
      <c r="X33" s="1">
        <f>X32+1</f>
        <v>2</v>
      </c>
      <c r="Y33">
        <f>Y32</f>
        <v>4685.0797199999997</v>
      </c>
      <c r="Z33">
        <f>Z32+Y33</f>
        <v>-1629.8405600000006</v>
      </c>
      <c r="AA33">
        <f t="shared" ref="AA33:AA56" si="15">Y33/(1+$M$13)^X33</f>
        <v>4161.8480245105138</v>
      </c>
      <c r="AB33">
        <f t="shared" ref="AB33:AB56" si="16">AB32+AA33</f>
        <v>-2422.431221483831</v>
      </c>
      <c r="AC33">
        <f t="shared" ref="AC33:AC56" si="17">$W$8*((1+$M$34)^X33)</f>
        <v>27954.16428500001</v>
      </c>
      <c r="AD33">
        <f t="shared" ref="AD33:AD56" si="18">AC33/(1+$M$13)^X33</f>
        <v>24832.231329965427</v>
      </c>
      <c r="AE33">
        <f t="shared" ref="AE33:AE56" si="19">AE32+AD33</f>
        <v>18358.345102821222</v>
      </c>
    </row>
    <row r="34" spans="1:31" x14ac:dyDescent="0.35">
      <c r="A34" s="1">
        <v>33</v>
      </c>
      <c r="B34" s="62">
        <v>4264.5516094210579</v>
      </c>
      <c r="C34" s="62">
        <v>4</v>
      </c>
      <c r="D34" s="62">
        <v>6930.46</v>
      </c>
      <c r="E34" s="62">
        <v>10</v>
      </c>
      <c r="F34" s="62">
        <v>6</v>
      </c>
      <c r="G34" s="62">
        <f>M24</f>
        <v>18000</v>
      </c>
      <c r="H34" s="62">
        <f>$M$28*C34</f>
        <v>142.4</v>
      </c>
      <c r="I34" s="56">
        <f t="shared" si="1"/>
        <v>2.0546976679758633E-2</v>
      </c>
      <c r="J34" s="56">
        <f t="shared" si="0"/>
        <v>3560</v>
      </c>
      <c r="K34" s="56"/>
      <c r="L34" s="65" t="s">
        <v>263</v>
      </c>
      <c r="M34" s="1">
        <v>2.5000000000000001E-2</v>
      </c>
      <c r="N34" s="30"/>
      <c r="O34" s="56"/>
      <c r="P34" s="1">
        <v>685.03399999999999</v>
      </c>
      <c r="Q34" s="1">
        <f t="shared" si="2"/>
        <v>-17314.966</v>
      </c>
      <c r="R34" s="1">
        <f t="shared" si="3"/>
        <v>17125.849999999999</v>
      </c>
      <c r="S34" s="1">
        <f t="shared" si="4"/>
        <v>-874.15000000000146</v>
      </c>
      <c r="T34" s="1">
        <f t="shared" si="5"/>
        <v>0.18938067033454006</v>
      </c>
      <c r="U34" s="1">
        <f t="shared" si="6"/>
        <v>0.33470963609813309</v>
      </c>
      <c r="V34" s="1"/>
      <c r="W34" s="1">
        <f>200*55</f>
        <v>11000</v>
      </c>
      <c r="X34" s="1">
        <f t="shared" ref="X34:X48" si="20">X33+1</f>
        <v>3</v>
      </c>
      <c r="Y34">
        <f t="shared" ref="Y34:Y56" si="21">Y33</f>
        <v>4685.0797199999997</v>
      </c>
      <c r="Z34">
        <f t="shared" ref="Z34:Z56" si="22">Z33+Y34</f>
        <v>3055.2391599999992</v>
      </c>
      <c r="AA34">
        <f t="shared" si="15"/>
        <v>3922.5711823850274</v>
      </c>
      <c r="AB34">
        <f t="shared" si="16"/>
        <v>1500.1399609011964</v>
      </c>
      <c r="AC34">
        <f>$W$37*((1+$M$34)^X34)</f>
        <v>5045.3184278456238</v>
      </c>
      <c r="AD34">
        <f t="shared" si="18"/>
        <v>4224.1801322056008</v>
      </c>
      <c r="AE34">
        <f t="shared" si="19"/>
        <v>22582.525235026824</v>
      </c>
    </row>
    <row r="35" spans="1:31" x14ac:dyDescent="0.35">
      <c r="A35" s="1">
        <v>34</v>
      </c>
      <c r="B35" s="1">
        <v>5041.8344142687847</v>
      </c>
      <c r="C35" s="1">
        <v>4</v>
      </c>
      <c r="D35" s="1">
        <v>7106.6</v>
      </c>
      <c r="E35" s="1">
        <v>10</v>
      </c>
      <c r="F35" s="1">
        <v>0</v>
      </c>
      <c r="G35" s="1">
        <f>$M$11*C35*1000</f>
        <v>8000</v>
      </c>
      <c r="H35" s="1">
        <f>$M$12*C35</f>
        <v>106</v>
      </c>
      <c r="I35" s="56">
        <f t="shared" si="1"/>
        <v>1.4915712154898262E-2</v>
      </c>
      <c r="J35" s="4">
        <f t="shared" si="0"/>
        <v>2650</v>
      </c>
      <c r="K35" s="4"/>
      <c r="L35" s="63"/>
      <c r="M35" s="4"/>
      <c r="N35" s="30"/>
      <c r="O35" s="4"/>
      <c r="P35" s="1">
        <v>545.86400000000003</v>
      </c>
      <c r="Q35" s="1">
        <f t="shared" si="2"/>
        <v>-7454.1360000000004</v>
      </c>
      <c r="R35" s="1">
        <f t="shared" si="3"/>
        <v>13646.6</v>
      </c>
      <c r="S35" s="1">
        <f t="shared" si="4"/>
        <v>5646.6</v>
      </c>
      <c r="T35" s="1">
        <f t="shared" si="5"/>
        <v>7.8384674779766517E-2</v>
      </c>
      <c r="U35" s="1">
        <f t="shared" si="6"/>
        <v>0.13301760080708275</v>
      </c>
      <c r="V35" s="1"/>
      <c r="W35" s="1"/>
      <c r="X35" s="1">
        <f t="shared" si="20"/>
        <v>4</v>
      </c>
      <c r="Y35">
        <f t="shared" si="21"/>
        <v>4685.0797199999997</v>
      </c>
      <c r="Z35">
        <f t="shared" si="22"/>
        <v>7740.3188799999989</v>
      </c>
      <c r="AA35">
        <f t="shared" si="15"/>
        <v>3697.0510672808928</v>
      </c>
      <c r="AB35">
        <f t="shared" si="16"/>
        <v>5197.1910281820892</v>
      </c>
      <c r="AC35">
        <f t="shared" si="17"/>
        <v>29369.34385192813</v>
      </c>
      <c r="AD35">
        <f t="shared" si="18"/>
        <v>23175.691881953808</v>
      </c>
      <c r="AE35">
        <f t="shared" si="19"/>
        <v>45758.217116980632</v>
      </c>
    </row>
    <row r="36" spans="1:31" ht="29" x14ac:dyDescent="0.35">
      <c r="A36" s="1">
        <v>35</v>
      </c>
      <c r="B36" s="62">
        <v>1680.154057549307</v>
      </c>
      <c r="C36" s="62">
        <v>2</v>
      </c>
      <c r="D36" s="62">
        <v>3553.3</v>
      </c>
      <c r="E36" s="62">
        <v>5</v>
      </c>
      <c r="F36" s="62">
        <v>1.2</v>
      </c>
      <c r="G36" s="62">
        <f>M22</f>
        <v>8000</v>
      </c>
      <c r="H36" s="62">
        <f>$M$28*C36</f>
        <v>71.2</v>
      </c>
      <c r="I36" s="56">
        <f t="shared" si="1"/>
        <v>2.0037711423184081E-2</v>
      </c>
      <c r="J36" s="56">
        <f t="shared" si="0"/>
        <v>1780</v>
      </c>
      <c r="K36" s="56"/>
      <c r="L36" s="63"/>
      <c r="M36" s="4"/>
      <c r="N36" s="30"/>
      <c r="O36" s="56"/>
      <c r="P36" s="1">
        <v>384.86500000000001</v>
      </c>
      <c r="Q36" s="1">
        <f t="shared" si="2"/>
        <v>-7615.1350000000002</v>
      </c>
      <c r="R36" s="1">
        <f t="shared" si="3"/>
        <v>9621.625</v>
      </c>
      <c r="S36" s="1">
        <f t="shared" si="4"/>
        <v>1621.625</v>
      </c>
      <c r="T36" s="1">
        <f t="shared" si="5"/>
        <v>0.21049643665862819</v>
      </c>
      <c r="U36" s="1">
        <f t="shared" si="6"/>
        <v>0.37443983539582415</v>
      </c>
      <c r="V36" s="1"/>
      <c r="W36" s="73" t="s">
        <v>286</v>
      </c>
      <c r="X36" s="1">
        <f t="shared" si="20"/>
        <v>5</v>
      </c>
      <c r="Y36">
        <f t="shared" si="21"/>
        <v>4685.0797199999997</v>
      </c>
      <c r="Z36">
        <f t="shared" si="22"/>
        <v>12425.398599999999</v>
      </c>
      <c r="AA36">
        <f t="shared" si="15"/>
        <v>3484.4967646379764</v>
      </c>
      <c r="AB36">
        <f t="shared" si="16"/>
        <v>8681.6877928200665</v>
      </c>
      <c r="AC36">
        <f t="shared" si="17"/>
        <v>30103.57744822633</v>
      </c>
      <c r="AD36">
        <f t="shared" si="18"/>
        <v>22389.334758720692</v>
      </c>
      <c r="AE36">
        <f t="shared" si="19"/>
        <v>68147.55187570132</v>
      </c>
    </row>
    <row r="37" spans="1:31" x14ac:dyDescent="0.35">
      <c r="A37" s="1">
        <v>36</v>
      </c>
      <c r="B37" s="1">
        <v>5659.8657296841702</v>
      </c>
      <c r="C37" s="1">
        <v>4</v>
      </c>
      <c r="D37" s="1">
        <v>7106.6</v>
      </c>
      <c r="E37" s="1">
        <v>10</v>
      </c>
      <c r="F37" s="1">
        <v>0</v>
      </c>
      <c r="G37" s="1">
        <f>$M$11*C37*1000</f>
        <v>8000</v>
      </c>
      <c r="H37" s="1">
        <f>$M$12*C37</f>
        <v>106</v>
      </c>
      <c r="I37" s="56">
        <f t="shared" si="1"/>
        <v>1.4915712154898262E-2</v>
      </c>
      <c r="J37" s="4">
        <f t="shared" si="0"/>
        <v>2650</v>
      </c>
      <c r="K37" s="4"/>
      <c r="L37" s="50" t="s">
        <v>49</v>
      </c>
      <c r="M37" s="4">
        <v>25</v>
      </c>
      <c r="N37" s="46"/>
      <c r="O37" s="4"/>
      <c r="P37" s="1">
        <v>492.3</v>
      </c>
      <c r="Q37" s="1">
        <f t="shared" si="2"/>
        <v>-7507.7</v>
      </c>
      <c r="R37" s="1">
        <f t="shared" si="3"/>
        <v>12307.5</v>
      </c>
      <c r="S37" s="1">
        <f t="shared" si="4"/>
        <v>4307.5</v>
      </c>
      <c r="T37" s="1">
        <f t="shared" si="5"/>
        <v>7.1454155871275349E-2</v>
      </c>
      <c r="U37" s="1">
        <f t="shared" si="6"/>
        <v>0.12012141756126148</v>
      </c>
      <c r="V37" s="1"/>
      <c r="W37" s="1">
        <f>SUM(P47:P100)</f>
        <v>4685.0797199999997</v>
      </c>
      <c r="X37" s="1">
        <f t="shared" si="20"/>
        <v>6</v>
      </c>
      <c r="Y37">
        <f t="shared" si="21"/>
        <v>4685.0797199999997</v>
      </c>
      <c r="Z37">
        <f t="shared" si="22"/>
        <v>17110.478319999998</v>
      </c>
      <c r="AA37">
        <f t="shared" si="15"/>
        <v>3284.1628318925318</v>
      </c>
      <c r="AB37">
        <f t="shared" si="16"/>
        <v>11965.850624712599</v>
      </c>
      <c r="AC37">
        <f t="shared" si="17"/>
        <v>30856.166884431987</v>
      </c>
      <c r="AD37">
        <f t="shared" si="18"/>
        <v>21629.658932788599</v>
      </c>
      <c r="AE37">
        <f t="shared" si="19"/>
        <v>89777.210808489923</v>
      </c>
    </row>
    <row r="38" spans="1:31" x14ac:dyDescent="0.35">
      <c r="A38" s="1">
        <v>37</v>
      </c>
      <c r="B38" s="62">
        <v>7074.8321611913698</v>
      </c>
      <c r="C38" s="62">
        <v>6</v>
      </c>
      <c r="D38" s="62">
        <v>10659.9</v>
      </c>
      <c r="E38" s="62">
        <v>15</v>
      </c>
      <c r="F38" s="62">
        <v>5</v>
      </c>
      <c r="G38" s="62">
        <f>M25</f>
        <v>22000</v>
      </c>
      <c r="H38" s="62">
        <f>$M$28*C38</f>
        <v>213.60000000000002</v>
      </c>
      <c r="I38" s="56">
        <f t="shared" si="1"/>
        <v>2.0037711423184085E-2</v>
      </c>
      <c r="J38" s="56">
        <f t="shared" si="0"/>
        <v>5340.0000000000009</v>
      </c>
      <c r="K38" s="56"/>
      <c r="L38" s="65"/>
      <c r="M38" s="4"/>
      <c r="N38" s="46"/>
      <c r="O38" s="56"/>
      <c r="P38" s="1">
        <v>1096.18</v>
      </c>
      <c r="Q38" s="1">
        <f>P38-G38</f>
        <v>-20903.82</v>
      </c>
      <c r="R38" s="1">
        <f t="shared" si="3"/>
        <v>27404.5</v>
      </c>
      <c r="S38" s="1">
        <f t="shared" si="4"/>
        <v>5404.5</v>
      </c>
      <c r="T38" s="1">
        <f t="shared" si="5"/>
        <v>0.1444222876152802</v>
      </c>
      <c r="U38" s="1">
        <f t="shared" si="6"/>
        <v>0.25149026334707947</v>
      </c>
      <c r="V38" s="1"/>
      <c r="W38" s="1"/>
      <c r="X38" s="1">
        <f t="shared" si="20"/>
        <v>7</v>
      </c>
      <c r="Y38">
        <f t="shared" si="21"/>
        <v>4685.0797199999997</v>
      </c>
      <c r="Z38">
        <f t="shared" si="22"/>
        <v>21795.558039999996</v>
      </c>
      <c r="AA38">
        <f t="shared" si="15"/>
        <v>3095.3466841588429</v>
      </c>
      <c r="AB38">
        <f t="shared" si="16"/>
        <v>15061.197308871442</v>
      </c>
      <c r="AC38">
        <f t="shared" si="17"/>
        <v>31627.571056542787</v>
      </c>
      <c r="AD38">
        <f t="shared" si="18"/>
        <v>20895.759100950349</v>
      </c>
      <c r="AE38">
        <f t="shared" si="19"/>
        <v>110672.96990944027</v>
      </c>
    </row>
    <row r="39" spans="1:31" x14ac:dyDescent="0.35">
      <c r="A39" s="1">
        <v>38</v>
      </c>
      <c r="B39" s="1">
        <v>1036.155497852058</v>
      </c>
      <c r="C39" s="1">
        <v>2</v>
      </c>
      <c r="D39" s="1">
        <v>3553.3</v>
      </c>
      <c r="E39" s="1">
        <v>5</v>
      </c>
      <c r="F39" s="1">
        <v>0</v>
      </c>
      <c r="G39" s="1">
        <f>$M$11*C39*1000</f>
        <v>4000</v>
      </c>
      <c r="H39" s="1">
        <f>$M$12*C39</f>
        <v>53</v>
      </c>
      <c r="I39" s="56">
        <f t="shared" si="1"/>
        <v>1.4915712154898262E-2</v>
      </c>
      <c r="J39" s="4">
        <f t="shared" si="0"/>
        <v>1325</v>
      </c>
      <c r="K39" s="4"/>
      <c r="L39" s="63"/>
      <c r="M39" s="4"/>
      <c r="N39" s="46"/>
      <c r="O39" s="4"/>
      <c r="P39" s="1">
        <v>386.49200000000002</v>
      </c>
      <c r="Q39" s="1">
        <f t="shared" si="2"/>
        <v>-3613.5079999999998</v>
      </c>
      <c r="R39" s="1">
        <f t="shared" si="3"/>
        <v>9662.3000000000011</v>
      </c>
      <c r="S39" s="1">
        <f t="shared" si="4"/>
        <v>5662.3000000000011</v>
      </c>
      <c r="T39" s="1">
        <f t="shared" si="5"/>
        <v>0.16933268946349597</v>
      </c>
      <c r="U39" s="1">
        <f t="shared" si="6"/>
        <v>0.30225200860417023</v>
      </c>
      <c r="V39" s="1"/>
      <c r="W39" s="1"/>
      <c r="X39" s="1">
        <f t="shared" si="20"/>
        <v>8</v>
      </c>
      <c r="Y39">
        <f t="shared" si="21"/>
        <v>4685.0797199999997</v>
      </c>
      <c r="Z39">
        <f t="shared" si="22"/>
        <v>26480.637759999998</v>
      </c>
      <c r="AA39">
        <f t="shared" si="15"/>
        <v>2917.3861302156861</v>
      </c>
      <c r="AB39">
        <f t="shared" si="16"/>
        <v>17978.583439087128</v>
      </c>
      <c r="AC39">
        <f t="shared" si="17"/>
        <v>32418.260332956354</v>
      </c>
      <c r="AD39">
        <f t="shared" si="18"/>
        <v>20186.760677166923</v>
      </c>
      <c r="AE39">
        <f t="shared" si="19"/>
        <v>130859.7305866072</v>
      </c>
    </row>
    <row r="40" spans="1:31" x14ac:dyDescent="0.35">
      <c r="A40" s="1">
        <v>39</v>
      </c>
      <c r="B40" s="62">
        <v>1397.7981728371551</v>
      </c>
      <c r="C40" s="62">
        <v>2</v>
      </c>
      <c r="D40" s="62">
        <v>3553.3</v>
      </c>
      <c r="E40" s="62">
        <v>5</v>
      </c>
      <c r="F40" s="62">
        <v>1.2</v>
      </c>
      <c r="G40" s="62">
        <f>M22</f>
        <v>8000</v>
      </c>
      <c r="H40" s="62">
        <f>$M$28*C40</f>
        <v>71.2</v>
      </c>
      <c r="I40" s="56">
        <f t="shared" si="1"/>
        <v>2.0037711423184081E-2</v>
      </c>
      <c r="J40" s="56">
        <f t="shared" si="0"/>
        <v>1780</v>
      </c>
      <c r="K40" s="56"/>
      <c r="L40" s="50" t="s">
        <v>280</v>
      </c>
      <c r="M40" s="1">
        <f>1+((1-(1+$M$13)^(1-$M$37))/$M$13)</f>
        <v>13.43521330378282</v>
      </c>
      <c r="N40" s="46"/>
      <c r="O40" s="56"/>
      <c r="P40" s="1">
        <v>390.21499999999997</v>
      </c>
      <c r="Q40" s="1">
        <f t="shared" si="2"/>
        <v>-7609.7849999999999</v>
      </c>
      <c r="R40" s="1">
        <f t="shared" si="3"/>
        <v>9755.375</v>
      </c>
      <c r="S40" s="1">
        <f t="shared" si="4"/>
        <v>1755.375</v>
      </c>
      <c r="T40" s="1">
        <f t="shared" si="5"/>
        <v>0.24896918824038861</v>
      </c>
      <c r="U40" s="1">
        <f t="shared" si="6"/>
        <v>0.44602923020455415</v>
      </c>
      <c r="V40" s="1"/>
      <c r="W40" s="1"/>
      <c r="X40" s="1">
        <f t="shared" si="20"/>
        <v>9</v>
      </c>
      <c r="Y40">
        <f t="shared" si="21"/>
        <v>4685.0797199999997</v>
      </c>
      <c r="Z40">
        <f t="shared" si="22"/>
        <v>31165.717479999999</v>
      </c>
      <c r="AA40">
        <f t="shared" si="15"/>
        <v>2749.6570501561605</v>
      </c>
      <c r="AB40">
        <f t="shared" si="16"/>
        <v>20728.24048924329</v>
      </c>
      <c r="AC40">
        <f t="shared" si="17"/>
        <v>33228.716841280257</v>
      </c>
      <c r="AD40">
        <f t="shared" si="18"/>
        <v>19501.818750326198</v>
      </c>
      <c r="AE40">
        <f t="shared" si="19"/>
        <v>150361.54933693339</v>
      </c>
    </row>
    <row r="41" spans="1:31" x14ac:dyDescent="0.35">
      <c r="A41" s="1">
        <v>40</v>
      </c>
      <c r="B41" s="62">
        <v>2769.3097556877569</v>
      </c>
      <c r="C41" s="62">
        <v>2</v>
      </c>
      <c r="D41" s="62">
        <v>3553.3</v>
      </c>
      <c r="E41" s="62">
        <v>5</v>
      </c>
      <c r="F41" s="62">
        <v>3.3</v>
      </c>
      <c r="G41" s="62">
        <f>M23</f>
        <v>13000</v>
      </c>
      <c r="H41" s="62">
        <f>$M$28*C41</f>
        <v>71.2</v>
      </c>
      <c r="I41" s="56">
        <f t="shared" si="1"/>
        <v>2.0037711423184081E-2</v>
      </c>
      <c r="J41" s="56">
        <f t="shared" si="0"/>
        <v>1780</v>
      </c>
      <c r="K41" s="56"/>
      <c r="L41" s="72"/>
      <c r="M41" s="4"/>
      <c r="N41" s="46"/>
      <c r="O41" s="56"/>
      <c r="P41" s="1">
        <v>349.49</v>
      </c>
      <c r="Q41" s="1">
        <f t="shared" si="2"/>
        <v>-12650.51</v>
      </c>
      <c r="R41" s="1">
        <f t="shared" si="3"/>
        <v>8737.25</v>
      </c>
      <c r="S41" s="1">
        <f t="shared" si="4"/>
        <v>-4262.75</v>
      </c>
      <c r="T41" s="1">
        <f t="shared" si="5"/>
        <v>0.20781013338934232</v>
      </c>
      <c r="U41" s="1">
        <f t="shared" si="6"/>
        <v>0.36944121124199414</v>
      </c>
      <c r="V41" s="1"/>
      <c r="W41" s="1"/>
      <c r="X41" s="1">
        <f t="shared" si="20"/>
        <v>10</v>
      </c>
      <c r="Y41">
        <f t="shared" si="21"/>
        <v>4685.0797199999997</v>
      </c>
      <c r="Z41">
        <f t="shared" si="22"/>
        <v>35850.797200000001</v>
      </c>
      <c r="AA41">
        <f t="shared" si="15"/>
        <v>2591.5712065562302</v>
      </c>
      <c r="AB41">
        <f t="shared" si="16"/>
        <v>23319.811695799519</v>
      </c>
      <c r="AC41">
        <f t="shared" si="17"/>
        <v>34059.434762312267</v>
      </c>
      <c r="AD41">
        <f t="shared" si="18"/>
        <v>18840.117077365081</v>
      </c>
      <c r="AE41">
        <f t="shared" si="19"/>
        <v>169201.66641429847</v>
      </c>
    </row>
    <row r="42" spans="1:31" x14ac:dyDescent="0.35">
      <c r="A42" s="1">
        <v>41</v>
      </c>
      <c r="B42" s="1">
        <v>975.76163139608616</v>
      </c>
      <c r="C42" s="1">
        <v>2</v>
      </c>
      <c r="D42" s="1">
        <v>3553.3</v>
      </c>
      <c r="E42" s="1">
        <v>5</v>
      </c>
      <c r="F42" s="1">
        <v>0</v>
      </c>
      <c r="G42" s="1">
        <f>$M$11*C42*1000</f>
        <v>4000</v>
      </c>
      <c r="H42" s="1">
        <f>$M$12*C42</f>
        <v>53</v>
      </c>
      <c r="I42" s="56">
        <f t="shared" si="1"/>
        <v>1.4915712154898262E-2</v>
      </c>
      <c r="J42" s="4">
        <f t="shared" si="0"/>
        <v>1325</v>
      </c>
      <c r="K42" s="4"/>
      <c r="L42" s="63"/>
      <c r="M42" s="4"/>
      <c r="N42" s="46"/>
      <c r="O42" s="4"/>
      <c r="P42" s="1">
        <v>397.56400000000002</v>
      </c>
      <c r="Q42" s="1">
        <f t="shared" si="2"/>
        <v>-3602.4360000000001</v>
      </c>
      <c r="R42" s="1">
        <f t="shared" si="3"/>
        <v>9939.1</v>
      </c>
      <c r="S42" s="1">
        <f t="shared" si="4"/>
        <v>5939.1</v>
      </c>
      <c r="T42" s="1">
        <f t="shared" si="5"/>
        <v>0.17889018589094535</v>
      </c>
      <c r="U42" s="1">
        <f t="shared" si="6"/>
        <v>0.32003642372908375</v>
      </c>
      <c r="V42" s="1"/>
      <c r="W42" s="1"/>
      <c r="X42" s="1">
        <f t="shared" si="20"/>
        <v>11</v>
      </c>
      <c r="Y42">
        <f t="shared" si="21"/>
        <v>4685.0797199999997</v>
      </c>
      <c r="Z42">
        <f t="shared" si="22"/>
        <v>40535.876920000002</v>
      </c>
      <c r="AA42">
        <f t="shared" si="15"/>
        <v>2442.5741814856087</v>
      </c>
      <c r="AB42">
        <f t="shared" si="16"/>
        <v>25762.385877285127</v>
      </c>
      <c r="AC42">
        <f t="shared" si="17"/>
        <v>34910.920631370071</v>
      </c>
      <c r="AD42">
        <f t="shared" si="18"/>
        <v>18200.867110555337</v>
      </c>
      <c r="AE42">
        <f t="shared" si="19"/>
        <v>187402.53352485382</v>
      </c>
    </row>
    <row r="43" spans="1:31" ht="15" thickBot="1" x14ac:dyDescent="0.4">
      <c r="A43" s="1">
        <v>42</v>
      </c>
      <c r="B43" s="62">
        <v>1220.838737866377</v>
      </c>
      <c r="C43" s="62">
        <v>2</v>
      </c>
      <c r="D43" s="62">
        <v>3553.3</v>
      </c>
      <c r="E43" s="62">
        <v>5</v>
      </c>
      <c r="F43" s="62">
        <v>2</v>
      </c>
      <c r="G43" s="62">
        <f>M22</f>
        <v>8000</v>
      </c>
      <c r="H43" s="62">
        <f>$M$28*C43</f>
        <v>71.2</v>
      </c>
      <c r="I43" s="56">
        <f t="shared" si="1"/>
        <v>2.0037711423184081E-2</v>
      </c>
      <c r="J43" s="56">
        <f t="shared" si="0"/>
        <v>1780</v>
      </c>
      <c r="K43" s="56"/>
      <c r="L43" s="66"/>
      <c r="M43" s="52"/>
      <c r="N43" s="53"/>
      <c r="O43" s="56"/>
      <c r="P43" s="1">
        <v>374.48700000000002</v>
      </c>
      <c r="Q43" s="1">
        <f t="shared" si="2"/>
        <v>-7625.5129999999999</v>
      </c>
      <c r="R43" s="1">
        <f t="shared" si="3"/>
        <v>9362.1750000000011</v>
      </c>
      <c r="S43" s="1">
        <f t="shared" si="4"/>
        <v>1362.1750000000011</v>
      </c>
      <c r="T43" s="1">
        <f t="shared" si="5"/>
        <v>0.28215259201687687</v>
      </c>
      <c r="U43" s="1">
        <f t="shared" si="6"/>
        <v>0.50777630303879262</v>
      </c>
      <c r="V43" s="1"/>
      <c r="W43" s="1"/>
      <c r="X43" s="1">
        <f t="shared" si="20"/>
        <v>12</v>
      </c>
      <c r="Y43">
        <f t="shared" si="21"/>
        <v>4685.0797199999997</v>
      </c>
      <c r="Z43">
        <f t="shared" si="22"/>
        <v>45220.956640000004</v>
      </c>
      <c r="AA43">
        <f t="shared" si="15"/>
        <v>2302.1434321259271</v>
      </c>
      <c r="AB43">
        <f t="shared" si="16"/>
        <v>28064.529309411053</v>
      </c>
      <c r="AC43">
        <f t="shared" si="17"/>
        <v>35783.693647154316</v>
      </c>
      <c r="AD43">
        <f t="shared" si="18"/>
        <v>17583.307057793794</v>
      </c>
      <c r="AE43">
        <f t="shared" si="19"/>
        <v>204985.84058264762</v>
      </c>
    </row>
    <row r="44" spans="1:31" x14ac:dyDescent="0.35">
      <c r="A44" s="1">
        <v>43</v>
      </c>
      <c r="B44" s="62">
        <v>3438.0361146713012</v>
      </c>
      <c r="C44" s="62">
        <v>10</v>
      </c>
      <c r="D44" s="62">
        <v>17766.5</v>
      </c>
      <c r="E44" s="62">
        <v>25</v>
      </c>
      <c r="F44" s="62">
        <v>9.6999999999999993</v>
      </c>
      <c r="G44" s="62">
        <f>M27</f>
        <v>34600</v>
      </c>
      <c r="H44" s="62">
        <f>$M$28*C44</f>
        <v>356</v>
      </c>
      <c r="I44" s="56">
        <f t="shared" si="1"/>
        <v>2.0037711423184081E-2</v>
      </c>
      <c r="J44" s="56">
        <f t="shared" si="0"/>
        <v>8900</v>
      </c>
      <c r="K44" s="56"/>
      <c r="L44" s="4"/>
      <c r="M44" s="4"/>
      <c r="N44" s="4"/>
      <c r="O44" s="56"/>
      <c r="P44" s="1">
        <v>2112.7800000000002</v>
      </c>
      <c r="Q44" s="1">
        <f t="shared" si="2"/>
        <v>-32487.22</v>
      </c>
      <c r="R44" s="1">
        <f t="shared" si="3"/>
        <v>52819.500000000007</v>
      </c>
      <c r="S44" s="1">
        <f t="shared" si="4"/>
        <v>18219.500000000007</v>
      </c>
      <c r="T44" s="1">
        <f t="shared" si="5"/>
        <v>0.42259311044705949</v>
      </c>
      <c r="U44" s="1">
        <f t="shared" si="6"/>
        <v>0.76910545958936294</v>
      </c>
      <c r="V44" s="1"/>
      <c r="W44" s="1"/>
      <c r="X44" s="1">
        <f t="shared" si="20"/>
        <v>13</v>
      </c>
      <c r="Y44">
        <f t="shared" si="21"/>
        <v>4685.0797199999997</v>
      </c>
      <c r="Z44">
        <f t="shared" si="22"/>
        <v>49906.036360000006</v>
      </c>
      <c r="AA44">
        <f t="shared" si="15"/>
        <v>2169.7864581771223</v>
      </c>
      <c r="AB44">
        <f t="shared" si="16"/>
        <v>30234.315767588174</v>
      </c>
      <c r="AC44">
        <f t="shared" si="17"/>
        <v>36678.285988333177</v>
      </c>
      <c r="AD44">
        <f t="shared" si="18"/>
        <v>16986.700974777228</v>
      </c>
      <c r="AE44">
        <f t="shared" si="19"/>
        <v>221972.54155742485</v>
      </c>
    </row>
    <row r="45" spans="1:31" x14ac:dyDescent="0.35">
      <c r="A45" s="1">
        <v>44</v>
      </c>
      <c r="B45" s="1">
        <v>1279.200878938675</v>
      </c>
      <c r="C45" s="1">
        <v>2</v>
      </c>
      <c r="D45" s="1">
        <v>3553.3</v>
      </c>
      <c r="E45" s="1">
        <v>5</v>
      </c>
      <c r="F45" s="1">
        <v>0</v>
      </c>
      <c r="G45" s="1">
        <f>$M$11*C45*1000</f>
        <v>4000</v>
      </c>
      <c r="H45" s="1">
        <f>$M$12*C45</f>
        <v>53</v>
      </c>
      <c r="I45" s="56">
        <f t="shared" si="1"/>
        <v>1.4915712154898262E-2</v>
      </c>
      <c r="J45" s="4">
        <f t="shared" si="0"/>
        <v>1325</v>
      </c>
      <c r="K45" s="4"/>
      <c r="L45" s="1" t="s">
        <v>247</v>
      </c>
      <c r="M45" s="1">
        <v>24000</v>
      </c>
      <c r="N45" s="4" t="s">
        <v>268</v>
      </c>
      <c r="O45" s="4"/>
      <c r="P45" s="1">
        <v>369.66399999999999</v>
      </c>
      <c r="Q45" s="1">
        <f t="shared" si="2"/>
        <v>-3630.3360000000002</v>
      </c>
      <c r="R45" s="1">
        <f t="shared" si="3"/>
        <v>9241.6</v>
      </c>
      <c r="S45" s="1">
        <f>R45-G45</f>
        <v>5241.6000000000004</v>
      </c>
      <c r="T45" s="1">
        <f t="shared" si="5"/>
        <v>0.139993800072371</v>
      </c>
      <c r="U45" s="1">
        <f t="shared" si="6"/>
        <v>0.24765873805508204</v>
      </c>
      <c r="V45" s="1"/>
      <c r="W45" s="1"/>
      <c r="X45" s="1">
        <f t="shared" si="20"/>
        <v>14</v>
      </c>
      <c r="Y45">
        <f t="shared" si="21"/>
        <v>4685.0797199999997</v>
      </c>
      <c r="Z45">
        <f t="shared" si="22"/>
        <v>54591.116080000007</v>
      </c>
      <c r="AA45">
        <f t="shared" si="15"/>
        <v>2045.0390746249975</v>
      </c>
      <c r="AB45">
        <f t="shared" si="16"/>
        <v>32279.354842213172</v>
      </c>
      <c r="AC45">
        <f t="shared" si="17"/>
        <v>37595.2431380415</v>
      </c>
      <c r="AD45">
        <f t="shared" si="18"/>
        <v>16410.337887979884</v>
      </c>
      <c r="AE45">
        <f t="shared" si="19"/>
        <v>238382.87944540475</v>
      </c>
    </row>
    <row r="46" spans="1:31" x14ac:dyDescent="0.35">
      <c r="A46" s="62">
        <v>45</v>
      </c>
      <c r="B46" s="62">
        <v>3266.9511427123548</v>
      </c>
      <c r="C46" s="62">
        <v>2</v>
      </c>
      <c r="D46" s="62">
        <v>3553.3</v>
      </c>
      <c r="E46" s="62">
        <v>5</v>
      </c>
      <c r="F46" s="62">
        <v>4.2</v>
      </c>
      <c r="G46" s="62">
        <f>M23</f>
        <v>13000</v>
      </c>
      <c r="H46" s="62">
        <f>$M$28*C46</f>
        <v>71.2</v>
      </c>
      <c r="I46" s="56">
        <f t="shared" si="1"/>
        <v>2.0037711423184081E-2</v>
      </c>
      <c r="J46" s="56">
        <f t="shared" si="0"/>
        <v>1780</v>
      </c>
      <c r="K46" s="4"/>
      <c r="L46" s="4" t="s">
        <v>247</v>
      </c>
      <c r="M46" s="4">
        <v>26000</v>
      </c>
      <c r="N46" s="4" t="s">
        <v>264</v>
      </c>
      <c r="O46" s="56"/>
      <c r="P46" s="1">
        <v>339.32799999999997</v>
      </c>
      <c r="Q46" s="1">
        <f t="shared" si="2"/>
        <v>-12660.672</v>
      </c>
      <c r="R46" s="1">
        <f t="shared" si="3"/>
        <v>8483.1999999999989</v>
      </c>
      <c r="S46" s="1">
        <f t="shared" si="4"/>
        <v>-4516.8000000000011</v>
      </c>
      <c r="T46" s="1">
        <f t="shared" si="5"/>
        <v>0.17920752366845538</v>
      </c>
      <c r="U46" s="1">
        <f t="shared" si="6"/>
        <v>0.31621799648135912</v>
      </c>
      <c r="V46" s="1"/>
      <c r="W46" s="1"/>
      <c r="X46" s="1">
        <f t="shared" si="20"/>
        <v>15</v>
      </c>
      <c r="Y46">
        <f t="shared" si="21"/>
        <v>4685.0797199999997</v>
      </c>
      <c r="Z46">
        <f t="shared" si="22"/>
        <v>59276.195800000009</v>
      </c>
      <c r="AA46">
        <f t="shared" si="15"/>
        <v>1927.4637838124388</v>
      </c>
      <c r="AB46">
        <f t="shared" si="16"/>
        <v>34206.818626025612</v>
      </c>
      <c r="AC46">
        <f t="shared" si="17"/>
        <v>38535.124216492542</v>
      </c>
      <c r="AD46">
        <f t="shared" si="18"/>
        <v>15853.530947388674</v>
      </c>
      <c r="AE46">
        <f t="shared" si="19"/>
        <v>254236.41039279342</v>
      </c>
    </row>
    <row r="47" spans="1:31" x14ac:dyDescent="0.35">
      <c r="A47" s="70">
        <v>46</v>
      </c>
      <c r="B47" s="70">
        <v>1763.99702425654</v>
      </c>
      <c r="C47" s="70">
        <v>0</v>
      </c>
      <c r="D47" s="70"/>
      <c r="E47" s="70">
        <v>0</v>
      </c>
      <c r="F47" s="70">
        <v>0</v>
      </c>
      <c r="G47" s="71">
        <f t="shared" ref="G47:G100" si="23">$M$11*C47*1000</f>
        <v>0</v>
      </c>
      <c r="H47" s="71">
        <f t="shared" ref="H47:J78" si="24">$M$12*C47</f>
        <v>0</v>
      </c>
      <c r="I47" s="71">
        <f t="shared" si="24"/>
        <v>0</v>
      </c>
      <c r="J47" s="71">
        <f t="shared" si="24"/>
        <v>0</v>
      </c>
      <c r="K47" s="71"/>
      <c r="L47" s="4" t="s">
        <v>247</v>
      </c>
      <c r="M47" s="4">
        <v>32500</v>
      </c>
      <c r="N47" s="4" t="s">
        <v>265</v>
      </c>
      <c r="O47" s="71"/>
      <c r="P47" s="70">
        <v>36.3322</v>
      </c>
      <c r="Q47" s="70">
        <f t="shared" si="2"/>
        <v>36.3322</v>
      </c>
      <c r="R47" s="70">
        <f t="shared" si="3"/>
        <v>908.30500000000006</v>
      </c>
      <c r="S47" s="70">
        <f t="shared" si="4"/>
        <v>908.30500000000006</v>
      </c>
      <c r="T47" s="70">
        <f t="shared" si="5"/>
        <v>0</v>
      </c>
      <c r="U47" s="70">
        <f t="shared" si="6"/>
        <v>0</v>
      </c>
      <c r="V47" s="4"/>
      <c r="W47" s="1"/>
      <c r="X47" s="1">
        <f t="shared" si="20"/>
        <v>16</v>
      </c>
      <c r="Y47">
        <f t="shared" si="21"/>
        <v>4685.0797199999997</v>
      </c>
      <c r="Z47">
        <f t="shared" si="22"/>
        <v>63961.27552000001</v>
      </c>
      <c r="AA47">
        <f t="shared" si="15"/>
        <v>1816.648241105032</v>
      </c>
      <c r="AB47">
        <f t="shared" si="16"/>
        <v>36023.466867130643</v>
      </c>
      <c r="AC47">
        <f t="shared" si="17"/>
        <v>39498.502321904853</v>
      </c>
      <c r="AD47">
        <f t="shared" si="18"/>
        <v>15315.616607986231</v>
      </c>
      <c r="AE47">
        <f t="shared" si="19"/>
        <v>269552.02700077964</v>
      </c>
    </row>
    <row r="48" spans="1:31" x14ac:dyDescent="0.35">
      <c r="A48" s="1">
        <v>47</v>
      </c>
      <c r="B48" s="1">
        <v>2322.9032263370332</v>
      </c>
      <c r="C48" s="1">
        <v>0</v>
      </c>
      <c r="D48" s="1"/>
      <c r="E48" s="1">
        <v>0</v>
      </c>
      <c r="F48" s="1">
        <v>0</v>
      </c>
      <c r="G48" s="4">
        <f t="shared" si="23"/>
        <v>0</v>
      </c>
      <c r="H48" s="4">
        <f t="shared" si="24"/>
        <v>0</v>
      </c>
      <c r="I48" s="4">
        <f t="shared" si="24"/>
        <v>0</v>
      </c>
      <c r="J48" s="4">
        <f t="shared" si="24"/>
        <v>0</v>
      </c>
      <c r="K48" s="4"/>
      <c r="L48" s="4" t="s">
        <v>247</v>
      </c>
      <c r="M48" s="4">
        <v>34600</v>
      </c>
      <c r="N48" s="4" t="s">
        <v>266</v>
      </c>
      <c r="O48" s="4"/>
      <c r="P48" s="1">
        <v>48.805199999999999</v>
      </c>
      <c r="Q48" s="1">
        <f>P48-G48</f>
        <v>48.805199999999999</v>
      </c>
      <c r="R48" s="1">
        <f t="shared" si="3"/>
        <v>1220.1299999999999</v>
      </c>
      <c r="S48" s="1">
        <f t="shared" si="4"/>
        <v>1220.1299999999999</v>
      </c>
      <c r="T48" s="1">
        <f t="shared" si="5"/>
        <v>0</v>
      </c>
      <c r="U48" s="1">
        <f t="shared" si="6"/>
        <v>0</v>
      </c>
      <c r="V48" s="4"/>
      <c r="W48" s="1"/>
      <c r="X48" s="1">
        <f t="shared" si="20"/>
        <v>17</v>
      </c>
      <c r="Y48">
        <f t="shared" si="21"/>
        <v>4685.0797199999997</v>
      </c>
      <c r="Z48">
        <f t="shared" si="22"/>
        <v>68646.355240000004</v>
      </c>
      <c r="AA48">
        <f t="shared" si="15"/>
        <v>1712.2038087700587</v>
      </c>
      <c r="AB48">
        <f t="shared" si="16"/>
        <v>37735.670675900699</v>
      </c>
      <c r="AC48">
        <f t="shared" si="17"/>
        <v>40485.964879952473</v>
      </c>
      <c r="AD48">
        <f t="shared" si="18"/>
        <v>14795.953839006492</v>
      </c>
      <c r="AE48">
        <f t="shared" si="19"/>
        <v>284347.98083978612</v>
      </c>
    </row>
    <row r="49" spans="1:31" x14ac:dyDescent="0.35">
      <c r="A49" s="1">
        <v>48</v>
      </c>
      <c r="B49" s="1">
        <v>1052.7350255677291</v>
      </c>
      <c r="C49" s="1">
        <v>0</v>
      </c>
      <c r="D49" s="1"/>
      <c r="E49" s="1">
        <v>0</v>
      </c>
      <c r="F49" s="1">
        <v>0</v>
      </c>
      <c r="G49" s="4">
        <f t="shared" si="23"/>
        <v>0</v>
      </c>
      <c r="H49" s="4">
        <f t="shared" si="24"/>
        <v>0</v>
      </c>
      <c r="I49" s="4">
        <f t="shared" si="24"/>
        <v>0</v>
      </c>
      <c r="J49" s="4">
        <f t="shared" si="24"/>
        <v>0</v>
      </c>
      <c r="K49" s="4"/>
      <c r="L49" s="4"/>
      <c r="M49" s="4"/>
      <c r="N49" s="4"/>
      <c r="O49" s="4"/>
      <c r="P49" s="1">
        <v>22.118400000000001</v>
      </c>
      <c r="Q49" s="1">
        <f t="shared" si="2"/>
        <v>22.118400000000001</v>
      </c>
      <c r="R49" s="1">
        <f t="shared" si="3"/>
        <v>552.96</v>
      </c>
      <c r="S49" s="1">
        <f t="shared" si="4"/>
        <v>552.96</v>
      </c>
      <c r="T49" s="1">
        <f t="shared" si="5"/>
        <v>0</v>
      </c>
      <c r="U49" s="1">
        <f t="shared" si="6"/>
        <v>0</v>
      </c>
      <c r="V49" s="4"/>
      <c r="W49" s="1"/>
      <c r="X49" s="1">
        <f>X48+1</f>
        <v>18</v>
      </c>
      <c r="Y49">
        <f t="shared" si="21"/>
        <v>4685.0797199999997</v>
      </c>
      <c r="Z49">
        <f t="shared" si="22"/>
        <v>73331.434959999999</v>
      </c>
      <c r="AA49">
        <f t="shared" si="15"/>
        <v>1613.7641929972278</v>
      </c>
      <c r="AB49">
        <f t="shared" si="16"/>
        <v>39349.43486889793</v>
      </c>
      <c r="AC49">
        <f t="shared" si="17"/>
        <v>41498.114001951282</v>
      </c>
      <c r="AD49">
        <f t="shared" si="18"/>
        <v>14293.923360020408</v>
      </c>
      <c r="AE49">
        <f t="shared" si="19"/>
        <v>298641.90419980651</v>
      </c>
    </row>
    <row r="50" spans="1:31" x14ac:dyDescent="0.35">
      <c r="A50" s="1">
        <v>49</v>
      </c>
      <c r="B50" s="1">
        <v>2650.8063291642311</v>
      </c>
      <c r="C50" s="1">
        <v>0</v>
      </c>
      <c r="D50" s="1"/>
      <c r="E50" s="1">
        <v>0</v>
      </c>
      <c r="F50" s="1">
        <v>0</v>
      </c>
      <c r="G50" s="4">
        <f t="shared" si="23"/>
        <v>0</v>
      </c>
      <c r="H50" s="4">
        <f t="shared" si="24"/>
        <v>0</v>
      </c>
      <c r="I50" s="4">
        <f t="shared" si="24"/>
        <v>0</v>
      </c>
      <c r="J50" s="4">
        <f t="shared" si="24"/>
        <v>0</v>
      </c>
      <c r="K50" s="4"/>
      <c r="L50" s="4"/>
      <c r="M50" s="4"/>
      <c r="N50" s="4"/>
      <c r="O50" s="4"/>
      <c r="P50" s="4">
        <v>53.152200000000001</v>
      </c>
      <c r="Q50" s="1">
        <f t="shared" si="2"/>
        <v>53.152200000000001</v>
      </c>
      <c r="R50" s="1">
        <f t="shared" si="3"/>
        <v>1328.8050000000001</v>
      </c>
      <c r="S50" s="1">
        <f t="shared" si="4"/>
        <v>1328.8050000000001</v>
      </c>
      <c r="T50" s="1">
        <f t="shared" si="5"/>
        <v>0</v>
      </c>
      <c r="U50" s="1">
        <f t="shared" si="6"/>
        <v>0</v>
      </c>
      <c r="V50" s="4"/>
      <c r="W50" s="1"/>
      <c r="X50" s="1">
        <f t="shared" ref="X50:X54" si="25">X49+1</f>
        <v>19</v>
      </c>
      <c r="Y50">
        <f t="shared" si="21"/>
        <v>4685.0797199999997</v>
      </c>
      <c r="Z50">
        <f t="shared" si="22"/>
        <v>78016.514679999993</v>
      </c>
      <c r="AA50">
        <f t="shared" si="15"/>
        <v>1520.9841592810819</v>
      </c>
      <c r="AB50">
        <f t="shared" si="16"/>
        <v>40870.419028179014</v>
      </c>
      <c r="AC50">
        <f t="shared" si="17"/>
        <v>42535.566852000069</v>
      </c>
      <c r="AD50">
        <f t="shared" si="18"/>
        <v>13808.92690294149</v>
      </c>
      <c r="AE50">
        <f t="shared" si="19"/>
        <v>312450.83110274799</v>
      </c>
    </row>
    <row r="51" spans="1:31" x14ac:dyDescent="0.35">
      <c r="A51" s="1">
        <v>50</v>
      </c>
      <c r="B51" s="1">
        <v>2336.365059758562</v>
      </c>
      <c r="C51" s="1">
        <v>0</v>
      </c>
      <c r="D51" s="1"/>
      <c r="E51" s="1">
        <v>0</v>
      </c>
      <c r="F51" s="1">
        <v>0</v>
      </c>
      <c r="G51" s="4">
        <f t="shared" si="23"/>
        <v>0</v>
      </c>
      <c r="H51" s="4">
        <f t="shared" si="24"/>
        <v>0</v>
      </c>
      <c r="I51" s="4">
        <f t="shared" si="24"/>
        <v>0</v>
      </c>
      <c r="J51" s="4">
        <f t="shared" si="24"/>
        <v>0</v>
      </c>
      <c r="K51" s="4"/>
      <c r="L51" s="4"/>
      <c r="M51" s="4"/>
      <c r="N51" s="4"/>
      <c r="O51" s="4"/>
      <c r="P51" s="4">
        <v>49.088000000000001</v>
      </c>
      <c r="Q51" s="1">
        <f t="shared" si="2"/>
        <v>49.088000000000001</v>
      </c>
      <c r="R51" s="1">
        <f t="shared" si="3"/>
        <v>1227.2</v>
      </c>
      <c r="S51" s="1">
        <f t="shared" si="4"/>
        <v>1227.2</v>
      </c>
      <c r="T51" s="1">
        <f t="shared" si="5"/>
        <v>0</v>
      </c>
      <c r="U51" s="1">
        <f t="shared" si="6"/>
        <v>0</v>
      </c>
      <c r="V51" s="4"/>
      <c r="W51" s="1"/>
      <c r="X51" s="1">
        <f t="shared" si="25"/>
        <v>20</v>
      </c>
      <c r="Y51">
        <f t="shared" si="21"/>
        <v>4685.0797199999997</v>
      </c>
      <c r="Z51">
        <f t="shared" si="22"/>
        <v>82701.594399999987</v>
      </c>
      <c r="AA51">
        <f t="shared" si="15"/>
        <v>1433.538321659832</v>
      </c>
      <c r="AB51">
        <f t="shared" si="16"/>
        <v>42303.957349838849</v>
      </c>
      <c r="AC51">
        <f t="shared" si="17"/>
        <v>43598.956023300059</v>
      </c>
      <c r="AD51">
        <f t="shared" si="18"/>
        <v>13340.386499071652</v>
      </c>
      <c r="AE51">
        <f t="shared" si="19"/>
        <v>325791.21760181966</v>
      </c>
    </row>
    <row r="52" spans="1:31" x14ac:dyDescent="0.35">
      <c r="A52" s="1">
        <v>51</v>
      </c>
      <c r="B52" s="1">
        <v>586.05584352134008</v>
      </c>
      <c r="C52" s="1">
        <v>0</v>
      </c>
      <c r="D52" s="1"/>
      <c r="E52" s="1">
        <v>0</v>
      </c>
      <c r="F52" s="1">
        <v>0</v>
      </c>
      <c r="G52" s="4">
        <f t="shared" si="23"/>
        <v>0</v>
      </c>
      <c r="H52" s="4">
        <f t="shared" si="24"/>
        <v>0</v>
      </c>
      <c r="I52" s="4">
        <f t="shared" si="24"/>
        <v>0</v>
      </c>
      <c r="J52" s="4">
        <f t="shared" si="24"/>
        <v>0</v>
      </c>
      <c r="K52" s="4"/>
      <c r="L52" s="4"/>
      <c r="M52" s="4"/>
      <c r="N52" s="4"/>
      <c r="O52" s="4"/>
      <c r="P52" s="4">
        <v>11.751200000000001</v>
      </c>
      <c r="Q52" s="1">
        <f t="shared" si="2"/>
        <v>11.751200000000001</v>
      </c>
      <c r="R52" s="1">
        <f t="shared" si="3"/>
        <v>293.78000000000003</v>
      </c>
      <c r="S52" s="1">
        <f t="shared" si="4"/>
        <v>293.78000000000003</v>
      </c>
      <c r="T52" s="1">
        <f t="shared" si="5"/>
        <v>0</v>
      </c>
      <c r="U52" s="1">
        <f t="shared" si="6"/>
        <v>0</v>
      </c>
      <c r="V52" s="4"/>
      <c r="W52" s="1"/>
      <c r="X52" s="1">
        <f t="shared" si="25"/>
        <v>21</v>
      </c>
      <c r="Y52">
        <f t="shared" si="21"/>
        <v>4685.0797199999997</v>
      </c>
      <c r="Z52">
        <f t="shared" si="22"/>
        <v>87386.674119999981</v>
      </c>
      <c r="AA52">
        <f t="shared" si="15"/>
        <v>1351.1200015644035</v>
      </c>
      <c r="AB52">
        <f t="shared" si="16"/>
        <v>43655.077351403255</v>
      </c>
      <c r="AC52">
        <f t="shared" si="17"/>
        <v>44688.929923882562</v>
      </c>
      <c r="AD52">
        <f t="shared" si="18"/>
        <v>12887.743790337838</v>
      </c>
      <c r="AE52">
        <f t="shared" si="19"/>
        <v>338678.96139215748</v>
      </c>
    </row>
    <row r="53" spans="1:31" x14ac:dyDescent="0.35">
      <c r="A53" s="1">
        <v>52</v>
      </c>
      <c r="B53" s="1">
        <v>5329.6971333659421</v>
      </c>
      <c r="C53" s="1">
        <v>0</v>
      </c>
      <c r="D53" s="1"/>
      <c r="E53" s="1">
        <v>0</v>
      </c>
      <c r="F53" s="1">
        <v>0</v>
      </c>
      <c r="G53" s="4">
        <f t="shared" si="23"/>
        <v>0</v>
      </c>
      <c r="H53" s="4">
        <f t="shared" si="24"/>
        <v>0</v>
      </c>
      <c r="I53" s="4">
        <f t="shared" si="24"/>
        <v>0</v>
      </c>
      <c r="J53" s="4">
        <f t="shared" si="24"/>
        <v>0</v>
      </c>
      <c r="K53" s="4"/>
      <c r="L53" s="4"/>
      <c r="M53" s="4"/>
      <c r="N53" s="4"/>
      <c r="O53" s="4"/>
      <c r="P53" s="4">
        <v>110.047</v>
      </c>
      <c r="Q53" s="1">
        <f t="shared" si="2"/>
        <v>110.047</v>
      </c>
      <c r="R53" s="1">
        <f t="shared" si="3"/>
        <v>2751.1749999999997</v>
      </c>
      <c r="S53" s="1">
        <f t="shared" si="4"/>
        <v>2751.1749999999997</v>
      </c>
      <c r="T53" s="1">
        <f t="shared" si="5"/>
        <v>0</v>
      </c>
      <c r="U53" s="1">
        <f t="shared" si="6"/>
        <v>0</v>
      </c>
      <c r="V53" s="4"/>
      <c r="W53" s="1"/>
      <c r="X53" s="1">
        <f t="shared" si="25"/>
        <v>22</v>
      </c>
      <c r="Y53">
        <f t="shared" si="21"/>
        <v>4685.0797199999997</v>
      </c>
      <c r="Z53">
        <f t="shared" si="22"/>
        <v>92071.753839999976</v>
      </c>
      <c r="AA53">
        <f t="shared" si="15"/>
        <v>1273.4401522755923</v>
      </c>
      <c r="AB53">
        <f t="shared" si="16"/>
        <v>44928.51750367885</v>
      </c>
      <c r="AC53">
        <f t="shared" si="17"/>
        <v>45806.153171979618</v>
      </c>
      <c r="AD53">
        <f t="shared" si="18"/>
        <v>12450.459363898473</v>
      </c>
      <c r="AE53">
        <f t="shared" si="19"/>
        <v>351129.42075605597</v>
      </c>
    </row>
    <row r="54" spans="1:31" x14ac:dyDescent="0.35">
      <c r="A54" s="1">
        <v>53</v>
      </c>
      <c r="B54" s="1">
        <v>5328.3833046167756</v>
      </c>
      <c r="C54" s="1">
        <v>0</v>
      </c>
      <c r="D54" s="1"/>
      <c r="E54" s="1">
        <v>0</v>
      </c>
      <c r="F54" s="1">
        <v>0</v>
      </c>
      <c r="G54" s="4">
        <f t="shared" si="23"/>
        <v>0</v>
      </c>
      <c r="H54" s="4">
        <f t="shared" si="24"/>
        <v>0</v>
      </c>
      <c r="I54" s="4">
        <f t="shared" si="24"/>
        <v>0</v>
      </c>
      <c r="J54" s="4">
        <f t="shared" si="24"/>
        <v>0</v>
      </c>
      <c r="K54" s="4"/>
      <c r="L54" s="4"/>
      <c r="M54" s="4"/>
      <c r="N54" s="4"/>
      <c r="O54" s="4"/>
      <c r="P54" s="4">
        <v>104.018</v>
      </c>
      <c r="Q54" s="1">
        <f t="shared" si="2"/>
        <v>104.018</v>
      </c>
      <c r="R54" s="1">
        <f t="shared" si="3"/>
        <v>2600.4499999999998</v>
      </c>
      <c r="S54" s="1">
        <f t="shared" si="4"/>
        <v>2600.4499999999998</v>
      </c>
      <c r="T54" s="1">
        <f t="shared" si="5"/>
        <v>0</v>
      </c>
      <c r="U54" s="1">
        <f t="shared" si="6"/>
        <v>0</v>
      </c>
      <c r="V54" s="4"/>
      <c r="W54" s="1"/>
      <c r="X54" s="1">
        <f t="shared" si="25"/>
        <v>23</v>
      </c>
      <c r="Y54">
        <f t="shared" si="21"/>
        <v>4685.0797199999997</v>
      </c>
      <c r="Z54">
        <f t="shared" si="22"/>
        <v>96756.83355999997</v>
      </c>
      <c r="AA54">
        <f t="shared" si="15"/>
        <v>1200.2263452173352</v>
      </c>
      <c r="AB54">
        <f t="shared" si="16"/>
        <v>46128.743848896185</v>
      </c>
      <c r="AC54">
        <f t="shared" si="17"/>
        <v>46951.307001279114</v>
      </c>
      <c r="AD54">
        <f t="shared" si="18"/>
        <v>12028.012109326992</v>
      </c>
      <c r="AE54">
        <f t="shared" si="19"/>
        <v>363157.43286538299</v>
      </c>
    </row>
    <row r="55" spans="1:31" x14ac:dyDescent="0.35">
      <c r="A55" s="1">
        <v>54</v>
      </c>
      <c r="B55" s="1">
        <v>1132.850191183687</v>
      </c>
      <c r="C55" s="1">
        <v>0</v>
      </c>
      <c r="D55" s="1"/>
      <c r="E55" s="1">
        <v>0</v>
      </c>
      <c r="F55" s="1">
        <v>0</v>
      </c>
      <c r="G55" s="4">
        <f t="shared" si="23"/>
        <v>0</v>
      </c>
      <c r="H55" s="4">
        <f t="shared" si="24"/>
        <v>0</v>
      </c>
      <c r="I55" s="4">
        <f t="shared" si="24"/>
        <v>0</v>
      </c>
      <c r="J55" s="4">
        <f t="shared" si="24"/>
        <v>0</v>
      </c>
      <c r="K55" s="4"/>
      <c r="L55" s="4"/>
      <c r="M55" s="4"/>
      <c r="N55" s="4"/>
      <c r="O55" s="4"/>
      <c r="P55" s="4">
        <v>23.8017</v>
      </c>
      <c r="Q55" s="1">
        <f t="shared" si="2"/>
        <v>23.8017</v>
      </c>
      <c r="R55" s="1">
        <f t="shared" si="3"/>
        <v>595.04250000000002</v>
      </c>
      <c r="S55" s="1">
        <f t="shared" si="4"/>
        <v>595.04250000000002</v>
      </c>
      <c r="T55" s="1">
        <f t="shared" si="5"/>
        <v>0</v>
      </c>
      <c r="U55" s="1">
        <f t="shared" si="6"/>
        <v>0</v>
      </c>
      <c r="V55" s="4"/>
      <c r="W55" s="1"/>
      <c r="X55" s="1">
        <f>X54+1</f>
        <v>24</v>
      </c>
      <c r="Y55">
        <f t="shared" si="21"/>
        <v>4685.0797199999997</v>
      </c>
      <c r="Z55">
        <f t="shared" si="22"/>
        <v>101441.91327999996</v>
      </c>
      <c r="AA55">
        <f t="shared" si="15"/>
        <v>1131.2218145309473</v>
      </c>
      <c r="AB55">
        <f t="shared" si="16"/>
        <v>47259.96566342713</v>
      </c>
      <c r="AC55">
        <f t="shared" si="17"/>
        <v>48125.089676311087</v>
      </c>
      <c r="AD55">
        <f t="shared" si="18"/>
        <v>11619.898597606189</v>
      </c>
      <c r="AE55">
        <f t="shared" si="19"/>
        <v>374777.33146298915</v>
      </c>
    </row>
    <row r="56" spans="1:31" x14ac:dyDescent="0.35">
      <c r="A56" s="1">
        <v>55</v>
      </c>
      <c r="B56" s="1">
        <v>1734.337401732017</v>
      </c>
      <c r="C56" s="1">
        <v>0</v>
      </c>
      <c r="D56" s="1"/>
      <c r="E56" s="1">
        <v>0</v>
      </c>
      <c r="F56" s="1">
        <v>0</v>
      </c>
      <c r="G56" s="4">
        <f t="shared" si="23"/>
        <v>0</v>
      </c>
      <c r="H56" s="4">
        <f t="shared" si="24"/>
        <v>0</v>
      </c>
      <c r="I56" s="4">
        <f t="shared" si="24"/>
        <v>0</v>
      </c>
      <c r="J56" s="4">
        <f t="shared" si="24"/>
        <v>0</v>
      </c>
      <c r="K56" s="4"/>
      <c r="L56" s="4"/>
      <c r="M56" s="4"/>
      <c r="N56" s="4"/>
      <c r="O56" s="4"/>
      <c r="P56" s="4">
        <v>36.4392</v>
      </c>
      <c r="Q56" s="1">
        <f t="shared" si="2"/>
        <v>36.4392</v>
      </c>
      <c r="R56" s="1">
        <f t="shared" si="3"/>
        <v>910.98</v>
      </c>
      <c r="S56" s="1">
        <f t="shared" si="4"/>
        <v>910.98</v>
      </c>
      <c r="T56" s="1">
        <f t="shared" si="5"/>
        <v>0</v>
      </c>
      <c r="U56" s="1">
        <f t="shared" si="6"/>
        <v>0</v>
      </c>
      <c r="V56" s="4"/>
      <c r="W56" s="1"/>
      <c r="X56" s="1">
        <f t="shared" ref="X56" si="26">X55+1</f>
        <v>25</v>
      </c>
      <c r="Y56">
        <f t="shared" si="21"/>
        <v>4685.0797199999997</v>
      </c>
      <c r="Z56">
        <f t="shared" si="22"/>
        <v>106126.99299999996</v>
      </c>
      <c r="AA56">
        <f t="shared" si="15"/>
        <v>1066.1845565795923</v>
      </c>
      <c r="AB56">
        <f t="shared" si="16"/>
        <v>48326.150220006726</v>
      </c>
      <c r="AC56">
        <f t="shared" si="17"/>
        <v>49328.216918218859</v>
      </c>
      <c r="AD56">
        <f t="shared" si="18"/>
        <v>11225.632481193536</v>
      </c>
      <c r="AE56">
        <f t="shared" si="19"/>
        <v>386002.96394418267</v>
      </c>
    </row>
    <row r="57" spans="1:31" x14ac:dyDescent="0.35">
      <c r="A57" s="1">
        <v>56</v>
      </c>
      <c r="B57" s="1">
        <v>1696.5437943175671</v>
      </c>
      <c r="C57" s="1">
        <v>0</v>
      </c>
      <c r="D57" s="1"/>
      <c r="E57" s="1">
        <v>0</v>
      </c>
      <c r="F57" s="1">
        <v>0</v>
      </c>
      <c r="G57" s="4">
        <f t="shared" si="23"/>
        <v>0</v>
      </c>
      <c r="H57" s="4">
        <f t="shared" si="24"/>
        <v>0</v>
      </c>
      <c r="I57" s="4">
        <f t="shared" si="24"/>
        <v>0</v>
      </c>
      <c r="J57" s="4">
        <f t="shared" si="24"/>
        <v>0</v>
      </c>
      <c r="K57" s="4"/>
      <c r="L57" s="4"/>
      <c r="M57" s="4"/>
      <c r="N57" s="4"/>
      <c r="O57" s="4"/>
      <c r="P57" s="4">
        <v>33.6798</v>
      </c>
      <c r="Q57" s="1">
        <f t="shared" si="2"/>
        <v>33.6798</v>
      </c>
      <c r="R57" s="1">
        <f t="shared" si="3"/>
        <v>841.995</v>
      </c>
      <c r="S57" s="1">
        <f t="shared" si="4"/>
        <v>841.995</v>
      </c>
      <c r="T57" s="1">
        <f t="shared" si="5"/>
        <v>0</v>
      </c>
      <c r="U57" s="1">
        <f t="shared" si="6"/>
        <v>0</v>
      </c>
      <c r="V57" s="4"/>
    </row>
    <row r="58" spans="1:31" x14ac:dyDescent="0.35">
      <c r="A58" s="1">
        <v>57</v>
      </c>
      <c r="B58" s="1">
        <v>2227.6855671211929</v>
      </c>
      <c r="C58" s="1">
        <v>0</v>
      </c>
      <c r="D58" s="1"/>
      <c r="E58" s="1">
        <v>0</v>
      </c>
      <c r="F58" s="1">
        <v>0</v>
      </c>
      <c r="G58" s="4">
        <f t="shared" si="23"/>
        <v>0</v>
      </c>
      <c r="H58" s="4">
        <f t="shared" si="24"/>
        <v>0</v>
      </c>
      <c r="I58" s="4">
        <f t="shared" si="24"/>
        <v>0</v>
      </c>
      <c r="J58" s="4">
        <f t="shared" si="24"/>
        <v>0</v>
      </c>
      <c r="K58" s="4"/>
      <c r="L58" s="4"/>
      <c r="M58" s="4"/>
      <c r="N58" s="4"/>
      <c r="O58" s="4"/>
      <c r="P58" s="4">
        <v>43.985100000000003</v>
      </c>
      <c r="Q58" s="1">
        <f t="shared" si="2"/>
        <v>43.985100000000003</v>
      </c>
      <c r="R58" s="1">
        <f t="shared" si="3"/>
        <v>1099.6275000000001</v>
      </c>
      <c r="S58" s="1">
        <f t="shared" si="4"/>
        <v>1099.6275000000001</v>
      </c>
      <c r="T58" s="1">
        <f t="shared" si="5"/>
        <v>0</v>
      </c>
      <c r="U58" s="1">
        <f t="shared" si="6"/>
        <v>0</v>
      </c>
      <c r="V58" s="4"/>
    </row>
    <row r="59" spans="1:31" x14ac:dyDescent="0.35">
      <c r="A59" s="1">
        <v>58</v>
      </c>
      <c r="B59" s="1">
        <v>404.30530639696019</v>
      </c>
      <c r="C59" s="1">
        <v>0</v>
      </c>
      <c r="D59" s="1"/>
      <c r="E59" s="1">
        <v>0</v>
      </c>
      <c r="F59" s="1">
        <v>0</v>
      </c>
      <c r="G59" s="4">
        <f t="shared" si="23"/>
        <v>0</v>
      </c>
      <c r="H59" s="4">
        <f t="shared" si="24"/>
        <v>0</v>
      </c>
      <c r="I59" s="4">
        <f t="shared" si="24"/>
        <v>0</v>
      </c>
      <c r="J59" s="4">
        <f t="shared" si="24"/>
        <v>0</v>
      </c>
      <c r="K59" s="4"/>
      <c r="L59" s="4"/>
      <c r="M59" s="4"/>
      <c r="N59" s="4"/>
      <c r="O59" s="4"/>
      <c r="P59" s="4">
        <v>7.2637200000000002</v>
      </c>
      <c r="Q59" s="1">
        <f t="shared" si="2"/>
        <v>7.2637200000000002</v>
      </c>
      <c r="R59" s="1">
        <f t="shared" si="3"/>
        <v>181.59300000000002</v>
      </c>
      <c r="S59" s="1">
        <f t="shared" si="4"/>
        <v>181.59300000000002</v>
      </c>
      <c r="T59" s="1">
        <f t="shared" si="5"/>
        <v>0</v>
      </c>
      <c r="U59" s="1">
        <f t="shared" si="6"/>
        <v>0</v>
      </c>
      <c r="V59" s="4"/>
    </row>
    <row r="60" spans="1:31" x14ac:dyDescent="0.35">
      <c r="A60" s="1">
        <v>59</v>
      </c>
      <c r="B60" s="1">
        <v>3141.552121160008</v>
      </c>
      <c r="C60" s="1">
        <v>0</v>
      </c>
      <c r="D60" s="1"/>
      <c r="E60" s="1">
        <v>0</v>
      </c>
      <c r="F60" s="1">
        <v>0</v>
      </c>
      <c r="G60" s="4">
        <f t="shared" si="23"/>
        <v>0</v>
      </c>
      <c r="H60" s="4">
        <f t="shared" si="24"/>
        <v>0</v>
      </c>
      <c r="I60" s="4">
        <f t="shared" si="24"/>
        <v>0</v>
      </c>
      <c r="J60" s="4">
        <f t="shared" si="24"/>
        <v>0</v>
      </c>
      <c r="K60" s="4"/>
      <c r="L60" s="4"/>
      <c r="M60" s="4"/>
      <c r="N60" s="4"/>
      <c r="O60" s="4"/>
      <c r="P60" s="4">
        <v>63.6265</v>
      </c>
      <c r="Q60" s="1">
        <f t="shared" si="2"/>
        <v>63.6265</v>
      </c>
      <c r="R60" s="1">
        <f t="shared" si="3"/>
        <v>1590.6624999999999</v>
      </c>
      <c r="S60" s="1">
        <f t="shared" si="4"/>
        <v>1590.6624999999999</v>
      </c>
      <c r="T60" s="1">
        <f t="shared" si="5"/>
        <v>0</v>
      </c>
      <c r="U60" s="1">
        <f t="shared" si="6"/>
        <v>0</v>
      </c>
      <c r="V60" s="4"/>
    </row>
    <row r="61" spans="1:31" x14ac:dyDescent="0.35">
      <c r="A61" s="1">
        <v>60</v>
      </c>
      <c r="B61" s="1">
        <v>2862.8042339526478</v>
      </c>
      <c r="C61" s="1">
        <v>0</v>
      </c>
      <c r="D61" s="1"/>
      <c r="E61" s="1">
        <v>0</v>
      </c>
      <c r="F61" s="1">
        <v>0</v>
      </c>
      <c r="G61" s="4">
        <f t="shared" si="23"/>
        <v>0</v>
      </c>
      <c r="H61" s="4">
        <f t="shared" si="24"/>
        <v>0</v>
      </c>
      <c r="I61" s="4">
        <f t="shared" si="24"/>
        <v>0</v>
      </c>
      <c r="J61" s="4">
        <f t="shared" si="24"/>
        <v>0</v>
      </c>
      <c r="K61" s="4"/>
      <c r="L61" s="4"/>
      <c r="M61" s="4"/>
      <c r="N61" s="4"/>
      <c r="O61" s="4"/>
      <c r="P61" s="4">
        <v>59.825899999999997</v>
      </c>
      <c r="Q61" s="1">
        <f t="shared" si="2"/>
        <v>59.825899999999997</v>
      </c>
      <c r="R61" s="1">
        <f t="shared" si="3"/>
        <v>1495.6475</v>
      </c>
      <c r="S61" s="1">
        <f t="shared" si="4"/>
        <v>1495.6475</v>
      </c>
      <c r="T61" s="1">
        <f t="shared" si="5"/>
        <v>0</v>
      </c>
      <c r="U61" s="1">
        <f t="shared" si="6"/>
        <v>0</v>
      </c>
      <c r="V61" s="4"/>
    </row>
    <row r="62" spans="1:31" x14ac:dyDescent="0.35">
      <c r="A62" s="1">
        <v>61</v>
      </c>
      <c r="B62" s="1">
        <v>2954.0094942934988</v>
      </c>
      <c r="C62" s="1">
        <v>0</v>
      </c>
      <c r="D62" s="1"/>
      <c r="E62" s="1">
        <v>0</v>
      </c>
      <c r="F62" s="1">
        <v>0</v>
      </c>
      <c r="G62" s="4">
        <f t="shared" si="23"/>
        <v>0</v>
      </c>
      <c r="H62" s="4">
        <f t="shared" si="24"/>
        <v>0</v>
      </c>
      <c r="I62" s="4">
        <f t="shared" si="24"/>
        <v>0</v>
      </c>
      <c r="J62" s="4">
        <f t="shared" si="24"/>
        <v>0</v>
      </c>
      <c r="K62" s="4"/>
      <c r="L62" s="4"/>
      <c r="M62" s="4"/>
      <c r="N62" s="4"/>
      <c r="O62" s="4"/>
      <c r="P62" s="4">
        <v>64.215500000000006</v>
      </c>
      <c r="Q62" s="1">
        <f t="shared" si="2"/>
        <v>64.215500000000006</v>
      </c>
      <c r="R62" s="1">
        <f t="shared" si="3"/>
        <v>1605.3875</v>
      </c>
      <c r="S62" s="1">
        <f t="shared" si="4"/>
        <v>1605.3875</v>
      </c>
      <c r="T62" s="1">
        <f t="shared" si="5"/>
        <v>0</v>
      </c>
      <c r="U62" s="1">
        <f t="shared" si="6"/>
        <v>0</v>
      </c>
      <c r="V62" s="4"/>
    </row>
    <row r="63" spans="1:31" x14ac:dyDescent="0.35">
      <c r="A63" s="1">
        <v>62</v>
      </c>
      <c r="B63" s="1">
        <v>1204.0745303370161</v>
      </c>
      <c r="C63" s="1">
        <v>0</v>
      </c>
      <c r="D63" s="1"/>
      <c r="E63" s="1">
        <v>0</v>
      </c>
      <c r="F63" s="1">
        <v>0</v>
      </c>
      <c r="G63" s="4">
        <f t="shared" si="23"/>
        <v>0</v>
      </c>
      <c r="H63" s="4">
        <f t="shared" si="24"/>
        <v>0</v>
      </c>
      <c r="I63" s="4">
        <f t="shared" si="24"/>
        <v>0</v>
      </c>
      <c r="J63" s="4">
        <f t="shared" si="24"/>
        <v>0</v>
      </c>
      <c r="K63" s="4"/>
      <c r="L63" s="4"/>
      <c r="M63" s="4"/>
      <c r="N63" s="4"/>
      <c r="O63" s="4"/>
      <c r="P63" s="4">
        <v>25.6633</v>
      </c>
      <c r="Q63" s="1">
        <f t="shared" si="2"/>
        <v>25.6633</v>
      </c>
      <c r="R63" s="1">
        <f t="shared" si="3"/>
        <v>641.58249999999998</v>
      </c>
      <c r="S63" s="1">
        <f>R63-G63</f>
        <v>641.58249999999998</v>
      </c>
      <c r="T63" s="1">
        <f t="shared" si="5"/>
        <v>0</v>
      </c>
      <c r="U63" s="1">
        <f t="shared" si="6"/>
        <v>0</v>
      </c>
      <c r="V63" s="4"/>
    </row>
    <row r="64" spans="1:31" x14ac:dyDescent="0.35">
      <c r="A64" s="1">
        <v>63</v>
      </c>
      <c r="B64" s="1">
        <v>13474.18710799874</v>
      </c>
      <c r="C64" s="1">
        <v>0</v>
      </c>
      <c r="D64" s="1"/>
      <c r="E64" s="1">
        <v>0</v>
      </c>
      <c r="F64" s="1">
        <v>0</v>
      </c>
      <c r="G64" s="4">
        <f t="shared" si="23"/>
        <v>0</v>
      </c>
      <c r="H64" s="4">
        <f t="shared" si="24"/>
        <v>0</v>
      </c>
      <c r="I64" s="4">
        <f t="shared" si="24"/>
        <v>0</v>
      </c>
      <c r="J64" s="4">
        <f t="shared" si="24"/>
        <v>0</v>
      </c>
      <c r="K64" s="4"/>
      <c r="L64" s="4"/>
      <c r="M64" s="4"/>
      <c r="N64" s="4"/>
      <c r="O64" s="4"/>
      <c r="P64" s="4">
        <v>279.54399999999998</v>
      </c>
      <c r="Q64" s="1">
        <f t="shared" si="2"/>
        <v>279.54399999999998</v>
      </c>
      <c r="R64" s="1">
        <f t="shared" si="3"/>
        <v>6988.5999999999995</v>
      </c>
      <c r="S64" s="1">
        <f t="shared" si="4"/>
        <v>6988.5999999999995</v>
      </c>
      <c r="T64" s="1">
        <f t="shared" si="5"/>
        <v>0</v>
      </c>
      <c r="U64" s="1">
        <f t="shared" si="6"/>
        <v>0</v>
      </c>
      <c r="V64" s="4"/>
    </row>
    <row r="65" spans="1:22" x14ac:dyDescent="0.35">
      <c r="A65" s="1">
        <v>64</v>
      </c>
      <c r="B65" s="1">
        <v>3713.6923624805509</v>
      </c>
      <c r="C65" s="1">
        <v>0</v>
      </c>
      <c r="D65" s="1"/>
      <c r="E65" s="1">
        <v>0</v>
      </c>
      <c r="F65" s="1">
        <v>0</v>
      </c>
      <c r="G65" s="4">
        <f t="shared" si="23"/>
        <v>0</v>
      </c>
      <c r="H65" s="4">
        <f t="shared" si="24"/>
        <v>0</v>
      </c>
      <c r="I65" s="4">
        <f t="shared" si="24"/>
        <v>0</v>
      </c>
      <c r="J65" s="4">
        <f t="shared" si="24"/>
        <v>0</v>
      </c>
      <c r="K65" s="4"/>
      <c r="L65" s="4"/>
      <c r="M65" s="4"/>
      <c r="N65" s="4"/>
      <c r="O65" s="4"/>
      <c r="P65" s="4">
        <v>78.026300000000006</v>
      </c>
      <c r="Q65" s="1">
        <f t="shared" si="2"/>
        <v>78.026300000000006</v>
      </c>
      <c r="R65" s="1">
        <f t="shared" si="3"/>
        <v>1950.6575000000003</v>
      </c>
      <c r="S65" s="1">
        <f t="shared" si="4"/>
        <v>1950.6575000000003</v>
      </c>
      <c r="T65" s="1">
        <f t="shared" si="5"/>
        <v>0</v>
      </c>
      <c r="U65" s="1">
        <f t="shared" si="6"/>
        <v>0</v>
      </c>
      <c r="V65" s="4"/>
    </row>
    <row r="66" spans="1:22" x14ac:dyDescent="0.35">
      <c r="A66" s="1">
        <v>65</v>
      </c>
      <c r="B66" s="1">
        <v>1118.1009256975681</v>
      </c>
      <c r="C66" s="1">
        <v>0</v>
      </c>
      <c r="D66" s="1"/>
      <c r="E66" s="1">
        <v>0</v>
      </c>
      <c r="F66" s="1">
        <v>0</v>
      </c>
      <c r="G66" s="4">
        <f t="shared" si="23"/>
        <v>0</v>
      </c>
      <c r="H66" s="4">
        <f t="shared" si="24"/>
        <v>0</v>
      </c>
      <c r="I66" s="4">
        <f t="shared" si="24"/>
        <v>0</v>
      </c>
      <c r="J66" s="4">
        <f t="shared" si="24"/>
        <v>0</v>
      </c>
      <c r="K66" s="4"/>
      <c r="L66" s="4"/>
      <c r="M66" s="4"/>
      <c r="N66" s="4"/>
      <c r="O66" s="4"/>
      <c r="P66" s="4">
        <v>23.491800000000001</v>
      </c>
      <c r="Q66" s="1">
        <f t="shared" si="2"/>
        <v>23.491800000000001</v>
      </c>
      <c r="R66" s="1">
        <f t="shared" si="3"/>
        <v>587.29500000000007</v>
      </c>
      <c r="S66" s="1">
        <f t="shared" si="4"/>
        <v>587.29500000000007</v>
      </c>
      <c r="T66" s="1">
        <f t="shared" si="5"/>
        <v>0</v>
      </c>
      <c r="U66" s="1">
        <f t="shared" si="6"/>
        <v>0</v>
      </c>
      <c r="V66" s="4"/>
    </row>
    <row r="67" spans="1:22" x14ac:dyDescent="0.35">
      <c r="A67" s="1">
        <v>66</v>
      </c>
      <c r="B67" s="1">
        <v>789.18834550043005</v>
      </c>
      <c r="C67" s="1">
        <v>0</v>
      </c>
      <c r="D67" s="1"/>
      <c r="E67" s="1">
        <v>0</v>
      </c>
      <c r="F67" s="1">
        <v>0</v>
      </c>
      <c r="G67" s="4">
        <f t="shared" si="23"/>
        <v>0</v>
      </c>
      <c r="H67" s="4">
        <f t="shared" si="24"/>
        <v>0</v>
      </c>
      <c r="I67" s="4">
        <f t="shared" si="24"/>
        <v>0</v>
      </c>
      <c r="J67" s="4">
        <f t="shared" si="24"/>
        <v>0</v>
      </c>
      <c r="K67" s="4"/>
      <c r="L67" s="4"/>
      <c r="M67" s="4"/>
      <c r="N67" s="4"/>
      <c r="O67" s="4"/>
      <c r="P67" s="4">
        <v>16.784199999999998</v>
      </c>
      <c r="Q67" s="1">
        <f t="shared" ref="Q67:Q100" si="27">P67-G67</f>
        <v>16.784199999999998</v>
      </c>
      <c r="R67" s="1">
        <f t="shared" ref="R67:R100" si="28">P67*$M$37</f>
        <v>419.60499999999996</v>
      </c>
      <c r="S67" s="1">
        <f t="shared" ref="S67:S80" si="29">R67-G67</f>
        <v>419.60499999999996</v>
      </c>
      <c r="T67" s="1">
        <f t="shared" ref="T67:T100" si="30">(G67/($M$37*B67))+I67</f>
        <v>0</v>
      </c>
      <c r="U67" s="1">
        <f t="shared" ref="U67:U100" si="31">(G67/($M$40*B67))+I67</f>
        <v>0</v>
      </c>
      <c r="V67" s="4"/>
    </row>
    <row r="68" spans="1:22" x14ac:dyDescent="0.35">
      <c r="A68" s="1">
        <v>67</v>
      </c>
      <c r="B68" s="1">
        <v>1631.3808757786551</v>
      </c>
      <c r="C68" s="1">
        <v>0</v>
      </c>
      <c r="D68" s="1"/>
      <c r="E68" s="1">
        <v>0</v>
      </c>
      <c r="F68" s="1">
        <v>0</v>
      </c>
      <c r="G68" s="4">
        <f t="shared" si="23"/>
        <v>0</v>
      </c>
      <c r="H68" s="4">
        <f t="shared" si="24"/>
        <v>0</v>
      </c>
      <c r="I68" s="4">
        <f t="shared" si="24"/>
        <v>0</v>
      </c>
      <c r="J68" s="4">
        <f t="shared" si="24"/>
        <v>0</v>
      </c>
      <c r="K68" s="4"/>
      <c r="L68" s="4"/>
      <c r="M68" s="4"/>
      <c r="N68" s="4"/>
      <c r="O68" s="4"/>
      <c r="P68" s="4">
        <v>31.626000000000001</v>
      </c>
      <c r="Q68" s="1">
        <f t="shared" si="27"/>
        <v>31.626000000000001</v>
      </c>
      <c r="R68" s="1">
        <f t="shared" si="28"/>
        <v>790.65</v>
      </c>
      <c r="S68" s="1">
        <f t="shared" si="29"/>
        <v>790.65</v>
      </c>
      <c r="T68" s="1">
        <f t="shared" si="30"/>
        <v>0</v>
      </c>
      <c r="U68" s="1">
        <f t="shared" si="31"/>
        <v>0</v>
      </c>
      <c r="V68" s="4"/>
    </row>
    <row r="69" spans="1:22" x14ac:dyDescent="0.35">
      <c r="A69" s="1">
        <v>68</v>
      </c>
      <c r="B69" s="1">
        <v>4258.9353884654111</v>
      </c>
      <c r="C69" s="1">
        <v>0</v>
      </c>
      <c r="D69" s="1"/>
      <c r="E69" s="1">
        <v>0</v>
      </c>
      <c r="F69" s="1">
        <v>0</v>
      </c>
      <c r="G69" s="4">
        <f t="shared" si="23"/>
        <v>0</v>
      </c>
      <c r="H69" s="4">
        <f t="shared" si="24"/>
        <v>0</v>
      </c>
      <c r="I69" s="4">
        <f t="shared" si="24"/>
        <v>0</v>
      </c>
      <c r="J69" s="4">
        <f t="shared" si="24"/>
        <v>0</v>
      </c>
      <c r="K69" s="4"/>
      <c r="L69" s="4"/>
      <c r="M69" s="4"/>
      <c r="N69" s="4"/>
      <c r="O69" s="4"/>
      <c r="P69" s="4">
        <v>86.851900000000001</v>
      </c>
      <c r="Q69" s="1">
        <f t="shared" si="27"/>
        <v>86.851900000000001</v>
      </c>
      <c r="R69" s="1">
        <f t="shared" si="28"/>
        <v>2171.2975000000001</v>
      </c>
      <c r="S69" s="1">
        <f t="shared" si="29"/>
        <v>2171.2975000000001</v>
      </c>
      <c r="T69" s="1">
        <f t="shared" si="30"/>
        <v>0</v>
      </c>
      <c r="U69" s="1">
        <f t="shared" si="31"/>
        <v>0</v>
      </c>
      <c r="V69" s="4"/>
    </row>
    <row r="70" spans="1:22" x14ac:dyDescent="0.35">
      <c r="A70" s="1">
        <v>69</v>
      </c>
      <c r="B70" s="1">
        <v>4490.8701254733214</v>
      </c>
      <c r="C70" s="1">
        <v>0</v>
      </c>
      <c r="D70" s="1"/>
      <c r="E70" s="1">
        <v>0</v>
      </c>
      <c r="F70" s="1">
        <v>0</v>
      </c>
      <c r="G70" s="4">
        <f t="shared" si="23"/>
        <v>0</v>
      </c>
      <c r="H70" s="4">
        <f t="shared" si="24"/>
        <v>0</v>
      </c>
      <c r="I70" s="4">
        <f t="shared" si="24"/>
        <v>0</v>
      </c>
      <c r="J70" s="4">
        <f t="shared" si="24"/>
        <v>0</v>
      </c>
      <c r="K70" s="4"/>
      <c r="L70" s="4"/>
      <c r="M70" s="4"/>
      <c r="N70" s="4"/>
      <c r="O70" s="4"/>
      <c r="P70" s="4">
        <v>90.9893</v>
      </c>
      <c r="Q70" s="1">
        <f t="shared" si="27"/>
        <v>90.9893</v>
      </c>
      <c r="R70" s="1">
        <f t="shared" si="28"/>
        <v>2274.7325000000001</v>
      </c>
      <c r="S70" s="1">
        <f t="shared" si="29"/>
        <v>2274.7325000000001</v>
      </c>
      <c r="T70" s="1">
        <f t="shared" si="30"/>
        <v>0</v>
      </c>
      <c r="U70" s="1">
        <f t="shared" si="31"/>
        <v>0</v>
      </c>
      <c r="V70" s="4"/>
    </row>
    <row r="71" spans="1:22" x14ac:dyDescent="0.35">
      <c r="A71" s="1">
        <v>70</v>
      </c>
      <c r="B71" s="1">
        <v>6097.7538980173758</v>
      </c>
      <c r="C71" s="1">
        <v>0</v>
      </c>
      <c r="D71" s="1"/>
      <c r="E71" s="1">
        <v>0</v>
      </c>
      <c r="F71" s="1">
        <v>0</v>
      </c>
      <c r="G71" s="4">
        <f t="shared" si="23"/>
        <v>0</v>
      </c>
      <c r="H71" s="4">
        <f t="shared" si="24"/>
        <v>0</v>
      </c>
      <c r="I71" s="4">
        <f t="shared" si="24"/>
        <v>0</v>
      </c>
      <c r="J71" s="4">
        <f t="shared" si="24"/>
        <v>0</v>
      </c>
      <c r="K71" s="4"/>
      <c r="L71" s="4"/>
      <c r="M71" s="4"/>
      <c r="N71" s="4"/>
      <c r="O71" s="4"/>
      <c r="P71" s="4">
        <v>124.14400000000001</v>
      </c>
      <c r="Q71" s="1">
        <f t="shared" si="27"/>
        <v>124.14400000000001</v>
      </c>
      <c r="R71" s="1">
        <f t="shared" si="28"/>
        <v>3103.6000000000004</v>
      </c>
      <c r="S71" s="1">
        <f t="shared" si="29"/>
        <v>3103.6000000000004</v>
      </c>
      <c r="T71" s="1">
        <f t="shared" si="30"/>
        <v>0</v>
      </c>
      <c r="U71" s="1">
        <f t="shared" si="31"/>
        <v>0</v>
      </c>
      <c r="V71" s="4"/>
    </row>
    <row r="72" spans="1:22" x14ac:dyDescent="0.35">
      <c r="A72" s="1">
        <v>71</v>
      </c>
      <c r="B72" s="1">
        <v>4593.5313049109664</v>
      </c>
      <c r="C72" s="1">
        <v>0</v>
      </c>
      <c r="D72" s="1"/>
      <c r="E72" s="1">
        <v>0</v>
      </c>
      <c r="F72" s="1">
        <v>0</v>
      </c>
      <c r="G72" s="4">
        <f t="shared" si="23"/>
        <v>0</v>
      </c>
      <c r="H72" s="4">
        <f t="shared" si="24"/>
        <v>0</v>
      </c>
      <c r="I72" s="4">
        <f t="shared" si="24"/>
        <v>0</v>
      </c>
      <c r="J72" s="4">
        <f t="shared" si="24"/>
        <v>0</v>
      </c>
      <c r="K72" s="4"/>
      <c r="L72" s="4"/>
      <c r="M72" s="4"/>
      <c r="N72" s="4"/>
      <c r="O72" s="4"/>
      <c r="P72" s="4">
        <v>96.512100000000004</v>
      </c>
      <c r="Q72" s="1">
        <f t="shared" si="27"/>
        <v>96.512100000000004</v>
      </c>
      <c r="R72" s="1">
        <f t="shared" si="28"/>
        <v>2412.8025000000002</v>
      </c>
      <c r="S72" s="1">
        <f t="shared" si="29"/>
        <v>2412.8025000000002</v>
      </c>
      <c r="T72" s="1">
        <f t="shared" si="30"/>
        <v>0</v>
      </c>
      <c r="U72" s="1">
        <f t="shared" si="31"/>
        <v>0</v>
      </c>
      <c r="V72" s="4"/>
    </row>
    <row r="73" spans="1:22" x14ac:dyDescent="0.35">
      <c r="A73" s="1">
        <v>72</v>
      </c>
      <c r="B73" s="1">
        <v>8062.2213477933838</v>
      </c>
      <c r="C73" s="1">
        <v>0</v>
      </c>
      <c r="D73" s="1"/>
      <c r="E73" s="1">
        <v>0</v>
      </c>
      <c r="F73" s="1">
        <v>0</v>
      </c>
      <c r="G73" s="4">
        <f t="shared" si="23"/>
        <v>0</v>
      </c>
      <c r="H73" s="4">
        <f t="shared" si="24"/>
        <v>0</v>
      </c>
      <c r="I73" s="4">
        <f t="shared" si="24"/>
        <v>0</v>
      </c>
      <c r="J73" s="4">
        <f t="shared" si="24"/>
        <v>0</v>
      </c>
      <c r="K73" s="4"/>
      <c r="L73" s="4"/>
      <c r="M73" s="4"/>
      <c r="N73" s="4"/>
      <c r="O73" s="4"/>
      <c r="P73" s="4">
        <v>174.48599999999999</v>
      </c>
      <c r="Q73" s="1">
        <f t="shared" si="27"/>
        <v>174.48599999999999</v>
      </c>
      <c r="R73" s="1">
        <f t="shared" si="28"/>
        <v>4362.1499999999996</v>
      </c>
      <c r="S73" s="1">
        <f t="shared" si="29"/>
        <v>4362.1499999999996</v>
      </c>
      <c r="T73" s="1">
        <f t="shared" si="30"/>
        <v>0</v>
      </c>
      <c r="U73" s="1">
        <f t="shared" si="31"/>
        <v>0</v>
      </c>
      <c r="V73" s="4"/>
    </row>
    <row r="74" spans="1:22" x14ac:dyDescent="0.35">
      <c r="A74" s="1">
        <v>73</v>
      </c>
      <c r="B74" s="1">
        <v>4657.9117518025187</v>
      </c>
      <c r="C74" s="1">
        <v>0</v>
      </c>
      <c r="D74" s="1"/>
      <c r="E74" s="1">
        <v>0</v>
      </c>
      <c r="F74" s="1">
        <v>0</v>
      </c>
      <c r="G74" s="4">
        <f t="shared" si="23"/>
        <v>0</v>
      </c>
      <c r="H74" s="4">
        <f t="shared" si="24"/>
        <v>0</v>
      </c>
      <c r="I74" s="4">
        <f t="shared" si="24"/>
        <v>0</v>
      </c>
      <c r="J74" s="4">
        <f t="shared" si="24"/>
        <v>0</v>
      </c>
      <c r="K74" s="4"/>
      <c r="L74" s="4"/>
      <c r="M74" s="4"/>
      <c r="N74" s="4"/>
      <c r="O74" s="4"/>
      <c r="P74" s="4">
        <v>98.659400000000005</v>
      </c>
      <c r="Q74" s="1">
        <f t="shared" si="27"/>
        <v>98.659400000000005</v>
      </c>
      <c r="R74" s="1">
        <f t="shared" si="28"/>
        <v>2466.4850000000001</v>
      </c>
      <c r="S74" s="1">
        <f t="shared" si="29"/>
        <v>2466.4850000000001</v>
      </c>
      <c r="T74" s="1">
        <f t="shared" si="30"/>
        <v>0</v>
      </c>
      <c r="U74" s="1">
        <f t="shared" si="31"/>
        <v>0</v>
      </c>
      <c r="V74" s="4"/>
    </row>
    <row r="75" spans="1:22" x14ac:dyDescent="0.35">
      <c r="A75" s="1">
        <v>74</v>
      </c>
      <c r="B75" s="1">
        <v>4129.0607113934348</v>
      </c>
      <c r="C75" s="1">
        <v>0</v>
      </c>
      <c r="D75" s="1"/>
      <c r="E75" s="1">
        <v>0</v>
      </c>
      <c r="F75" s="1">
        <v>0</v>
      </c>
      <c r="G75" s="4">
        <f t="shared" si="23"/>
        <v>0</v>
      </c>
      <c r="H75" s="4">
        <f t="shared" si="24"/>
        <v>0</v>
      </c>
      <c r="I75" s="4">
        <f t="shared" si="24"/>
        <v>0</v>
      </c>
      <c r="J75" s="4">
        <f t="shared" si="24"/>
        <v>0</v>
      </c>
      <c r="K75" s="4"/>
      <c r="L75" s="4"/>
      <c r="M75" s="4"/>
      <c r="N75" s="4"/>
      <c r="O75" s="4"/>
      <c r="P75" s="4">
        <v>86.753399999999999</v>
      </c>
      <c r="Q75" s="1">
        <f t="shared" si="27"/>
        <v>86.753399999999999</v>
      </c>
      <c r="R75" s="1">
        <f t="shared" si="28"/>
        <v>2168.835</v>
      </c>
      <c r="S75" s="1">
        <f t="shared" si="29"/>
        <v>2168.835</v>
      </c>
      <c r="T75" s="1">
        <f t="shared" si="30"/>
        <v>0</v>
      </c>
      <c r="U75" s="1">
        <f t="shared" si="31"/>
        <v>0</v>
      </c>
      <c r="V75" s="4"/>
    </row>
    <row r="76" spans="1:22" x14ac:dyDescent="0.35">
      <c r="A76" s="1">
        <v>75</v>
      </c>
      <c r="B76" s="1">
        <v>14350.316193396229</v>
      </c>
      <c r="C76" s="1">
        <v>0</v>
      </c>
      <c r="D76" s="1"/>
      <c r="E76" s="1">
        <v>0</v>
      </c>
      <c r="F76" s="1">
        <v>0</v>
      </c>
      <c r="G76" s="4">
        <f t="shared" si="23"/>
        <v>0</v>
      </c>
      <c r="H76" s="4">
        <f t="shared" si="24"/>
        <v>0</v>
      </c>
      <c r="I76" s="4">
        <f t="shared" si="24"/>
        <v>0</v>
      </c>
      <c r="J76" s="4">
        <f t="shared" si="24"/>
        <v>0</v>
      </c>
      <c r="K76" s="4"/>
      <c r="L76" s="4"/>
      <c r="M76" s="4"/>
      <c r="N76" s="4"/>
      <c r="O76" s="4"/>
      <c r="P76" s="4">
        <v>250.209</v>
      </c>
      <c r="Q76" s="1">
        <f t="shared" si="27"/>
        <v>250.209</v>
      </c>
      <c r="R76" s="1">
        <f t="shared" si="28"/>
        <v>6255.2250000000004</v>
      </c>
      <c r="S76" s="1">
        <f t="shared" si="29"/>
        <v>6255.2250000000004</v>
      </c>
      <c r="T76" s="1">
        <f t="shared" si="30"/>
        <v>0</v>
      </c>
      <c r="U76" s="1">
        <f t="shared" si="31"/>
        <v>0</v>
      </c>
      <c r="V76" s="4"/>
    </row>
    <row r="77" spans="1:22" x14ac:dyDescent="0.35">
      <c r="A77" s="1">
        <v>76</v>
      </c>
      <c r="B77" s="1">
        <v>5149.4780654648821</v>
      </c>
      <c r="C77" s="1">
        <v>0</v>
      </c>
      <c r="D77" s="1"/>
      <c r="E77" s="1">
        <v>0</v>
      </c>
      <c r="F77" s="1">
        <v>0</v>
      </c>
      <c r="G77" s="4">
        <f t="shared" si="23"/>
        <v>0</v>
      </c>
      <c r="H77" s="4">
        <f t="shared" si="24"/>
        <v>0</v>
      </c>
      <c r="I77" s="4">
        <f t="shared" si="24"/>
        <v>0</v>
      </c>
      <c r="J77" s="4">
        <f t="shared" si="24"/>
        <v>0</v>
      </c>
      <c r="K77" s="4"/>
      <c r="L77" s="4"/>
      <c r="M77" s="4"/>
      <c r="N77" s="4"/>
      <c r="O77" s="4"/>
      <c r="P77" s="4">
        <v>108.91500000000001</v>
      </c>
      <c r="Q77" s="1">
        <f t="shared" si="27"/>
        <v>108.91500000000001</v>
      </c>
      <c r="R77" s="1">
        <f t="shared" si="28"/>
        <v>2722.875</v>
      </c>
      <c r="S77" s="1">
        <f t="shared" si="29"/>
        <v>2722.875</v>
      </c>
      <c r="T77" s="1">
        <f t="shared" si="30"/>
        <v>0</v>
      </c>
      <c r="U77" s="1">
        <f t="shared" si="31"/>
        <v>0</v>
      </c>
      <c r="V77" s="4"/>
    </row>
    <row r="78" spans="1:22" x14ac:dyDescent="0.35">
      <c r="A78" s="1">
        <v>77</v>
      </c>
      <c r="B78" s="1">
        <v>4612.9275296437472</v>
      </c>
      <c r="C78" s="1">
        <v>0</v>
      </c>
      <c r="D78" s="1"/>
      <c r="E78" s="1">
        <v>0</v>
      </c>
      <c r="F78" s="1">
        <v>0</v>
      </c>
      <c r="G78" s="4">
        <f t="shared" si="23"/>
        <v>0</v>
      </c>
      <c r="H78" s="4">
        <f t="shared" si="24"/>
        <v>0</v>
      </c>
      <c r="I78" s="4">
        <f t="shared" si="24"/>
        <v>0</v>
      </c>
      <c r="J78" s="4">
        <f t="shared" si="24"/>
        <v>0</v>
      </c>
      <c r="K78" s="4"/>
      <c r="L78" s="4"/>
      <c r="M78" s="4"/>
      <c r="N78" s="4"/>
      <c r="O78" s="4"/>
      <c r="P78" s="4">
        <v>98.416499999999999</v>
      </c>
      <c r="Q78" s="1">
        <f t="shared" si="27"/>
        <v>98.416499999999999</v>
      </c>
      <c r="R78" s="1">
        <f t="shared" si="28"/>
        <v>2460.4124999999999</v>
      </c>
      <c r="S78" s="1">
        <f t="shared" si="29"/>
        <v>2460.4124999999999</v>
      </c>
      <c r="T78" s="1">
        <f t="shared" si="30"/>
        <v>0</v>
      </c>
      <c r="U78" s="1">
        <f t="shared" si="31"/>
        <v>0</v>
      </c>
      <c r="V78" s="4"/>
    </row>
    <row r="79" spans="1:22" x14ac:dyDescent="0.35">
      <c r="A79" s="1">
        <v>78</v>
      </c>
      <c r="B79" s="1">
        <v>4299.5858542619962</v>
      </c>
      <c r="C79" s="1">
        <v>0</v>
      </c>
      <c r="D79" s="1"/>
      <c r="E79" s="1">
        <v>0</v>
      </c>
      <c r="F79" s="1">
        <v>0</v>
      </c>
      <c r="G79" s="4">
        <f t="shared" si="23"/>
        <v>0</v>
      </c>
      <c r="H79" s="4">
        <f t="shared" ref="H79:J100" si="32">$M$12*C79</f>
        <v>0</v>
      </c>
      <c r="I79" s="4">
        <f t="shared" si="32"/>
        <v>0</v>
      </c>
      <c r="J79" s="4">
        <f t="shared" si="32"/>
        <v>0</v>
      </c>
      <c r="K79" s="4"/>
      <c r="L79" s="4"/>
      <c r="M79" s="4"/>
      <c r="N79" s="4"/>
      <c r="O79" s="4"/>
      <c r="P79" s="4">
        <v>78.811800000000005</v>
      </c>
      <c r="Q79" s="1">
        <f t="shared" si="27"/>
        <v>78.811800000000005</v>
      </c>
      <c r="R79" s="1">
        <f t="shared" si="28"/>
        <v>1970.2950000000001</v>
      </c>
      <c r="S79" s="1">
        <f t="shared" si="29"/>
        <v>1970.2950000000001</v>
      </c>
      <c r="T79" s="1">
        <f t="shared" si="30"/>
        <v>0</v>
      </c>
      <c r="U79" s="1">
        <f t="shared" si="31"/>
        <v>0</v>
      </c>
      <c r="V79" s="4"/>
    </row>
    <row r="80" spans="1:22" x14ac:dyDescent="0.35">
      <c r="A80" s="1">
        <v>79</v>
      </c>
      <c r="B80" s="1">
        <v>3153.09355833985</v>
      </c>
      <c r="C80" s="1">
        <v>0</v>
      </c>
      <c r="D80" s="1"/>
      <c r="E80" s="1">
        <v>0</v>
      </c>
      <c r="F80" s="1">
        <v>0</v>
      </c>
      <c r="G80" s="4">
        <f t="shared" si="23"/>
        <v>0</v>
      </c>
      <c r="H80" s="4">
        <f t="shared" si="32"/>
        <v>0</v>
      </c>
      <c r="I80" s="4">
        <f t="shared" si="32"/>
        <v>0</v>
      </c>
      <c r="J80" s="4">
        <f t="shared" si="32"/>
        <v>0</v>
      </c>
      <c r="K80" s="4"/>
      <c r="L80" s="4"/>
      <c r="M80" s="4"/>
      <c r="N80" s="4"/>
      <c r="O80" s="4"/>
      <c r="P80" s="4">
        <v>66.247900000000001</v>
      </c>
      <c r="Q80" s="1">
        <f t="shared" si="27"/>
        <v>66.247900000000001</v>
      </c>
      <c r="R80" s="1">
        <f t="shared" si="28"/>
        <v>1656.1975</v>
      </c>
      <c r="S80" s="1">
        <f t="shared" si="29"/>
        <v>1656.1975</v>
      </c>
      <c r="T80" s="1">
        <f t="shared" si="30"/>
        <v>0</v>
      </c>
      <c r="U80" s="1">
        <f t="shared" si="31"/>
        <v>0</v>
      </c>
      <c r="V80" s="4"/>
    </row>
    <row r="81" spans="1:22" x14ac:dyDescent="0.35">
      <c r="A81" s="1">
        <v>80</v>
      </c>
      <c r="B81" s="1">
        <v>4296.4999200900902</v>
      </c>
      <c r="C81" s="1">
        <v>0</v>
      </c>
      <c r="D81" s="1"/>
      <c r="E81" s="1">
        <v>0</v>
      </c>
      <c r="F81" s="1">
        <v>0</v>
      </c>
      <c r="G81" s="4">
        <f t="shared" si="23"/>
        <v>0</v>
      </c>
      <c r="H81" s="4">
        <f t="shared" si="32"/>
        <v>0</v>
      </c>
      <c r="I81" s="4">
        <f t="shared" si="32"/>
        <v>0</v>
      </c>
      <c r="J81" s="4">
        <f t="shared" si="32"/>
        <v>0</v>
      </c>
      <c r="K81" s="4"/>
      <c r="L81" s="4"/>
      <c r="M81" s="4"/>
      <c r="N81" s="4"/>
      <c r="O81" s="4"/>
      <c r="P81" s="4">
        <v>89.923500000000004</v>
      </c>
      <c r="Q81" s="1">
        <f t="shared" si="27"/>
        <v>89.923500000000004</v>
      </c>
      <c r="R81" s="1">
        <f t="shared" si="28"/>
        <v>2248.0875000000001</v>
      </c>
      <c r="S81" s="1">
        <f>R81-G81</f>
        <v>2248.0875000000001</v>
      </c>
      <c r="T81" s="1">
        <f t="shared" si="30"/>
        <v>0</v>
      </c>
      <c r="U81" s="1">
        <f t="shared" si="31"/>
        <v>0</v>
      </c>
      <c r="V81" s="4"/>
    </row>
    <row r="82" spans="1:22" x14ac:dyDescent="0.35">
      <c r="A82" s="1">
        <v>81</v>
      </c>
      <c r="B82" s="1">
        <v>1722.7511821559251</v>
      </c>
      <c r="C82" s="1">
        <v>0</v>
      </c>
      <c r="D82" s="1"/>
      <c r="E82" s="1">
        <v>0</v>
      </c>
      <c r="F82" s="1">
        <v>0</v>
      </c>
      <c r="G82" s="4">
        <f t="shared" si="23"/>
        <v>0</v>
      </c>
      <c r="H82" s="4">
        <f t="shared" si="32"/>
        <v>0</v>
      </c>
      <c r="I82" s="4">
        <f t="shared" si="32"/>
        <v>0</v>
      </c>
      <c r="J82" s="4">
        <f t="shared" si="32"/>
        <v>0</v>
      </c>
      <c r="K82" s="4"/>
      <c r="L82" s="4"/>
      <c r="M82" s="4"/>
      <c r="N82" s="4"/>
      <c r="O82" s="4"/>
      <c r="P82" s="4">
        <v>30.037500000000001</v>
      </c>
      <c r="Q82" s="1">
        <f t="shared" si="27"/>
        <v>30.037500000000001</v>
      </c>
      <c r="R82" s="1">
        <f t="shared" si="28"/>
        <v>750.9375</v>
      </c>
      <c r="S82" s="1">
        <f t="shared" ref="S82:S96" si="33">R82-G82</f>
        <v>750.9375</v>
      </c>
      <c r="T82" s="1">
        <f t="shared" si="30"/>
        <v>0</v>
      </c>
      <c r="U82" s="1">
        <f t="shared" si="31"/>
        <v>0</v>
      </c>
      <c r="V82" s="4"/>
    </row>
    <row r="83" spans="1:22" x14ac:dyDescent="0.35">
      <c r="A83" s="1">
        <v>82</v>
      </c>
      <c r="B83" s="1">
        <v>8378.7212496204556</v>
      </c>
      <c r="C83" s="1">
        <v>0</v>
      </c>
      <c r="D83" s="1"/>
      <c r="E83" s="1">
        <v>0</v>
      </c>
      <c r="F83" s="1">
        <v>0</v>
      </c>
      <c r="G83" s="4">
        <f t="shared" si="23"/>
        <v>0</v>
      </c>
      <c r="H83" s="4">
        <f t="shared" si="32"/>
        <v>0</v>
      </c>
      <c r="I83" s="4">
        <f t="shared" si="32"/>
        <v>0</v>
      </c>
      <c r="J83" s="4">
        <f t="shared" si="32"/>
        <v>0</v>
      </c>
      <c r="K83" s="4"/>
      <c r="L83" s="4"/>
      <c r="M83" s="4"/>
      <c r="N83" s="4"/>
      <c r="O83" s="4"/>
      <c r="P83" s="4">
        <v>122.405</v>
      </c>
      <c r="Q83" s="1">
        <f t="shared" si="27"/>
        <v>122.405</v>
      </c>
      <c r="R83" s="1">
        <f t="shared" si="28"/>
        <v>3060.125</v>
      </c>
      <c r="S83" s="1">
        <f t="shared" si="33"/>
        <v>3060.125</v>
      </c>
      <c r="T83" s="1">
        <f t="shared" si="30"/>
        <v>0</v>
      </c>
      <c r="U83" s="1">
        <f t="shared" si="31"/>
        <v>0</v>
      </c>
      <c r="V83" s="4"/>
    </row>
    <row r="84" spans="1:22" x14ac:dyDescent="0.35">
      <c r="A84" s="1">
        <v>83</v>
      </c>
      <c r="B84" s="1">
        <v>4180.060549855245</v>
      </c>
      <c r="C84" s="1">
        <v>0</v>
      </c>
      <c r="D84" s="1"/>
      <c r="E84" s="1">
        <v>0</v>
      </c>
      <c r="F84" s="1">
        <v>0</v>
      </c>
      <c r="G84" s="4">
        <f t="shared" si="23"/>
        <v>0</v>
      </c>
      <c r="H84" s="4">
        <f t="shared" si="32"/>
        <v>0</v>
      </c>
      <c r="I84" s="4">
        <f t="shared" si="32"/>
        <v>0</v>
      </c>
      <c r="J84" s="4">
        <f t="shared" si="32"/>
        <v>0</v>
      </c>
      <c r="K84" s="4"/>
      <c r="L84" s="4"/>
      <c r="M84" s="4"/>
      <c r="N84" s="4"/>
      <c r="O84" s="4"/>
      <c r="P84" s="4">
        <v>92.304299999999998</v>
      </c>
      <c r="Q84" s="1">
        <f t="shared" si="27"/>
        <v>92.304299999999998</v>
      </c>
      <c r="R84" s="1">
        <f t="shared" si="28"/>
        <v>2307.6075000000001</v>
      </c>
      <c r="S84" s="1">
        <f t="shared" si="33"/>
        <v>2307.6075000000001</v>
      </c>
      <c r="T84" s="1">
        <f t="shared" si="30"/>
        <v>0</v>
      </c>
      <c r="U84" s="1">
        <f t="shared" si="31"/>
        <v>0</v>
      </c>
      <c r="V84" s="4"/>
    </row>
    <row r="85" spans="1:22" x14ac:dyDescent="0.35">
      <c r="A85" s="1">
        <v>84</v>
      </c>
      <c r="B85" s="1">
        <v>3330.950005722922</v>
      </c>
      <c r="C85" s="1">
        <v>0</v>
      </c>
      <c r="D85" s="1"/>
      <c r="E85" s="1">
        <v>0</v>
      </c>
      <c r="F85" s="1">
        <v>0</v>
      </c>
      <c r="G85" s="4">
        <f t="shared" si="23"/>
        <v>0</v>
      </c>
      <c r="H85" s="4">
        <f t="shared" si="32"/>
        <v>0</v>
      </c>
      <c r="I85" s="4">
        <f t="shared" si="32"/>
        <v>0</v>
      </c>
      <c r="J85" s="4">
        <f t="shared" si="32"/>
        <v>0</v>
      </c>
      <c r="K85" s="4"/>
      <c r="L85" s="4"/>
      <c r="M85" s="4"/>
      <c r="N85" s="4"/>
      <c r="O85" s="4"/>
      <c r="P85" s="4">
        <v>57.065800000000003</v>
      </c>
      <c r="Q85" s="1">
        <f t="shared" si="27"/>
        <v>57.065800000000003</v>
      </c>
      <c r="R85" s="1">
        <f t="shared" si="28"/>
        <v>1426.645</v>
      </c>
      <c r="S85" s="1">
        <f t="shared" si="33"/>
        <v>1426.645</v>
      </c>
      <c r="T85" s="1">
        <f t="shared" si="30"/>
        <v>0</v>
      </c>
      <c r="U85" s="1">
        <f t="shared" si="31"/>
        <v>0</v>
      </c>
      <c r="V85" s="4"/>
    </row>
    <row r="86" spans="1:22" x14ac:dyDescent="0.35">
      <c r="A86" s="1">
        <v>85</v>
      </c>
      <c r="B86" s="1">
        <v>2875.5642031497382</v>
      </c>
      <c r="C86" s="1">
        <v>0</v>
      </c>
      <c r="D86" s="1"/>
      <c r="E86" s="1">
        <v>0</v>
      </c>
      <c r="F86" s="1">
        <v>0</v>
      </c>
      <c r="G86" s="4">
        <f t="shared" si="23"/>
        <v>0</v>
      </c>
      <c r="H86" s="4">
        <f t="shared" si="32"/>
        <v>0</v>
      </c>
      <c r="I86" s="4">
        <f t="shared" si="32"/>
        <v>0</v>
      </c>
      <c r="J86" s="4">
        <f t="shared" si="32"/>
        <v>0</v>
      </c>
      <c r="K86" s="4"/>
      <c r="L86" s="4"/>
      <c r="M86" s="4"/>
      <c r="N86" s="4"/>
      <c r="O86" s="4"/>
      <c r="P86" s="4">
        <v>62.269399999999997</v>
      </c>
      <c r="Q86" s="1">
        <f t="shared" si="27"/>
        <v>62.269399999999997</v>
      </c>
      <c r="R86" s="1">
        <f t="shared" si="28"/>
        <v>1556.7349999999999</v>
      </c>
      <c r="S86" s="1">
        <f t="shared" si="33"/>
        <v>1556.7349999999999</v>
      </c>
      <c r="T86" s="1">
        <f t="shared" si="30"/>
        <v>0</v>
      </c>
      <c r="U86" s="1">
        <f t="shared" si="31"/>
        <v>0</v>
      </c>
      <c r="V86" s="4"/>
    </row>
    <row r="87" spans="1:22" x14ac:dyDescent="0.35">
      <c r="A87" s="1">
        <v>86</v>
      </c>
      <c r="B87" s="1">
        <v>2673.7959050516761</v>
      </c>
      <c r="C87" s="1">
        <v>0</v>
      </c>
      <c r="D87" s="1"/>
      <c r="E87" s="1">
        <v>0</v>
      </c>
      <c r="F87" s="1">
        <v>0</v>
      </c>
      <c r="G87" s="4">
        <f t="shared" si="23"/>
        <v>0</v>
      </c>
      <c r="H87" s="4">
        <f t="shared" si="32"/>
        <v>0</v>
      </c>
      <c r="I87" s="4">
        <f t="shared" si="32"/>
        <v>0</v>
      </c>
      <c r="J87" s="4">
        <f t="shared" si="32"/>
        <v>0</v>
      </c>
      <c r="K87" s="4"/>
      <c r="L87" s="4"/>
      <c r="M87" s="4"/>
      <c r="N87" s="4"/>
      <c r="O87" s="4"/>
      <c r="P87" s="4">
        <v>54.038899999999998</v>
      </c>
      <c r="Q87" s="1">
        <f t="shared" si="27"/>
        <v>54.038899999999998</v>
      </c>
      <c r="R87" s="1">
        <f t="shared" si="28"/>
        <v>1350.9724999999999</v>
      </c>
      <c r="S87" s="1">
        <f t="shared" si="33"/>
        <v>1350.9724999999999</v>
      </c>
      <c r="T87" s="1">
        <f t="shared" si="30"/>
        <v>0</v>
      </c>
      <c r="U87" s="1">
        <f t="shared" si="31"/>
        <v>0</v>
      </c>
      <c r="V87" s="4"/>
    </row>
    <row r="88" spans="1:22" x14ac:dyDescent="0.35">
      <c r="A88" s="1">
        <v>87</v>
      </c>
      <c r="B88" s="1">
        <v>19513.44492845656</v>
      </c>
      <c r="C88" s="1">
        <v>0</v>
      </c>
      <c r="D88" s="1"/>
      <c r="E88" s="1">
        <v>0</v>
      </c>
      <c r="F88" s="1">
        <v>0</v>
      </c>
      <c r="G88" s="4">
        <f t="shared" si="23"/>
        <v>0</v>
      </c>
      <c r="H88" s="4">
        <f t="shared" si="32"/>
        <v>0</v>
      </c>
      <c r="I88" s="4">
        <f t="shared" si="32"/>
        <v>0</v>
      </c>
      <c r="J88" s="4">
        <f t="shared" si="32"/>
        <v>0</v>
      </c>
      <c r="K88" s="4"/>
      <c r="L88" s="4"/>
      <c r="M88" s="4"/>
      <c r="N88" s="4"/>
      <c r="O88" s="4"/>
      <c r="P88" s="4">
        <v>382.77600000000001</v>
      </c>
      <c r="Q88" s="1">
        <f t="shared" si="27"/>
        <v>382.77600000000001</v>
      </c>
      <c r="R88" s="1">
        <f t="shared" si="28"/>
        <v>9569.4</v>
      </c>
      <c r="S88" s="1">
        <f t="shared" si="33"/>
        <v>9569.4</v>
      </c>
      <c r="T88" s="1">
        <f t="shared" si="30"/>
        <v>0</v>
      </c>
      <c r="U88" s="1">
        <f t="shared" si="31"/>
        <v>0</v>
      </c>
      <c r="V88" s="4"/>
    </row>
    <row r="89" spans="1:22" x14ac:dyDescent="0.35">
      <c r="A89" s="1">
        <v>88</v>
      </c>
      <c r="B89" s="1">
        <v>5533.3813285011611</v>
      </c>
      <c r="C89" s="1">
        <v>0</v>
      </c>
      <c r="D89" s="1"/>
      <c r="E89" s="1">
        <v>0</v>
      </c>
      <c r="F89" s="1">
        <v>0</v>
      </c>
      <c r="G89" s="4">
        <f t="shared" si="23"/>
        <v>0</v>
      </c>
      <c r="H89" s="4">
        <f t="shared" si="32"/>
        <v>0</v>
      </c>
      <c r="I89" s="4">
        <f t="shared" si="32"/>
        <v>0</v>
      </c>
      <c r="J89" s="4">
        <f t="shared" si="32"/>
        <v>0</v>
      </c>
      <c r="K89" s="4"/>
      <c r="L89" s="4"/>
      <c r="M89" s="4"/>
      <c r="N89" s="4"/>
      <c r="O89" s="4"/>
      <c r="P89" s="4">
        <v>110.304</v>
      </c>
      <c r="Q89" s="1">
        <f t="shared" si="27"/>
        <v>110.304</v>
      </c>
      <c r="R89" s="1">
        <f t="shared" si="28"/>
        <v>2757.6</v>
      </c>
      <c r="S89" s="1">
        <f t="shared" si="33"/>
        <v>2757.6</v>
      </c>
      <c r="T89" s="1">
        <f t="shared" si="30"/>
        <v>0</v>
      </c>
      <c r="U89" s="1">
        <f t="shared" si="31"/>
        <v>0</v>
      </c>
      <c r="V89" s="4"/>
    </row>
    <row r="90" spans="1:22" x14ac:dyDescent="0.35">
      <c r="A90" s="1">
        <v>89</v>
      </c>
      <c r="B90" s="1">
        <v>7532.7075080212007</v>
      </c>
      <c r="C90" s="1">
        <v>0</v>
      </c>
      <c r="D90" s="1"/>
      <c r="E90" s="1">
        <v>0</v>
      </c>
      <c r="F90" s="1">
        <v>0</v>
      </c>
      <c r="G90" s="4">
        <f t="shared" si="23"/>
        <v>0</v>
      </c>
      <c r="H90" s="4">
        <f t="shared" si="32"/>
        <v>0</v>
      </c>
      <c r="I90" s="4">
        <f t="shared" si="32"/>
        <v>0</v>
      </c>
      <c r="J90" s="4">
        <f t="shared" si="32"/>
        <v>0</v>
      </c>
      <c r="K90" s="4"/>
      <c r="L90" s="4"/>
      <c r="M90" s="4"/>
      <c r="N90" s="4"/>
      <c r="O90" s="4"/>
      <c r="P90" s="4">
        <v>158.81</v>
      </c>
      <c r="Q90" s="1">
        <f t="shared" si="27"/>
        <v>158.81</v>
      </c>
      <c r="R90" s="1">
        <f t="shared" si="28"/>
        <v>3970.25</v>
      </c>
      <c r="S90" s="1">
        <f t="shared" si="33"/>
        <v>3970.25</v>
      </c>
      <c r="T90" s="1">
        <f t="shared" si="30"/>
        <v>0</v>
      </c>
      <c r="U90" s="1">
        <f t="shared" si="31"/>
        <v>0</v>
      </c>
      <c r="V90" s="4"/>
    </row>
    <row r="91" spans="1:22" x14ac:dyDescent="0.35">
      <c r="A91" s="1">
        <v>90</v>
      </c>
      <c r="B91" s="1">
        <v>4797.2959806436729</v>
      </c>
      <c r="C91" s="1">
        <v>0</v>
      </c>
      <c r="D91" s="1"/>
      <c r="E91" s="1">
        <v>0</v>
      </c>
      <c r="F91" s="1">
        <v>0</v>
      </c>
      <c r="G91" s="4">
        <f t="shared" si="23"/>
        <v>0</v>
      </c>
      <c r="H91" s="4">
        <f t="shared" si="32"/>
        <v>0</v>
      </c>
      <c r="I91" s="4">
        <f t="shared" si="32"/>
        <v>0</v>
      </c>
      <c r="J91" s="4">
        <f t="shared" si="32"/>
        <v>0</v>
      </c>
      <c r="K91" s="4"/>
      <c r="L91" s="4"/>
      <c r="M91" s="4"/>
      <c r="N91" s="4"/>
      <c r="O91" s="4"/>
      <c r="P91" s="4">
        <v>100.91</v>
      </c>
      <c r="Q91" s="1">
        <f t="shared" si="27"/>
        <v>100.91</v>
      </c>
      <c r="R91" s="1">
        <f t="shared" si="28"/>
        <v>2522.75</v>
      </c>
      <c r="S91" s="1">
        <f t="shared" si="33"/>
        <v>2522.75</v>
      </c>
      <c r="T91" s="1">
        <f t="shared" si="30"/>
        <v>0</v>
      </c>
      <c r="U91" s="1">
        <f t="shared" si="31"/>
        <v>0</v>
      </c>
      <c r="V91" s="4"/>
    </row>
    <row r="92" spans="1:22" x14ac:dyDescent="0.35">
      <c r="A92" s="1">
        <v>91</v>
      </c>
      <c r="B92" s="1">
        <v>5147.5629031179114</v>
      </c>
      <c r="C92" s="1">
        <v>0</v>
      </c>
      <c r="D92" s="1"/>
      <c r="E92" s="1">
        <v>0</v>
      </c>
      <c r="F92" s="1">
        <v>0</v>
      </c>
      <c r="G92" s="4">
        <f t="shared" si="23"/>
        <v>0</v>
      </c>
      <c r="H92" s="4">
        <f t="shared" si="32"/>
        <v>0</v>
      </c>
      <c r="I92" s="4">
        <f t="shared" si="32"/>
        <v>0</v>
      </c>
      <c r="J92" s="4">
        <f t="shared" si="32"/>
        <v>0</v>
      </c>
      <c r="K92" s="4"/>
      <c r="L92" s="4"/>
      <c r="M92" s="4"/>
      <c r="N92" s="4" t="s">
        <v>6</v>
      </c>
      <c r="O92" s="4"/>
      <c r="P92" s="4">
        <v>83.866</v>
      </c>
      <c r="Q92" s="1">
        <f t="shared" si="27"/>
        <v>83.866</v>
      </c>
      <c r="R92" s="1">
        <f t="shared" si="28"/>
        <v>2096.65</v>
      </c>
      <c r="S92" s="1">
        <f t="shared" si="33"/>
        <v>2096.65</v>
      </c>
      <c r="T92" s="1">
        <f t="shared" si="30"/>
        <v>0</v>
      </c>
      <c r="U92" s="1">
        <f t="shared" si="31"/>
        <v>0</v>
      </c>
      <c r="V92" s="4"/>
    </row>
    <row r="93" spans="1:22" x14ac:dyDescent="0.35">
      <c r="A93" s="1">
        <v>92</v>
      </c>
      <c r="B93" s="1">
        <v>2534.563494353717</v>
      </c>
      <c r="C93" s="1">
        <v>0</v>
      </c>
      <c r="D93" s="1"/>
      <c r="E93" s="1">
        <v>0</v>
      </c>
      <c r="F93" s="1">
        <v>0</v>
      </c>
      <c r="G93" s="4">
        <f t="shared" si="23"/>
        <v>0</v>
      </c>
      <c r="H93" s="4">
        <f t="shared" si="32"/>
        <v>0</v>
      </c>
      <c r="I93" s="4">
        <f t="shared" si="32"/>
        <v>0</v>
      </c>
      <c r="J93" s="4">
        <f t="shared" si="32"/>
        <v>0</v>
      </c>
      <c r="K93" s="4"/>
      <c r="L93" s="4"/>
      <c r="M93" s="4"/>
      <c r="N93" s="4"/>
      <c r="O93" s="4"/>
      <c r="P93" s="4">
        <v>53.252299999999998</v>
      </c>
      <c r="Q93" s="1">
        <f t="shared" si="27"/>
        <v>53.252299999999998</v>
      </c>
      <c r="R93" s="1">
        <f t="shared" si="28"/>
        <v>1331.3074999999999</v>
      </c>
      <c r="S93" s="1">
        <f t="shared" si="33"/>
        <v>1331.3074999999999</v>
      </c>
      <c r="T93" s="1">
        <f t="shared" si="30"/>
        <v>0</v>
      </c>
      <c r="U93" s="1">
        <f t="shared" si="31"/>
        <v>0</v>
      </c>
      <c r="V93" s="4"/>
    </row>
    <row r="94" spans="1:22" x14ac:dyDescent="0.35">
      <c r="A94" s="1">
        <v>93</v>
      </c>
      <c r="B94" s="1">
        <v>5159.4345472126533</v>
      </c>
      <c r="C94" s="1">
        <v>0</v>
      </c>
      <c r="D94" s="1"/>
      <c r="E94" s="1">
        <v>0</v>
      </c>
      <c r="F94" s="1">
        <v>0</v>
      </c>
      <c r="G94" s="4">
        <f t="shared" si="23"/>
        <v>0</v>
      </c>
      <c r="H94" s="4">
        <f t="shared" si="32"/>
        <v>0</v>
      </c>
      <c r="I94" s="4">
        <f t="shared" si="32"/>
        <v>0</v>
      </c>
      <c r="J94" s="4">
        <f t="shared" si="32"/>
        <v>0</v>
      </c>
      <c r="K94" s="4"/>
      <c r="L94" s="4"/>
      <c r="M94" s="4"/>
      <c r="N94" s="4"/>
      <c r="O94" s="4"/>
      <c r="P94" s="4">
        <v>109.45699999999999</v>
      </c>
      <c r="Q94" s="1">
        <f t="shared" si="27"/>
        <v>109.45699999999999</v>
      </c>
      <c r="R94" s="1">
        <f t="shared" si="28"/>
        <v>2736.4249999999997</v>
      </c>
      <c r="S94" s="1">
        <f t="shared" si="33"/>
        <v>2736.4249999999997</v>
      </c>
      <c r="T94" s="1">
        <f t="shared" si="30"/>
        <v>0</v>
      </c>
      <c r="U94" s="1">
        <f t="shared" si="31"/>
        <v>0</v>
      </c>
      <c r="V94" s="4"/>
    </row>
    <row r="95" spans="1:22" x14ac:dyDescent="0.35">
      <c r="A95" s="1">
        <v>94</v>
      </c>
      <c r="B95" s="1">
        <v>4317.7330751348463</v>
      </c>
      <c r="C95" s="1">
        <v>0</v>
      </c>
      <c r="D95" s="1"/>
      <c r="E95" s="1">
        <v>0</v>
      </c>
      <c r="F95" s="1">
        <v>0</v>
      </c>
      <c r="G95" s="4">
        <f t="shared" si="23"/>
        <v>0</v>
      </c>
      <c r="H95" s="4">
        <f t="shared" si="32"/>
        <v>0</v>
      </c>
      <c r="I95" s="4">
        <f t="shared" si="32"/>
        <v>0</v>
      </c>
      <c r="J95" s="4">
        <f t="shared" si="32"/>
        <v>0</v>
      </c>
      <c r="K95" s="4"/>
      <c r="L95" s="4"/>
      <c r="M95" s="4"/>
      <c r="N95" s="4"/>
      <c r="O95" s="4"/>
      <c r="P95" s="4">
        <v>97.187200000000004</v>
      </c>
      <c r="Q95" s="1">
        <f t="shared" si="27"/>
        <v>97.187200000000004</v>
      </c>
      <c r="R95" s="1">
        <f t="shared" si="28"/>
        <v>2429.6800000000003</v>
      </c>
      <c r="S95" s="1">
        <f t="shared" si="33"/>
        <v>2429.6800000000003</v>
      </c>
      <c r="T95" s="1">
        <f t="shared" si="30"/>
        <v>0</v>
      </c>
      <c r="U95" s="1">
        <f t="shared" si="31"/>
        <v>0</v>
      </c>
      <c r="V95" s="4"/>
    </row>
    <row r="96" spans="1:22" x14ac:dyDescent="0.35">
      <c r="A96" s="1">
        <v>95</v>
      </c>
      <c r="B96" s="1">
        <v>6988.6643510423764</v>
      </c>
      <c r="C96" s="1">
        <v>0</v>
      </c>
      <c r="D96" s="1"/>
      <c r="E96" s="1">
        <v>0</v>
      </c>
      <c r="F96" s="1">
        <v>0</v>
      </c>
      <c r="G96" s="4">
        <f t="shared" si="23"/>
        <v>0</v>
      </c>
      <c r="H96" s="4">
        <f t="shared" si="32"/>
        <v>0</v>
      </c>
      <c r="I96" s="4">
        <f t="shared" si="32"/>
        <v>0</v>
      </c>
      <c r="J96" s="4">
        <f t="shared" si="32"/>
        <v>0</v>
      </c>
      <c r="K96" s="4"/>
      <c r="L96" s="4"/>
      <c r="M96" s="4"/>
      <c r="N96" s="4"/>
      <c r="O96" s="4"/>
      <c r="P96" s="4">
        <v>114.952</v>
      </c>
      <c r="Q96" s="1">
        <f t="shared" si="27"/>
        <v>114.952</v>
      </c>
      <c r="R96" s="1">
        <f t="shared" si="28"/>
        <v>2873.8</v>
      </c>
      <c r="S96" s="1">
        <f t="shared" si="33"/>
        <v>2873.8</v>
      </c>
      <c r="T96" s="1">
        <f t="shared" si="30"/>
        <v>0</v>
      </c>
      <c r="U96" s="1">
        <f t="shared" si="31"/>
        <v>0</v>
      </c>
      <c r="V96" s="4"/>
    </row>
    <row r="97" spans="1:22" x14ac:dyDescent="0.35">
      <c r="A97" s="1">
        <v>96</v>
      </c>
      <c r="B97" s="1">
        <v>2938.8092172996649</v>
      </c>
      <c r="C97" s="1">
        <v>0</v>
      </c>
      <c r="D97" s="1"/>
      <c r="E97" s="1">
        <v>0</v>
      </c>
      <c r="F97" s="1">
        <v>0</v>
      </c>
      <c r="G97" s="4">
        <f t="shared" si="23"/>
        <v>0</v>
      </c>
      <c r="H97" s="4">
        <f t="shared" si="32"/>
        <v>0</v>
      </c>
      <c r="I97" s="4">
        <f t="shared" si="32"/>
        <v>0</v>
      </c>
      <c r="J97" s="4">
        <f t="shared" si="32"/>
        <v>0</v>
      </c>
      <c r="K97" s="4"/>
      <c r="L97" s="4"/>
      <c r="M97" s="4"/>
      <c r="N97" s="4"/>
      <c r="O97" s="4"/>
      <c r="P97" s="4">
        <v>61.982599999999998</v>
      </c>
      <c r="Q97" s="1">
        <f t="shared" si="27"/>
        <v>61.982599999999998</v>
      </c>
      <c r="R97" s="1">
        <f t="shared" si="28"/>
        <v>1549.5650000000001</v>
      </c>
      <c r="S97" s="1">
        <f>R97-G97</f>
        <v>1549.5650000000001</v>
      </c>
      <c r="T97" s="1">
        <f t="shared" si="30"/>
        <v>0</v>
      </c>
      <c r="U97" s="1">
        <f t="shared" si="31"/>
        <v>0</v>
      </c>
      <c r="V97" s="4"/>
    </row>
    <row r="98" spans="1:22" x14ac:dyDescent="0.35">
      <c r="A98" s="1">
        <v>97</v>
      </c>
      <c r="B98" s="1">
        <v>6184.3427862351964</v>
      </c>
      <c r="C98" s="1">
        <v>0</v>
      </c>
      <c r="D98" s="1"/>
      <c r="E98" s="1">
        <v>0</v>
      </c>
      <c r="F98" s="1">
        <v>0</v>
      </c>
      <c r="G98" s="4">
        <f t="shared" si="23"/>
        <v>0</v>
      </c>
      <c r="H98" s="4">
        <f t="shared" si="32"/>
        <v>0</v>
      </c>
      <c r="I98" s="4">
        <f t="shared" si="32"/>
        <v>0</v>
      </c>
      <c r="J98" s="4">
        <f t="shared" si="32"/>
        <v>0</v>
      </c>
      <c r="K98" s="4"/>
      <c r="L98" s="4"/>
      <c r="M98" s="4"/>
      <c r="N98" s="4"/>
      <c r="O98" s="4"/>
      <c r="P98" s="4">
        <v>129.93600000000001</v>
      </c>
      <c r="Q98" s="1">
        <f t="shared" si="27"/>
        <v>129.93600000000001</v>
      </c>
      <c r="R98" s="1">
        <f t="shared" si="28"/>
        <v>3248.4</v>
      </c>
      <c r="S98" s="1">
        <f t="shared" ref="S98:S100" si="34">R98-G98</f>
        <v>3248.4</v>
      </c>
      <c r="T98" s="1">
        <f t="shared" si="30"/>
        <v>0</v>
      </c>
      <c r="U98" s="1">
        <f t="shared" si="31"/>
        <v>0</v>
      </c>
      <c r="V98" s="4"/>
    </row>
    <row r="99" spans="1:22" x14ac:dyDescent="0.35">
      <c r="A99" s="1">
        <v>98</v>
      </c>
      <c r="B99" s="1">
        <v>3973.5840486666689</v>
      </c>
      <c r="C99" s="1">
        <v>0</v>
      </c>
      <c r="D99" s="1"/>
      <c r="E99" s="1">
        <v>0</v>
      </c>
      <c r="F99" s="1">
        <v>0</v>
      </c>
      <c r="G99" s="4">
        <f t="shared" si="23"/>
        <v>0</v>
      </c>
      <c r="H99" s="4">
        <f t="shared" si="32"/>
        <v>0</v>
      </c>
      <c r="I99" s="4">
        <f t="shared" si="32"/>
        <v>0</v>
      </c>
      <c r="J99" s="4">
        <f t="shared" si="32"/>
        <v>0</v>
      </c>
      <c r="K99" s="4"/>
      <c r="L99" s="4"/>
      <c r="M99" s="4"/>
      <c r="N99" s="4"/>
      <c r="O99" s="4"/>
      <c r="P99" s="4">
        <v>82.931700000000006</v>
      </c>
      <c r="Q99" s="1">
        <f t="shared" si="27"/>
        <v>82.931700000000006</v>
      </c>
      <c r="R99" s="1">
        <f t="shared" si="28"/>
        <v>2073.2925</v>
      </c>
      <c r="S99" s="1">
        <f t="shared" si="34"/>
        <v>2073.2925</v>
      </c>
      <c r="T99" s="1">
        <f t="shared" si="30"/>
        <v>0</v>
      </c>
      <c r="U99" s="1">
        <f t="shared" si="31"/>
        <v>0</v>
      </c>
      <c r="V99" s="4"/>
    </row>
    <row r="100" spans="1:22" x14ac:dyDescent="0.35">
      <c r="A100" s="1">
        <v>99</v>
      </c>
      <c r="B100" s="1">
        <v>6386.1720264839241</v>
      </c>
      <c r="C100" s="1">
        <v>0</v>
      </c>
      <c r="D100" s="1"/>
      <c r="E100" s="1">
        <v>0</v>
      </c>
      <c r="F100" s="1">
        <v>0</v>
      </c>
      <c r="G100" s="4">
        <f t="shared" si="23"/>
        <v>0</v>
      </c>
      <c r="H100" s="4">
        <f t="shared" si="32"/>
        <v>0</v>
      </c>
      <c r="I100" s="4">
        <f t="shared" si="32"/>
        <v>0</v>
      </c>
      <c r="J100" s="4">
        <f t="shared" si="32"/>
        <v>0</v>
      </c>
      <c r="K100" s="4"/>
      <c r="L100" s="4"/>
      <c r="M100" s="4"/>
      <c r="N100" s="4"/>
      <c r="O100" s="4"/>
      <c r="P100" s="4">
        <v>106.389</v>
      </c>
      <c r="Q100" s="1">
        <f t="shared" si="27"/>
        <v>106.389</v>
      </c>
      <c r="R100" s="1">
        <f t="shared" si="28"/>
        <v>2659.7249999999999</v>
      </c>
      <c r="S100" s="1">
        <f t="shared" si="34"/>
        <v>2659.7249999999999</v>
      </c>
      <c r="T100" s="1">
        <f t="shared" si="30"/>
        <v>0</v>
      </c>
      <c r="U100" s="1">
        <f t="shared" si="31"/>
        <v>0</v>
      </c>
      <c r="V100" s="4"/>
    </row>
    <row r="101" spans="1:22" x14ac:dyDescent="0.35">
      <c r="C101" s="4"/>
      <c r="D101" s="4"/>
      <c r="E101" s="4"/>
      <c r="F101" s="4"/>
      <c r="G101" s="4"/>
      <c r="H101" s="4"/>
      <c r="I101" s="4"/>
      <c r="J101" s="4"/>
      <c r="K101" s="4"/>
      <c r="L101" s="4"/>
      <c r="M101" s="4"/>
      <c r="N101" s="4"/>
      <c r="O101" s="4"/>
      <c r="P101" s="4"/>
      <c r="Q101" s="4"/>
      <c r="R101" s="4"/>
      <c r="S101" s="4"/>
      <c r="T101" s="4"/>
      <c r="U101" s="4"/>
      <c r="V101" s="4"/>
    </row>
    <row r="102" spans="1:22" x14ac:dyDescent="0.35">
      <c r="A102" s="1" t="s">
        <v>57</v>
      </c>
      <c r="B102" s="1">
        <f>SUM(B2:B100)</f>
        <v>404431.86611276446</v>
      </c>
      <c r="C102" s="1">
        <f t="shared" ref="C102:S102" si="35">SUM(C2:C100)</f>
        <v>162</v>
      </c>
      <c r="D102" s="1"/>
      <c r="E102" s="1">
        <f t="shared" si="35"/>
        <v>405</v>
      </c>
      <c r="F102" s="1">
        <f t="shared" si="35"/>
        <v>125.40000000000002</v>
      </c>
      <c r="G102" s="1">
        <f t="shared" si="35"/>
        <v>558400</v>
      </c>
      <c r="H102" s="1">
        <f t="shared" si="35"/>
        <v>5293.9999999999991</v>
      </c>
      <c r="I102" s="1"/>
      <c r="J102" s="1">
        <f t="shared" si="35"/>
        <v>132350</v>
      </c>
      <c r="K102" s="1">
        <f t="shared" si="35"/>
        <v>0</v>
      </c>
      <c r="L102" s="1">
        <f t="shared" si="35"/>
        <v>0</v>
      </c>
      <c r="M102" s="1">
        <f t="shared" si="35"/>
        <v>245687.81721330382</v>
      </c>
      <c r="N102" s="1">
        <f t="shared" si="35"/>
        <v>12810</v>
      </c>
      <c r="O102" s="1">
        <f t="shared" si="35"/>
        <v>0</v>
      </c>
      <c r="P102" s="1">
        <f t="shared" si="35"/>
        <v>31292.255720000016</v>
      </c>
      <c r="Q102" s="1">
        <f t="shared" si="35"/>
        <v>-527107.74427999929</v>
      </c>
      <c r="R102" s="1">
        <f t="shared" si="35"/>
        <v>782306.39299999992</v>
      </c>
      <c r="S102" s="1">
        <f t="shared" si="35"/>
        <v>223906.39300000001</v>
      </c>
      <c r="T102" s="1"/>
      <c r="U102" s="1"/>
      <c r="V102" s="4"/>
    </row>
    <row r="103" spans="1:22" x14ac:dyDescent="0.35">
      <c r="C103" s="4"/>
      <c r="D103" s="4"/>
      <c r="E103" s="4"/>
      <c r="F103" s="4"/>
      <c r="G103" s="4"/>
      <c r="H103" s="4"/>
      <c r="I103" s="4"/>
      <c r="J103" s="4"/>
      <c r="K103" s="4"/>
      <c r="L103" s="4"/>
      <c r="M103" s="4"/>
      <c r="N103" s="4"/>
      <c r="O103" s="4"/>
      <c r="P103" s="4"/>
      <c r="Q103" s="4"/>
      <c r="R103" s="4"/>
      <c r="S103" s="4"/>
      <c r="T103" s="4"/>
      <c r="U103" s="4"/>
      <c r="V103" s="4"/>
    </row>
    <row r="104" spans="1:22" x14ac:dyDescent="0.35">
      <c r="C104" s="4"/>
      <c r="D104" s="4"/>
      <c r="E104" s="4"/>
      <c r="F104" s="4"/>
      <c r="G104" s="4"/>
      <c r="H104" s="4"/>
      <c r="I104" s="4"/>
      <c r="J104" s="4"/>
      <c r="K104" s="4"/>
      <c r="L104" s="4"/>
      <c r="M104" s="4"/>
      <c r="N104" s="4"/>
      <c r="O104" s="4"/>
      <c r="P104" s="4"/>
      <c r="Q104" s="4"/>
      <c r="R104" s="4"/>
      <c r="S104" s="4"/>
      <c r="T104" s="4"/>
      <c r="U104" s="4"/>
      <c r="V104" s="4"/>
    </row>
  </sheetData>
  <mergeCells count="2">
    <mergeCell ref="L9:M9"/>
    <mergeCell ref="L20:M20"/>
  </mergeCell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F8E27-2D6E-4FFD-A4F4-B9C72088D018}">
  <dimension ref="A1:W46"/>
  <sheetViews>
    <sheetView tabSelected="1" topLeftCell="A25" zoomScale="80" zoomScaleNormal="80" workbookViewId="0">
      <selection activeCell="D47" sqref="D47"/>
    </sheetView>
  </sheetViews>
  <sheetFormatPr defaultRowHeight="14.5" x14ac:dyDescent="0.35"/>
  <cols>
    <col min="1" max="1" width="25.1796875" bestFit="1" customWidth="1"/>
    <col min="6" max="6" width="5.08984375" customWidth="1"/>
    <col min="7" max="7" width="27.54296875" bestFit="1" customWidth="1"/>
    <col min="9" max="9" width="12.54296875" bestFit="1" customWidth="1"/>
    <col min="10" max="10" width="16.26953125" customWidth="1"/>
    <col min="11" max="11" width="14" customWidth="1"/>
    <col min="12" max="12" width="14.08984375" customWidth="1"/>
    <col min="16" max="16" width="5.1796875" customWidth="1"/>
    <col min="20" max="20" width="25" bestFit="1" customWidth="1"/>
    <col min="21" max="21" width="10" bestFit="1" customWidth="1"/>
  </cols>
  <sheetData>
    <row r="1" spans="1:19" ht="29" x14ac:dyDescent="0.35">
      <c r="A1" s="111" t="s">
        <v>164</v>
      </c>
      <c r="B1" s="111"/>
      <c r="C1" s="111"/>
      <c r="D1" s="111"/>
      <c r="E1" s="111"/>
      <c r="G1" s="21" t="s">
        <v>167</v>
      </c>
      <c r="H1" s="21" t="s">
        <v>168</v>
      </c>
      <c r="I1" s="21" t="s">
        <v>180</v>
      </c>
      <c r="J1" s="25" t="s">
        <v>169</v>
      </c>
      <c r="K1" s="25" t="s">
        <v>171</v>
      </c>
      <c r="L1" s="25" t="s">
        <v>170</v>
      </c>
    </row>
    <row r="2" spans="1:19" x14ac:dyDescent="0.35">
      <c r="A2" s="111"/>
      <c r="B2" s="111"/>
      <c r="C2" s="111"/>
      <c r="D2" s="111"/>
      <c r="E2" s="111"/>
      <c r="G2" s="22" t="s">
        <v>165</v>
      </c>
      <c r="H2" s="22" t="s">
        <v>172</v>
      </c>
      <c r="I2" s="22">
        <v>44</v>
      </c>
      <c r="J2" s="22">
        <v>5</v>
      </c>
      <c r="K2" s="22">
        <v>2</v>
      </c>
      <c r="L2" s="22">
        <v>0</v>
      </c>
    </row>
    <row r="3" spans="1:19" x14ac:dyDescent="0.35">
      <c r="A3" s="111"/>
      <c r="B3" s="111"/>
      <c r="C3" s="111"/>
      <c r="D3" s="111"/>
      <c r="E3" s="111"/>
      <c r="G3" s="22" t="s">
        <v>165</v>
      </c>
      <c r="H3" s="22" t="s">
        <v>173</v>
      </c>
      <c r="I3" s="22">
        <v>16</v>
      </c>
      <c r="J3" s="22">
        <v>14.98</v>
      </c>
      <c r="K3" s="22">
        <v>4</v>
      </c>
      <c r="L3" s="22">
        <v>0</v>
      </c>
    </row>
    <row r="4" spans="1:19" x14ac:dyDescent="0.35">
      <c r="G4" s="22" t="s">
        <v>165</v>
      </c>
      <c r="H4" s="22" t="s">
        <v>174</v>
      </c>
      <c r="I4" s="22">
        <v>32</v>
      </c>
      <c r="J4" s="22">
        <v>40</v>
      </c>
      <c r="K4" s="22">
        <v>10</v>
      </c>
      <c r="L4" s="22">
        <v>14.9</v>
      </c>
    </row>
    <row r="5" spans="1:19" x14ac:dyDescent="0.35">
      <c r="G5" s="22" t="s">
        <v>165</v>
      </c>
      <c r="H5" s="22" t="s">
        <v>175</v>
      </c>
      <c r="I5" s="22">
        <v>2</v>
      </c>
      <c r="J5" s="22">
        <v>11.52</v>
      </c>
      <c r="K5" s="22">
        <v>4</v>
      </c>
      <c r="L5" s="22">
        <v>3.3</v>
      </c>
    </row>
    <row r="6" spans="1:19" x14ac:dyDescent="0.35">
      <c r="G6" s="22" t="s">
        <v>166</v>
      </c>
      <c r="H6" s="22" t="s">
        <v>176</v>
      </c>
      <c r="I6" s="22">
        <v>60</v>
      </c>
      <c r="J6" s="22">
        <v>8.0299999999999994</v>
      </c>
      <c r="K6" s="22">
        <v>0</v>
      </c>
      <c r="L6" s="22">
        <v>0</v>
      </c>
    </row>
    <row r="7" spans="1:19" x14ac:dyDescent="0.35">
      <c r="G7" s="22" t="s">
        <v>166</v>
      </c>
      <c r="H7" s="22" t="s">
        <v>177</v>
      </c>
      <c r="I7" s="22">
        <v>75</v>
      </c>
      <c r="J7" s="22">
        <v>39.24</v>
      </c>
      <c r="K7" s="22">
        <v>0</v>
      </c>
      <c r="L7" s="22">
        <v>0</v>
      </c>
    </row>
    <row r="8" spans="1:19" x14ac:dyDescent="0.35">
      <c r="G8" s="22" t="s">
        <v>166</v>
      </c>
      <c r="H8" s="22" t="s">
        <v>178</v>
      </c>
      <c r="I8" s="22">
        <v>81</v>
      </c>
      <c r="J8" s="22">
        <v>4.71</v>
      </c>
      <c r="K8" s="22">
        <v>0</v>
      </c>
      <c r="L8" s="22">
        <v>0</v>
      </c>
    </row>
    <row r="9" spans="1:19" x14ac:dyDescent="0.35">
      <c r="B9">
        <f>B18+B19+B20</f>
        <v>3553.2919999999999</v>
      </c>
      <c r="C9">
        <f>C18+C19+C20</f>
        <v>6995.57</v>
      </c>
      <c r="D9">
        <f>D18+D19+D20</f>
        <v>17323.120000000003</v>
      </c>
      <c r="E9">
        <f>E18+E19+E20</f>
        <v>7095.85</v>
      </c>
      <c r="G9" s="22" t="s">
        <v>166</v>
      </c>
      <c r="H9" s="22" t="s">
        <v>179</v>
      </c>
      <c r="I9" s="22">
        <v>95</v>
      </c>
      <c r="J9" s="22">
        <v>22.47</v>
      </c>
      <c r="K9" s="22">
        <v>0</v>
      </c>
      <c r="L9" s="22">
        <v>0</v>
      </c>
    </row>
    <row r="10" spans="1:19" x14ac:dyDescent="0.35">
      <c r="D10">
        <f>D9-D16</f>
        <v>-2.9799999999959255</v>
      </c>
      <c r="E10">
        <f>E9-E16</f>
        <v>106.43000000000029</v>
      </c>
    </row>
    <row r="11" spans="1:19" x14ac:dyDescent="0.35">
      <c r="H11" s="2"/>
      <c r="J11" t="s">
        <v>6</v>
      </c>
      <c r="K11" t="s">
        <v>6</v>
      </c>
      <c r="L11">
        <f>M16*0.155</f>
        <v>497.00749999999999</v>
      </c>
      <c r="M11">
        <f>9932.32+N16</f>
        <v>19392.099999999999</v>
      </c>
      <c r="N11">
        <f>O13+O16</f>
        <v>6330.18</v>
      </c>
      <c r="O11" t="s">
        <v>6</v>
      </c>
    </row>
    <row r="12" spans="1:19" x14ac:dyDescent="0.35">
      <c r="A12" s="112" t="s">
        <v>181</v>
      </c>
      <c r="B12" s="112"/>
      <c r="C12" s="112"/>
    </row>
    <row r="13" spans="1:19" x14ac:dyDescent="0.35">
      <c r="A13" s="112"/>
      <c r="B13" s="112"/>
      <c r="C13" s="112"/>
      <c r="H13">
        <f>H17+H18</f>
        <v>2862.8020000000001</v>
      </c>
      <c r="I13">
        <f t="shared" ref="I13:K13" si="0">I17+I18</f>
        <v>14350.32</v>
      </c>
      <c r="J13">
        <f t="shared" si="0"/>
        <v>1722.7549999999999</v>
      </c>
      <c r="K13">
        <f t="shared" si="0"/>
        <v>6988.66</v>
      </c>
      <c r="L13">
        <f>L16+B18</f>
        <v>1279.201</v>
      </c>
      <c r="M13">
        <f>M16+C18</f>
        <v>5476.9</v>
      </c>
      <c r="N13">
        <f t="shared" ref="N13:O13" si="1">N16+D18</f>
        <v>14627.5</v>
      </c>
      <c r="O13">
        <f t="shared" si="1"/>
        <v>3886.32</v>
      </c>
    </row>
    <row r="14" spans="1:19" x14ac:dyDescent="0.35">
      <c r="A14" s="110"/>
      <c r="B14" s="110"/>
      <c r="C14" s="110"/>
      <c r="D14" s="110"/>
      <c r="E14" s="110"/>
      <c r="F14" s="110"/>
      <c r="G14" s="113"/>
      <c r="H14" s="113"/>
      <c r="I14" s="113"/>
      <c r="J14" s="113"/>
      <c r="K14" s="113"/>
      <c r="L14" s="113"/>
      <c r="M14" s="113"/>
      <c r="N14" s="113"/>
      <c r="O14" s="113"/>
      <c r="P14" s="113"/>
      <c r="S14" t="s">
        <v>6</v>
      </c>
    </row>
    <row r="15" spans="1:19" x14ac:dyDescent="0.35">
      <c r="A15" s="23" t="s">
        <v>186</v>
      </c>
      <c r="B15" s="23" t="s">
        <v>199</v>
      </c>
      <c r="C15" s="23" t="s">
        <v>200</v>
      </c>
      <c r="D15" s="23" t="s">
        <v>201</v>
      </c>
      <c r="E15" s="23" t="s">
        <v>202</v>
      </c>
      <c r="F15" s="110"/>
      <c r="G15" s="2" t="s">
        <v>192</v>
      </c>
      <c r="H15" s="2" t="s">
        <v>203</v>
      </c>
      <c r="I15" s="2" t="s">
        <v>204</v>
      </c>
      <c r="J15" s="2" t="s">
        <v>205</v>
      </c>
      <c r="K15" s="2" t="s">
        <v>206</v>
      </c>
      <c r="L15" s="26" t="s">
        <v>199</v>
      </c>
      <c r="M15" s="23" t="s">
        <v>200</v>
      </c>
      <c r="N15" s="23" t="s">
        <v>201</v>
      </c>
      <c r="O15" s="23" t="s">
        <v>202</v>
      </c>
      <c r="P15" s="107"/>
    </row>
    <row r="16" spans="1:19" x14ac:dyDescent="0.35">
      <c r="A16" s="15" t="s">
        <v>182</v>
      </c>
      <c r="B16">
        <v>3553.3</v>
      </c>
      <c r="C16">
        <v>6995.57</v>
      </c>
      <c r="D16">
        <v>17326.099999999999</v>
      </c>
      <c r="E16">
        <v>6989.42</v>
      </c>
      <c r="F16" s="110"/>
      <c r="G16" s="2" t="s">
        <v>193</v>
      </c>
      <c r="H16" s="1">
        <v>2862.8</v>
      </c>
      <c r="I16" s="1">
        <v>14350.3</v>
      </c>
      <c r="J16" s="1">
        <v>1722.75</v>
      </c>
      <c r="K16" s="1">
        <v>6988.66</v>
      </c>
      <c r="L16" s="27">
        <v>725.43899999999996</v>
      </c>
      <c r="M16" s="1">
        <v>3206.5</v>
      </c>
      <c r="N16" s="1">
        <v>9459.7799999999988</v>
      </c>
      <c r="O16" s="1">
        <v>2443.86</v>
      </c>
      <c r="P16" s="107"/>
      <c r="R16">
        <f>D17-D18</f>
        <v>9459.7799999999988</v>
      </c>
      <c r="S16">
        <f>E17-E18</f>
        <v>2443.86</v>
      </c>
    </row>
    <row r="17" spans="1:22" x14ac:dyDescent="0.35">
      <c r="A17" s="24" t="s">
        <v>193</v>
      </c>
      <c r="B17">
        <v>1279.2</v>
      </c>
      <c r="C17">
        <v>5476.9</v>
      </c>
      <c r="D17">
        <v>14627.5</v>
      </c>
      <c r="E17">
        <v>3886.32</v>
      </c>
      <c r="F17" s="110"/>
      <c r="G17" s="2" t="s">
        <v>207</v>
      </c>
      <c r="H17" s="1">
        <v>1907.14</v>
      </c>
      <c r="I17" s="1">
        <v>10308.700000000001</v>
      </c>
      <c r="J17" s="1">
        <v>1237.56</v>
      </c>
      <c r="K17" s="1">
        <v>5118.96</v>
      </c>
      <c r="L17" s="27">
        <v>724.80899999999997</v>
      </c>
      <c r="M17" s="1">
        <v>3188.67</v>
      </c>
      <c r="N17" s="1">
        <f>N16-N18</f>
        <v>9427.1649999999991</v>
      </c>
      <c r="O17" s="1">
        <f>O16-O18</f>
        <v>2440.4810000000002</v>
      </c>
      <c r="P17" s="107"/>
      <c r="R17">
        <f>R16*0.155</f>
        <v>1466.2658999999999</v>
      </c>
      <c r="S17">
        <f>S16*0.155</f>
        <v>378.79830000000004</v>
      </c>
    </row>
    <row r="18" spans="1:22" ht="15" thickBot="1" x14ac:dyDescent="0.4">
      <c r="A18" s="15" t="s">
        <v>183</v>
      </c>
      <c r="B18">
        <v>553.76199999999994</v>
      </c>
      <c r="C18">
        <v>2270.4</v>
      </c>
      <c r="D18">
        <v>5167.72</v>
      </c>
      <c r="E18">
        <v>1442.46</v>
      </c>
      <c r="F18" s="110"/>
      <c r="G18" s="2" t="s">
        <v>194</v>
      </c>
      <c r="H18" s="1">
        <v>955.66200000000003</v>
      </c>
      <c r="I18" s="1">
        <v>4041.62</v>
      </c>
      <c r="J18" s="1">
        <v>485.19499999999999</v>
      </c>
      <c r="K18" s="1">
        <v>1869.7</v>
      </c>
      <c r="L18" s="27">
        <v>0.629</v>
      </c>
      <c r="M18" s="1">
        <v>17.8308</v>
      </c>
      <c r="N18" s="1">
        <v>32.615000000000002</v>
      </c>
      <c r="O18" s="1">
        <v>3.379</v>
      </c>
      <c r="P18" s="107"/>
    </row>
    <row r="19" spans="1:22" x14ac:dyDescent="0.35">
      <c r="A19" s="15" t="s">
        <v>184</v>
      </c>
      <c r="B19">
        <v>1135.29</v>
      </c>
      <c r="C19">
        <v>1485.71</v>
      </c>
      <c r="D19">
        <v>6319.47</v>
      </c>
      <c r="E19">
        <v>2567.4899999999998</v>
      </c>
      <c r="F19" s="110"/>
      <c r="P19" s="107"/>
      <c r="R19" t="s">
        <v>6</v>
      </c>
      <c r="T19" s="33" t="s">
        <v>210</v>
      </c>
      <c r="U19" s="34">
        <v>12181.643</v>
      </c>
    </row>
    <row r="20" spans="1:22" x14ac:dyDescent="0.35">
      <c r="A20" s="15" t="s">
        <v>185</v>
      </c>
      <c r="B20">
        <v>1864.24</v>
      </c>
      <c r="C20">
        <v>3239.46</v>
      </c>
      <c r="D20">
        <v>5835.93</v>
      </c>
      <c r="E20">
        <v>3085.9</v>
      </c>
      <c r="F20" s="110"/>
      <c r="G20" s="114"/>
      <c r="H20" s="114"/>
      <c r="I20" s="114"/>
      <c r="J20" s="114"/>
      <c r="K20" s="114"/>
      <c r="L20" s="114"/>
      <c r="M20" s="114"/>
      <c r="N20" s="114"/>
      <c r="O20" s="114"/>
      <c r="P20" s="114"/>
      <c r="T20" s="35" t="s">
        <v>217</v>
      </c>
      <c r="U20" s="36">
        <v>78629.760999999999</v>
      </c>
    </row>
    <row r="21" spans="1:22" x14ac:dyDescent="0.35">
      <c r="A21" s="115"/>
      <c r="B21" s="115"/>
      <c r="C21" s="115"/>
      <c r="D21" s="115"/>
      <c r="E21" s="115"/>
      <c r="F21" s="110"/>
      <c r="H21" s="2" t="s">
        <v>203</v>
      </c>
      <c r="I21" s="2" t="s">
        <v>204</v>
      </c>
      <c r="J21" s="2" t="s">
        <v>205</v>
      </c>
      <c r="K21" s="2" t="s">
        <v>206</v>
      </c>
      <c r="L21" s="26" t="s">
        <v>199</v>
      </c>
      <c r="M21" s="23" t="s">
        <v>200</v>
      </c>
      <c r="N21" s="23" t="s">
        <v>201</v>
      </c>
      <c r="O21" s="23" t="s">
        <v>202</v>
      </c>
      <c r="P21" s="116"/>
      <c r="T21" s="35" t="s">
        <v>211</v>
      </c>
      <c r="U21" s="36">
        <v>78285.445999999996</v>
      </c>
    </row>
    <row r="22" spans="1:22" x14ac:dyDescent="0.35">
      <c r="A22" s="15"/>
      <c r="B22" s="23" t="s">
        <v>199</v>
      </c>
      <c r="C22" s="23" t="s">
        <v>200</v>
      </c>
      <c r="D22" s="23" t="s">
        <v>201</v>
      </c>
      <c r="E22" s="23" t="s">
        <v>202</v>
      </c>
      <c r="F22" s="110"/>
      <c r="G22" s="2" t="s">
        <v>195</v>
      </c>
      <c r="H22" s="1">
        <v>383.90899999999999</v>
      </c>
      <c r="I22" s="1">
        <v>1974.09</v>
      </c>
      <c r="J22" s="1">
        <v>236.989</v>
      </c>
      <c r="K22" s="1">
        <v>968.29100000000005</v>
      </c>
      <c r="L22" s="1">
        <v>112.43</v>
      </c>
      <c r="M22" s="1">
        <v>496.70499999999998</v>
      </c>
      <c r="N22" s="1">
        <v>1466.2658999999999</v>
      </c>
      <c r="O22" s="1">
        <v>378.79830000000004</v>
      </c>
      <c r="P22" s="116"/>
      <c r="T22" s="35" t="s">
        <v>218</v>
      </c>
      <c r="U22" s="36">
        <v>344.31</v>
      </c>
      <c r="V22" t="s">
        <v>6</v>
      </c>
    </row>
    <row r="23" spans="1:22" x14ac:dyDescent="0.35">
      <c r="A23" s="15" t="s">
        <v>187</v>
      </c>
      <c r="B23">
        <v>269.49299999999999</v>
      </c>
      <c r="C23">
        <v>415.81700000000001</v>
      </c>
      <c r="D23">
        <v>1113.77</v>
      </c>
      <c r="E23">
        <v>522.29200000000003</v>
      </c>
      <c r="F23" s="110"/>
      <c r="G23" s="2" t="s">
        <v>208</v>
      </c>
      <c r="H23" s="1">
        <v>295.60700000000003</v>
      </c>
      <c r="I23" s="1">
        <v>1597.85</v>
      </c>
      <c r="J23" s="1">
        <v>191.821</v>
      </c>
      <c r="K23" s="1">
        <v>793.43899999999996</v>
      </c>
      <c r="L23" s="1">
        <v>112.345</v>
      </c>
      <c r="M23" s="1">
        <v>494.24299999999999</v>
      </c>
      <c r="N23" s="1">
        <f>N22-N24</f>
        <v>1461.6515699999998</v>
      </c>
      <c r="O23" s="1">
        <f>O22-O24</f>
        <v>378.29271600000004</v>
      </c>
      <c r="P23" s="116"/>
      <c r="R23" t="s">
        <v>6</v>
      </c>
      <c r="T23" s="35" t="s">
        <v>212</v>
      </c>
      <c r="U23" s="36">
        <f>U20*0.155</f>
        <v>12187.612955000001</v>
      </c>
    </row>
    <row r="24" spans="1:22" x14ac:dyDescent="0.35">
      <c r="A24" s="15" t="s">
        <v>188</v>
      </c>
      <c r="B24">
        <v>162.18899999999999</v>
      </c>
      <c r="C24">
        <v>281.83300000000003</v>
      </c>
      <c r="D24">
        <v>507.726</v>
      </c>
      <c r="E24">
        <v>268.47300000000001</v>
      </c>
      <c r="F24" s="110"/>
      <c r="G24" s="2" t="s">
        <v>196</v>
      </c>
      <c r="H24" s="1">
        <v>88.301699999999997</v>
      </c>
      <c r="I24" s="1">
        <v>376.24200000000002</v>
      </c>
      <c r="J24" s="1">
        <v>45.167700000000004</v>
      </c>
      <c r="K24" s="1">
        <v>174.852</v>
      </c>
      <c r="L24" s="1">
        <v>8.4796099999999999E-2</v>
      </c>
      <c r="M24" s="1">
        <v>2.4611800000000001</v>
      </c>
      <c r="N24" s="1">
        <v>4.6143299999999998</v>
      </c>
      <c r="O24" s="1">
        <v>0.50558400000000003</v>
      </c>
      <c r="P24" s="116"/>
      <c r="T24" s="35" t="s">
        <v>213</v>
      </c>
      <c r="U24" s="36">
        <f>U23-U19</f>
        <v>5.969955000000482</v>
      </c>
    </row>
    <row r="25" spans="1:22" x14ac:dyDescent="0.35">
      <c r="A25" s="15" t="s">
        <v>189</v>
      </c>
      <c r="B25">
        <v>107.304</v>
      </c>
      <c r="C25">
        <v>133.98400000000001</v>
      </c>
      <c r="D25">
        <v>606.04600000000005</v>
      </c>
      <c r="E25">
        <v>253.81899999999999</v>
      </c>
      <c r="F25" s="110"/>
      <c r="G25" s="2" t="s">
        <v>190</v>
      </c>
      <c r="H25" s="1">
        <v>443.73500000000001</v>
      </c>
      <c r="I25" s="1">
        <v>2224.3000000000002</v>
      </c>
      <c r="J25" s="1">
        <v>267.02600000000001</v>
      </c>
      <c r="K25" s="1">
        <v>1083.24</v>
      </c>
      <c r="L25" s="1">
        <v>112.443</v>
      </c>
      <c r="M25" s="1">
        <v>497.00700000000001</v>
      </c>
      <c r="N25" s="1">
        <f>N16*0.155</f>
        <v>1466.2658999999999</v>
      </c>
      <c r="O25" s="1">
        <f>O16*0.155</f>
        <v>378.79830000000004</v>
      </c>
      <c r="P25" s="116"/>
      <c r="T25" s="35" t="s">
        <v>214</v>
      </c>
      <c r="U25" s="36">
        <v>30402.157999999999</v>
      </c>
    </row>
    <row r="26" spans="1:22" x14ac:dyDescent="0.35">
      <c r="A26" s="15" t="s">
        <v>190</v>
      </c>
      <c r="B26">
        <v>83.832999999999998</v>
      </c>
      <c r="C26">
        <v>351.91300000000001</v>
      </c>
      <c r="D26">
        <v>800.99</v>
      </c>
      <c r="E26">
        <v>223.58</v>
      </c>
      <c r="F26" s="110"/>
      <c r="G26" s="2" t="s">
        <v>191</v>
      </c>
      <c r="H26" s="1">
        <v>59.825899999999997</v>
      </c>
      <c r="I26" s="1">
        <v>250.209</v>
      </c>
      <c r="J26" s="1">
        <v>30.037500000000001</v>
      </c>
      <c r="K26" s="1">
        <v>114.952</v>
      </c>
      <c r="L26" s="1">
        <v>1.2805800000000001E-2</v>
      </c>
      <c r="M26" s="1">
        <v>0.30259399999999997</v>
      </c>
      <c r="N26" s="1">
        <v>0.44113599999999997</v>
      </c>
      <c r="O26" s="1">
        <v>1.8287899999999999E-2</v>
      </c>
      <c r="P26" s="116"/>
      <c r="T26" s="35" t="s">
        <v>215</v>
      </c>
      <c r="U26" s="36">
        <f>U25+U24</f>
        <v>30408.127955</v>
      </c>
    </row>
    <row r="27" spans="1:22" x14ac:dyDescent="0.35">
      <c r="A27" s="15" t="s">
        <v>225</v>
      </c>
      <c r="B27">
        <v>355.32600000000002</v>
      </c>
      <c r="C27">
        <v>767.72900000000004</v>
      </c>
      <c r="D27">
        <v>1914.77</v>
      </c>
      <c r="E27">
        <v>745.87300000000005</v>
      </c>
      <c r="F27" s="110"/>
      <c r="G27" s="2"/>
      <c r="H27" s="1"/>
      <c r="I27" s="1"/>
      <c r="J27" s="1"/>
      <c r="K27" s="1"/>
      <c r="L27" s="1"/>
      <c r="M27" s="1"/>
      <c r="N27" s="1"/>
      <c r="O27" s="1"/>
      <c r="P27" s="28"/>
      <c r="T27" s="39"/>
      <c r="U27" s="40"/>
    </row>
    <row r="28" spans="1:22" ht="15" thickBot="1" x14ac:dyDescent="0.4">
      <c r="A28" s="15" t="s">
        <v>226</v>
      </c>
      <c r="B28">
        <f>B27-L22</f>
        <v>242.89600000000002</v>
      </c>
      <c r="C28">
        <f t="shared" ref="C28:E28" si="2">C27-M22</f>
        <v>271.02400000000006</v>
      </c>
      <c r="D28">
        <f t="shared" si="2"/>
        <v>448.50410000000011</v>
      </c>
      <c r="E28">
        <f t="shared" si="2"/>
        <v>367.07470000000001</v>
      </c>
      <c r="F28" s="110"/>
      <c r="G28" s="113"/>
      <c r="H28" s="113"/>
      <c r="I28" s="113"/>
      <c r="J28" s="113"/>
      <c r="K28" s="113"/>
      <c r="L28" s="113"/>
      <c r="M28" s="113"/>
      <c r="N28" s="113"/>
      <c r="O28" s="113"/>
      <c r="P28" s="113"/>
      <c r="T28" s="37" t="s">
        <v>216</v>
      </c>
      <c r="U28" s="38">
        <f>U26-U19</f>
        <v>18226.484955</v>
      </c>
    </row>
    <row r="29" spans="1:22" x14ac:dyDescent="0.35">
      <c r="A29" s="110"/>
      <c r="B29" s="110"/>
      <c r="C29" s="110"/>
      <c r="D29" s="110"/>
      <c r="E29" s="110"/>
      <c r="F29" s="110"/>
      <c r="P29" s="1"/>
    </row>
    <row r="30" spans="1:22" ht="15" thickBot="1" x14ac:dyDescent="0.4">
      <c r="A30" s="15"/>
      <c r="U30" t="s">
        <v>224</v>
      </c>
      <c r="V30" t="s">
        <v>223</v>
      </c>
    </row>
    <row r="31" spans="1:22" x14ac:dyDescent="0.35">
      <c r="A31" s="41"/>
      <c r="B31" s="42" t="s">
        <v>172</v>
      </c>
      <c r="C31" s="42" t="s">
        <v>173</v>
      </c>
      <c r="D31" s="42" t="s">
        <v>174</v>
      </c>
      <c r="E31" s="43" t="s">
        <v>175</v>
      </c>
      <c r="G31" s="29"/>
      <c r="H31" s="48" t="s">
        <v>176</v>
      </c>
      <c r="I31" s="48" t="s">
        <v>177</v>
      </c>
      <c r="J31" s="48" t="s">
        <v>178</v>
      </c>
      <c r="K31" s="49" t="s">
        <v>179</v>
      </c>
      <c r="T31" s="33" t="s">
        <v>219</v>
      </c>
      <c r="U31" s="34">
        <v>235777</v>
      </c>
      <c r="V31" s="34">
        <v>31860</v>
      </c>
    </row>
    <row r="32" spans="1:22" x14ac:dyDescent="0.35">
      <c r="A32" s="31" t="s">
        <v>227</v>
      </c>
      <c r="B32">
        <v>269.49299999999999</v>
      </c>
      <c r="C32">
        <v>415.81700000000001</v>
      </c>
      <c r="D32">
        <v>1113.77</v>
      </c>
      <c r="E32" s="30">
        <v>522.29200000000003</v>
      </c>
      <c r="G32" s="50" t="s">
        <v>238</v>
      </c>
      <c r="H32" s="4">
        <v>383.90899999999999</v>
      </c>
      <c r="I32" s="4">
        <v>1974.09</v>
      </c>
      <c r="J32" s="4">
        <v>236.989</v>
      </c>
      <c r="K32" s="46">
        <v>968.29100000000005</v>
      </c>
      <c r="T32" s="35" t="s">
        <v>220</v>
      </c>
      <c r="U32" s="36">
        <v>75086</v>
      </c>
      <c r="V32" s="36">
        <v>6953</v>
      </c>
    </row>
    <row r="33" spans="1:23" ht="15" thickBot="1" x14ac:dyDescent="0.4">
      <c r="A33" s="31" t="s">
        <v>228</v>
      </c>
      <c r="B33">
        <v>162.18899999999999</v>
      </c>
      <c r="C33">
        <v>281.83300000000003</v>
      </c>
      <c r="D33">
        <v>507.726</v>
      </c>
      <c r="E33" s="30">
        <v>268.47300000000001</v>
      </c>
      <c r="G33" s="50" t="s">
        <v>243</v>
      </c>
      <c r="H33" s="4">
        <v>295.60700000000003</v>
      </c>
      <c r="I33" s="4">
        <v>1597.85</v>
      </c>
      <c r="J33" s="4">
        <v>191.821</v>
      </c>
      <c r="K33" s="46">
        <v>793.43899999999996</v>
      </c>
      <c r="T33" s="35" t="s">
        <v>221</v>
      </c>
      <c r="U33" s="36">
        <v>160691</v>
      </c>
      <c r="V33" s="36">
        <v>24907</v>
      </c>
      <c r="W33" t="s">
        <v>6</v>
      </c>
    </row>
    <row r="34" spans="1:23" ht="15" thickBot="1" x14ac:dyDescent="0.4">
      <c r="A34" s="31" t="s">
        <v>229</v>
      </c>
      <c r="B34">
        <v>107.304</v>
      </c>
      <c r="C34">
        <v>133.98400000000001</v>
      </c>
      <c r="D34">
        <v>606.04600000000005</v>
      </c>
      <c r="E34" s="30">
        <v>253.81899999999999</v>
      </c>
      <c r="G34" s="50" t="s">
        <v>239</v>
      </c>
      <c r="H34" s="4">
        <v>88.301699999999997</v>
      </c>
      <c r="I34" s="4">
        <v>376.24200000000002</v>
      </c>
      <c r="J34" s="4">
        <v>45.167700000000004</v>
      </c>
      <c r="K34" s="46">
        <v>174.852</v>
      </c>
      <c r="T34" s="35" t="s">
        <v>212</v>
      </c>
      <c r="U34" s="34">
        <v>235777</v>
      </c>
      <c r="V34" s="38">
        <v>36545</v>
      </c>
    </row>
    <row r="35" spans="1:23" ht="15" thickBot="1" x14ac:dyDescent="0.4">
      <c r="A35" s="31" t="s">
        <v>230</v>
      </c>
      <c r="B35">
        <v>242.89600000000002</v>
      </c>
      <c r="C35">
        <v>271.02400000000006</v>
      </c>
      <c r="D35">
        <v>448.50410000000011</v>
      </c>
      <c r="E35" s="30">
        <v>367.07470000000001</v>
      </c>
      <c r="G35" s="50" t="s">
        <v>242</v>
      </c>
      <c r="H35" s="4">
        <v>443.73500000000001</v>
      </c>
      <c r="I35" s="4">
        <v>2224.3000000000002</v>
      </c>
      <c r="J35" s="4">
        <v>267.02600000000001</v>
      </c>
      <c r="K35" s="46">
        <v>1083.24</v>
      </c>
      <c r="T35" s="37" t="s">
        <v>222</v>
      </c>
      <c r="U35" s="38"/>
      <c r="V35" s="38">
        <f>V34-V31</f>
        <v>4685</v>
      </c>
    </row>
    <row r="36" spans="1:23" ht="15" thickBot="1" x14ac:dyDescent="0.4">
      <c r="A36" s="44" t="s">
        <v>231</v>
      </c>
      <c r="B36" s="54">
        <v>112.43</v>
      </c>
      <c r="C36" s="54">
        <v>496.70499999999998</v>
      </c>
      <c r="D36" s="54">
        <v>1466.2658999999999</v>
      </c>
      <c r="E36" s="55">
        <v>378.79830000000004</v>
      </c>
      <c r="G36" s="51" t="s">
        <v>240</v>
      </c>
      <c r="H36" s="52">
        <v>59.825899999999997</v>
      </c>
      <c r="I36" s="52">
        <v>250.209</v>
      </c>
      <c r="J36" s="52">
        <v>30.037500000000001</v>
      </c>
      <c r="K36" s="53">
        <v>114.952</v>
      </c>
    </row>
    <row r="37" spans="1:23" ht="15" thickBot="1" x14ac:dyDescent="0.4"/>
    <row r="38" spans="1:23" x14ac:dyDescent="0.35">
      <c r="A38" s="29"/>
      <c r="B38" s="42" t="s">
        <v>172</v>
      </c>
      <c r="C38" s="42" t="s">
        <v>173</v>
      </c>
      <c r="D38" s="42" t="s">
        <v>174</v>
      </c>
      <c r="E38" s="43" t="s">
        <v>175</v>
      </c>
      <c r="G38" s="47"/>
      <c r="H38" s="48" t="s">
        <v>176</v>
      </c>
      <c r="I38" s="48" t="s">
        <v>177</v>
      </c>
      <c r="J38" s="48" t="s">
        <v>178</v>
      </c>
      <c r="K38" s="49" t="s">
        <v>179</v>
      </c>
    </row>
    <row r="39" spans="1:23" x14ac:dyDescent="0.35">
      <c r="A39" s="31" t="s">
        <v>232</v>
      </c>
      <c r="B39">
        <v>3553.3</v>
      </c>
      <c r="C39">
        <v>6995.57</v>
      </c>
      <c r="D39">
        <v>17326.099999999999</v>
      </c>
      <c r="E39" s="30">
        <v>6989.42</v>
      </c>
      <c r="G39" s="50" t="s">
        <v>198</v>
      </c>
      <c r="H39" s="4">
        <v>2862.8</v>
      </c>
      <c r="I39" s="4">
        <v>14350.3</v>
      </c>
      <c r="J39" s="4">
        <v>1722.75</v>
      </c>
      <c r="K39" s="46">
        <v>6988.66</v>
      </c>
    </row>
    <row r="40" spans="1:23" x14ac:dyDescent="0.35">
      <c r="A40" s="45" t="s">
        <v>233</v>
      </c>
      <c r="B40">
        <v>1279.2</v>
      </c>
      <c r="C40">
        <v>5476.9</v>
      </c>
      <c r="D40" s="4">
        <v>14627.5</v>
      </c>
      <c r="E40" s="46">
        <v>3886.32</v>
      </c>
      <c r="G40" s="50" t="s">
        <v>244</v>
      </c>
      <c r="H40" s="4">
        <v>1907.14</v>
      </c>
      <c r="I40" s="4">
        <v>10308.700000000001</v>
      </c>
      <c r="J40" s="4">
        <v>1237.56</v>
      </c>
      <c r="K40" s="46">
        <v>5118.96</v>
      </c>
    </row>
    <row r="41" spans="1:23" ht="15" thickBot="1" x14ac:dyDescent="0.4">
      <c r="A41" s="31" t="s">
        <v>234</v>
      </c>
      <c r="B41">
        <v>553.76199999999994</v>
      </c>
      <c r="C41">
        <v>2270.4</v>
      </c>
      <c r="D41">
        <v>5167.72</v>
      </c>
      <c r="E41" s="30">
        <v>1442.46</v>
      </c>
      <c r="G41" s="51" t="s">
        <v>237</v>
      </c>
      <c r="H41" s="52">
        <v>955.66200000000003</v>
      </c>
      <c r="I41" s="52">
        <v>4041.62</v>
      </c>
      <c r="J41" s="52">
        <v>485.19499999999999</v>
      </c>
      <c r="K41" s="53">
        <v>1869.7</v>
      </c>
    </row>
    <row r="42" spans="1:23" x14ac:dyDescent="0.35">
      <c r="A42" s="45" t="s">
        <v>241</v>
      </c>
      <c r="B42">
        <v>725.43899999999996</v>
      </c>
      <c r="C42">
        <v>3206.5</v>
      </c>
      <c r="D42">
        <v>9459.7799999999988</v>
      </c>
      <c r="E42" s="30">
        <v>2443.86</v>
      </c>
    </row>
    <row r="43" spans="1:23" x14ac:dyDescent="0.35">
      <c r="A43" s="31" t="s">
        <v>235</v>
      </c>
      <c r="B43">
        <v>1135.29</v>
      </c>
      <c r="C43">
        <v>1485.71</v>
      </c>
      <c r="D43">
        <v>6319.47</v>
      </c>
      <c r="E43" s="30">
        <v>2567.4899999999998</v>
      </c>
    </row>
    <row r="44" spans="1:23" ht="15" thickBot="1" x14ac:dyDescent="0.4">
      <c r="A44" s="32" t="s">
        <v>236</v>
      </c>
      <c r="B44" s="19">
        <v>1864.24</v>
      </c>
      <c r="C44" s="19">
        <v>3239.46</v>
      </c>
      <c r="D44" s="19">
        <v>5835.93</v>
      </c>
      <c r="E44" s="20">
        <v>3085.9</v>
      </c>
    </row>
    <row r="45" spans="1:23" x14ac:dyDescent="0.35">
      <c r="A45" s="15"/>
    </row>
    <row r="46" spans="1:23" x14ac:dyDescent="0.35">
      <c r="A46" s="15"/>
      <c r="D46">
        <f>D40-D41</f>
        <v>9459.7799999999988</v>
      </c>
    </row>
  </sheetData>
  <mergeCells count="11">
    <mergeCell ref="A29:F29"/>
    <mergeCell ref="A1:E3"/>
    <mergeCell ref="A12:C13"/>
    <mergeCell ref="A14:F14"/>
    <mergeCell ref="G14:P14"/>
    <mergeCell ref="F15:F28"/>
    <mergeCell ref="P15:P19"/>
    <mergeCell ref="G20:P20"/>
    <mergeCell ref="A21:E21"/>
    <mergeCell ref="P21:P26"/>
    <mergeCell ref="G28:P28"/>
  </mergeCells>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70"/>
  <sheetViews>
    <sheetView topLeftCell="U1" zoomScale="90" zoomScaleNormal="90" workbookViewId="0">
      <selection activeCell="AD27" sqref="AD27"/>
    </sheetView>
  </sheetViews>
  <sheetFormatPr defaultRowHeight="14.5" x14ac:dyDescent="0.35"/>
  <cols>
    <col min="1" max="1" width="29.81640625" customWidth="1"/>
    <col min="2" max="2" width="24.453125" bestFit="1" customWidth="1"/>
    <col min="3" max="3" width="27" bestFit="1" customWidth="1"/>
    <col min="4" max="4" width="27.1796875" bestFit="1" customWidth="1"/>
    <col min="5" max="6" width="27.1796875" customWidth="1"/>
    <col min="7" max="7" width="29.7265625" bestFit="1" customWidth="1"/>
    <col min="8" max="8" width="38.54296875" bestFit="1" customWidth="1"/>
    <col min="9" max="10" width="38.54296875" customWidth="1"/>
    <col min="11" max="11" width="39.1796875" bestFit="1" customWidth="1"/>
    <col min="12" max="12" width="18" bestFit="1" customWidth="1"/>
    <col min="13" max="13" width="39.54296875" bestFit="1" customWidth="1"/>
    <col min="14" max="15" width="39.54296875" customWidth="1"/>
    <col min="16" max="16" width="39.54296875" bestFit="1" customWidth="1"/>
    <col min="17" max="17" width="39.54296875" customWidth="1"/>
    <col min="18" max="18" width="41" bestFit="1" customWidth="1"/>
    <col min="19" max="19" width="38.453125" bestFit="1" customWidth="1"/>
    <col min="20" max="20" width="38.54296875" bestFit="1" customWidth="1"/>
    <col min="21" max="21" width="51" bestFit="1" customWidth="1"/>
    <col min="22" max="25" width="51" customWidth="1"/>
    <col min="26" max="26" width="45.54296875" bestFit="1" customWidth="1"/>
    <col min="27" max="27" width="25.54296875" bestFit="1" customWidth="1"/>
    <col min="28" max="28" width="25.54296875" customWidth="1"/>
    <col min="30" max="30" width="57.26953125" style="4" bestFit="1" customWidth="1"/>
  </cols>
  <sheetData>
    <row r="1" spans="1:30" x14ac:dyDescent="0.35">
      <c r="A1" s="13" t="s">
        <v>58</v>
      </c>
      <c r="B1" s="13" t="s">
        <v>59</v>
      </c>
      <c r="C1" s="13" t="s">
        <v>60</v>
      </c>
      <c r="D1" s="13" t="s">
        <v>61</v>
      </c>
      <c r="E1" s="13" t="s">
        <v>62</v>
      </c>
      <c r="F1" s="13" t="s">
        <v>63</v>
      </c>
      <c r="G1" s="13" t="s">
        <v>64</v>
      </c>
      <c r="H1" s="13" t="s">
        <v>65</v>
      </c>
      <c r="I1" s="13" t="s">
        <v>66</v>
      </c>
      <c r="J1" s="13" t="s">
        <v>67</v>
      </c>
      <c r="K1" s="13" t="s">
        <v>68</v>
      </c>
      <c r="L1" s="13" t="s">
        <v>69</v>
      </c>
      <c r="M1" s="13" t="s">
        <v>70</v>
      </c>
      <c r="N1" s="13" t="s">
        <v>71</v>
      </c>
      <c r="O1" s="13" t="s">
        <v>72</v>
      </c>
      <c r="P1" s="13" t="s">
        <v>73</v>
      </c>
      <c r="Q1" s="13" t="s">
        <v>74</v>
      </c>
      <c r="R1" s="13" t="s">
        <v>75</v>
      </c>
      <c r="S1" s="13" t="s">
        <v>76</v>
      </c>
      <c r="T1" s="13" t="s">
        <v>77</v>
      </c>
      <c r="U1" s="13" t="s">
        <v>78</v>
      </c>
      <c r="V1" s="13" t="s">
        <v>79</v>
      </c>
      <c r="W1" s="13" t="s">
        <v>80</v>
      </c>
      <c r="X1" s="13" t="s">
        <v>81</v>
      </c>
      <c r="Y1" s="13" t="s">
        <v>82</v>
      </c>
      <c r="Z1" s="13" t="s">
        <v>83</v>
      </c>
      <c r="AA1" s="13" t="s">
        <v>84</v>
      </c>
      <c r="AB1" s="13" t="s">
        <v>85</v>
      </c>
      <c r="AD1" s="13" t="s">
        <v>86</v>
      </c>
    </row>
    <row r="2" spans="1:30" x14ac:dyDescent="0.35">
      <c r="A2" s="1" t="s">
        <v>87</v>
      </c>
      <c r="B2" s="1">
        <v>0.13909681322019149</v>
      </c>
      <c r="C2" s="1">
        <v>69357.89134090225</v>
      </c>
      <c r="D2" s="1">
        <v>69357.89134090225</v>
      </c>
      <c r="E2" s="1">
        <v>60327.014865401987</v>
      </c>
      <c r="F2" s="1">
        <v>9030.8764755002776</v>
      </c>
      <c r="G2" s="1">
        <v>18241.674564097739</v>
      </c>
      <c r="H2" s="1">
        <v>2827.4595574351501</v>
      </c>
      <c r="I2" s="1">
        <v>6453.3461845683923</v>
      </c>
      <c r="J2" s="1">
        <v>785.68625336852415</v>
      </c>
      <c r="K2" s="1">
        <v>7239.0324379369149</v>
      </c>
      <c r="L2" s="1">
        <v>10066.491995372069</v>
      </c>
      <c r="M2" s="1">
        <v>60327.014887298661</v>
      </c>
      <c r="N2" s="1">
        <v>60327.014865401987</v>
      </c>
      <c r="O2" s="1">
        <v>-2.189667429775E-5</v>
      </c>
      <c r="P2" s="1">
        <v>325863.17666136788</v>
      </c>
      <c r="Q2" s="1">
        <v>325863.17668326461</v>
      </c>
      <c r="R2" s="1">
        <v>386190.19154866663</v>
      </c>
      <c r="S2" s="1">
        <v>6453.3461879623082</v>
      </c>
      <c r="T2" s="1">
        <v>50508.792382512023</v>
      </c>
      <c r="U2" s="1">
        <v>56962.138570474322</v>
      </c>
      <c r="V2" s="1">
        <v>6453.3461845683923</v>
      </c>
      <c r="W2" s="1">
        <v>50508.792385557783</v>
      </c>
      <c r="X2" s="1">
        <v>56962.13857047433</v>
      </c>
      <c r="Y2" s="1">
        <v>-3.0457576149374989E-6</v>
      </c>
      <c r="Z2" s="1">
        <v>59859.479690043321</v>
      </c>
      <c r="AA2" s="1">
        <v>2897.341119569006</v>
      </c>
      <c r="AB2" s="1">
        <v>2897.341119568991</v>
      </c>
    </row>
    <row r="3" spans="1:30" x14ac:dyDescent="0.35">
      <c r="A3" s="1" t="s">
        <v>88</v>
      </c>
      <c r="B3" s="1">
        <v>0.13909681322019149</v>
      </c>
      <c r="C3" s="1">
        <v>69357.89134090225</v>
      </c>
      <c r="D3" s="1">
        <v>69435.205562420524</v>
      </c>
      <c r="E3" s="1">
        <v>61813.412306294907</v>
      </c>
      <c r="F3" s="1">
        <v>7621.7932561256166</v>
      </c>
      <c r="G3" s="1">
        <v>18241.674564097739</v>
      </c>
      <c r="H3" s="1">
        <v>2827.4595574351501</v>
      </c>
      <c r="I3" s="1">
        <v>6597.6303137535606</v>
      </c>
      <c r="J3" s="1">
        <v>663.09601328292842</v>
      </c>
      <c r="K3" s="1">
        <v>7260.7263270364874</v>
      </c>
      <c r="L3" s="1">
        <v>10088.185884471641</v>
      </c>
      <c r="M3" s="1">
        <v>60327.014887298661</v>
      </c>
      <c r="N3" s="1">
        <v>61813.412306294907</v>
      </c>
      <c r="O3" s="1">
        <v>1486.397418996246</v>
      </c>
      <c r="P3" s="1">
        <v>325863.17666136788</v>
      </c>
      <c r="Q3" s="1">
        <v>324376.77924237167</v>
      </c>
      <c r="R3" s="1">
        <v>386190.19154866663</v>
      </c>
      <c r="S3" s="1">
        <v>6453.3461879623082</v>
      </c>
      <c r="T3" s="1">
        <v>50508.792382512023</v>
      </c>
      <c r="U3" s="1">
        <v>56962.138570474322</v>
      </c>
      <c r="V3" s="1">
        <v>6597.6303137535606</v>
      </c>
      <c r="W3" s="1">
        <v>50302.039238350917</v>
      </c>
      <c r="X3" s="1">
        <v>56962.138570474322</v>
      </c>
      <c r="Y3" s="1">
        <v>206.75314416109561</v>
      </c>
      <c r="Z3" s="1">
        <v>59859.479690043321</v>
      </c>
      <c r="AA3" s="1">
        <v>2897.341119569006</v>
      </c>
      <c r="AB3" s="1">
        <v>2897.3411195689991</v>
      </c>
    </row>
    <row r="4" spans="1:30" x14ac:dyDescent="0.35">
      <c r="A4" s="1" t="s">
        <v>89</v>
      </c>
      <c r="B4" s="1">
        <v>0.13909681322019149</v>
      </c>
      <c r="C4" s="1">
        <v>69357.89134090225</v>
      </c>
      <c r="D4" s="1">
        <v>69494.794398282174</v>
      </c>
      <c r="E4" s="1">
        <v>62771.676709686188</v>
      </c>
      <c r="F4" s="1">
        <v>6723.1176885959794</v>
      </c>
      <c r="G4" s="1">
        <v>18241.674564097739</v>
      </c>
      <c r="H4" s="1">
        <v>2827.4595574351501</v>
      </c>
      <c r="I4" s="1">
        <v>6690.7077499930447</v>
      </c>
      <c r="J4" s="1">
        <v>584.91123890785002</v>
      </c>
      <c r="K4" s="1">
        <v>7275.6189889008938</v>
      </c>
      <c r="L4" s="1">
        <v>10103.078546336041</v>
      </c>
      <c r="M4" s="1">
        <v>60327.014887298661</v>
      </c>
      <c r="N4" s="1">
        <v>62771.676709686188</v>
      </c>
      <c r="O4" s="1">
        <v>2444.6618223875339</v>
      </c>
      <c r="P4" s="1">
        <v>325863.17666136788</v>
      </c>
      <c r="Q4" s="1">
        <v>323418.51483898039</v>
      </c>
      <c r="R4" s="1">
        <v>386190.19154866663</v>
      </c>
      <c r="S4" s="1">
        <v>6453.3461879623082</v>
      </c>
      <c r="T4" s="1">
        <v>50508.792382512023</v>
      </c>
      <c r="U4" s="1">
        <v>56962.138570474322</v>
      </c>
      <c r="V4" s="1">
        <v>6690.7077499930447</v>
      </c>
      <c r="W4" s="1">
        <v>50168.747713616853</v>
      </c>
      <c r="X4" s="1">
        <v>56962.138570474322</v>
      </c>
      <c r="Y4" s="1">
        <v>340.04466889517181</v>
      </c>
      <c r="Z4" s="1">
        <v>59859.479690043321</v>
      </c>
      <c r="AA4" s="1">
        <v>2897.341119569006</v>
      </c>
      <c r="AB4" s="1">
        <v>2897.3411195689991</v>
      </c>
    </row>
    <row r="5" spans="1:30" x14ac:dyDescent="0.35">
      <c r="A5" s="1" t="s">
        <v>90</v>
      </c>
      <c r="B5" s="1">
        <v>0.13909681322019149</v>
      </c>
      <c r="C5" s="1">
        <v>69357.89134090225</v>
      </c>
      <c r="D5" s="1">
        <v>69490.798835487993</v>
      </c>
      <c r="E5" s="1">
        <v>63803.219904814912</v>
      </c>
      <c r="F5" s="1">
        <v>5687.5789306730867</v>
      </c>
      <c r="G5" s="1">
        <v>18241.674564097739</v>
      </c>
      <c r="H5" s="1">
        <v>2827.4595574351501</v>
      </c>
      <c r="I5" s="1">
        <v>6790.8503787498166</v>
      </c>
      <c r="J5" s="1">
        <v>494.81936696855848</v>
      </c>
      <c r="K5" s="1">
        <v>7285.6697457183755</v>
      </c>
      <c r="L5" s="1">
        <v>10113.129303153521</v>
      </c>
      <c r="M5" s="1">
        <v>60327.014887298661</v>
      </c>
      <c r="N5" s="1">
        <v>63803.219904814912</v>
      </c>
      <c r="O5" s="1">
        <v>3476.2050175162508</v>
      </c>
      <c r="P5" s="1">
        <v>325863.17666136788</v>
      </c>
      <c r="Q5" s="1">
        <v>322386.97164385172</v>
      </c>
      <c r="R5" s="1">
        <v>386190.19154866663</v>
      </c>
      <c r="S5" s="1">
        <v>6453.3461879623082</v>
      </c>
      <c r="T5" s="1">
        <v>50508.792382512023</v>
      </c>
      <c r="U5" s="1">
        <v>56962.138570474322</v>
      </c>
      <c r="V5" s="1">
        <v>6790.8503787498166</v>
      </c>
      <c r="W5" s="1">
        <v>50025.263342475468</v>
      </c>
      <c r="X5" s="1">
        <v>56962.13857047433</v>
      </c>
      <c r="Y5" s="1">
        <v>483.52904003655061</v>
      </c>
      <c r="Z5" s="1">
        <v>59859.479690043321</v>
      </c>
      <c r="AA5" s="1">
        <v>2897.341119569006</v>
      </c>
      <c r="AB5" s="1">
        <v>2897.341119568991</v>
      </c>
    </row>
    <row r="6" spans="1:30" x14ac:dyDescent="0.35">
      <c r="A6" s="1" t="s">
        <v>91</v>
      </c>
      <c r="B6" s="1">
        <v>0.13545294261574559</v>
      </c>
      <c r="C6" s="1">
        <v>101712.88931352569</v>
      </c>
      <c r="D6" s="1">
        <v>101712.88931352569</v>
      </c>
      <c r="E6" s="1">
        <v>73441.212753919739</v>
      </c>
      <c r="F6" s="1">
        <v>28271.676559605949</v>
      </c>
      <c r="G6" s="1">
        <v>28089.359721474291</v>
      </c>
      <c r="H6" s="1">
        <v>4353.8507568285149</v>
      </c>
      <c r="I6" s="1">
        <v>7397.7205699953292</v>
      </c>
      <c r="J6" s="1">
        <v>2459.635860685717</v>
      </c>
      <c r="K6" s="1">
        <v>9857.3564306810495</v>
      </c>
      <c r="L6" s="1">
        <v>14211.207187509561</v>
      </c>
      <c r="M6" s="1">
        <v>73441.212775750377</v>
      </c>
      <c r="N6" s="1">
        <v>73441.212753919739</v>
      </c>
      <c r="O6" s="1">
        <v>-2.1830637706443671E-5</v>
      </c>
      <c r="P6" s="1">
        <v>302901.29361553967</v>
      </c>
      <c r="Q6" s="1">
        <v>302901.29363737028</v>
      </c>
      <c r="R6" s="1">
        <v>376342.50639128999</v>
      </c>
      <c r="S6" s="1">
        <v>7397.7205733790088</v>
      </c>
      <c r="T6" s="1">
        <v>46949.700510408627</v>
      </c>
      <c r="U6" s="1">
        <v>54347.421083787653</v>
      </c>
      <c r="V6" s="1">
        <v>7397.7205699953292</v>
      </c>
      <c r="W6" s="1">
        <v>46949.700513365657</v>
      </c>
      <c r="X6" s="1">
        <v>54347.421083787653</v>
      </c>
      <c r="Y6" s="1">
        <v>-2.957024116516046E-6</v>
      </c>
      <c r="Z6" s="1">
        <v>58333.088490649949</v>
      </c>
      <c r="AA6" s="1">
        <v>3985.667406862296</v>
      </c>
      <c r="AB6" s="1">
        <v>3985.6674068623029</v>
      </c>
    </row>
    <row r="7" spans="1:30" x14ac:dyDescent="0.35">
      <c r="A7" s="1" t="s">
        <v>92</v>
      </c>
      <c r="B7" s="1">
        <v>0.1354529360724312</v>
      </c>
      <c r="C7" s="1">
        <v>101712.88931352569</v>
      </c>
      <c r="D7" s="1">
        <v>102153.7444884666</v>
      </c>
      <c r="E7" s="1">
        <v>77537.554144622089</v>
      </c>
      <c r="F7" s="1">
        <v>24616.190343844479</v>
      </c>
      <c r="G7" s="1">
        <v>28109.49409304986</v>
      </c>
      <c r="H7" s="1">
        <v>4356.9715844227276</v>
      </c>
      <c r="I7" s="1">
        <v>7806.3325787989716</v>
      </c>
      <c r="J7" s="1">
        <v>2141.608559914469</v>
      </c>
      <c r="K7" s="1">
        <v>9947.9411387134423</v>
      </c>
      <c r="L7" s="1">
        <v>14304.912723136171</v>
      </c>
      <c r="M7" s="1">
        <v>73441.212775748558</v>
      </c>
      <c r="N7" s="1">
        <v>77537.554144622089</v>
      </c>
      <c r="O7" s="1">
        <v>4096.3413688735309</v>
      </c>
      <c r="P7" s="1">
        <v>302881.15924396593</v>
      </c>
      <c r="Q7" s="1">
        <v>298784.81787509238</v>
      </c>
      <c r="R7" s="1">
        <v>376322.37201971438</v>
      </c>
      <c r="S7" s="1">
        <v>7397.7200974334619</v>
      </c>
      <c r="T7" s="1">
        <v>46946.579682814692</v>
      </c>
      <c r="U7" s="1">
        <v>54344.299780248162</v>
      </c>
      <c r="V7" s="1">
        <v>7806.3325787989716</v>
      </c>
      <c r="W7" s="1">
        <v>46391.718217245812</v>
      </c>
      <c r="X7" s="1">
        <v>54344.299780248162</v>
      </c>
      <c r="Y7" s="1">
        <v>554.86146556888184</v>
      </c>
      <c r="Z7" s="1">
        <v>58329.96766305573</v>
      </c>
      <c r="AA7" s="1">
        <v>3985.6678828075669</v>
      </c>
      <c r="AB7" s="1">
        <v>3985.6678828075751</v>
      </c>
    </row>
    <row r="8" spans="1:30" x14ac:dyDescent="0.35">
      <c r="A8" s="1" t="s">
        <v>93</v>
      </c>
      <c r="B8" s="1">
        <v>0.13545290628161349</v>
      </c>
      <c r="C8" s="1">
        <v>101712.88931352569</v>
      </c>
      <c r="D8" s="1">
        <v>102324.69676692681</v>
      </c>
      <c r="E8" s="1">
        <v>79321.368349207914</v>
      </c>
      <c r="F8" s="1">
        <v>23003.328417718942</v>
      </c>
      <c r="G8" s="1">
        <v>28121.53129488022</v>
      </c>
      <c r="H8" s="1">
        <v>4358.8373507064343</v>
      </c>
      <c r="I8" s="1">
        <v>7984.3014962182669</v>
      </c>
      <c r="J8" s="1">
        <v>2001.289572341547</v>
      </c>
      <c r="K8" s="1">
        <v>9985.5910685598137</v>
      </c>
      <c r="L8" s="1">
        <v>14344.428419266251</v>
      </c>
      <c r="M8" s="1">
        <v>73441.212775747539</v>
      </c>
      <c r="N8" s="1">
        <v>79321.368349207914</v>
      </c>
      <c r="O8" s="1">
        <v>5880.1555734603753</v>
      </c>
      <c r="P8" s="1">
        <v>302869.12204213662</v>
      </c>
      <c r="Q8" s="1">
        <v>296988.96646867623</v>
      </c>
      <c r="R8" s="1">
        <v>376310.33481788408</v>
      </c>
      <c r="S8" s="1">
        <v>7397.7172453627882</v>
      </c>
      <c r="T8" s="1">
        <v>46944.713916531153</v>
      </c>
      <c r="U8" s="1">
        <v>54342.431161893939</v>
      </c>
      <c r="V8" s="1">
        <v>7984.3014962182669</v>
      </c>
      <c r="W8" s="1">
        <v>46148.229754717919</v>
      </c>
      <c r="X8" s="1">
        <v>54342.431161893939</v>
      </c>
      <c r="Y8" s="1">
        <v>796.48416181323569</v>
      </c>
      <c r="Z8" s="1">
        <v>58328.10189677203</v>
      </c>
      <c r="AA8" s="1">
        <v>3985.670734878091</v>
      </c>
      <c r="AB8" s="1">
        <v>3985.670734878091</v>
      </c>
    </row>
    <row r="9" spans="1:30" x14ac:dyDescent="0.35">
      <c r="A9" s="1" t="s">
        <v>94</v>
      </c>
      <c r="B9" s="1">
        <v>0.13545280638019319</v>
      </c>
      <c r="C9" s="1">
        <v>101712.88931352569</v>
      </c>
      <c r="D9" s="1">
        <v>102482.28760775219</v>
      </c>
      <c r="E9" s="1">
        <v>81739.506342293724</v>
      </c>
      <c r="F9" s="1">
        <v>20742.781265458449</v>
      </c>
      <c r="G9" s="1">
        <v>28200.71001368358</v>
      </c>
      <c r="H9" s="1">
        <v>4371.1100521209546</v>
      </c>
      <c r="I9" s="1">
        <v>8224.1243177249435</v>
      </c>
      <c r="J9" s="1">
        <v>1804.621970094885</v>
      </c>
      <c r="K9" s="1">
        <v>10028.746287819829</v>
      </c>
      <c r="L9" s="1">
        <v>14399.856339940779</v>
      </c>
      <c r="M9" s="1">
        <v>73441.212775740671</v>
      </c>
      <c r="N9" s="1">
        <v>81739.506342293724</v>
      </c>
      <c r="O9" s="1">
        <v>8298.2935665530531</v>
      </c>
      <c r="P9" s="1">
        <v>302789.94332334009</v>
      </c>
      <c r="Q9" s="1">
        <v>294491.64975678711</v>
      </c>
      <c r="R9" s="1">
        <v>376231.15609908069</v>
      </c>
      <c r="S9" s="1">
        <v>7397.708348717133</v>
      </c>
      <c r="T9" s="1">
        <v>46932.441215117688</v>
      </c>
      <c r="U9" s="1">
        <v>54330.149563834842</v>
      </c>
      <c r="V9" s="1">
        <v>8224.1243177249435</v>
      </c>
      <c r="W9" s="1">
        <v>45808.414063361379</v>
      </c>
      <c r="X9" s="1">
        <v>54330.149563834828</v>
      </c>
      <c r="Y9" s="1">
        <v>1124.027151756314</v>
      </c>
      <c r="Z9" s="1">
        <v>58315.829195357517</v>
      </c>
      <c r="AA9" s="1">
        <v>3985.679631522682</v>
      </c>
      <c r="AB9" s="1">
        <v>3985.6796315226889</v>
      </c>
    </row>
    <row r="10" spans="1:30" x14ac:dyDescent="0.35">
      <c r="A10" s="1" t="s">
        <v>95</v>
      </c>
      <c r="B10" s="1">
        <v>0.1341569356159763</v>
      </c>
      <c r="C10" s="1">
        <v>119454.094173843</v>
      </c>
      <c r="D10" s="1">
        <v>119454.094173843</v>
      </c>
      <c r="E10" s="1">
        <v>76403.513756967848</v>
      </c>
      <c r="F10" s="1">
        <v>43050.580416875127</v>
      </c>
      <c r="G10" s="1">
        <v>34265.536111157031</v>
      </c>
      <c r="H10" s="1">
        <v>5311.1580972293395</v>
      </c>
      <c r="I10" s="1">
        <v>7511.158278457131</v>
      </c>
      <c r="J10" s="1">
        <v>3745.4004962681352</v>
      </c>
      <c r="K10" s="1">
        <v>11256.55877472527</v>
      </c>
      <c r="L10" s="1">
        <v>16567.71687195461</v>
      </c>
      <c r="M10" s="1">
        <v>76403.51377882158</v>
      </c>
      <c r="N10" s="1">
        <v>76403.513756967848</v>
      </c>
      <c r="O10" s="1">
        <v>-2.1853731595911089E-5</v>
      </c>
      <c r="P10" s="1">
        <v>293762.81622278568</v>
      </c>
      <c r="Q10" s="1">
        <v>293762.81624463951</v>
      </c>
      <c r="R10" s="1">
        <v>370166.33000160719</v>
      </c>
      <c r="S10" s="1">
        <v>7511.1582818443903</v>
      </c>
      <c r="T10" s="1">
        <v>45533.236514531767</v>
      </c>
      <c r="U10" s="1">
        <v>53044.394796376168</v>
      </c>
      <c r="V10" s="1">
        <v>7511.158278457131</v>
      </c>
      <c r="W10" s="1">
        <v>45533.236517463607</v>
      </c>
      <c r="X10" s="1">
        <v>53044.394796376168</v>
      </c>
      <c r="Y10" s="1">
        <v>-2.93182966268147E-6</v>
      </c>
      <c r="Z10" s="1">
        <v>57375.781150249117</v>
      </c>
      <c r="AA10" s="1">
        <v>4331.3863538729574</v>
      </c>
      <c r="AB10" s="1">
        <v>4331.3863538729574</v>
      </c>
    </row>
    <row r="11" spans="1:30" x14ac:dyDescent="0.35">
      <c r="A11" s="1" t="s">
        <v>96</v>
      </c>
      <c r="B11" s="1">
        <v>0.13415688728197719</v>
      </c>
      <c r="C11" s="1">
        <v>119454.094173843</v>
      </c>
      <c r="D11" s="1">
        <v>120029.8343610642</v>
      </c>
      <c r="E11" s="1">
        <v>81320.13303635153</v>
      </c>
      <c r="F11" s="1">
        <v>38709.701324712689</v>
      </c>
      <c r="G11" s="1">
        <v>34548.687582709907</v>
      </c>
      <c r="H11" s="1">
        <v>5355.0465753200351</v>
      </c>
      <c r="I11" s="1">
        <v>8018.8927940886888</v>
      </c>
      <c r="J11" s="1">
        <v>3367.744015250003</v>
      </c>
      <c r="K11" s="1">
        <v>11386.63680933869</v>
      </c>
      <c r="L11" s="1">
        <v>16741.683384658729</v>
      </c>
      <c r="M11" s="1">
        <v>76403.513778796376</v>
      </c>
      <c r="N11" s="1">
        <v>81320.13303635153</v>
      </c>
      <c r="O11" s="1">
        <v>4916.619257555154</v>
      </c>
      <c r="P11" s="1">
        <v>293479.66475125798</v>
      </c>
      <c r="Q11" s="1">
        <v>288563.04549370293</v>
      </c>
      <c r="R11" s="1">
        <v>369883.17853005428</v>
      </c>
      <c r="S11" s="1">
        <v>7511.1563266914154</v>
      </c>
      <c r="T11" s="1">
        <v>45489.348036444993</v>
      </c>
      <c r="U11" s="1">
        <v>53000.504363136402</v>
      </c>
      <c r="V11" s="1">
        <v>8018.8927940886888</v>
      </c>
      <c r="W11" s="1">
        <v>44829.749700900771</v>
      </c>
      <c r="X11" s="1">
        <v>53000.50436313641</v>
      </c>
      <c r="Y11" s="1">
        <v>659.59833554422528</v>
      </c>
      <c r="Z11" s="1">
        <v>57331.892672158421</v>
      </c>
      <c r="AA11" s="1">
        <v>4331.3883090220188</v>
      </c>
      <c r="AB11" s="1">
        <v>4331.3883090220124</v>
      </c>
    </row>
    <row r="12" spans="1:30" x14ac:dyDescent="0.35">
      <c r="A12" s="1" t="s">
        <v>97</v>
      </c>
      <c r="B12" s="1">
        <v>0.13415681806947849</v>
      </c>
      <c r="C12" s="1">
        <v>119454.094173843</v>
      </c>
      <c r="D12" s="1">
        <v>120268.3943052407</v>
      </c>
      <c r="E12" s="1">
        <v>83551.554400851266</v>
      </c>
      <c r="F12" s="1">
        <v>36716.839904389482</v>
      </c>
      <c r="G12" s="1">
        <v>34641.421157892088</v>
      </c>
      <c r="H12" s="1">
        <v>5369.4202794732737</v>
      </c>
      <c r="I12" s="1">
        <v>8249.053390398225</v>
      </c>
      <c r="J12" s="1">
        <v>3194.3650716818838</v>
      </c>
      <c r="K12" s="1">
        <v>11443.41846208011</v>
      </c>
      <c r="L12" s="1">
        <v>16812.83874155338</v>
      </c>
      <c r="M12" s="1">
        <v>76403.467140621899</v>
      </c>
      <c r="N12" s="1">
        <v>83551.554400851266</v>
      </c>
      <c r="O12" s="1">
        <v>7148.0872602293684</v>
      </c>
      <c r="P12" s="1">
        <v>293386.97781425039</v>
      </c>
      <c r="Q12" s="1">
        <v>286238.890554021</v>
      </c>
      <c r="R12" s="1">
        <v>369790.44495487219</v>
      </c>
      <c r="S12" s="1">
        <v>7511.1455405706392</v>
      </c>
      <c r="T12" s="1">
        <v>45474.981561208791</v>
      </c>
      <c r="U12" s="1">
        <v>52986.127101779442</v>
      </c>
      <c r="V12" s="1">
        <v>8249.053390398225</v>
      </c>
      <c r="W12" s="1">
        <v>44516.016919093447</v>
      </c>
      <c r="X12" s="1">
        <v>52986.127101779442</v>
      </c>
      <c r="Y12" s="1">
        <v>958.96464211534806</v>
      </c>
      <c r="Z12" s="1">
        <v>57317.518968005192</v>
      </c>
      <c r="AA12" s="1">
        <v>4331.3918662257574</v>
      </c>
      <c r="AB12" s="1">
        <v>4331.3918662257574</v>
      </c>
    </row>
    <row r="13" spans="1:30" x14ac:dyDescent="0.35">
      <c r="A13" s="1" t="s">
        <v>98</v>
      </c>
      <c r="B13" s="1">
        <v>0.13415661704547041</v>
      </c>
      <c r="C13" s="1">
        <v>119454.094173843</v>
      </c>
      <c r="D13" s="1">
        <v>120567.9521671728</v>
      </c>
      <c r="E13" s="1">
        <v>86845.653746534226</v>
      </c>
      <c r="F13" s="1">
        <v>33722.298420638574</v>
      </c>
      <c r="G13" s="1">
        <v>35130.954041891579</v>
      </c>
      <c r="H13" s="1">
        <v>5445.297876493195</v>
      </c>
      <c r="I13" s="1">
        <v>8583.115265588096</v>
      </c>
      <c r="J13" s="1">
        <v>2933.8399625955549</v>
      </c>
      <c r="K13" s="1">
        <v>11516.95522818365</v>
      </c>
      <c r="L13" s="1">
        <v>16962.253104676849</v>
      </c>
      <c r="M13" s="1">
        <v>76403.467140578694</v>
      </c>
      <c r="N13" s="1">
        <v>86845.653746534226</v>
      </c>
      <c r="O13" s="1">
        <v>10442.18660595553</v>
      </c>
      <c r="P13" s="1">
        <v>292897.44493029389</v>
      </c>
      <c r="Q13" s="1">
        <v>282455.25832433841</v>
      </c>
      <c r="R13" s="1">
        <v>369300.91207087273</v>
      </c>
      <c r="S13" s="1">
        <v>7511.1311699863036</v>
      </c>
      <c r="T13" s="1">
        <v>45399.103964195558</v>
      </c>
      <c r="U13" s="1">
        <v>52910.235134181872</v>
      </c>
      <c r="V13" s="1">
        <v>8583.115265588096</v>
      </c>
      <c r="W13" s="1">
        <v>43998.215534583047</v>
      </c>
      <c r="X13" s="1">
        <v>52910.235134181872</v>
      </c>
      <c r="Y13" s="1">
        <v>1400.888429612517</v>
      </c>
      <c r="Z13" s="1">
        <v>57241.641370985257</v>
      </c>
      <c r="AA13" s="1">
        <v>4331.4062368033919</v>
      </c>
      <c r="AB13" s="1">
        <v>4331.4062368033919</v>
      </c>
    </row>
    <row r="14" spans="1:30" x14ac:dyDescent="0.35">
      <c r="A14" s="1" t="s">
        <v>99</v>
      </c>
      <c r="B14" s="1">
        <v>0.1327786776220268</v>
      </c>
      <c r="C14" s="1">
        <v>141135.2426493543</v>
      </c>
      <c r="D14" s="1">
        <v>141135.2426493543</v>
      </c>
      <c r="E14" s="1">
        <v>77036.755172212535</v>
      </c>
      <c r="F14" s="1">
        <v>64098.487477141731</v>
      </c>
      <c r="G14" s="1">
        <v>44238.572390645721</v>
      </c>
      <c r="H14" s="1">
        <v>6856.978720550087</v>
      </c>
      <c r="I14" s="1">
        <v>7392.7173946716093</v>
      </c>
      <c r="J14" s="1">
        <v>5576.5684105113314</v>
      </c>
      <c r="K14" s="1">
        <v>12969.285805182941</v>
      </c>
      <c r="L14" s="1">
        <v>19826.26452573303</v>
      </c>
      <c r="M14" s="1">
        <v>77036.75519406228</v>
      </c>
      <c r="N14" s="1">
        <v>77036.755172212535</v>
      </c>
      <c r="O14" s="1">
        <v>-2.184974437113851E-5</v>
      </c>
      <c r="P14" s="1">
        <v>283156.53852805629</v>
      </c>
      <c r="Q14" s="1">
        <v>283156.53854990611</v>
      </c>
      <c r="R14" s="1">
        <v>360193.29372211848</v>
      </c>
      <c r="S14" s="1">
        <v>7392.7173980582538</v>
      </c>
      <c r="T14" s="1">
        <v>43889.26347184871</v>
      </c>
      <c r="U14" s="1">
        <v>51281.980869906984</v>
      </c>
      <c r="V14" s="1">
        <v>7392.7173946716093</v>
      </c>
      <c r="W14" s="1">
        <v>43889.263474749889</v>
      </c>
      <c r="X14" s="1">
        <v>51281.980869906962</v>
      </c>
      <c r="Y14" s="1">
        <v>-2.9011801639790951E-6</v>
      </c>
      <c r="Z14" s="1">
        <v>55829.960526928371</v>
      </c>
      <c r="AA14" s="1">
        <v>4547.9796570213884</v>
      </c>
      <c r="AB14" s="1">
        <v>4547.9796570214094</v>
      </c>
    </row>
    <row r="15" spans="1:30" x14ac:dyDescent="0.35">
      <c r="A15" s="1" t="s">
        <v>100</v>
      </c>
      <c r="B15" s="1">
        <v>0.1327781100413655</v>
      </c>
      <c r="C15" s="1">
        <v>141135.2426493543</v>
      </c>
      <c r="D15" s="1">
        <v>141888.49302356661</v>
      </c>
      <c r="E15" s="1">
        <v>83330.392845638824</v>
      </c>
      <c r="F15" s="1">
        <v>58558.10017792775</v>
      </c>
      <c r="G15" s="1">
        <v>45802.37761509815</v>
      </c>
      <c r="H15" s="1">
        <v>7099.3685303402144</v>
      </c>
      <c r="I15" s="1">
        <v>8064.8454159392404</v>
      </c>
      <c r="J15" s="1">
        <v>5094.5547154797132</v>
      </c>
      <c r="K15" s="1">
        <v>13159.40013141895</v>
      </c>
      <c r="L15" s="1">
        <v>20258.768661759172</v>
      </c>
      <c r="M15" s="1">
        <v>77036.755193924822</v>
      </c>
      <c r="N15" s="1">
        <v>83330.392845638824</v>
      </c>
      <c r="O15" s="1">
        <v>6293.6376517140015</v>
      </c>
      <c r="P15" s="1">
        <v>281592.73330374138</v>
      </c>
      <c r="Q15" s="1">
        <v>275299.0956520274</v>
      </c>
      <c r="R15" s="1">
        <v>358629.48849766608</v>
      </c>
      <c r="S15" s="1">
        <v>7392.678943507266</v>
      </c>
      <c r="T15" s="1">
        <v>43646.873662079903</v>
      </c>
      <c r="U15" s="1">
        <v>51039.552605587167</v>
      </c>
      <c r="V15" s="1">
        <v>8064.8454159392404</v>
      </c>
      <c r="W15" s="1">
        <v>42811.216349400143</v>
      </c>
      <c r="X15" s="1">
        <v>51039.552605587167</v>
      </c>
      <c r="Y15" s="1">
        <v>835.65731267976264</v>
      </c>
      <c r="Z15" s="1">
        <v>55587.570717138253</v>
      </c>
      <c r="AA15" s="1">
        <v>4548.0181115510859</v>
      </c>
      <c r="AB15" s="1">
        <v>4548.0181115510786</v>
      </c>
    </row>
    <row r="16" spans="1:30" x14ac:dyDescent="0.35">
      <c r="A16" s="1" t="s">
        <v>101</v>
      </c>
      <c r="B16" s="1">
        <v>0.132777569148225</v>
      </c>
      <c r="C16" s="1">
        <v>141135.2426493543</v>
      </c>
      <c r="D16" s="1">
        <v>142233.56609524749</v>
      </c>
      <c r="E16" s="1">
        <v>86302.955654077174</v>
      </c>
      <c r="F16" s="1">
        <v>55930.610441170378</v>
      </c>
      <c r="G16" s="1">
        <v>46458.174757526293</v>
      </c>
      <c r="H16" s="1">
        <v>7201.0170874165742</v>
      </c>
      <c r="I16" s="1">
        <v>8379.9252467828337</v>
      </c>
      <c r="J16" s="1">
        <v>4865.963108381824</v>
      </c>
      <c r="K16" s="1">
        <v>13245.88835516466</v>
      </c>
      <c r="L16" s="1">
        <v>20446.905442581228</v>
      </c>
      <c r="M16" s="1">
        <v>77036.646073136639</v>
      </c>
      <c r="N16" s="1">
        <v>86302.955654077174</v>
      </c>
      <c r="O16" s="1">
        <v>9266.3095809405349</v>
      </c>
      <c r="P16" s="1">
        <v>280937.04528210138</v>
      </c>
      <c r="Q16" s="1">
        <v>271670.73570116091</v>
      </c>
      <c r="R16" s="1">
        <v>357973.69135523803</v>
      </c>
      <c r="S16" s="1">
        <v>7392.619817908937</v>
      </c>
      <c r="T16" s="1">
        <v>43545.242018725708</v>
      </c>
      <c r="U16" s="1">
        <v>50937.861836634649</v>
      </c>
      <c r="V16" s="1">
        <v>8379.9252467828337</v>
      </c>
      <c r="W16" s="1">
        <v>42314.88395759352</v>
      </c>
      <c r="X16" s="1">
        <v>50937.861836634649</v>
      </c>
      <c r="Y16" s="1">
        <v>1230.358061132192</v>
      </c>
      <c r="Z16" s="1">
        <v>55485.922160061891</v>
      </c>
      <c r="AA16" s="1">
        <v>4548.0603234272421</v>
      </c>
      <c r="AB16" s="1">
        <v>4548.0603234272421</v>
      </c>
    </row>
    <row r="17" spans="1:28" x14ac:dyDescent="0.35">
      <c r="A17" s="1" t="s">
        <v>102</v>
      </c>
      <c r="B17" s="1">
        <v>0.13277698895248821</v>
      </c>
      <c r="C17" s="1">
        <v>141135.2426493543</v>
      </c>
      <c r="D17" s="1">
        <v>142656.2133192989</v>
      </c>
      <c r="E17" s="1">
        <v>90113.635428976631</v>
      </c>
      <c r="F17" s="1">
        <v>52542.577890322231</v>
      </c>
      <c r="G17" s="1">
        <v>47866.319305772631</v>
      </c>
      <c r="H17" s="1">
        <v>7419.2794923947577</v>
      </c>
      <c r="I17" s="1">
        <v>8775.9981717194987</v>
      </c>
      <c r="J17" s="1">
        <v>4571.2042764580347</v>
      </c>
      <c r="K17" s="1">
        <v>13347.20244817753</v>
      </c>
      <c r="L17" s="1">
        <v>20766.481940572288</v>
      </c>
      <c r="M17" s="1">
        <v>77036.646073013224</v>
      </c>
      <c r="N17" s="1">
        <v>90113.635428976631</v>
      </c>
      <c r="O17" s="1">
        <v>13076.989355963409</v>
      </c>
      <c r="P17" s="1">
        <v>279528.90073397837</v>
      </c>
      <c r="Q17" s="1">
        <v>266451.91137801501</v>
      </c>
      <c r="R17" s="1">
        <v>356565.54680699162</v>
      </c>
      <c r="S17" s="1">
        <v>7392.5816612756753</v>
      </c>
      <c r="T17" s="1">
        <v>43326.979613766649</v>
      </c>
      <c r="U17" s="1">
        <v>50719.561275042332</v>
      </c>
      <c r="V17" s="1">
        <v>8775.9981717194987</v>
      </c>
      <c r="W17" s="1">
        <v>41590.656342518087</v>
      </c>
      <c r="X17" s="1">
        <v>50719.561275042317</v>
      </c>
      <c r="Y17" s="1">
        <v>1736.323271248559</v>
      </c>
      <c r="Z17" s="1">
        <v>55267.659755083703</v>
      </c>
      <c r="AA17" s="1">
        <v>4548.0984800413717</v>
      </c>
      <c r="AB17" s="1">
        <v>4548.0984800413862</v>
      </c>
    </row>
    <row r="18" spans="1:28" x14ac:dyDescent="0.35">
      <c r="A18" s="1" t="s">
        <v>103</v>
      </c>
      <c r="B18" s="1">
        <v>0.1314710368951435</v>
      </c>
      <c r="C18" s="1">
        <v>169277.1019045061</v>
      </c>
      <c r="D18" s="1">
        <v>169277.1019045061</v>
      </c>
      <c r="E18" s="1">
        <v>76680.790848185556</v>
      </c>
      <c r="F18" s="1">
        <v>92596.311056320512</v>
      </c>
      <c r="G18" s="1">
        <v>54834.1672354939</v>
      </c>
      <c r="H18" s="1">
        <v>8499.2959215015544</v>
      </c>
      <c r="I18" s="1">
        <v>7220.5083340073606</v>
      </c>
      <c r="J18" s="1">
        <v>8055.8790618998837</v>
      </c>
      <c r="K18" s="1">
        <v>15276.387395907241</v>
      </c>
      <c r="L18" s="1">
        <v>23775.683317408799</v>
      </c>
      <c r="M18" s="1">
        <v>76680.790870030512</v>
      </c>
      <c r="N18" s="1">
        <v>76680.790848185556</v>
      </c>
      <c r="O18" s="1">
        <v>-2.184495679102838E-5</v>
      </c>
      <c r="P18" s="1">
        <v>272916.90800723992</v>
      </c>
      <c r="Q18" s="1">
        <v>272916.90802908479</v>
      </c>
      <c r="R18" s="1">
        <v>349597.69887727039</v>
      </c>
      <c r="S18" s="1">
        <v>7220.5083373932548</v>
      </c>
      <c r="T18" s="1">
        <v>42302.120741122177</v>
      </c>
      <c r="U18" s="1">
        <v>49522.629078515427</v>
      </c>
      <c r="V18" s="1">
        <v>7220.5083340073606</v>
      </c>
      <c r="W18" s="1">
        <v>42302.120743994157</v>
      </c>
      <c r="X18" s="1">
        <v>49522.629078515442</v>
      </c>
      <c r="Y18" s="1">
        <v>-2.8719791202461078E-6</v>
      </c>
      <c r="Z18" s="1">
        <v>54187.643325976911</v>
      </c>
      <c r="AA18" s="1">
        <v>4665.0142474614768</v>
      </c>
      <c r="AB18" s="1">
        <v>4665.0142474614686</v>
      </c>
    </row>
    <row r="19" spans="1:28" x14ac:dyDescent="0.35">
      <c r="A19" s="1" t="s">
        <v>104</v>
      </c>
      <c r="B19" s="1">
        <v>0.13146957989715879</v>
      </c>
      <c r="C19" s="1">
        <v>169277.1019045061</v>
      </c>
      <c r="D19" s="1">
        <v>170197.52268042811</v>
      </c>
      <c r="E19" s="1">
        <v>83393.84121077061</v>
      </c>
      <c r="F19" s="1">
        <v>86803.681469657487</v>
      </c>
      <c r="G19" s="1">
        <v>58149.091440135133</v>
      </c>
      <c r="H19" s="1">
        <v>9013.1091732209443</v>
      </c>
      <c r="I19" s="1">
        <v>7969.4225736157778</v>
      </c>
      <c r="J19" s="1">
        <v>7551.9202878602018</v>
      </c>
      <c r="K19" s="1">
        <v>15521.34286147598</v>
      </c>
      <c r="L19" s="1">
        <v>24534.452034696929</v>
      </c>
      <c r="M19" s="1">
        <v>76680.64772006459</v>
      </c>
      <c r="N19" s="1">
        <v>83393.84121077061</v>
      </c>
      <c r="O19" s="1">
        <v>6713.1934907060204</v>
      </c>
      <c r="P19" s="1">
        <v>269602.12695256458</v>
      </c>
      <c r="Q19" s="1">
        <v>262888.9334618586</v>
      </c>
      <c r="R19" s="1">
        <v>346282.77467262908</v>
      </c>
      <c r="S19" s="1">
        <v>7220.4027453108756</v>
      </c>
      <c r="T19" s="1">
        <v>41788.329677647504</v>
      </c>
      <c r="U19" s="1">
        <v>49008.73242295839</v>
      </c>
      <c r="V19" s="1">
        <v>7969.4225736157778</v>
      </c>
      <c r="W19" s="1">
        <v>40905.748949656037</v>
      </c>
      <c r="X19" s="1">
        <v>49008.732422958383</v>
      </c>
      <c r="Y19" s="1">
        <v>882.58072799146169</v>
      </c>
      <c r="Z19" s="1">
        <v>53673.830074257523</v>
      </c>
      <c r="AA19" s="1">
        <v>4665.0976512991256</v>
      </c>
      <c r="AB19" s="1">
        <v>4665.0976512991328</v>
      </c>
    </row>
    <row r="20" spans="1:28" x14ac:dyDescent="0.35">
      <c r="A20" s="1" t="s">
        <v>105</v>
      </c>
      <c r="B20" s="1">
        <v>0.13146716323753921</v>
      </c>
      <c r="C20" s="1">
        <v>169277.1019045061</v>
      </c>
      <c r="D20" s="1">
        <v>170514.2950286406</v>
      </c>
      <c r="E20" s="1">
        <v>89384.20980432551</v>
      </c>
      <c r="F20" s="1">
        <v>81130.085224315058</v>
      </c>
      <c r="G20" s="1">
        <v>62034.08089611632</v>
      </c>
      <c r="H20" s="1">
        <v>9615.2825388980291</v>
      </c>
      <c r="I20" s="1">
        <v>8609.5610012359193</v>
      </c>
      <c r="J20" s="1">
        <v>7058.3174145154089</v>
      </c>
      <c r="K20" s="1">
        <v>15667.878415751329</v>
      </c>
      <c r="L20" s="1">
        <v>25283.16095464936</v>
      </c>
      <c r="M20" s="1">
        <v>76680.339965847365</v>
      </c>
      <c r="N20" s="1">
        <v>89384.20980432551</v>
      </c>
      <c r="O20" s="1">
        <v>12703.869838478149</v>
      </c>
      <c r="P20" s="1">
        <v>265717.44525080058</v>
      </c>
      <c r="Q20" s="1">
        <v>253013.57541232239</v>
      </c>
      <c r="R20" s="1">
        <v>342397.78521664802</v>
      </c>
      <c r="S20" s="1">
        <v>7220.2163767340844</v>
      </c>
      <c r="T20" s="1">
        <v>41186.204013874092</v>
      </c>
      <c r="U20" s="1">
        <v>48406.420390608168</v>
      </c>
      <c r="V20" s="1">
        <v>8609.5610012359193</v>
      </c>
      <c r="W20" s="1">
        <v>39516.062284070438</v>
      </c>
      <c r="X20" s="1">
        <v>48406.420390608182</v>
      </c>
      <c r="Y20" s="1">
        <v>1670.141729803657</v>
      </c>
      <c r="Z20" s="1">
        <v>53071.656708580427</v>
      </c>
      <c r="AA20" s="1">
        <v>4665.2363179722597</v>
      </c>
      <c r="AB20" s="1">
        <v>4665.2363179722524</v>
      </c>
    </row>
    <row r="21" spans="1:28" x14ac:dyDescent="0.35">
      <c r="A21" s="1" t="s">
        <v>106</v>
      </c>
      <c r="B21" s="1">
        <v>0.1314655058398122</v>
      </c>
      <c r="C21" s="1">
        <v>169277.1019045061</v>
      </c>
      <c r="D21" s="1">
        <v>170982.34646974239</v>
      </c>
      <c r="E21" s="1">
        <v>94184.304691944897</v>
      </c>
      <c r="F21" s="1">
        <v>76798.041777797494</v>
      </c>
      <c r="G21" s="1">
        <v>65195.114848543148</v>
      </c>
      <c r="H21" s="1">
        <v>10105.242801524189</v>
      </c>
      <c r="I21" s="1">
        <v>9125.1609899568848</v>
      </c>
      <c r="J21" s="1">
        <v>6681.4296346683814</v>
      </c>
      <c r="K21" s="1">
        <v>15806.590624625271</v>
      </c>
      <c r="L21" s="1">
        <v>25911.833426149449</v>
      </c>
      <c r="M21" s="1">
        <v>76680.093698511439</v>
      </c>
      <c r="N21" s="1">
        <v>94184.304691944897</v>
      </c>
      <c r="O21" s="1">
        <v>17504.210993433458</v>
      </c>
      <c r="P21" s="1">
        <v>262556.65756570973</v>
      </c>
      <c r="Q21" s="1">
        <v>245052.4465722763</v>
      </c>
      <c r="R21" s="1">
        <v>339236.75126422121</v>
      </c>
      <c r="S21" s="1">
        <v>7220.1000322758009</v>
      </c>
      <c r="T21" s="1">
        <v>40696.281922684997</v>
      </c>
      <c r="U21" s="1">
        <v>47916.381954960802</v>
      </c>
      <c r="V21" s="1">
        <v>9125.1609899568848</v>
      </c>
      <c r="W21" s="1">
        <v>38395.081970106468</v>
      </c>
      <c r="X21" s="1">
        <v>47916.381954960802</v>
      </c>
      <c r="Y21" s="1">
        <v>2301.1999525785309</v>
      </c>
      <c r="Z21" s="1">
        <v>52581.69644595428</v>
      </c>
      <c r="AA21" s="1">
        <v>4665.3144909934781</v>
      </c>
      <c r="AB21" s="1">
        <v>4665.3144909934781</v>
      </c>
    </row>
    <row r="22" spans="1:28" x14ac:dyDescent="0.35">
      <c r="A22" s="1" t="s">
        <v>107</v>
      </c>
      <c r="B22" s="1">
        <v>0.13074254963600479</v>
      </c>
      <c r="C22" s="1">
        <v>189946.7868918821</v>
      </c>
      <c r="D22" s="1">
        <v>189946.7868918821</v>
      </c>
      <c r="E22" s="1">
        <v>74837.332128866474</v>
      </c>
      <c r="F22" s="1">
        <v>115109.4547630156</v>
      </c>
      <c r="G22" s="1">
        <v>62375.349938117943</v>
      </c>
      <c r="H22" s="1">
        <v>9668.1792404082807</v>
      </c>
      <c r="I22" s="1">
        <v>6983.3744984015921</v>
      </c>
      <c r="J22" s="1">
        <v>10014.522564382351</v>
      </c>
      <c r="K22" s="1">
        <v>16997.897062783952</v>
      </c>
      <c r="L22" s="1">
        <v>26666.076303192229</v>
      </c>
      <c r="M22" s="1">
        <v>74837.332150680755</v>
      </c>
      <c r="N22" s="1">
        <v>74837.332128866474</v>
      </c>
      <c r="O22" s="1">
        <v>-2.181428135372698E-5</v>
      </c>
      <c r="P22" s="1">
        <v>267219.18402396562</v>
      </c>
      <c r="Q22" s="1">
        <v>267219.18404577993</v>
      </c>
      <c r="R22" s="1">
        <v>342056.51617464633</v>
      </c>
      <c r="S22" s="1">
        <v>6983.3745017827396</v>
      </c>
      <c r="T22" s="1">
        <v>41418.973523714652</v>
      </c>
      <c r="U22" s="1">
        <v>48402.348025497398</v>
      </c>
      <c r="V22" s="1">
        <v>6983.3744984015921</v>
      </c>
      <c r="W22" s="1">
        <v>41418.973526566697</v>
      </c>
      <c r="X22" s="1">
        <v>48402.348025497391</v>
      </c>
      <c r="Y22" s="1">
        <v>-2.8520547626634239E-6</v>
      </c>
      <c r="Z22" s="1">
        <v>53018.760007070181</v>
      </c>
      <c r="AA22" s="1">
        <v>4616.4119815727827</v>
      </c>
      <c r="AB22" s="1">
        <v>4616.41198157279</v>
      </c>
    </row>
    <row r="23" spans="1:28" x14ac:dyDescent="0.35">
      <c r="A23" s="1" t="s">
        <v>108</v>
      </c>
      <c r="B23" s="1">
        <v>0.13073874432056939</v>
      </c>
      <c r="C23" s="1">
        <v>189946.7868918821</v>
      </c>
      <c r="D23" s="1">
        <v>190987.79172890991</v>
      </c>
      <c r="E23" s="1">
        <v>82339.087346658984</v>
      </c>
      <c r="F23" s="1">
        <v>108648.704382251</v>
      </c>
      <c r="G23" s="1">
        <v>68198.17502153902</v>
      </c>
      <c r="H23" s="1">
        <v>10570.717128338551</v>
      </c>
      <c r="I23" s="1">
        <v>7842.0538373875042</v>
      </c>
      <c r="J23" s="1">
        <v>9452.437281255834</v>
      </c>
      <c r="K23" s="1">
        <v>17294.491118643338</v>
      </c>
      <c r="L23" s="1">
        <v>27865.208246981889</v>
      </c>
      <c r="M23" s="1">
        <v>74836.938083098008</v>
      </c>
      <c r="N23" s="1">
        <v>82339.087346658984</v>
      </c>
      <c r="O23" s="1">
        <v>7502.1492635609757</v>
      </c>
      <c r="P23" s="1">
        <v>261396.7530081273</v>
      </c>
      <c r="Q23" s="1">
        <v>253894.60374456641</v>
      </c>
      <c r="R23" s="1">
        <v>336233.69109122519</v>
      </c>
      <c r="S23" s="1">
        <v>6983.1243348571788</v>
      </c>
      <c r="T23" s="1">
        <v>40516.496716259717</v>
      </c>
      <c r="U23" s="1">
        <v>47499.621051116897</v>
      </c>
      <c r="V23" s="1">
        <v>7842.0538373875042</v>
      </c>
      <c r="W23" s="1">
        <v>39535.675141836276</v>
      </c>
      <c r="X23" s="1">
        <v>47499.621051116897</v>
      </c>
      <c r="Y23" s="1">
        <v>980.8215744234468</v>
      </c>
      <c r="Z23" s="1">
        <v>52116.222119139908</v>
      </c>
      <c r="AA23" s="1">
        <v>4616.6010680230102</v>
      </c>
      <c r="AB23" s="1">
        <v>4616.6010680230102</v>
      </c>
    </row>
    <row r="24" spans="1:28" x14ac:dyDescent="0.35">
      <c r="A24" s="1" t="s">
        <v>109</v>
      </c>
      <c r="B24" s="1">
        <v>0.1307333992723701</v>
      </c>
      <c r="C24" s="1">
        <v>189946.7868918821</v>
      </c>
      <c r="D24" s="1">
        <v>191399.783837925</v>
      </c>
      <c r="E24" s="1">
        <v>88352.387549672247</v>
      </c>
      <c r="F24" s="1">
        <v>103047.3962882528</v>
      </c>
      <c r="G24" s="1">
        <v>73749.90089474339</v>
      </c>
      <c r="H24" s="1">
        <v>11431.23463868523</v>
      </c>
      <c r="I24" s="1">
        <v>8500.9413070197425</v>
      </c>
      <c r="J24" s="1">
        <v>8965.1234770779884</v>
      </c>
      <c r="K24" s="1">
        <v>17466.064784097729</v>
      </c>
      <c r="L24" s="1">
        <v>28897.299422782959</v>
      </c>
      <c r="M24" s="1">
        <v>74836.229193245337</v>
      </c>
      <c r="N24" s="1">
        <v>88352.387549672247</v>
      </c>
      <c r="O24" s="1">
        <v>13516.158356426909</v>
      </c>
      <c r="P24" s="1">
        <v>255845.7360247756</v>
      </c>
      <c r="Q24" s="1">
        <v>242329.57766834871</v>
      </c>
      <c r="R24" s="1">
        <v>330681.96521802089</v>
      </c>
      <c r="S24" s="1">
        <v>6982.7219488157452</v>
      </c>
      <c r="T24" s="1">
        <v>39656.089083840197</v>
      </c>
      <c r="U24" s="1">
        <v>46638.811032655947</v>
      </c>
      <c r="V24" s="1">
        <v>8500.9413070197425</v>
      </c>
      <c r="W24" s="1">
        <v>37889.075756800863</v>
      </c>
      <c r="X24" s="1">
        <v>46638.81103265594</v>
      </c>
      <c r="Y24" s="1">
        <v>1767.013327039341</v>
      </c>
      <c r="Z24" s="1">
        <v>51255.704608793239</v>
      </c>
      <c r="AA24" s="1">
        <v>4616.893576137285</v>
      </c>
      <c r="AB24" s="1">
        <v>4616.8935761373004</v>
      </c>
    </row>
    <row r="25" spans="1:28" x14ac:dyDescent="0.35">
      <c r="A25" s="1" t="s">
        <v>110</v>
      </c>
      <c r="B25" s="1">
        <v>0.13072990038694191</v>
      </c>
      <c r="C25" s="1">
        <v>189946.7868918821</v>
      </c>
      <c r="D25" s="1">
        <v>191874.432301825</v>
      </c>
      <c r="E25" s="1">
        <v>93514.253720130073</v>
      </c>
      <c r="F25" s="1">
        <v>98360.178581694941</v>
      </c>
      <c r="G25" s="1">
        <v>78691.604575255362</v>
      </c>
      <c r="H25" s="1">
        <v>12197.198709164581</v>
      </c>
      <c r="I25" s="1">
        <v>9067.2674966802879</v>
      </c>
      <c r="J25" s="1">
        <v>8557.3355366074575</v>
      </c>
      <c r="K25" s="1">
        <v>17624.603033287749</v>
      </c>
      <c r="L25" s="1">
        <v>29821.801742452331</v>
      </c>
      <c r="M25" s="1">
        <v>74835.395044579564</v>
      </c>
      <c r="N25" s="1">
        <v>93514.253720130073</v>
      </c>
      <c r="O25" s="1">
        <v>18678.858675550509</v>
      </c>
      <c r="P25" s="1">
        <v>250904.8664929294</v>
      </c>
      <c r="Q25" s="1">
        <v>232226.00781737891</v>
      </c>
      <c r="R25" s="1">
        <v>325740.26153750898</v>
      </c>
      <c r="S25" s="1">
        <v>6982.4485763337707</v>
      </c>
      <c r="T25" s="1">
        <v>38890.254306404036</v>
      </c>
      <c r="U25" s="1">
        <v>45872.702882737809</v>
      </c>
      <c r="V25" s="1">
        <v>9067.2674966802879</v>
      </c>
      <c r="W25" s="1">
        <v>36448.368972407559</v>
      </c>
      <c r="X25" s="1">
        <v>45872.702882737809</v>
      </c>
      <c r="Y25" s="1">
        <v>2441.885333996483</v>
      </c>
      <c r="Z25" s="1">
        <v>50489.74053831389</v>
      </c>
      <c r="AA25" s="1">
        <v>4617.0376555760813</v>
      </c>
      <c r="AB25" s="1">
        <v>4617.0376555760813</v>
      </c>
    </row>
    <row r="26" spans="1:28" x14ac:dyDescent="0.35">
      <c r="A26" s="1" t="s">
        <v>111</v>
      </c>
      <c r="B26" s="1">
        <v>0.12993010840679961</v>
      </c>
      <c r="C26" s="1">
        <v>216962.10069611139</v>
      </c>
      <c r="D26" s="1">
        <v>216962.10069611139</v>
      </c>
      <c r="E26" s="1">
        <v>75436.775486876053</v>
      </c>
      <c r="F26" s="1">
        <v>141525.32520923531</v>
      </c>
      <c r="G26" s="1">
        <v>66729.763163888667</v>
      </c>
      <c r="H26" s="1">
        <v>10343.11329040274</v>
      </c>
      <c r="I26" s="1">
        <v>7002.9858363451494</v>
      </c>
      <c r="J26" s="1">
        <v>12312.703293203471</v>
      </c>
      <c r="K26" s="1">
        <v>19315.68912954862</v>
      </c>
      <c r="L26" s="1">
        <v>29658.80241995136</v>
      </c>
      <c r="M26" s="1">
        <v>75436.775508661798</v>
      </c>
      <c r="N26" s="1">
        <v>75436.775486876053</v>
      </c>
      <c r="O26" s="1">
        <v>-2.1785745047964159E-5</v>
      </c>
      <c r="P26" s="1">
        <v>262265.32744021382</v>
      </c>
      <c r="Q26" s="1">
        <v>262265.32746199949</v>
      </c>
      <c r="R26" s="1">
        <v>337702.10294887569</v>
      </c>
      <c r="S26" s="1">
        <v>7002.985839721875</v>
      </c>
      <c r="T26" s="1">
        <v>40651.125753233136</v>
      </c>
      <c r="U26" s="1">
        <v>47654.111592955007</v>
      </c>
      <c r="V26" s="1">
        <v>7002.9858363451494</v>
      </c>
      <c r="W26" s="1">
        <v>40651.125756063768</v>
      </c>
      <c r="X26" s="1">
        <v>47654.111592955021</v>
      </c>
      <c r="Y26" s="1">
        <v>-2.8306242158048811E-6</v>
      </c>
      <c r="Z26" s="1">
        <v>52343.825957075729</v>
      </c>
      <c r="AA26" s="1">
        <v>4689.7143641207149</v>
      </c>
      <c r="AB26" s="1">
        <v>4689.7143641207076</v>
      </c>
    </row>
    <row r="27" spans="1:28" x14ac:dyDescent="0.35">
      <c r="A27" s="1" t="s">
        <v>112</v>
      </c>
      <c r="B27" s="1">
        <v>0.12992173542965149</v>
      </c>
      <c r="C27" s="1">
        <v>216962.10069611139</v>
      </c>
      <c r="D27" s="1">
        <v>217971.52617736749</v>
      </c>
      <c r="E27" s="1">
        <v>83130.846884881073</v>
      </c>
      <c r="F27" s="1">
        <v>134840.6792924864</v>
      </c>
      <c r="G27" s="1">
        <v>75566.198336416041</v>
      </c>
      <c r="H27" s="1">
        <v>11712.76074214449</v>
      </c>
      <c r="I27" s="1">
        <v>7898.5967059424647</v>
      </c>
      <c r="J27" s="1">
        <v>11731.13909844632</v>
      </c>
      <c r="K27" s="1">
        <v>19629.73580438878</v>
      </c>
      <c r="L27" s="1">
        <v>31342.496546533272</v>
      </c>
      <c r="M27" s="1">
        <v>75433.868009019498</v>
      </c>
      <c r="N27" s="1">
        <v>83130.846884881073</v>
      </c>
      <c r="O27" s="1">
        <v>7696.9788758615759</v>
      </c>
      <c r="P27" s="1">
        <v>253431.79976732869</v>
      </c>
      <c r="Q27" s="1">
        <v>245734.82089146721</v>
      </c>
      <c r="R27" s="1">
        <v>328865.66777634819</v>
      </c>
      <c r="S27" s="1">
        <v>7002.2089860593387</v>
      </c>
      <c r="T27" s="1">
        <v>39281.928963935941</v>
      </c>
      <c r="U27" s="1">
        <v>46284.137949995282</v>
      </c>
      <c r="V27" s="1">
        <v>7898.5967059424647</v>
      </c>
      <c r="W27" s="1">
        <v>38281.92411081864</v>
      </c>
      <c r="X27" s="1">
        <v>46284.137949995282</v>
      </c>
      <c r="Y27" s="1">
        <v>1000.004853117304</v>
      </c>
      <c r="Z27" s="1">
        <v>50974.178505333977</v>
      </c>
      <c r="AA27" s="1">
        <v>4690.0405553386954</v>
      </c>
      <c r="AB27" s="1">
        <v>4690.0405553386954</v>
      </c>
    </row>
    <row r="28" spans="1:28" x14ac:dyDescent="0.35">
      <c r="A28" s="1" t="s">
        <v>113</v>
      </c>
      <c r="B28" s="1">
        <v>0.12990980359833171</v>
      </c>
      <c r="C28" s="1">
        <v>216962.10069611139</v>
      </c>
      <c r="D28" s="1">
        <v>218412.95603777069</v>
      </c>
      <c r="E28" s="1">
        <v>89046.081932420871</v>
      </c>
      <c r="F28" s="1">
        <v>129366.8741053499</v>
      </c>
      <c r="G28" s="1">
        <v>83153.675797721662</v>
      </c>
      <c r="H28" s="1">
        <v>12888.81974864686</v>
      </c>
      <c r="I28" s="1">
        <v>8559.0516837029791</v>
      </c>
      <c r="J28" s="1">
        <v>11254.91804716544</v>
      </c>
      <c r="K28" s="1">
        <v>19813.969730868419</v>
      </c>
      <c r="L28" s="1">
        <v>32702.789479515279</v>
      </c>
      <c r="M28" s="1">
        <v>75432.104943615224</v>
      </c>
      <c r="N28" s="1">
        <v>89046.081932420871</v>
      </c>
      <c r="O28" s="1">
        <v>13613.976988805651</v>
      </c>
      <c r="P28" s="1">
        <v>245846.08537142741</v>
      </c>
      <c r="Q28" s="1">
        <v>232232.10838262181</v>
      </c>
      <c r="R28" s="1">
        <v>321278.19031504268</v>
      </c>
      <c r="S28" s="1">
        <v>7001.2141769515538</v>
      </c>
      <c r="T28" s="1">
        <v>38106.143232571238</v>
      </c>
      <c r="U28" s="1">
        <v>45107.357409522803</v>
      </c>
      <c r="V28" s="1">
        <v>8559.0516837029791</v>
      </c>
      <c r="W28" s="1">
        <v>36337.55415576329</v>
      </c>
      <c r="X28" s="1">
        <v>45107.357409522803</v>
      </c>
      <c r="Y28" s="1">
        <v>1768.5890768079489</v>
      </c>
      <c r="Z28" s="1">
        <v>49798.119498831613</v>
      </c>
      <c r="AA28" s="1">
        <v>4690.7620893088169</v>
      </c>
      <c r="AB28" s="1">
        <v>4690.7620893088169</v>
      </c>
    </row>
    <row r="29" spans="1:28" x14ac:dyDescent="0.35">
      <c r="A29" s="18" t="s">
        <v>114</v>
      </c>
      <c r="B29" s="18">
        <v>0.12990310355608739</v>
      </c>
      <c r="C29" s="18">
        <v>216962.10069611139</v>
      </c>
      <c r="D29" s="18">
        <v>219120.76581187759</v>
      </c>
      <c r="E29" s="18">
        <v>95787.425693898884</v>
      </c>
      <c r="F29" s="18">
        <v>123333.3401179787</v>
      </c>
      <c r="G29" s="18">
        <v>90024.725059666263</v>
      </c>
      <c r="H29" s="18">
        <v>13953.83238424827</v>
      </c>
      <c r="I29" s="18">
        <v>9329.0448373613617</v>
      </c>
      <c r="J29" s="18">
        <v>10730.00059026415</v>
      </c>
      <c r="K29" s="18">
        <v>20059.045427625511</v>
      </c>
      <c r="L29" s="18">
        <v>34012.877811873783</v>
      </c>
      <c r="M29" s="18">
        <v>75430.441706815749</v>
      </c>
      <c r="N29" s="18">
        <v>95787.425693898884</v>
      </c>
      <c r="O29" s="18">
        <v>20356.983987083131</v>
      </c>
      <c r="P29" s="18">
        <v>238976.69934628229</v>
      </c>
      <c r="Q29" s="18">
        <v>218619.71535919921</v>
      </c>
      <c r="R29" s="18">
        <v>314407.14105309808</v>
      </c>
      <c r="S29" s="18">
        <v>7000.6708102660887</v>
      </c>
      <c r="T29" s="18">
        <v>37041.388398673749</v>
      </c>
      <c r="U29" s="18">
        <v>44042.059208939827</v>
      </c>
      <c r="V29" s="18">
        <v>9329.0448373613617</v>
      </c>
      <c r="W29" s="18">
        <v>34396.952999710084</v>
      </c>
      <c r="X29" s="18">
        <v>44042.059208939841</v>
      </c>
      <c r="Y29" s="18">
        <v>2644.4353989636729</v>
      </c>
      <c r="Z29" s="18">
        <v>48733.106863230198</v>
      </c>
      <c r="AA29" s="18">
        <v>4691.0476542903707</v>
      </c>
      <c r="AB29" s="18">
        <v>4691.0476542903634</v>
      </c>
    </row>
    <row r="30" spans="1:28" x14ac:dyDescent="0.35">
      <c r="A30" s="1" t="s">
        <v>115</v>
      </c>
      <c r="B30" s="1">
        <v>0.12960634607001931</v>
      </c>
      <c r="C30" s="1">
        <v>230122.94492519111</v>
      </c>
      <c r="D30" s="1">
        <v>230122.94492519111</v>
      </c>
      <c r="E30" s="1">
        <v>73402.433411370803</v>
      </c>
      <c r="F30" s="1">
        <v>156720.5115138203</v>
      </c>
      <c r="G30" s="1">
        <v>70989.660659808898</v>
      </c>
      <c r="H30" s="1">
        <v>11003.397402270381</v>
      </c>
      <c r="I30" s="1">
        <v>6784.4297518785816</v>
      </c>
      <c r="J30" s="1">
        <v>13634.684501702361</v>
      </c>
      <c r="K30" s="1">
        <v>20419.114253580949</v>
      </c>
      <c r="L30" s="1">
        <v>31422.511655851329</v>
      </c>
      <c r="M30" s="1">
        <v>73402.433433158993</v>
      </c>
      <c r="N30" s="1">
        <v>73402.433411370803</v>
      </c>
      <c r="O30" s="1">
        <v>-2.1788189769722521E-5</v>
      </c>
      <c r="P30" s="1">
        <v>260039.77201979639</v>
      </c>
      <c r="Q30" s="1">
        <v>260039.7720415846</v>
      </c>
      <c r="R30" s="1">
        <v>333442.20545295539</v>
      </c>
      <c r="S30" s="1">
        <v>6784.42975525569</v>
      </c>
      <c r="T30" s="1">
        <v>40306.164663068434</v>
      </c>
      <c r="U30" s="1">
        <v>47090.59441832413</v>
      </c>
      <c r="V30" s="1">
        <v>6784.4297518785816</v>
      </c>
      <c r="W30" s="1">
        <v>40306.164665892313</v>
      </c>
      <c r="X30" s="1">
        <v>47090.594418324123</v>
      </c>
      <c r="Y30" s="1">
        <v>-2.8238876635339099E-6</v>
      </c>
      <c r="Z30" s="1">
        <v>51683.541845208078</v>
      </c>
      <c r="AA30" s="1">
        <v>4592.9474268839549</v>
      </c>
      <c r="AB30" s="1">
        <v>4592.9474268839685</v>
      </c>
    </row>
    <row r="31" spans="1:28" x14ac:dyDescent="0.35">
      <c r="A31" s="1" t="s">
        <v>116</v>
      </c>
      <c r="B31" s="1">
        <v>0.1295957588848167</v>
      </c>
      <c r="C31" s="1">
        <v>230122.94492519111</v>
      </c>
      <c r="D31" s="1">
        <v>231124.45858968451</v>
      </c>
      <c r="E31" s="1">
        <v>81237.052807037733</v>
      </c>
      <c r="F31" s="1">
        <v>149887.4057826467</v>
      </c>
      <c r="G31" s="1">
        <v>81642.757721135553</v>
      </c>
      <c r="H31" s="1">
        <v>12654.62744677601</v>
      </c>
      <c r="I31" s="1">
        <v>7711.585842476341</v>
      </c>
      <c r="J31" s="1">
        <v>13040.20430309027</v>
      </c>
      <c r="K31" s="1">
        <v>20751.790145566611</v>
      </c>
      <c r="L31" s="1">
        <v>33406.417592342623</v>
      </c>
      <c r="M31" s="1">
        <v>73398.811589036413</v>
      </c>
      <c r="N31" s="1">
        <v>81237.052807037733</v>
      </c>
      <c r="O31" s="1">
        <v>7838.2412180013198</v>
      </c>
      <c r="P31" s="1">
        <v>249390.29680259229</v>
      </c>
      <c r="Q31" s="1">
        <v>241552.055584591</v>
      </c>
      <c r="R31" s="1">
        <v>322789.10839162878</v>
      </c>
      <c r="S31" s="1">
        <v>6783.4292209688638</v>
      </c>
      <c r="T31" s="1">
        <v>38655.496004401801</v>
      </c>
      <c r="U31" s="1">
        <v>45438.925225370658</v>
      </c>
      <c r="V31" s="1">
        <v>7711.585842476341</v>
      </c>
      <c r="W31" s="1">
        <v>37639.693185432669</v>
      </c>
      <c r="X31" s="1">
        <v>45438.925225370673</v>
      </c>
      <c r="Y31" s="1">
        <v>1015.802818969131</v>
      </c>
      <c r="Z31" s="1">
        <v>50032.31180070246</v>
      </c>
      <c r="AA31" s="1">
        <v>4593.3865753318023</v>
      </c>
      <c r="AB31" s="1">
        <v>4593.386575331795</v>
      </c>
    </row>
    <row r="32" spans="1:28" x14ac:dyDescent="0.35">
      <c r="A32" s="1" t="s">
        <v>117</v>
      </c>
      <c r="B32" s="1">
        <v>0.12957998639122001</v>
      </c>
      <c r="C32" s="1">
        <v>230122.94492519111</v>
      </c>
      <c r="D32" s="1">
        <v>231566.3037652176</v>
      </c>
      <c r="E32" s="1">
        <v>87355.314852427487</v>
      </c>
      <c r="F32" s="1">
        <v>144210.98891279011</v>
      </c>
      <c r="G32" s="1">
        <v>91189.162592682987</v>
      </c>
      <c r="H32" s="1">
        <v>14134.320201865859</v>
      </c>
      <c r="I32" s="1">
        <v>8403.3072905865065</v>
      </c>
      <c r="J32" s="1">
        <v>12546.356035412729</v>
      </c>
      <c r="K32" s="1">
        <v>20949.663325999241</v>
      </c>
      <c r="L32" s="1">
        <v>35083.983527865101</v>
      </c>
      <c r="M32" s="1">
        <v>73394.992109801227</v>
      </c>
      <c r="N32" s="1">
        <v>87355.314852427487</v>
      </c>
      <c r="O32" s="1">
        <v>13960.32274262626</v>
      </c>
      <c r="P32" s="1">
        <v>239847.71141028011</v>
      </c>
      <c r="Q32" s="1">
        <v>225887.3886676539</v>
      </c>
      <c r="R32" s="1">
        <v>313242.7035200813</v>
      </c>
      <c r="S32" s="1">
        <v>6781.9426505833217</v>
      </c>
      <c r="T32" s="1">
        <v>37176.395268593413</v>
      </c>
      <c r="U32" s="1">
        <v>43958.337919176731</v>
      </c>
      <c r="V32" s="1">
        <v>8403.3072905865065</v>
      </c>
      <c r="W32" s="1">
        <v>35367.416837586847</v>
      </c>
      <c r="X32" s="1">
        <v>43958.337919176724</v>
      </c>
      <c r="Y32" s="1">
        <v>1808.97843100655</v>
      </c>
      <c r="Z32" s="1">
        <v>48552.619045612599</v>
      </c>
      <c r="AA32" s="1">
        <v>4594.2811264358679</v>
      </c>
      <c r="AB32" s="1">
        <v>4594.2811264358752</v>
      </c>
    </row>
    <row r="33" spans="1:28" x14ac:dyDescent="0.35">
      <c r="A33" s="1" t="s">
        <v>118</v>
      </c>
      <c r="B33" s="1">
        <v>0.1295710965852816</v>
      </c>
      <c r="C33" s="1">
        <v>230122.94492519111</v>
      </c>
      <c r="D33" s="1">
        <v>232270.54706286389</v>
      </c>
      <c r="E33" s="1">
        <v>94194.60933897327</v>
      </c>
      <c r="F33" s="1">
        <v>138075.93772389059</v>
      </c>
      <c r="G33" s="1">
        <v>99747.745722920998</v>
      </c>
      <c r="H33" s="1">
        <v>15460.900587052751</v>
      </c>
      <c r="I33" s="1">
        <v>9195.3699081792074</v>
      </c>
      <c r="J33" s="1">
        <v>12012.606581978491</v>
      </c>
      <c r="K33" s="1">
        <v>21207.976490157689</v>
      </c>
      <c r="L33" s="1">
        <v>36668.877077210447</v>
      </c>
      <c r="M33" s="1">
        <v>73392.060554497308</v>
      </c>
      <c r="N33" s="1">
        <v>94194.60933897327</v>
      </c>
      <c r="O33" s="1">
        <v>20802.548784475959</v>
      </c>
      <c r="P33" s="1">
        <v>231292.0598353461</v>
      </c>
      <c r="Q33" s="1">
        <v>210489.51105087009</v>
      </c>
      <c r="R33" s="1">
        <v>304684.1203898433</v>
      </c>
      <c r="S33" s="1">
        <v>6781.1266293765157</v>
      </c>
      <c r="T33" s="1">
        <v>35850.269274478633</v>
      </c>
      <c r="U33" s="1">
        <v>42631.395903855147</v>
      </c>
      <c r="V33" s="1">
        <v>9195.3699081792074</v>
      </c>
      <c r="W33" s="1">
        <v>33154.86021670526</v>
      </c>
      <c r="X33" s="1">
        <v>42631.39590385514</v>
      </c>
      <c r="Y33" s="1">
        <v>2695.4090577733682</v>
      </c>
      <c r="Z33" s="1">
        <v>47226.038660425707</v>
      </c>
      <c r="AA33" s="1">
        <v>4594.6427565705671</v>
      </c>
      <c r="AB33" s="1">
        <v>4594.6427565705744</v>
      </c>
    </row>
    <row r="34" spans="1:28" x14ac:dyDescent="0.35">
      <c r="A34" s="1" t="s">
        <v>119</v>
      </c>
      <c r="B34" s="1">
        <v>0.12889070142435069</v>
      </c>
      <c r="C34" s="1">
        <v>265066.50983855402</v>
      </c>
      <c r="D34" s="1">
        <v>265066.50983855402</v>
      </c>
      <c r="E34" s="1">
        <v>67792.757898517084</v>
      </c>
      <c r="F34" s="1">
        <v>197273.75194003689</v>
      </c>
      <c r="G34" s="1">
        <v>81225.051576446014</v>
      </c>
      <c r="H34" s="1">
        <v>12589.882994349129</v>
      </c>
      <c r="I34" s="1">
        <v>6207.3420251342741</v>
      </c>
      <c r="J34" s="1">
        <v>17162.816418783212</v>
      </c>
      <c r="K34" s="1">
        <v>23370.15844391748</v>
      </c>
      <c r="L34" s="1">
        <v>35960.041438266613</v>
      </c>
      <c r="M34" s="1">
        <v>67792.757920192715</v>
      </c>
      <c r="N34" s="1">
        <v>67792.757898517084</v>
      </c>
      <c r="O34" s="1">
        <v>-2.16756307054311E-5</v>
      </c>
      <c r="P34" s="1">
        <v>255414.05661612551</v>
      </c>
      <c r="Q34" s="1">
        <v>255414.0566378012</v>
      </c>
      <c r="R34" s="1">
        <v>323206.81453631818</v>
      </c>
      <c r="S34" s="1">
        <v>6207.3420284939311</v>
      </c>
      <c r="T34" s="1">
        <v>39589.178775499458</v>
      </c>
      <c r="U34" s="1">
        <v>45796.520803993393</v>
      </c>
      <c r="V34" s="1">
        <v>6207.3420251342741</v>
      </c>
      <c r="W34" s="1">
        <v>39589.178778293237</v>
      </c>
      <c r="X34" s="1">
        <v>45796.520803993393</v>
      </c>
      <c r="Y34" s="1">
        <v>-2.7937872454382079E-6</v>
      </c>
      <c r="Z34" s="1">
        <v>50097.056253129333</v>
      </c>
      <c r="AA34" s="1">
        <v>4300.5354491359394</v>
      </c>
      <c r="AB34" s="1">
        <v>4300.5354491359394</v>
      </c>
    </row>
    <row r="35" spans="1:28" x14ac:dyDescent="0.35">
      <c r="A35" s="1" t="s">
        <v>120</v>
      </c>
      <c r="B35" s="1">
        <v>0.12886660145467649</v>
      </c>
      <c r="C35" s="1">
        <v>265066.50983855402</v>
      </c>
      <c r="D35" s="1">
        <v>265922.59561905771</v>
      </c>
      <c r="E35" s="1">
        <v>76317.21217869781</v>
      </c>
      <c r="F35" s="1">
        <v>189605.38344035979</v>
      </c>
      <c r="G35" s="1">
        <v>96774.500998413336</v>
      </c>
      <c r="H35" s="1">
        <v>15000.047654754069</v>
      </c>
      <c r="I35" s="1">
        <v>7210.7784644231269</v>
      </c>
      <c r="J35" s="1">
        <v>16495.668359311301</v>
      </c>
      <c r="K35" s="1">
        <v>23706.44682373443</v>
      </c>
      <c r="L35" s="1">
        <v>38706.494478488486</v>
      </c>
      <c r="M35" s="1">
        <v>67784.176574365352</v>
      </c>
      <c r="N35" s="1">
        <v>76317.21217869781</v>
      </c>
      <c r="O35" s="1">
        <v>8533.0356043324573</v>
      </c>
      <c r="P35" s="1">
        <v>239873.1885399856</v>
      </c>
      <c r="Q35" s="1">
        <v>231340.1529356532</v>
      </c>
      <c r="R35" s="1">
        <v>307657.36511435092</v>
      </c>
      <c r="S35" s="1">
        <v>6204.90788327668</v>
      </c>
      <c r="T35" s="1">
        <v>37180.344223697757</v>
      </c>
      <c r="U35" s="1">
        <v>43385.25210697444</v>
      </c>
      <c r="V35" s="1">
        <v>7210.7784644231269</v>
      </c>
      <c r="W35" s="1">
        <v>36080.720925275687</v>
      </c>
      <c r="X35" s="1">
        <v>43385.25210697444</v>
      </c>
      <c r="Y35" s="1">
        <v>1099.623298422076</v>
      </c>
      <c r="Z35" s="1">
        <v>47686.891592724387</v>
      </c>
      <c r="AA35" s="1">
        <v>4301.6394857499536</v>
      </c>
      <c r="AB35" s="1">
        <v>4301.6394857499536</v>
      </c>
    </row>
    <row r="36" spans="1:28" x14ac:dyDescent="0.35">
      <c r="A36" s="1" t="s">
        <v>121</v>
      </c>
      <c r="B36" s="1">
        <v>0.12883963127559231</v>
      </c>
      <c r="C36" s="1">
        <v>265066.50983855402</v>
      </c>
      <c r="D36" s="1">
        <v>266356.42640312621</v>
      </c>
      <c r="E36" s="1">
        <v>82016.021656929952</v>
      </c>
      <c r="F36" s="1">
        <v>184340.4047461962</v>
      </c>
      <c r="G36" s="1">
        <v>109600.6158228675</v>
      </c>
      <c r="H36" s="1">
        <v>16988.095452544461</v>
      </c>
      <c r="I36" s="1">
        <v>7859.0581094585641</v>
      </c>
      <c r="J36" s="1">
        <v>16037.61521291906</v>
      </c>
      <c r="K36" s="1">
        <v>23896.673322377628</v>
      </c>
      <c r="L36" s="1">
        <v>40884.768774922093</v>
      </c>
      <c r="M36" s="1">
        <v>67775.08651919385</v>
      </c>
      <c r="N36" s="1">
        <v>82016.021656929952</v>
      </c>
      <c r="O36" s="1">
        <v>14240.9351377361</v>
      </c>
      <c r="P36" s="1">
        <v>227056.16377070299</v>
      </c>
      <c r="Q36" s="1">
        <v>212815.2286329669</v>
      </c>
      <c r="R36" s="1">
        <v>294831.25028989679</v>
      </c>
      <c r="S36" s="1">
        <v>6202.0835842177894</v>
      </c>
      <c r="T36" s="1">
        <v>35193.705384458954</v>
      </c>
      <c r="U36" s="1">
        <v>41395.788968676738</v>
      </c>
      <c r="V36" s="1">
        <v>7859.0581094585641</v>
      </c>
      <c r="W36" s="1">
        <v>33358.908552293411</v>
      </c>
      <c r="X36" s="1">
        <v>41395.788968676738</v>
      </c>
      <c r="Y36" s="1">
        <v>1834.7968321655451</v>
      </c>
      <c r="Z36" s="1">
        <v>45698.843794934</v>
      </c>
      <c r="AA36" s="1">
        <v>4303.0548262572629</v>
      </c>
      <c r="AB36" s="1">
        <v>4303.0548262572556</v>
      </c>
    </row>
    <row r="37" spans="1:28" x14ac:dyDescent="0.35">
      <c r="A37" s="1" t="s">
        <v>122</v>
      </c>
      <c r="B37" s="1">
        <v>0.1288196406482629</v>
      </c>
      <c r="C37" s="1">
        <v>265066.50983855402</v>
      </c>
      <c r="D37" s="1">
        <v>267078.14700654667</v>
      </c>
      <c r="E37" s="1">
        <v>89157.002133185757</v>
      </c>
      <c r="F37" s="1">
        <v>177921.14487336099</v>
      </c>
      <c r="G37" s="1">
        <v>122564.4628099166</v>
      </c>
      <c r="H37" s="1">
        <v>18997.491735537071</v>
      </c>
      <c r="I37" s="1">
        <v>8684.2215072517902</v>
      </c>
      <c r="J37" s="1">
        <v>15479.139603982399</v>
      </c>
      <c r="K37" s="1">
        <v>24163.36111123419</v>
      </c>
      <c r="L37" s="1">
        <v>43160.852846771268</v>
      </c>
      <c r="M37" s="1">
        <v>67768.757761550296</v>
      </c>
      <c r="N37" s="1">
        <v>89157.002133185757</v>
      </c>
      <c r="O37" s="1">
        <v>21388.244371635461</v>
      </c>
      <c r="P37" s="1">
        <v>214098.64554129739</v>
      </c>
      <c r="Q37" s="1">
        <v>192710.40116966199</v>
      </c>
      <c r="R37" s="1">
        <v>281867.4033028477</v>
      </c>
      <c r="S37" s="1">
        <v>6200.2566117938932</v>
      </c>
      <c r="T37" s="1">
        <v>33185.290058901097</v>
      </c>
      <c r="U37" s="1">
        <v>39385.546670694981</v>
      </c>
      <c r="V37" s="1">
        <v>8684.2215072517902</v>
      </c>
      <c r="W37" s="1">
        <v>30430.064104849789</v>
      </c>
      <c r="X37" s="1">
        <v>39385.546670694988</v>
      </c>
      <c r="Y37" s="1">
        <v>2755.225954051311</v>
      </c>
      <c r="Z37" s="1">
        <v>43689.447511941391</v>
      </c>
      <c r="AA37" s="1">
        <v>4303.90084124641</v>
      </c>
      <c r="AB37" s="1">
        <v>4303.9008412464027</v>
      </c>
    </row>
    <row r="38" spans="1:28" x14ac:dyDescent="0.35">
      <c r="A38" s="1" t="s">
        <v>123</v>
      </c>
      <c r="B38" s="1">
        <v>0.12790596528840839</v>
      </c>
      <c r="C38" s="1">
        <v>318990.49486043182</v>
      </c>
      <c r="D38" s="1">
        <v>318990.49486043182</v>
      </c>
      <c r="E38" s="1">
        <v>56778.876134341452</v>
      </c>
      <c r="F38" s="1">
        <v>262211.61872609041</v>
      </c>
      <c r="G38" s="1">
        <v>98154.963299568233</v>
      </c>
      <c r="H38" s="1">
        <v>15214.01931143308</v>
      </c>
      <c r="I38" s="1">
        <v>5151.0461584410978</v>
      </c>
      <c r="J38" s="1">
        <v>22812.410829169861</v>
      </c>
      <c r="K38" s="1">
        <v>27963.45698761096</v>
      </c>
      <c r="L38" s="1">
        <v>43177.476299044043</v>
      </c>
      <c r="M38" s="1">
        <v>56778.876156014179</v>
      </c>
      <c r="N38" s="1">
        <v>56778.876134341452</v>
      </c>
      <c r="O38" s="1">
        <v>-2.1672727598343041E-5</v>
      </c>
      <c r="P38" s="1">
        <v>249498.02665718191</v>
      </c>
      <c r="Q38" s="1">
        <v>249498.0266788546</v>
      </c>
      <c r="R38" s="1">
        <v>306276.90281319601</v>
      </c>
      <c r="S38" s="1">
        <v>5151.0461618002992</v>
      </c>
      <c r="T38" s="1">
        <v>38672.194131863187</v>
      </c>
      <c r="U38" s="1">
        <v>43823.24029366349</v>
      </c>
      <c r="V38" s="1">
        <v>5151.0461584410978</v>
      </c>
      <c r="W38" s="1">
        <v>38672.194134635261</v>
      </c>
      <c r="X38" s="1">
        <v>43823.24029366349</v>
      </c>
      <c r="Y38" s="1">
        <v>-2.772071143898797E-6</v>
      </c>
      <c r="Z38" s="1">
        <v>47472.919936045379</v>
      </c>
      <c r="AA38" s="1">
        <v>3649.6796423818892</v>
      </c>
      <c r="AB38" s="1">
        <v>3649.6796423818892</v>
      </c>
    </row>
    <row r="39" spans="1:28" x14ac:dyDescent="0.35">
      <c r="A39" s="1" t="s">
        <v>124</v>
      </c>
      <c r="B39" s="1">
        <v>0.12784358626401421</v>
      </c>
      <c r="C39" s="1">
        <v>318990.49486043182</v>
      </c>
      <c r="D39" s="1">
        <v>319763.24736748327</v>
      </c>
      <c r="E39" s="1">
        <v>64870.734752205157</v>
      </c>
      <c r="F39" s="1">
        <v>254892.51261527819</v>
      </c>
      <c r="G39" s="1">
        <v>126677.1112706</v>
      </c>
      <c r="H39" s="1">
        <v>19634.952246943001</v>
      </c>
      <c r="I39" s="1">
        <v>6087.9508060466296</v>
      </c>
      <c r="J39" s="1">
        <v>22175.648597529202</v>
      </c>
      <c r="K39" s="1">
        <v>28263.59940357583</v>
      </c>
      <c r="L39" s="1">
        <v>47898.551650518843</v>
      </c>
      <c r="M39" s="1">
        <v>56740.428321369429</v>
      </c>
      <c r="N39" s="1">
        <v>64870.734752205157</v>
      </c>
      <c r="O39" s="1">
        <v>8130.306430835728</v>
      </c>
      <c r="P39" s="1">
        <v>221014.3265207948</v>
      </c>
      <c r="Q39" s="1">
        <v>212884.02008995909</v>
      </c>
      <c r="R39" s="1">
        <v>277754.75484216423</v>
      </c>
      <c r="S39" s="1">
        <v>5143.4497339014961</v>
      </c>
      <c r="T39" s="1">
        <v>34257.22061072319</v>
      </c>
      <c r="U39" s="1">
        <v>39400.67034462469</v>
      </c>
      <c r="V39" s="1">
        <v>6087.9508060466296</v>
      </c>
      <c r="W39" s="1">
        <v>33217.813079179767</v>
      </c>
      <c r="X39" s="1">
        <v>39400.670344624683</v>
      </c>
      <c r="Y39" s="1">
        <v>1039.407531543417</v>
      </c>
      <c r="Z39" s="1">
        <v>43051.987000535453</v>
      </c>
      <c r="AA39" s="1">
        <v>3651.3166559107631</v>
      </c>
      <c r="AB39" s="1">
        <v>3651.3166559107699</v>
      </c>
    </row>
    <row r="40" spans="1:28" x14ac:dyDescent="0.35">
      <c r="A40" s="1" t="s">
        <v>125</v>
      </c>
      <c r="B40" s="1">
        <v>0.1277899190961112</v>
      </c>
      <c r="C40" s="1">
        <v>318990.49486043182</v>
      </c>
      <c r="D40" s="1">
        <v>320276.34885445301</v>
      </c>
      <c r="E40" s="1">
        <v>69732.875637607576</v>
      </c>
      <c r="F40" s="1">
        <v>250543.4732168453</v>
      </c>
      <c r="G40" s="1">
        <v>145474.22072963751</v>
      </c>
      <c r="H40" s="1">
        <v>22548.50421309382</v>
      </c>
      <c r="I40" s="1">
        <v>6645.6780115130814</v>
      </c>
      <c r="J40" s="1">
        <v>21797.28216986555</v>
      </c>
      <c r="K40" s="1">
        <v>28442.960181378621</v>
      </c>
      <c r="L40" s="1">
        <v>50991.464394472438</v>
      </c>
      <c r="M40" s="1">
        <v>56709.813146459142</v>
      </c>
      <c r="N40" s="1">
        <v>69732.875637607576</v>
      </c>
      <c r="O40" s="1">
        <v>13023.06249114843</v>
      </c>
      <c r="P40" s="1">
        <v>202247.83223666769</v>
      </c>
      <c r="Q40" s="1">
        <v>189224.76974551921</v>
      </c>
      <c r="R40" s="1">
        <v>258957.6453831268</v>
      </c>
      <c r="S40" s="1">
        <v>5136.7058887777202</v>
      </c>
      <c r="T40" s="1">
        <v>31348.413996683481</v>
      </c>
      <c r="U40" s="1">
        <v>36485.119885461201</v>
      </c>
      <c r="V40" s="1">
        <v>6645.6780115130814</v>
      </c>
      <c r="W40" s="1">
        <v>29684.197894556019</v>
      </c>
      <c r="X40" s="1">
        <v>36485.119885461201</v>
      </c>
      <c r="Y40" s="1">
        <v>1664.216102127459</v>
      </c>
      <c r="Z40" s="1">
        <v>40138.435034384653</v>
      </c>
      <c r="AA40" s="1">
        <v>3653.315148923451</v>
      </c>
      <c r="AB40" s="1">
        <v>3653.315148923451</v>
      </c>
    </row>
    <row r="41" spans="1:28" x14ac:dyDescent="0.35">
      <c r="A41" s="1" t="s">
        <v>126</v>
      </c>
      <c r="B41" s="1">
        <v>0.12774421107114789</v>
      </c>
      <c r="C41" s="1">
        <v>318990.49486043182</v>
      </c>
      <c r="D41" s="1">
        <v>321144.75982080773</v>
      </c>
      <c r="E41" s="1">
        <v>76963.131253246349</v>
      </c>
      <c r="F41" s="1">
        <v>244181.62856756139</v>
      </c>
      <c r="G41" s="1">
        <v>165934.91205217791</v>
      </c>
      <c r="H41" s="1">
        <v>25719.911368087571</v>
      </c>
      <c r="I41" s="1">
        <v>7474.5572773632048</v>
      </c>
      <c r="J41" s="1">
        <v>21243.801685377839</v>
      </c>
      <c r="K41" s="1">
        <v>28718.358962741051</v>
      </c>
      <c r="L41" s="1">
        <v>54438.270330828607</v>
      </c>
      <c r="M41" s="1">
        <v>56686.674926053187</v>
      </c>
      <c r="N41" s="1">
        <v>76963.131253246349</v>
      </c>
      <c r="O41" s="1">
        <v>20276.456327193151</v>
      </c>
      <c r="P41" s="1">
        <v>181810.27913453331</v>
      </c>
      <c r="Q41" s="1">
        <v>161533.8228073401</v>
      </c>
      <c r="R41" s="1">
        <v>238496.9540605864</v>
      </c>
      <c r="S41" s="1">
        <v>5131.7676750110013</v>
      </c>
      <c r="T41" s="1">
        <v>28180.59326585264</v>
      </c>
      <c r="U41" s="1">
        <v>33312.360940863648</v>
      </c>
      <c r="V41" s="1">
        <v>7474.5572773632048</v>
      </c>
      <c r="W41" s="1">
        <v>25590.393349016769</v>
      </c>
      <c r="X41" s="1">
        <v>33312.360940863648</v>
      </c>
      <c r="Y41" s="1">
        <v>2590.1999168358748</v>
      </c>
      <c r="Z41" s="1">
        <v>36967.027879390887</v>
      </c>
      <c r="AA41" s="1">
        <v>3654.6669385272398</v>
      </c>
      <c r="AB41" s="1">
        <v>3654.6669385272471</v>
      </c>
    </row>
    <row r="43" spans="1:28" x14ac:dyDescent="0.35">
      <c r="A43" s="121" t="s">
        <v>127</v>
      </c>
      <c r="B43" s="13" t="s">
        <v>128</v>
      </c>
      <c r="C43" s="13" t="s">
        <v>129</v>
      </c>
      <c r="D43" s="13" t="s">
        <v>129</v>
      </c>
      <c r="E43" s="13" t="s">
        <v>129</v>
      </c>
      <c r="F43" s="13" t="s">
        <v>129</v>
      </c>
      <c r="G43" s="13" t="s">
        <v>130</v>
      </c>
      <c r="H43" s="13" t="s">
        <v>131</v>
      </c>
      <c r="I43" s="13" t="s">
        <v>129</v>
      </c>
      <c r="J43" s="13" t="s">
        <v>129</v>
      </c>
      <c r="K43" s="13" t="s">
        <v>132</v>
      </c>
      <c r="L43" s="13" t="s">
        <v>133</v>
      </c>
      <c r="M43" s="13" t="s">
        <v>134</v>
      </c>
      <c r="N43" s="13" t="s">
        <v>129</v>
      </c>
      <c r="O43" s="13" t="s">
        <v>129</v>
      </c>
      <c r="P43" s="13" t="s">
        <v>134</v>
      </c>
      <c r="Q43" s="13" t="s">
        <v>129</v>
      </c>
      <c r="R43" s="13" t="s">
        <v>134</v>
      </c>
      <c r="S43" s="13" t="s">
        <v>135</v>
      </c>
      <c r="T43" s="13" t="s">
        <v>136</v>
      </c>
      <c r="U43" s="13" t="s">
        <v>137</v>
      </c>
      <c r="V43" s="13" t="s">
        <v>129</v>
      </c>
      <c r="W43" s="13" t="s">
        <v>129</v>
      </c>
      <c r="X43" s="13" t="s">
        <v>129</v>
      </c>
      <c r="Y43" s="13" t="s">
        <v>129</v>
      </c>
      <c r="Z43" s="13" t="s">
        <v>138</v>
      </c>
      <c r="AA43" s="13" t="s">
        <v>139</v>
      </c>
      <c r="AB43" s="13" t="s">
        <v>139</v>
      </c>
    </row>
    <row r="44" spans="1:28" x14ac:dyDescent="0.35">
      <c r="A44" s="97"/>
      <c r="B44" s="1">
        <f t="shared" ref="B44:AA44" si="0">MIN(B2:B41)</f>
        <v>0.12774421107114789</v>
      </c>
      <c r="C44" s="1">
        <f t="shared" si="0"/>
        <v>69357.89134090225</v>
      </c>
      <c r="D44" s="1">
        <f t="shared" si="0"/>
        <v>69357.89134090225</v>
      </c>
      <c r="E44" s="1">
        <f t="shared" si="0"/>
        <v>56778.876134341452</v>
      </c>
      <c r="F44" s="1">
        <f t="shared" si="0"/>
        <v>5687.5789306730867</v>
      </c>
      <c r="G44" s="1">
        <f t="shared" si="0"/>
        <v>18241.674564097739</v>
      </c>
      <c r="H44" s="1">
        <f t="shared" si="0"/>
        <v>2827.4595574351501</v>
      </c>
      <c r="I44" s="1">
        <f t="shared" si="0"/>
        <v>5151.0461584410978</v>
      </c>
      <c r="J44" s="1">
        <f t="shared" si="0"/>
        <v>494.81936696855848</v>
      </c>
      <c r="K44" s="1">
        <f t="shared" si="0"/>
        <v>7239.0324379369149</v>
      </c>
      <c r="L44" s="1">
        <f t="shared" si="0"/>
        <v>10066.491995372069</v>
      </c>
      <c r="M44" s="1">
        <f t="shared" si="0"/>
        <v>56686.674926053187</v>
      </c>
      <c r="N44" s="1">
        <f t="shared" si="0"/>
        <v>56778.876134341452</v>
      </c>
      <c r="O44" s="1">
        <f t="shared" si="0"/>
        <v>-2.189667429775E-5</v>
      </c>
      <c r="P44" s="1">
        <f t="shared" si="0"/>
        <v>181810.27913453331</v>
      </c>
      <c r="Q44" s="1">
        <f t="shared" si="0"/>
        <v>161533.8228073401</v>
      </c>
      <c r="R44" s="1">
        <f t="shared" si="0"/>
        <v>238496.9540605864</v>
      </c>
      <c r="S44" s="1">
        <f t="shared" si="0"/>
        <v>5131.7676750110013</v>
      </c>
      <c r="T44" s="1">
        <f t="shared" si="0"/>
        <v>28180.59326585264</v>
      </c>
      <c r="U44" s="1">
        <f t="shared" si="0"/>
        <v>33312.360940863648</v>
      </c>
      <c r="V44" s="1">
        <f t="shared" si="0"/>
        <v>5151.0461584410978</v>
      </c>
      <c r="W44" s="1">
        <f t="shared" si="0"/>
        <v>25590.393349016769</v>
      </c>
      <c r="X44" s="1">
        <f t="shared" si="0"/>
        <v>33312.360940863648</v>
      </c>
      <c r="Y44" s="1">
        <f t="shared" si="0"/>
        <v>-3.0457576149374989E-6</v>
      </c>
      <c r="Z44" s="1">
        <f t="shared" si="0"/>
        <v>36967.027879390887</v>
      </c>
      <c r="AA44" s="1">
        <f t="shared" si="0"/>
        <v>2897.341119569006</v>
      </c>
      <c r="AB44" s="1">
        <f t="shared" ref="AB44" si="1">MIN(AB2:AB41)</f>
        <v>2897.341119568991</v>
      </c>
    </row>
    <row r="45" spans="1:28" x14ac:dyDescent="0.35">
      <c r="A45" s="97"/>
      <c r="B45" s="13" t="s">
        <v>140</v>
      </c>
      <c r="C45" s="13" t="s">
        <v>140</v>
      </c>
      <c r="D45" s="13" t="s">
        <v>140</v>
      </c>
      <c r="E45" s="13" t="s">
        <v>140</v>
      </c>
      <c r="F45" s="13" t="s">
        <v>140</v>
      </c>
      <c r="G45" s="13" t="s">
        <v>140</v>
      </c>
      <c r="H45" s="13" t="s">
        <v>140</v>
      </c>
      <c r="I45" s="13" t="s">
        <v>140</v>
      </c>
      <c r="J45" s="13" t="s">
        <v>140</v>
      </c>
      <c r="K45" s="13" t="s">
        <v>140</v>
      </c>
      <c r="L45" s="13" t="s">
        <v>140</v>
      </c>
      <c r="M45" s="13" t="s">
        <v>140</v>
      </c>
      <c r="N45" s="13" t="s">
        <v>140</v>
      </c>
      <c r="O45" s="13" t="s">
        <v>140</v>
      </c>
      <c r="P45" s="13" t="s">
        <v>140</v>
      </c>
      <c r="Q45" s="13" t="s">
        <v>140</v>
      </c>
      <c r="R45" s="13" t="s">
        <v>140</v>
      </c>
      <c r="S45" s="13" t="s">
        <v>140</v>
      </c>
      <c r="T45" s="13" t="s">
        <v>140</v>
      </c>
      <c r="U45" s="13" t="s">
        <v>140</v>
      </c>
      <c r="V45" s="13" t="s">
        <v>140</v>
      </c>
      <c r="W45" s="13" t="s">
        <v>140</v>
      </c>
      <c r="X45" s="13" t="s">
        <v>140</v>
      </c>
      <c r="Y45" s="13" t="s">
        <v>140</v>
      </c>
      <c r="Z45" s="13" t="s">
        <v>140</v>
      </c>
      <c r="AA45" s="13" t="s">
        <v>140</v>
      </c>
      <c r="AB45" s="13" t="s">
        <v>140</v>
      </c>
    </row>
    <row r="46" spans="1:28" x14ac:dyDescent="0.35">
      <c r="A46" s="97"/>
      <c r="B46" s="1">
        <f t="shared" ref="B46:AA46" si="2">MATCH(B44,B2:B41,0)</f>
        <v>40</v>
      </c>
      <c r="C46" s="1">
        <f t="shared" si="2"/>
        <v>1</v>
      </c>
      <c r="D46" s="1">
        <f t="shared" si="2"/>
        <v>1</v>
      </c>
      <c r="E46" s="1">
        <f t="shared" si="2"/>
        <v>37</v>
      </c>
      <c r="F46" s="1">
        <f t="shared" si="2"/>
        <v>4</v>
      </c>
      <c r="G46" s="1">
        <f t="shared" si="2"/>
        <v>1</v>
      </c>
      <c r="H46" s="1">
        <f t="shared" si="2"/>
        <v>1</v>
      </c>
      <c r="I46" s="1">
        <f t="shared" si="2"/>
        <v>37</v>
      </c>
      <c r="J46" s="1">
        <f t="shared" si="2"/>
        <v>4</v>
      </c>
      <c r="K46" s="1">
        <f t="shared" si="2"/>
        <v>1</v>
      </c>
      <c r="L46" s="1">
        <f t="shared" si="2"/>
        <v>1</v>
      </c>
      <c r="M46" s="1">
        <f t="shared" si="2"/>
        <v>40</v>
      </c>
      <c r="N46" s="1">
        <f t="shared" si="2"/>
        <v>37</v>
      </c>
      <c r="O46" s="1">
        <f t="shared" si="2"/>
        <v>1</v>
      </c>
      <c r="P46" s="1">
        <f t="shared" si="2"/>
        <v>40</v>
      </c>
      <c r="Q46" s="1">
        <f t="shared" si="2"/>
        <v>40</v>
      </c>
      <c r="R46" s="1">
        <f t="shared" si="2"/>
        <v>40</v>
      </c>
      <c r="S46" s="1">
        <f t="shared" si="2"/>
        <v>40</v>
      </c>
      <c r="T46" s="1">
        <f t="shared" si="2"/>
        <v>40</v>
      </c>
      <c r="U46" s="1">
        <f t="shared" si="2"/>
        <v>40</v>
      </c>
      <c r="V46" s="1">
        <f t="shared" si="2"/>
        <v>37</v>
      </c>
      <c r="W46" s="1">
        <f t="shared" si="2"/>
        <v>40</v>
      </c>
      <c r="X46" s="1">
        <f t="shared" si="2"/>
        <v>40</v>
      </c>
      <c r="Y46" s="1">
        <f t="shared" si="2"/>
        <v>1</v>
      </c>
      <c r="Z46" s="1">
        <f t="shared" si="2"/>
        <v>40</v>
      </c>
      <c r="AA46" s="1">
        <f t="shared" si="2"/>
        <v>1</v>
      </c>
      <c r="AB46" s="1">
        <f t="shared" ref="AB46" si="3">MATCH(AB44,AB2:AB41,0)</f>
        <v>1</v>
      </c>
    </row>
    <row r="47" spans="1:28" x14ac:dyDescent="0.35">
      <c r="A47" s="4">
        <v>404431.86611276452</v>
      </c>
      <c r="B47" s="13" t="s">
        <v>141</v>
      </c>
      <c r="C47" s="13" t="s">
        <v>142</v>
      </c>
      <c r="D47" s="13" t="s">
        <v>142</v>
      </c>
      <c r="E47" s="13" t="s">
        <v>142</v>
      </c>
      <c r="F47" s="13" t="s">
        <v>142</v>
      </c>
      <c r="G47" s="13" t="s">
        <v>143</v>
      </c>
      <c r="H47" s="13" t="s">
        <v>144</v>
      </c>
      <c r="I47" s="13" t="s">
        <v>142</v>
      </c>
      <c r="J47" s="13" t="s">
        <v>142</v>
      </c>
      <c r="K47" s="13" t="s">
        <v>145</v>
      </c>
      <c r="L47" s="13" t="s">
        <v>146</v>
      </c>
      <c r="M47" s="13" t="s">
        <v>147</v>
      </c>
      <c r="N47" s="13" t="s">
        <v>142</v>
      </c>
      <c r="O47" s="13" t="s">
        <v>142</v>
      </c>
      <c r="P47" s="13" t="s">
        <v>147</v>
      </c>
      <c r="Q47" s="13" t="s">
        <v>142</v>
      </c>
      <c r="R47" s="13" t="s">
        <v>147</v>
      </c>
      <c r="S47" s="13" t="s">
        <v>148</v>
      </c>
      <c r="T47" s="13" t="s">
        <v>149</v>
      </c>
      <c r="U47" s="13" t="s">
        <v>150</v>
      </c>
      <c r="V47" s="13" t="s">
        <v>142</v>
      </c>
      <c r="W47" s="13" t="s">
        <v>142</v>
      </c>
      <c r="X47" s="13" t="s">
        <v>142</v>
      </c>
      <c r="Y47" s="13" t="s">
        <v>142</v>
      </c>
      <c r="Z47" s="13" t="s">
        <v>151</v>
      </c>
      <c r="AA47" s="13" t="s">
        <v>152</v>
      </c>
      <c r="AB47" s="13" t="s">
        <v>152</v>
      </c>
    </row>
    <row r="48" spans="1:28" x14ac:dyDescent="0.35">
      <c r="A48" s="15" t="s">
        <v>153</v>
      </c>
      <c r="B48" s="1">
        <f t="shared" ref="B48:AA48" si="4">MAX(B2:B41)</f>
        <v>0.13909681322019149</v>
      </c>
      <c r="C48" s="1">
        <f t="shared" si="4"/>
        <v>318990.49486043182</v>
      </c>
      <c r="D48" s="1">
        <f t="shared" si="4"/>
        <v>321144.75982080773</v>
      </c>
      <c r="E48" s="1">
        <f t="shared" si="4"/>
        <v>95787.425693898884</v>
      </c>
      <c r="F48" s="1">
        <f t="shared" si="4"/>
        <v>262211.61872609041</v>
      </c>
      <c r="G48" s="1">
        <f t="shared" si="4"/>
        <v>165934.91205217791</v>
      </c>
      <c r="H48" s="1">
        <f t="shared" si="4"/>
        <v>25719.911368087571</v>
      </c>
      <c r="I48" s="1">
        <f t="shared" si="4"/>
        <v>9329.0448373613617</v>
      </c>
      <c r="J48" s="1">
        <f t="shared" si="4"/>
        <v>22812.410829169861</v>
      </c>
      <c r="K48" s="1">
        <f t="shared" si="4"/>
        <v>28718.358962741051</v>
      </c>
      <c r="L48" s="14">
        <f t="shared" si="4"/>
        <v>54438.270330828607</v>
      </c>
      <c r="M48" s="1">
        <f t="shared" si="4"/>
        <v>77036.75519406228</v>
      </c>
      <c r="N48" s="1">
        <f t="shared" si="4"/>
        <v>95787.425693898884</v>
      </c>
      <c r="O48" s="1">
        <f t="shared" si="4"/>
        <v>21388.244371635461</v>
      </c>
      <c r="P48" s="1">
        <f t="shared" si="4"/>
        <v>325863.17666136788</v>
      </c>
      <c r="Q48" s="1">
        <f t="shared" si="4"/>
        <v>325863.17668326461</v>
      </c>
      <c r="R48" s="1">
        <f t="shared" si="4"/>
        <v>386190.19154866663</v>
      </c>
      <c r="S48" s="1">
        <f t="shared" si="4"/>
        <v>7511.1582818443903</v>
      </c>
      <c r="T48" s="1">
        <f t="shared" si="4"/>
        <v>50508.792382512023</v>
      </c>
      <c r="U48" s="1">
        <f t="shared" si="4"/>
        <v>56962.138570474322</v>
      </c>
      <c r="V48" s="1">
        <f t="shared" si="4"/>
        <v>9329.0448373613617</v>
      </c>
      <c r="W48" s="1">
        <f t="shared" si="4"/>
        <v>50508.792385557783</v>
      </c>
      <c r="X48" s="1">
        <f t="shared" si="4"/>
        <v>56962.13857047433</v>
      </c>
      <c r="Y48" s="1">
        <f t="shared" si="4"/>
        <v>2755.225954051311</v>
      </c>
      <c r="Z48" s="1">
        <f t="shared" si="4"/>
        <v>59859.479690043321</v>
      </c>
      <c r="AA48" s="14">
        <f t="shared" si="4"/>
        <v>4691.0476542903707</v>
      </c>
      <c r="AB48" s="14">
        <f t="shared" ref="AB48" si="5">MAX(AB2:AB41)</f>
        <v>4691.0476542903634</v>
      </c>
    </row>
    <row r="49" spans="1:28" x14ac:dyDescent="0.35">
      <c r="A49" s="4">
        <v>0.155</v>
      </c>
      <c r="B49" s="13" t="s">
        <v>140</v>
      </c>
      <c r="C49" s="13" t="s">
        <v>140</v>
      </c>
      <c r="D49" s="13" t="s">
        <v>140</v>
      </c>
      <c r="E49" s="13" t="s">
        <v>140</v>
      </c>
      <c r="F49" s="13" t="s">
        <v>140</v>
      </c>
      <c r="G49" s="13" t="s">
        <v>140</v>
      </c>
      <c r="H49" s="13" t="s">
        <v>140</v>
      </c>
      <c r="I49" s="13" t="s">
        <v>140</v>
      </c>
      <c r="J49" s="13" t="s">
        <v>140</v>
      </c>
      <c r="K49" s="13" t="s">
        <v>140</v>
      </c>
      <c r="L49" s="13" t="s">
        <v>140</v>
      </c>
      <c r="M49" s="13" t="s">
        <v>140</v>
      </c>
      <c r="N49" s="13" t="s">
        <v>140</v>
      </c>
      <c r="O49" s="13" t="s">
        <v>140</v>
      </c>
      <c r="P49" s="13" t="s">
        <v>140</v>
      </c>
      <c r="Q49" s="13" t="s">
        <v>140</v>
      </c>
      <c r="R49" s="13" t="s">
        <v>140</v>
      </c>
      <c r="S49" s="13" t="s">
        <v>140</v>
      </c>
      <c r="T49" s="13" t="s">
        <v>140</v>
      </c>
      <c r="U49" s="13" t="s">
        <v>140</v>
      </c>
      <c r="V49" s="13" t="s">
        <v>140</v>
      </c>
      <c r="W49" s="13" t="s">
        <v>140</v>
      </c>
      <c r="X49" s="13" t="s">
        <v>140</v>
      </c>
      <c r="Y49" s="13" t="s">
        <v>140</v>
      </c>
      <c r="Z49" s="13" t="s">
        <v>140</v>
      </c>
      <c r="AA49" s="13" t="s">
        <v>140</v>
      </c>
      <c r="AB49" s="13" t="s">
        <v>140</v>
      </c>
    </row>
    <row r="50" spans="1:28" x14ac:dyDescent="0.35">
      <c r="A50" s="15" t="s">
        <v>154</v>
      </c>
      <c r="B50" s="1">
        <f t="shared" ref="B50:AA50" si="6">MATCH(B48,B2:B41,0)</f>
        <v>1</v>
      </c>
      <c r="C50" s="1">
        <f t="shared" si="6"/>
        <v>37</v>
      </c>
      <c r="D50" s="1">
        <f t="shared" si="6"/>
        <v>40</v>
      </c>
      <c r="E50" s="1">
        <f t="shared" si="6"/>
        <v>28</v>
      </c>
      <c r="F50" s="1">
        <f t="shared" si="6"/>
        <v>37</v>
      </c>
      <c r="G50" s="1">
        <f t="shared" si="6"/>
        <v>40</v>
      </c>
      <c r="H50" s="1">
        <f t="shared" si="6"/>
        <v>40</v>
      </c>
      <c r="I50" s="1">
        <f t="shared" si="6"/>
        <v>28</v>
      </c>
      <c r="J50" s="1">
        <f t="shared" si="6"/>
        <v>37</v>
      </c>
      <c r="K50" s="1">
        <f t="shared" si="6"/>
        <v>40</v>
      </c>
      <c r="L50" s="1">
        <f t="shared" si="6"/>
        <v>40</v>
      </c>
      <c r="M50" s="1">
        <f t="shared" si="6"/>
        <v>13</v>
      </c>
      <c r="N50" s="1">
        <f t="shared" si="6"/>
        <v>28</v>
      </c>
      <c r="O50" s="1">
        <f t="shared" si="6"/>
        <v>36</v>
      </c>
      <c r="P50" s="1">
        <f t="shared" si="6"/>
        <v>1</v>
      </c>
      <c r="Q50" s="1">
        <f t="shared" si="6"/>
        <v>1</v>
      </c>
      <c r="R50" s="1">
        <f t="shared" si="6"/>
        <v>1</v>
      </c>
      <c r="S50" s="1">
        <f t="shared" si="6"/>
        <v>9</v>
      </c>
      <c r="T50" s="1">
        <f t="shared" si="6"/>
        <v>1</v>
      </c>
      <c r="U50" s="1">
        <f t="shared" si="6"/>
        <v>1</v>
      </c>
      <c r="V50" s="1">
        <f t="shared" si="6"/>
        <v>28</v>
      </c>
      <c r="W50" s="1">
        <f t="shared" si="6"/>
        <v>1</v>
      </c>
      <c r="X50" s="1">
        <f t="shared" si="6"/>
        <v>1</v>
      </c>
      <c r="Y50" s="1">
        <f t="shared" si="6"/>
        <v>36</v>
      </c>
      <c r="Z50" s="1">
        <f t="shared" si="6"/>
        <v>1</v>
      </c>
      <c r="AA50" s="1">
        <f t="shared" si="6"/>
        <v>28</v>
      </c>
      <c r="AB50" s="1">
        <f t="shared" ref="AB50" si="7">MATCH(AB48,AB2:AB41,0)</f>
        <v>28</v>
      </c>
    </row>
    <row r="51" spans="1:28" x14ac:dyDescent="0.35">
      <c r="A51" s="4">
        <f>A47*A49</f>
        <v>62686.939247478498</v>
      </c>
      <c r="AA51" s="1" t="s">
        <v>155</v>
      </c>
      <c r="AB51" s="1"/>
    </row>
    <row r="52" spans="1:28" ht="15" customHeight="1" thickBot="1" x14ac:dyDescent="0.4">
      <c r="AA52" s="1" t="s">
        <v>156</v>
      </c>
      <c r="AB52" s="1"/>
    </row>
    <row r="53" spans="1:28" ht="15" customHeight="1" thickBot="1" x14ac:dyDescent="0.4">
      <c r="B53" s="120" t="s">
        <v>157</v>
      </c>
      <c r="C53" s="16"/>
      <c r="D53" s="16"/>
      <c r="E53" s="16"/>
      <c r="F53" s="16"/>
      <c r="J53" t="s">
        <v>6</v>
      </c>
      <c r="K53" s="120" t="s">
        <v>158</v>
      </c>
      <c r="AA53" s="13" t="s">
        <v>159</v>
      </c>
      <c r="AB53" s="13"/>
    </row>
    <row r="54" spans="1:28" x14ac:dyDescent="0.35">
      <c r="B54" s="118"/>
      <c r="K54" s="118"/>
      <c r="AA54" s="4">
        <f>L10</f>
        <v>16567.71687195461</v>
      </c>
      <c r="AB54" s="4"/>
    </row>
    <row r="55" spans="1:28" ht="15" customHeight="1" thickBot="1" x14ac:dyDescent="0.4">
      <c r="B55" s="118"/>
      <c r="K55" s="118"/>
    </row>
    <row r="56" spans="1:28" ht="14.5" customHeight="1" x14ac:dyDescent="0.35">
      <c r="B56" s="118"/>
      <c r="H56" t="s">
        <v>6</v>
      </c>
      <c r="K56" s="118"/>
      <c r="AA56" s="117" t="s">
        <v>160</v>
      </c>
      <c r="AB56" s="17"/>
    </row>
    <row r="57" spans="1:28" x14ac:dyDescent="0.35">
      <c r="B57" s="118"/>
      <c r="K57" s="118"/>
      <c r="AA57" s="118"/>
      <c r="AB57" s="17"/>
    </row>
    <row r="58" spans="1:28" ht="15" customHeight="1" thickBot="1" x14ac:dyDescent="0.4">
      <c r="B58" s="119"/>
      <c r="K58" s="118"/>
      <c r="AA58" s="118"/>
      <c r="AB58" s="17"/>
    </row>
    <row r="59" spans="1:28" x14ac:dyDescent="0.35">
      <c r="K59" s="118"/>
      <c r="AA59" s="118"/>
      <c r="AB59" s="17"/>
    </row>
    <row r="60" spans="1:28" ht="15" customHeight="1" thickBot="1" x14ac:dyDescent="0.4">
      <c r="K60" s="119"/>
      <c r="AA60" s="118"/>
      <c r="AB60" s="17"/>
    </row>
    <row r="61" spans="1:28" x14ac:dyDescent="0.35">
      <c r="AA61" s="118"/>
      <c r="AB61" s="17"/>
    </row>
    <row r="62" spans="1:28" x14ac:dyDescent="0.35">
      <c r="AA62" s="118"/>
      <c r="AB62" s="17"/>
    </row>
    <row r="63" spans="1:28" x14ac:dyDescent="0.35">
      <c r="AA63" s="118"/>
      <c r="AB63" s="17"/>
    </row>
    <row r="64" spans="1:28" x14ac:dyDescent="0.35">
      <c r="AA64" s="118"/>
      <c r="AB64" s="17"/>
    </row>
    <row r="65" spans="2:28" x14ac:dyDescent="0.35">
      <c r="AA65" s="118"/>
      <c r="AB65" s="17"/>
    </row>
    <row r="66" spans="2:28" x14ac:dyDescent="0.35">
      <c r="AA66" s="118"/>
      <c r="AB66" s="17"/>
    </row>
    <row r="67" spans="2:28" x14ac:dyDescent="0.35">
      <c r="AA67" s="118"/>
      <c r="AB67" s="17"/>
    </row>
    <row r="68" spans="2:28" x14ac:dyDescent="0.35">
      <c r="AA68" s="118"/>
      <c r="AB68" s="17"/>
    </row>
    <row r="69" spans="2:28" x14ac:dyDescent="0.35">
      <c r="B69" s="4"/>
      <c r="C69" s="4"/>
      <c r="D69" s="4"/>
      <c r="E69" s="4"/>
      <c r="F69" s="4"/>
      <c r="AA69" s="118"/>
      <c r="AB69" s="17"/>
    </row>
    <row r="70" spans="2:28" ht="15" customHeight="1" thickBot="1" x14ac:dyDescent="0.4">
      <c r="AA70" s="119"/>
      <c r="AB70" s="17"/>
    </row>
  </sheetData>
  <mergeCells count="4">
    <mergeCell ref="AA56:AA70"/>
    <mergeCell ref="B53:B58"/>
    <mergeCell ref="K53:K60"/>
    <mergeCell ref="A43:A46"/>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
  <sheetViews>
    <sheetView workbookViewId="0">
      <selection activeCell="D30" sqref="D30"/>
    </sheetView>
  </sheetViews>
  <sheetFormatPr defaultRowHeight="14.5" x14ac:dyDescent="0.35"/>
  <cols>
    <col min="1" max="1" width="23.26953125" style="1" bestFit="1" customWidth="1"/>
    <col min="2" max="2" width="25.54296875" style="1" bestFit="1" customWidth="1"/>
    <col min="3" max="3" width="25.453125" style="1" bestFit="1" customWidth="1"/>
    <col min="4" max="4" width="15.81640625" bestFit="1" customWidth="1"/>
    <col min="7" max="7" width="25.54296875" style="1" bestFit="1" customWidth="1"/>
    <col min="11" max="11" width="25.54296875" style="1" bestFit="1" customWidth="1"/>
    <col min="12" max="12" width="23.26953125" style="1" bestFit="1" customWidth="1"/>
  </cols>
  <sheetData>
    <row r="1" spans="1:14" x14ac:dyDescent="0.35">
      <c r="A1" s="2" t="s">
        <v>7</v>
      </c>
      <c r="B1" s="2" t="s">
        <v>8</v>
      </c>
      <c r="C1" s="2"/>
      <c r="G1" s="2" t="s">
        <v>8</v>
      </c>
      <c r="K1" s="2" t="s">
        <v>8</v>
      </c>
      <c r="L1" s="2" t="s">
        <v>7</v>
      </c>
    </row>
    <row r="2" spans="1:14" x14ac:dyDescent="0.35">
      <c r="A2" s="1">
        <f>1</f>
        <v>1</v>
      </c>
      <c r="B2" s="1">
        <v>1079.529030351737</v>
      </c>
      <c r="C2" s="1" t="s">
        <v>9</v>
      </c>
      <c r="D2">
        <f>SUM(B2:B75)</f>
        <v>264400.42570084211</v>
      </c>
      <c r="G2" s="1">
        <v>19513.44492845656</v>
      </c>
      <c r="H2">
        <f>SUM(G2:G75)</f>
        <v>375312.28814250114</v>
      </c>
      <c r="K2" s="1">
        <v>1079.529030351737</v>
      </c>
      <c r="L2" s="1">
        <f>1</f>
        <v>1</v>
      </c>
    </row>
    <row r="3" spans="1:14" x14ac:dyDescent="0.35">
      <c r="A3" s="1">
        <f t="shared" ref="A3:A34" si="0">A2+1</f>
        <v>2</v>
      </c>
      <c r="B3" s="1">
        <v>3886.3217817133332</v>
      </c>
      <c r="G3" s="1">
        <v>14627.53150971361</v>
      </c>
      <c r="K3" s="1">
        <v>3886.3217817133332</v>
      </c>
      <c r="L3" s="1">
        <f t="shared" ref="L3:L34" si="1">L2+1</f>
        <v>2</v>
      </c>
      <c r="N3" t="s">
        <v>6</v>
      </c>
    </row>
    <row r="4" spans="1:14" x14ac:dyDescent="0.35">
      <c r="A4" s="1">
        <f t="shared" si="0"/>
        <v>3</v>
      </c>
      <c r="B4" s="1">
        <v>3457.332910813851</v>
      </c>
      <c r="C4" s="3" t="s">
        <v>10</v>
      </c>
      <c r="D4">
        <f>SUM(B70:B99)</f>
        <v>165676.61752482937</v>
      </c>
      <c r="G4" s="1">
        <v>14350.316193396229</v>
      </c>
      <c r="K4" s="1">
        <v>3457.332910813851</v>
      </c>
      <c r="L4" s="1">
        <f t="shared" si="1"/>
        <v>3</v>
      </c>
    </row>
    <row r="5" spans="1:14" x14ac:dyDescent="0.35">
      <c r="A5" s="1">
        <f t="shared" si="0"/>
        <v>4</v>
      </c>
      <c r="B5" s="1">
        <v>1453.8912212817379</v>
      </c>
      <c r="G5" s="1">
        <v>13474.18710799874</v>
      </c>
      <c r="K5" s="1">
        <v>1453.8912212817379</v>
      </c>
      <c r="L5" s="1">
        <f t="shared" si="1"/>
        <v>4</v>
      </c>
    </row>
    <row r="6" spans="1:14" x14ac:dyDescent="0.35">
      <c r="A6" s="1">
        <f t="shared" si="0"/>
        <v>5</v>
      </c>
      <c r="B6" s="1">
        <v>3955.020115733626</v>
      </c>
      <c r="G6" s="1">
        <v>10161.74794678937</v>
      </c>
      <c r="K6" s="1">
        <v>3955.020115733626</v>
      </c>
      <c r="L6" s="1">
        <f t="shared" si="1"/>
        <v>5</v>
      </c>
    </row>
    <row r="7" spans="1:14" x14ac:dyDescent="0.35">
      <c r="A7" s="1">
        <f t="shared" si="0"/>
        <v>6</v>
      </c>
      <c r="B7" s="1">
        <v>2105.0165005377999</v>
      </c>
      <c r="C7" s="1" t="s">
        <v>11</v>
      </c>
      <c r="D7">
        <f>SUM(B2:B45)</f>
        <v>165387.53482573462</v>
      </c>
      <c r="G7" s="1">
        <v>8378.7212496204556</v>
      </c>
      <c r="K7" s="1">
        <v>2105.0165005377999</v>
      </c>
      <c r="L7" s="1">
        <f t="shared" si="1"/>
        <v>6</v>
      </c>
    </row>
    <row r="8" spans="1:14" x14ac:dyDescent="0.35">
      <c r="A8" s="1">
        <f t="shared" si="0"/>
        <v>7</v>
      </c>
      <c r="B8" s="1">
        <v>1617.7934488334181</v>
      </c>
      <c r="E8" t="s">
        <v>6</v>
      </c>
      <c r="G8" s="1">
        <v>8230.4847304692612</v>
      </c>
      <c r="K8" s="1">
        <v>1617.7934488334181</v>
      </c>
      <c r="L8" s="1">
        <f t="shared" si="1"/>
        <v>7</v>
      </c>
    </row>
    <row r="9" spans="1:14" x14ac:dyDescent="0.35">
      <c r="A9" s="1">
        <f t="shared" si="0"/>
        <v>8</v>
      </c>
      <c r="B9" s="1">
        <v>10161.74794678937</v>
      </c>
      <c r="G9" s="1">
        <v>8062.2213477933838</v>
      </c>
      <c r="K9" s="1">
        <v>10161.74794678937</v>
      </c>
      <c r="L9" s="1">
        <f t="shared" si="1"/>
        <v>8</v>
      </c>
    </row>
    <row r="10" spans="1:14" x14ac:dyDescent="0.35">
      <c r="A10" s="1">
        <f t="shared" si="0"/>
        <v>9</v>
      </c>
      <c r="B10" s="1">
        <v>5057.043251595851</v>
      </c>
      <c r="C10" s="3" t="s">
        <v>12</v>
      </c>
      <c r="D10">
        <f>SUM(B2:B12)</f>
        <v>33761.627138012962</v>
      </c>
      <c r="G10" s="1">
        <v>7532.7075080212007</v>
      </c>
      <c r="K10" s="1">
        <v>5057.043251595851</v>
      </c>
      <c r="L10" s="1">
        <f t="shared" si="1"/>
        <v>9</v>
      </c>
    </row>
    <row r="11" spans="1:14" x14ac:dyDescent="0.35">
      <c r="A11" s="1">
        <f t="shared" si="0"/>
        <v>10</v>
      </c>
      <c r="B11" s="1">
        <v>507.10444675644749</v>
      </c>
      <c r="C11" s="3" t="s">
        <v>13</v>
      </c>
      <c r="D11">
        <f>SUM(B14:B45)</f>
        <v>131056.83927500222</v>
      </c>
      <c r="G11" s="1">
        <v>7074.8321611913698</v>
      </c>
      <c r="K11" s="1">
        <v>507.10444675644749</v>
      </c>
      <c r="L11" s="1">
        <f t="shared" si="1"/>
        <v>10</v>
      </c>
    </row>
    <row r="12" spans="1:14" x14ac:dyDescent="0.35">
      <c r="A12" s="1">
        <f t="shared" si="0"/>
        <v>11</v>
      </c>
      <c r="B12" s="1">
        <v>480.82648360578531</v>
      </c>
      <c r="G12" s="1">
        <v>6988.6643510423764</v>
      </c>
      <c r="K12" s="1">
        <v>480.82648360578531</v>
      </c>
      <c r="L12" s="1">
        <f t="shared" si="1"/>
        <v>11</v>
      </c>
    </row>
    <row r="13" spans="1:14" x14ac:dyDescent="0.35">
      <c r="A13" s="1">
        <f t="shared" si="0"/>
        <v>12</v>
      </c>
      <c r="B13" s="1">
        <v>569.06841271947087</v>
      </c>
      <c r="G13" s="1">
        <v>6696.2920887280334</v>
      </c>
      <c r="K13" s="1">
        <v>569.06841271947087</v>
      </c>
      <c r="L13" s="1">
        <f t="shared" si="1"/>
        <v>12</v>
      </c>
    </row>
    <row r="14" spans="1:14" x14ac:dyDescent="0.35">
      <c r="A14" s="1">
        <f t="shared" si="0"/>
        <v>13</v>
      </c>
      <c r="B14" s="1">
        <v>4563.0069277860366</v>
      </c>
      <c r="G14" s="1">
        <v>6393.5501464958952</v>
      </c>
      <c r="K14" s="1">
        <v>4563.0069277860366</v>
      </c>
      <c r="L14" s="1">
        <f t="shared" si="1"/>
        <v>13</v>
      </c>
    </row>
    <row r="15" spans="1:14" x14ac:dyDescent="0.35">
      <c r="A15" s="1">
        <f t="shared" si="0"/>
        <v>14</v>
      </c>
      <c r="B15" s="1">
        <v>2172.7675547581462</v>
      </c>
      <c r="G15" s="1">
        <v>6386.1720264839241</v>
      </c>
      <c r="K15" s="1">
        <v>2172.7675547581462</v>
      </c>
      <c r="L15" s="1">
        <f t="shared" si="1"/>
        <v>14</v>
      </c>
    </row>
    <row r="16" spans="1:14" x14ac:dyDescent="0.35">
      <c r="A16" s="1">
        <f t="shared" si="0"/>
        <v>15</v>
      </c>
      <c r="B16" s="1">
        <v>4548.2349752288228</v>
      </c>
      <c r="C16" s="1" t="s">
        <v>14</v>
      </c>
      <c r="D16">
        <f>D4+D10+D11</f>
        <v>330495.08393784455</v>
      </c>
      <c r="G16" s="1">
        <v>6287.6864400653858</v>
      </c>
      <c r="K16" s="1">
        <v>4548.2349752288228</v>
      </c>
      <c r="L16" s="1">
        <f t="shared" si="1"/>
        <v>15</v>
      </c>
    </row>
    <row r="17" spans="1:12" x14ac:dyDescent="0.35">
      <c r="A17" s="1">
        <f t="shared" si="0"/>
        <v>16</v>
      </c>
      <c r="B17" s="1">
        <v>5476.90270703035</v>
      </c>
      <c r="G17" s="1">
        <v>6184.3427862351964</v>
      </c>
      <c r="K17" s="1">
        <v>5476.90270703035</v>
      </c>
      <c r="L17" s="1">
        <f t="shared" si="1"/>
        <v>16</v>
      </c>
    </row>
    <row r="18" spans="1:12" x14ac:dyDescent="0.35">
      <c r="A18" s="1">
        <f t="shared" si="0"/>
        <v>17</v>
      </c>
      <c r="B18" s="1">
        <v>2180.0429312531028</v>
      </c>
      <c r="C18" s="1" t="s">
        <v>15</v>
      </c>
      <c r="D18">
        <v>330495</v>
      </c>
      <c r="G18" s="1">
        <v>6097.7538980173758</v>
      </c>
      <c r="K18" s="1">
        <v>2180.0429312531028</v>
      </c>
      <c r="L18" s="1">
        <f t="shared" si="1"/>
        <v>17</v>
      </c>
    </row>
    <row r="19" spans="1:12" x14ac:dyDescent="0.35">
      <c r="A19" s="1">
        <f t="shared" si="0"/>
        <v>18</v>
      </c>
      <c r="B19" s="1">
        <v>5524.0028847571884</v>
      </c>
      <c r="C19" s="1" t="s">
        <v>16</v>
      </c>
      <c r="D19">
        <f>D18-D16</f>
        <v>-8.3937844552565366E-2</v>
      </c>
      <c r="G19" s="1">
        <v>5659.8657296841702</v>
      </c>
      <c r="K19" s="1">
        <v>5524.0028847571884</v>
      </c>
      <c r="L19" s="1">
        <f t="shared" si="1"/>
        <v>18</v>
      </c>
    </row>
    <row r="20" spans="1:12" x14ac:dyDescent="0.35">
      <c r="A20" s="1">
        <f t="shared" si="0"/>
        <v>19</v>
      </c>
      <c r="B20" s="1">
        <v>6393.5501464958952</v>
      </c>
      <c r="D20" s="96" t="s">
        <v>17</v>
      </c>
      <c r="G20" s="1">
        <v>5533.3813285011611</v>
      </c>
      <c r="K20" s="1">
        <v>6393.5501464958952</v>
      </c>
      <c r="L20" s="1">
        <f t="shared" si="1"/>
        <v>19</v>
      </c>
    </row>
    <row r="21" spans="1:12" x14ac:dyDescent="0.35">
      <c r="A21" s="1">
        <f t="shared" si="0"/>
        <v>20</v>
      </c>
      <c r="B21" s="1">
        <v>6287.6864400653858</v>
      </c>
      <c r="D21" s="97"/>
      <c r="G21" s="1">
        <v>5524.0028847571884</v>
      </c>
      <c r="K21" s="1">
        <v>6287.6864400653858</v>
      </c>
      <c r="L21" s="1">
        <f t="shared" si="1"/>
        <v>20</v>
      </c>
    </row>
    <row r="22" spans="1:12" x14ac:dyDescent="0.35">
      <c r="A22" s="1">
        <f t="shared" si="0"/>
        <v>21</v>
      </c>
      <c r="B22" s="1">
        <v>1195.617299383852</v>
      </c>
      <c r="G22" s="1">
        <v>5476.90270703035</v>
      </c>
      <c r="K22" s="1">
        <v>1195.617299383852</v>
      </c>
      <c r="L22" s="1">
        <f t="shared" si="1"/>
        <v>21</v>
      </c>
    </row>
    <row r="23" spans="1:12" x14ac:dyDescent="0.35">
      <c r="A23" s="1">
        <f t="shared" si="0"/>
        <v>22</v>
      </c>
      <c r="B23" s="1">
        <v>4102.942217502793</v>
      </c>
      <c r="C23" s="1" t="s">
        <v>18</v>
      </c>
      <c r="D23" t="s">
        <v>19</v>
      </c>
      <c r="G23" s="1">
        <v>5329.6971333659421</v>
      </c>
      <c r="K23" s="1">
        <v>4102.942217502793</v>
      </c>
      <c r="L23" s="1">
        <f t="shared" si="1"/>
        <v>22</v>
      </c>
    </row>
    <row r="24" spans="1:12" x14ac:dyDescent="0.35">
      <c r="A24" s="1">
        <f t="shared" si="0"/>
        <v>23</v>
      </c>
      <c r="B24" s="1">
        <v>2916.9354826987528</v>
      </c>
      <c r="D24" t="s">
        <v>20</v>
      </c>
      <c r="G24" s="1">
        <v>5328.3833046167756</v>
      </c>
      <c r="K24" s="1">
        <v>2916.9354826987528</v>
      </c>
      <c r="L24" s="1">
        <f t="shared" si="1"/>
        <v>23</v>
      </c>
    </row>
    <row r="25" spans="1:12" x14ac:dyDescent="0.35">
      <c r="A25" s="1">
        <f t="shared" si="0"/>
        <v>24</v>
      </c>
      <c r="B25" s="1">
        <v>4395.7178346280416</v>
      </c>
      <c r="D25" s="5" t="s">
        <v>21</v>
      </c>
      <c r="G25" s="1">
        <v>5233.1130996820621</v>
      </c>
      <c r="K25" s="1">
        <v>4395.7178346280416</v>
      </c>
      <c r="L25" s="1">
        <f t="shared" si="1"/>
        <v>24</v>
      </c>
    </row>
    <row r="26" spans="1:12" x14ac:dyDescent="0.35">
      <c r="A26" s="1">
        <f t="shared" si="0"/>
        <v>25</v>
      </c>
      <c r="B26" s="1">
        <v>3480.4540913845358</v>
      </c>
      <c r="D26" t="s">
        <v>22</v>
      </c>
      <c r="G26" s="1">
        <v>5159.4345472126533</v>
      </c>
      <c r="K26" s="1">
        <v>3480.4540913845358</v>
      </c>
      <c r="L26" s="1">
        <f t="shared" si="1"/>
        <v>25</v>
      </c>
    </row>
    <row r="27" spans="1:12" x14ac:dyDescent="0.35">
      <c r="A27" s="1">
        <f t="shared" si="0"/>
        <v>26</v>
      </c>
      <c r="B27" s="1">
        <v>5233.1130996820621</v>
      </c>
      <c r="G27" s="1">
        <v>5149.4780654648821</v>
      </c>
      <c r="K27" s="1">
        <v>5233.1130996820621</v>
      </c>
      <c r="L27" s="1">
        <f t="shared" si="1"/>
        <v>26</v>
      </c>
    </row>
    <row r="28" spans="1:12" x14ac:dyDescent="0.35">
      <c r="A28" s="1">
        <f t="shared" si="0"/>
        <v>27</v>
      </c>
      <c r="B28" s="1">
        <v>6696.2920887280334</v>
      </c>
      <c r="G28" s="1">
        <v>5147.5629031179114</v>
      </c>
      <c r="K28" s="1">
        <v>6696.2920887280334</v>
      </c>
      <c r="L28" s="1">
        <f t="shared" si="1"/>
        <v>27</v>
      </c>
    </row>
    <row r="29" spans="1:12" x14ac:dyDescent="0.35">
      <c r="A29" s="1">
        <f t="shared" si="0"/>
        <v>28</v>
      </c>
      <c r="B29" s="1">
        <v>8230.4847304692612</v>
      </c>
      <c r="C29" s="1" t="s">
        <v>6</v>
      </c>
      <c r="G29" s="1">
        <v>5057.043251595851</v>
      </c>
      <c r="K29" s="1">
        <v>8230.4847304692612</v>
      </c>
      <c r="L29" s="1">
        <f t="shared" si="1"/>
        <v>28</v>
      </c>
    </row>
    <row r="30" spans="1:12" x14ac:dyDescent="0.35">
      <c r="A30" s="1">
        <f t="shared" si="0"/>
        <v>29</v>
      </c>
      <c r="B30" s="1">
        <v>3184.1460343074909</v>
      </c>
      <c r="C30" s="1" t="s">
        <v>6</v>
      </c>
      <c r="G30" s="1">
        <v>5041.8344142687847</v>
      </c>
      <c r="K30" s="1">
        <v>3184.1460343074909</v>
      </c>
      <c r="L30" s="1">
        <f t="shared" si="1"/>
        <v>29</v>
      </c>
    </row>
    <row r="31" spans="1:12" x14ac:dyDescent="0.35">
      <c r="A31" s="1">
        <f t="shared" si="0"/>
        <v>30</v>
      </c>
      <c r="B31" s="1">
        <v>2455.556329062375</v>
      </c>
      <c r="G31" s="1">
        <v>4797.2959806436729</v>
      </c>
      <c r="K31" s="1">
        <v>2455.556329062375</v>
      </c>
      <c r="L31" s="1">
        <f t="shared" si="1"/>
        <v>30</v>
      </c>
    </row>
    <row r="32" spans="1:12" x14ac:dyDescent="0.35">
      <c r="A32" s="1">
        <f t="shared" si="0"/>
        <v>31</v>
      </c>
      <c r="B32" s="1">
        <v>1553.515228702383</v>
      </c>
      <c r="G32" s="1">
        <v>4657.9117518025187</v>
      </c>
      <c r="K32" s="1">
        <v>1553.515228702383</v>
      </c>
      <c r="L32" s="1">
        <f t="shared" si="1"/>
        <v>31</v>
      </c>
    </row>
    <row r="33" spans="1:12" x14ac:dyDescent="0.35">
      <c r="A33" s="1">
        <f t="shared" si="0"/>
        <v>32</v>
      </c>
      <c r="B33" s="1">
        <v>14627.53150971361</v>
      </c>
      <c r="G33" s="1">
        <v>4612.9275296437472</v>
      </c>
      <c r="K33" s="1">
        <v>14627.53150971361</v>
      </c>
      <c r="L33" s="1">
        <f t="shared" si="1"/>
        <v>32</v>
      </c>
    </row>
    <row r="34" spans="1:12" x14ac:dyDescent="0.35">
      <c r="A34" s="1">
        <f t="shared" si="0"/>
        <v>33</v>
      </c>
      <c r="B34" s="1">
        <v>4264.5516094210579</v>
      </c>
      <c r="G34" s="1">
        <v>4593.5313049109664</v>
      </c>
      <c r="K34" s="1">
        <v>4264.5516094210579</v>
      </c>
      <c r="L34" s="1">
        <f t="shared" si="1"/>
        <v>33</v>
      </c>
    </row>
    <row r="35" spans="1:12" x14ac:dyDescent="0.35">
      <c r="A35" s="1">
        <f t="shared" ref="A35:A66" si="2">A34+1</f>
        <v>34</v>
      </c>
      <c r="B35" s="1">
        <v>5041.8344142687847</v>
      </c>
      <c r="G35" s="1">
        <v>4563.0069277860366</v>
      </c>
      <c r="K35" s="1">
        <v>5041.8344142687847</v>
      </c>
      <c r="L35" s="1">
        <f t="shared" ref="L35:L66" si="3">L34+1</f>
        <v>34</v>
      </c>
    </row>
    <row r="36" spans="1:12" x14ac:dyDescent="0.35">
      <c r="A36" s="1">
        <f t="shared" si="2"/>
        <v>35</v>
      </c>
      <c r="B36" s="1">
        <v>1680.154057549307</v>
      </c>
      <c r="G36" s="1">
        <v>4548.2349752288228</v>
      </c>
      <c r="K36" s="1">
        <v>1680.154057549307</v>
      </c>
      <c r="L36" s="1">
        <f t="shared" si="3"/>
        <v>35</v>
      </c>
    </row>
    <row r="37" spans="1:12" x14ac:dyDescent="0.35">
      <c r="A37" s="1">
        <f t="shared" si="2"/>
        <v>36</v>
      </c>
      <c r="B37" s="1">
        <v>5659.8657296841702</v>
      </c>
      <c r="G37" s="1">
        <v>4490.8701254733214</v>
      </c>
      <c r="K37" s="1">
        <v>5659.8657296841702</v>
      </c>
      <c r="L37" s="1">
        <f t="shared" si="3"/>
        <v>36</v>
      </c>
    </row>
    <row r="38" spans="1:12" x14ac:dyDescent="0.35">
      <c r="A38" s="1">
        <f t="shared" si="2"/>
        <v>37</v>
      </c>
      <c r="B38" s="1">
        <v>7074.8321611913698</v>
      </c>
      <c r="G38" s="1">
        <v>4395.7178346280416</v>
      </c>
      <c r="K38" s="1">
        <v>7074.8321611913698</v>
      </c>
      <c r="L38" s="1">
        <f t="shared" si="3"/>
        <v>37</v>
      </c>
    </row>
    <row r="39" spans="1:12" x14ac:dyDescent="0.35">
      <c r="A39" s="1">
        <f t="shared" si="2"/>
        <v>38</v>
      </c>
      <c r="B39" s="1">
        <v>1036.155497852058</v>
      </c>
      <c r="G39" s="1">
        <v>4317.7330751348463</v>
      </c>
      <c r="K39" s="1">
        <v>1036.155497852058</v>
      </c>
      <c r="L39" s="1">
        <f t="shared" si="3"/>
        <v>38</v>
      </c>
    </row>
    <row r="40" spans="1:12" x14ac:dyDescent="0.35">
      <c r="A40" s="1">
        <f t="shared" si="2"/>
        <v>39</v>
      </c>
      <c r="B40" s="1">
        <v>1397.7981728371551</v>
      </c>
      <c r="G40" s="1">
        <v>4299.5858542619962</v>
      </c>
      <c r="K40" s="1">
        <v>1397.7981728371551</v>
      </c>
      <c r="L40" s="1">
        <f t="shared" si="3"/>
        <v>39</v>
      </c>
    </row>
    <row r="41" spans="1:12" x14ac:dyDescent="0.35">
      <c r="A41" s="1">
        <f t="shared" si="2"/>
        <v>40</v>
      </c>
      <c r="B41" s="1">
        <v>2769.3097556877569</v>
      </c>
      <c r="G41" s="1">
        <v>4296.4999200900902</v>
      </c>
      <c r="K41" s="1">
        <v>2769.3097556877569</v>
      </c>
      <c r="L41" s="1">
        <f t="shared" si="3"/>
        <v>40</v>
      </c>
    </row>
    <row r="42" spans="1:12" x14ac:dyDescent="0.35">
      <c r="A42" s="1">
        <f t="shared" si="2"/>
        <v>41</v>
      </c>
      <c r="B42" s="1">
        <v>975.76163139608616</v>
      </c>
      <c r="G42" s="1">
        <v>4264.5516094210579</v>
      </c>
      <c r="K42" s="1">
        <v>975.76163139608616</v>
      </c>
      <c r="L42" s="1">
        <f t="shared" si="3"/>
        <v>41</v>
      </c>
    </row>
    <row r="43" spans="1:12" x14ac:dyDescent="0.35">
      <c r="A43" s="1">
        <f t="shared" si="2"/>
        <v>42</v>
      </c>
      <c r="B43" s="1">
        <v>1220.838737866377</v>
      </c>
      <c r="G43" s="1">
        <v>4258.9353884654111</v>
      </c>
      <c r="K43" s="1">
        <v>1220.838737866377</v>
      </c>
      <c r="L43" s="1">
        <f t="shared" si="3"/>
        <v>42</v>
      </c>
    </row>
    <row r="44" spans="1:12" x14ac:dyDescent="0.35">
      <c r="A44" s="1">
        <f t="shared" si="2"/>
        <v>43</v>
      </c>
      <c r="B44" s="1">
        <v>3438.0361146713012</v>
      </c>
      <c r="G44" s="1">
        <v>4180.060549855245</v>
      </c>
      <c r="K44" s="1">
        <v>3438.0361146713012</v>
      </c>
      <c r="L44" s="1">
        <f t="shared" si="3"/>
        <v>43</v>
      </c>
    </row>
    <row r="45" spans="1:12" x14ac:dyDescent="0.35">
      <c r="A45" s="1">
        <f t="shared" si="2"/>
        <v>44</v>
      </c>
      <c r="B45" s="1">
        <v>1279.200878938675</v>
      </c>
      <c r="G45" s="1">
        <v>4129.0607113934348</v>
      </c>
      <c r="K45" s="1">
        <v>1279.200878938675</v>
      </c>
      <c r="L45" s="1">
        <f t="shared" si="3"/>
        <v>44</v>
      </c>
    </row>
    <row r="46" spans="1:12" x14ac:dyDescent="0.35">
      <c r="A46" s="1">
        <f t="shared" si="2"/>
        <v>45</v>
      </c>
      <c r="B46" s="1">
        <v>3266.9511427123548</v>
      </c>
      <c r="G46" s="1">
        <v>4102.942217502793</v>
      </c>
      <c r="K46" s="1">
        <v>3266.9511427123548</v>
      </c>
      <c r="L46" s="1">
        <f t="shared" si="3"/>
        <v>45</v>
      </c>
    </row>
    <row r="47" spans="1:12" x14ac:dyDescent="0.35">
      <c r="A47" s="1">
        <f t="shared" si="2"/>
        <v>46</v>
      </c>
      <c r="B47" s="1">
        <v>1763.99702425654</v>
      </c>
      <c r="G47" s="1">
        <v>3973.5840486666689</v>
      </c>
      <c r="K47" s="1">
        <v>1763.99702425654</v>
      </c>
      <c r="L47" s="1">
        <f t="shared" si="3"/>
        <v>46</v>
      </c>
    </row>
    <row r="48" spans="1:12" x14ac:dyDescent="0.35">
      <c r="A48" s="1">
        <f t="shared" si="2"/>
        <v>47</v>
      </c>
      <c r="B48" s="1">
        <v>2322.9032263370332</v>
      </c>
      <c r="G48" s="1">
        <v>3955.020115733626</v>
      </c>
      <c r="K48" s="1">
        <v>2322.9032263370332</v>
      </c>
      <c r="L48" s="1">
        <f t="shared" si="3"/>
        <v>47</v>
      </c>
    </row>
    <row r="49" spans="1:12" x14ac:dyDescent="0.35">
      <c r="A49" s="1">
        <f t="shared" si="2"/>
        <v>48</v>
      </c>
      <c r="B49" s="1">
        <v>1052.7350255677291</v>
      </c>
      <c r="G49" s="1">
        <v>3886.3217817133332</v>
      </c>
      <c r="K49" s="1">
        <v>1052.7350255677291</v>
      </c>
      <c r="L49" s="1">
        <f t="shared" si="3"/>
        <v>48</v>
      </c>
    </row>
    <row r="50" spans="1:12" x14ac:dyDescent="0.35">
      <c r="A50" s="1">
        <f t="shared" si="2"/>
        <v>49</v>
      </c>
      <c r="B50" s="1">
        <v>2650.8063291642311</v>
      </c>
      <c r="G50" s="1">
        <v>3713.6923624805509</v>
      </c>
      <c r="K50" s="1">
        <v>2650.8063291642311</v>
      </c>
      <c r="L50" s="1">
        <f t="shared" si="3"/>
        <v>49</v>
      </c>
    </row>
    <row r="51" spans="1:12" x14ac:dyDescent="0.35">
      <c r="A51" s="1">
        <f t="shared" si="2"/>
        <v>50</v>
      </c>
      <c r="B51" s="1">
        <v>2336.365059758562</v>
      </c>
      <c r="G51" s="1">
        <v>3480.4540913845358</v>
      </c>
      <c r="K51" s="1">
        <v>2336.365059758562</v>
      </c>
      <c r="L51" s="1">
        <f t="shared" si="3"/>
        <v>50</v>
      </c>
    </row>
    <row r="52" spans="1:12" x14ac:dyDescent="0.35">
      <c r="A52" s="1">
        <f t="shared" si="2"/>
        <v>51</v>
      </c>
      <c r="B52" s="1">
        <v>586.05584352134008</v>
      </c>
      <c r="G52" s="1">
        <v>3457.332910813851</v>
      </c>
      <c r="K52" s="1">
        <v>586.05584352134008</v>
      </c>
      <c r="L52" s="1">
        <f t="shared" si="3"/>
        <v>51</v>
      </c>
    </row>
    <row r="53" spans="1:12" x14ac:dyDescent="0.35">
      <c r="A53" s="1">
        <f t="shared" si="2"/>
        <v>52</v>
      </c>
      <c r="B53" s="1">
        <v>5329.6971333659421</v>
      </c>
      <c r="G53" s="1">
        <v>3438.0361146713012</v>
      </c>
      <c r="K53" s="1">
        <v>5329.6971333659421</v>
      </c>
      <c r="L53" s="1">
        <f t="shared" si="3"/>
        <v>52</v>
      </c>
    </row>
    <row r="54" spans="1:12" x14ac:dyDescent="0.35">
      <c r="A54" s="1">
        <f t="shared" si="2"/>
        <v>53</v>
      </c>
      <c r="B54" s="1">
        <v>5328.3833046167756</v>
      </c>
      <c r="G54" s="1">
        <v>3330.950005722922</v>
      </c>
      <c r="K54" s="1">
        <v>5328.3833046167756</v>
      </c>
      <c r="L54" s="1">
        <f t="shared" si="3"/>
        <v>53</v>
      </c>
    </row>
    <row r="55" spans="1:12" x14ac:dyDescent="0.35">
      <c r="A55" s="1">
        <f t="shared" si="2"/>
        <v>54</v>
      </c>
      <c r="B55" s="1">
        <v>1132.850191183687</v>
      </c>
      <c r="G55" s="1">
        <v>3266.9511427123548</v>
      </c>
      <c r="K55" s="1">
        <v>1132.850191183687</v>
      </c>
      <c r="L55" s="1">
        <f t="shared" si="3"/>
        <v>54</v>
      </c>
    </row>
    <row r="56" spans="1:12" x14ac:dyDescent="0.35">
      <c r="A56" s="1">
        <f t="shared" si="2"/>
        <v>55</v>
      </c>
      <c r="B56" s="1">
        <v>1734.337401732017</v>
      </c>
      <c r="G56" s="1">
        <v>3184.1460343074909</v>
      </c>
      <c r="K56" s="1">
        <v>1734.337401732017</v>
      </c>
      <c r="L56" s="1">
        <f t="shared" si="3"/>
        <v>55</v>
      </c>
    </row>
    <row r="57" spans="1:12" x14ac:dyDescent="0.35">
      <c r="A57" s="1">
        <f t="shared" si="2"/>
        <v>56</v>
      </c>
      <c r="B57" s="1">
        <v>1696.5437943175671</v>
      </c>
      <c r="G57" s="1">
        <v>3153.09355833985</v>
      </c>
      <c r="K57" s="1">
        <v>1696.5437943175671</v>
      </c>
      <c r="L57" s="1">
        <f t="shared" si="3"/>
        <v>56</v>
      </c>
    </row>
    <row r="58" spans="1:12" x14ac:dyDescent="0.35">
      <c r="A58" s="1">
        <f t="shared" si="2"/>
        <v>57</v>
      </c>
      <c r="B58" s="1">
        <v>2227.6855671211929</v>
      </c>
      <c r="G58" s="1">
        <v>3141.552121160008</v>
      </c>
      <c r="K58" s="1">
        <v>2227.6855671211929</v>
      </c>
      <c r="L58" s="1">
        <f t="shared" si="3"/>
        <v>57</v>
      </c>
    </row>
    <row r="59" spans="1:12" x14ac:dyDescent="0.35">
      <c r="A59" s="1">
        <f t="shared" si="2"/>
        <v>58</v>
      </c>
      <c r="B59" s="1">
        <v>404.30530639696019</v>
      </c>
      <c r="G59" s="1">
        <v>2954.0094942934988</v>
      </c>
      <c r="K59" s="1">
        <v>404.30530639696019</v>
      </c>
      <c r="L59" s="1">
        <f t="shared" si="3"/>
        <v>58</v>
      </c>
    </row>
    <row r="60" spans="1:12" x14ac:dyDescent="0.35">
      <c r="A60" s="1">
        <f t="shared" si="2"/>
        <v>59</v>
      </c>
      <c r="B60" s="1">
        <v>3141.552121160008</v>
      </c>
      <c r="G60" s="1">
        <v>2938.8092172996649</v>
      </c>
      <c r="K60" s="1">
        <v>3141.552121160008</v>
      </c>
      <c r="L60" s="1">
        <f t="shared" si="3"/>
        <v>59</v>
      </c>
    </row>
    <row r="61" spans="1:12" x14ac:dyDescent="0.35">
      <c r="A61" s="1">
        <f t="shared" si="2"/>
        <v>60</v>
      </c>
      <c r="B61" s="1">
        <v>2862.8042339526478</v>
      </c>
      <c r="G61" s="1">
        <v>2916.9354826987528</v>
      </c>
      <c r="K61" s="1">
        <v>2862.8042339526478</v>
      </c>
      <c r="L61" s="1">
        <f t="shared" si="3"/>
        <v>60</v>
      </c>
    </row>
    <row r="62" spans="1:12" x14ac:dyDescent="0.35">
      <c r="A62" s="1">
        <f t="shared" si="2"/>
        <v>61</v>
      </c>
      <c r="B62" s="1">
        <v>2954.0094942934988</v>
      </c>
      <c r="G62" s="1">
        <v>2875.5642031497382</v>
      </c>
      <c r="K62" s="1">
        <v>2954.0094942934988</v>
      </c>
      <c r="L62" s="1">
        <f t="shared" si="3"/>
        <v>61</v>
      </c>
    </row>
    <row r="63" spans="1:12" x14ac:dyDescent="0.35">
      <c r="A63" s="1">
        <f t="shared" si="2"/>
        <v>62</v>
      </c>
      <c r="B63" s="1">
        <v>1204.0745303370161</v>
      </c>
      <c r="G63" s="1">
        <v>2862.8042339526478</v>
      </c>
      <c r="K63" s="1">
        <v>1204.0745303370161</v>
      </c>
      <c r="L63" s="1">
        <f t="shared" si="3"/>
        <v>62</v>
      </c>
    </row>
    <row r="64" spans="1:12" x14ac:dyDescent="0.35">
      <c r="A64" s="1">
        <f t="shared" si="2"/>
        <v>63</v>
      </c>
      <c r="B64" s="1">
        <v>13474.18710799874</v>
      </c>
      <c r="G64" s="1">
        <v>2769.3097556877569</v>
      </c>
      <c r="K64" s="1">
        <v>13474.18710799874</v>
      </c>
      <c r="L64" s="1">
        <f t="shared" si="3"/>
        <v>63</v>
      </c>
    </row>
    <row r="65" spans="1:12" x14ac:dyDescent="0.35">
      <c r="A65" s="1">
        <f t="shared" si="2"/>
        <v>64</v>
      </c>
      <c r="B65" s="1">
        <v>3713.6923624805509</v>
      </c>
      <c r="G65" s="1">
        <v>2673.7959050516761</v>
      </c>
      <c r="K65" s="1">
        <v>3713.6923624805509</v>
      </c>
      <c r="L65" s="1">
        <f t="shared" si="3"/>
        <v>64</v>
      </c>
    </row>
    <row r="66" spans="1:12" x14ac:dyDescent="0.35">
      <c r="A66" s="1">
        <f t="shared" si="2"/>
        <v>65</v>
      </c>
      <c r="B66" s="1">
        <v>1118.1009256975681</v>
      </c>
      <c r="G66" s="1">
        <v>2650.8063291642311</v>
      </c>
      <c r="K66" s="1">
        <v>1118.1009256975681</v>
      </c>
      <c r="L66" s="1">
        <f t="shared" si="3"/>
        <v>65</v>
      </c>
    </row>
    <row r="67" spans="1:12" x14ac:dyDescent="0.35">
      <c r="A67" s="1">
        <f t="shared" ref="A67:A100" si="4">A66+1</f>
        <v>66</v>
      </c>
      <c r="B67" s="1">
        <v>789.18834550043005</v>
      </c>
      <c r="G67" s="1">
        <v>2534.563494353717</v>
      </c>
      <c r="K67" s="1">
        <v>789.18834550043005</v>
      </c>
      <c r="L67" s="1">
        <f t="shared" ref="L67:L100" si="5">L66+1</f>
        <v>66</v>
      </c>
    </row>
    <row r="68" spans="1:12" x14ac:dyDescent="0.35">
      <c r="A68" s="1">
        <f t="shared" si="4"/>
        <v>67</v>
      </c>
      <c r="B68" s="1">
        <v>1631.3808757786551</v>
      </c>
      <c r="G68" s="1">
        <v>2455.556329062375</v>
      </c>
      <c r="K68" s="1">
        <v>1631.3808757786551</v>
      </c>
      <c r="L68" s="1">
        <f t="shared" si="5"/>
        <v>67</v>
      </c>
    </row>
    <row r="69" spans="1:12" x14ac:dyDescent="0.35">
      <c r="A69" s="1">
        <f t="shared" si="4"/>
        <v>68</v>
      </c>
      <c r="B69" s="1">
        <v>4258.9353884654111</v>
      </c>
      <c r="G69" s="1">
        <v>2336.365059758562</v>
      </c>
      <c r="K69" s="1">
        <v>4258.9353884654111</v>
      </c>
      <c r="L69" s="1">
        <f t="shared" si="5"/>
        <v>68</v>
      </c>
    </row>
    <row r="70" spans="1:12" x14ac:dyDescent="0.35">
      <c r="A70" s="1">
        <f t="shared" si="4"/>
        <v>69</v>
      </c>
      <c r="B70" s="1">
        <v>4490.8701254733214</v>
      </c>
      <c r="G70" s="1">
        <v>2322.9032263370332</v>
      </c>
      <c r="K70" s="1">
        <v>4490.8701254733214</v>
      </c>
      <c r="L70" s="1">
        <f t="shared" si="5"/>
        <v>69</v>
      </c>
    </row>
    <row r="71" spans="1:12" x14ac:dyDescent="0.35">
      <c r="A71" s="1">
        <f t="shared" si="4"/>
        <v>70</v>
      </c>
      <c r="B71" s="1">
        <v>6097.7538980173758</v>
      </c>
      <c r="G71" s="1">
        <v>2227.6855671211929</v>
      </c>
      <c r="K71" s="1">
        <v>6097.7538980173758</v>
      </c>
      <c r="L71" s="1">
        <f t="shared" si="5"/>
        <v>70</v>
      </c>
    </row>
    <row r="72" spans="1:12" x14ac:dyDescent="0.35">
      <c r="A72" s="1">
        <f t="shared" si="4"/>
        <v>71</v>
      </c>
      <c r="B72" s="1">
        <v>4593.5313049109664</v>
      </c>
      <c r="G72" s="1">
        <v>2180.0429312531028</v>
      </c>
      <c r="K72" s="1">
        <v>4593.5313049109664</v>
      </c>
      <c r="L72" s="1">
        <f t="shared" si="5"/>
        <v>71</v>
      </c>
    </row>
    <row r="73" spans="1:12" x14ac:dyDescent="0.35">
      <c r="A73" s="1">
        <f t="shared" si="4"/>
        <v>72</v>
      </c>
      <c r="B73" s="1">
        <v>8062.2213477933838</v>
      </c>
      <c r="G73" s="1">
        <v>2172.7675547581462</v>
      </c>
      <c r="K73" s="1">
        <v>8062.2213477933838</v>
      </c>
      <c r="L73" s="1">
        <f t="shared" si="5"/>
        <v>72</v>
      </c>
    </row>
    <row r="74" spans="1:12" x14ac:dyDescent="0.35">
      <c r="A74" s="1">
        <f t="shared" si="4"/>
        <v>73</v>
      </c>
      <c r="B74" s="1">
        <v>4657.9117518025187</v>
      </c>
      <c r="G74" s="1">
        <v>2105.0165005377999</v>
      </c>
      <c r="K74" s="1">
        <v>4657.9117518025187</v>
      </c>
      <c r="L74" s="1">
        <f t="shared" si="5"/>
        <v>73</v>
      </c>
    </row>
    <row r="75" spans="1:12" x14ac:dyDescent="0.35">
      <c r="A75" s="1">
        <f t="shared" si="4"/>
        <v>74</v>
      </c>
      <c r="B75" s="1">
        <v>4129.0607113934348</v>
      </c>
      <c r="G75" s="1">
        <v>1763.99702425654</v>
      </c>
      <c r="K75" s="1">
        <v>4129.0607113934348</v>
      </c>
      <c r="L75" s="1">
        <f t="shared" si="5"/>
        <v>74</v>
      </c>
    </row>
    <row r="76" spans="1:12" x14ac:dyDescent="0.35">
      <c r="A76" s="1">
        <f t="shared" si="4"/>
        <v>75</v>
      </c>
      <c r="B76" s="1">
        <v>14350.316193396229</v>
      </c>
      <c r="G76" s="1">
        <v>1734.337401732017</v>
      </c>
      <c r="K76" s="1">
        <v>14350.316193396229</v>
      </c>
      <c r="L76" s="1">
        <f t="shared" si="5"/>
        <v>75</v>
      </c>
    </row>
    <row r="77" spans="1:12" x14ac:dyDescent="0.35">
      <c r="A77" s="1">
        <f t="shared" si="4"/>
        <v>76</v>
      </c>
      <c r="B77" s="1">
        <v>5149.4780654648821</v>
      </c>
      <c r="G77" s="1">
        <v>1722.7511821559251</v>
      </c>
      <c r="K77" s="1">
        <v>5149.4780654648821</v>
      </c>
      <c r="L77" s="1">
        <f t="shared" si="5"/>
        <v>76</v>
      </c>
    </row>
    <row r="78" spans="1:12" x14ac:dyDescent="0.35">
      <c r="A78" s="1">
        <f t="shared" si="4"/>
        <v>77</v>
      </c>
      <c r="B78" s="1">
        <v>4612.9275296437472</v>
      </c>
      <c r="G78" s="1">
        <v>1696.5437943175671</v>
      </c>
      <c r="K78" s="1">
        <v>4612.9275296437472</v>
      </c>
      <c r="L78" s="1">
        <f t="shared" si="5"/>
        <v>77</v>
      </c>
    </row>
    <row r="79" spans="1:12" x14ac:dyDescent="0.35">
      <c r="A79" s="1">
        <f t="shared" si="4"/>
        <v>78</v>
      </c>
      <c r="B79" s="1">
        <v>4299.5858542619962</v>
      </c>
      <c r="G79" s="1">
        <v>1680.154057549307</v>
      </c>
      <c r="K79" s="1">
        <v>4299.5858542619962</v>
      </c>
      <c r="L79" s="1">
        <f t="shared" si="5"/>
        <v>78</v>
      </c>
    </row>
    <row r="80" spans="1:12" x14ac:dyDescent="0.35">
      <c r="A80" s="1">
        <f t="shared" si="4"/>
        <v>79</v>
      </c>
      <c r="B80" s="1">
        <v>3153.09355833985</v>
      </c>
      <c r="G80" s="1">
        <v>1631.3808757786551</v>
      </c>
      <c r="K80" s="1">
        <v>3153.09355833985</v>
      </c>
      <c r="L80" s="1">
        <f t="shared" si="5"/>
        <v>79</v>
      </c>
    </row>
    <row r="81" spans="1:12" x14ac:dyDescent="0.35">
      <c r="A81" s="1">
        <f t="shared" si="4"/>
        <v>80</v>
      </c>
      <c r="B81" s="1">
        <v>4296.4999200900902</v>
      </c>
      <c r="G81" s="1">
        <v>1617.7934488334181</v>
      </c>
      <c r="K81" s="1">
        <v>4296.4999200900902</v>
      </c>
      <c r="L81" s="1">
        <f t="shared" si="5"/>
        <v>80</v>
      </c>
    </row>
    <row r="82" spans="1:12" x14ac:dyDescent="0.35">
      <c r="A82" s="1">
        <f t="shared" si="4"/>
        <v>81</v>
      </c>
      <c r="B82" s="1">
        <v>1722.7511821559251</v>
      </c>
      <c r="G82" s="1">
        <v>1553.515228702383</v>
      </c>
      <c r="K82" s="1">
        <v>1722.7511821559251</v>
      </c>
      <c r="L82" s="1">
        <f t="shared" si="5"/>
        <v>81</v>
      </c>
    </row>
    <row r="83" spans="1:12" x14ac:dyDescent="0.35">
      <c r="A83" s="1">
        <f t="shared" si="4"/>
        <v>82</v>
      </c>
      <c r="B83" s="1">
        <v>8378.7212496204556</v>
      </c>
      <c r="G83" s="1">
        <v>1453.8912212817379</v>
      </c>
      <c r="K83" s="1">
        <v>8378.7212496204556</v>
      </c>
      <c r="L83" s="1">
        <f t="shared" si="5"/>
        <v>82</v>
      </c>
    </row>
    <row r="84" spans="1:12" x14ac:dyDescent="0.35">
      <c r="A84" s="1">
        <f t="shared" si="4"/>
        <v>83</v>
      </c>
      <c r="B84" s="1">
        <v>4180.060549855245</v>
      </c>
      <c r="G84" s="1">
        <v>1397.7981728371551</v>
      </c>
      <c r="K84" s="1">
        <v>4180.060549855245</v>
      </c>
      <c r="L84" s="1">
        <f t="shared" si="5"/>
        <v>83</v>
      </c>
    </row>
    <row r="85" spans="1:12" x14ac:dyDescent="0.35">
      <c r="A85" s="1">
        <f t="shared" si="4"/>
        <v>84</v>
      </c>
      <c r="B85" s="1">
        <v>3330.950005722922</v>
      </c>
      <c r="G85" s="1">
        <v>1279.200878938675</v>
      </c>
      <c r="K85" s="1">
        <v>3330.950005722922</v>
      </c>
      <c r="L85" s="1">
        <f t="shared" si="5"/>
        <v>84</v>
      </c>
    </row>
    <row r="86" spans="1:12" x14ac:dyDescent="0.35">
      <c r="A86" s="1">
        <f t="shared" si="4"/>
        <v>85</v>
      </c>
      <c r="B86" s="1">
        <v>2875.5642031497382</v>
      </c>
      <c r="G86" s="1">
        <v>1220.838737866377</v>
      </c>
      <c r="K86" s="1">
        <v>2875.5642031497382</v>
      </c>
      <c r="L86" s="1">
        <f t="shared" si="5"/>
        <v>85</v>
      </c>
    </row>
    <row r="87" spans="1:12" x14ac:dyDescent="0.35">
      <c r="A87" s="1">
        <f t="shared" si="4"/>
        <v>86</v>
      </c>
      <c r="B87" s="1">
        <v>2673.7959050516761</v>
      </c>
      <c r="G87" s="1">
        <v>1204.0745303370161</v>
      </c>
      <c r="K87" s="1">
        <v>2673.7959050516761</v>
      </c>
      <c r="L87" s="1">
        <f t="shared" si="5"/>
        <v>86</v>
      </c>
    </row>
    <row r="88" spans="1:12" x14ac:dyDescent="0.35">
      <c r="A88" s="1">
        <f t="shared" si="4"/>
        <v>87</v>
      </c>
      <c r="B88" s="1">
        <v>19513.44492845656</v>
      </c>
      <c r="G88" s="1">
        <v>1195.617299383852</v>
      </c>
      <c r="K88" s="1">
        <v>19513.44492845656</v>
      </c>
      <c r="L88" s="1">
        <f t="shared" si="5"/>
        <v>87</v>
      </c>
    </row>
    <row r="89" spans="1:12" x14ac:dyDescent="0.35">
      <c r="A89" s="1">
        <f t="shared" si="4"/>
        <v>88</v>
      </c>
      <c r="B89" s="1">
        <v>5533.3813285011611</v>
      </c>
      <c r="G89" s="1">
        <v>1132.850191183687</v>
      </c>
      <c r="K89" s="1">
        <v>5533.3813285011611</v>
      </c>
      <c r="L89" s="1">
        <f t="shared" si="5"/>
        <v>88</v>
      </c>
    </row>
    <row r="90" spans="1:12" x14ac:dyDescent="0.35">
      <c r="A90" s="1">
        <f t="shared" si="4"/>
        <v>89</v>
      </c>
      <c r="B90" s="1">
        <v>7532.7075080212007</v>
      </c>
      <c r="G90" s="1">
        <v>1118.1009256975681</v>
      </c>
      <c r="K90" s="1">
        <v>7532.7075080212007</v>
      </c>
      <c r="L90" s="1">
        <f t="shared" si="5"/>
        <v>89</v>
      </c>
    </row>
    <row r="91" spans="1:12" x14ac:dyDescent="0.35">
      <c r="A91" s="1">
        <f t="shared" si="4"/>
        <v>90</v>
      </c>
      <c r="B91" s="1">
        <v>4797.2959806436729</v>
      </c>
      <c r="G91" s="1">
        <v>1079.529030351737</v>
      </c>
      <c r="K91" s="1">
        <v>4797.2959806436729</v>
      </c>
      <c r="L91" s="1">
        <f t="shared" si="5"/>
        <v>90</v>
      </c>
    </row>
    <row r="92" spans="1:12" x14ac:dyDescent="0.35">
      <c r="A92" s="1">
        <f t="shared" si="4"/>
        <v>91</v>
      </c>
      <c r="B92" s="1">
        <v>5147.5629031179114</v>
      </c>
      <c r="G92" s="1">
        <v>1052.7350255677291</v>
      </c>
      <c r="K92" s="1">
        <v>5147.5629031179114</v>
      </c>
      <c r="L92" s="1">
        <f t="shared" si="5"/>
        <v>91</v>
      </c>
    </row>
    <row r="93" spans="1:12" x14ac:dyDescent="0.35">
      <c r="A93" s="1">
        <f t="shared" si="4"/>
        <v>92</v>
      </c>
      <c r="B93" s="1">
        <v>2534.563494353717</v>
      </c>
      <c r="G93" s="1">
        <v>1036.155497852058</v>
      </c>
      <c r="K93" s="1">
        <v>2534.563494353717</v>
      </c>
      <c r="L93" s="1">
        <f t="shared" si="5"/>
        <v>92</v>
      </c>
    </row>
    <row r="94" spans="1:12" x14ac:dyDescent="0.35">
      <c r="A94" s="1">
        <f t="shared" si="4"/>
        <v>93</v>
      </c>
      <c r="B94" s="1">
        <v>5159.4345472126533</v>
      </c>
      <c r="G94" s="1">
        <v>975.76163139608616</v>
      </c>
      <c r="K94" s="1">
        <v>5159.4345472126533</v>
      </c>
      <c r="L94" s="1">
        <f t="shared" si="5"/>
        <v>93</v>
      </c>
    </row>
    <row r="95" spans="1:12" x14ac:dyDescent="0.35">
      <c r="A95" s="1">
        <f t="shared" si="4"/>
        <v>94</v>
      </c>
      <c r="B95" s="1">
        <v>4317.7330751348463</v>
      </c>
      <c r="G95" s="1">
        <v>789.18834550043005</v>
      </c>
      <c r="K95" s="1">
        <v>4317.7330751348463</v>
      </c>
      <c r="L95" s="1">
        <f t="shared" si="5"/>
        <v>94</v>
      </c>
    </row>
    <row r="96" spans="1:12" x14ac:dyDescent="0.35">
      <c r="A96" s="1">
        <f t="shared" si="4"/>
        <v>95</v>
      </c>
      <c r="B96" s="1">
        <v>6988.6643510423764</v>
      </c>
      <c r="G96" s="1">
        <v>586.05584352134008</v>
      </c>
      <c r="K96" s="1">
        <v>6988.6643510423764</v>
      </c>
      <c r="L96" s="1">
        <f t="shared" si="5"/>
        <v>95</v>
      </c>
    </row>
    <row r="97" spans="1:12" x14ac:dyDescent="0.35">
      <c r="A97" s="1">
        <f t="shared" si="4"/>
        <v>96</v>
      </c>
      <c r="B97" s="1">
        <v>2938.8092172996649</v>
      </c>
      <c r="G97" s="1">
        <v>569.06841271947087</v>
      </c>
      <c r="K97" s="1">
        <v>2938.8092172996649</v>
      </c>
      <c r="L97" s="1">
        <f t="shared" si="5"/>
        <v>96</v>
      </c>
    </row>
    <row r="98" spans="1:12" x14ac:dyDescent="0.35">
      <c r="A98" s="1">
        <f t="shared" si="4"/>
        <v>97</v>
      </c>
      <c r="B98" s="1">
        <v>6184.3427862351964</v>
      </c>
      <c r="G98" s="1">
        <v>507.10444675644749</v>
      </c>
      <c r="K98" s="1">
        <v>6184.3427862351964</v>
      </c>
      <c r="L98" s="1">
        <f t="shared" si="5"/>
        <v>97</v>
      </c>
    </row>
    <row r="99" spans="1:12" x14ac:dyDescent="0.35">
      <c r="A99" s="1">
        <f t="shared" si="4"/>
        <v>98</v>
      </c>
      <c r="B99" s="1">
        <v>3973.5840486666689</v>
      </c>
      <c r="G99" s="1">
        <v>480.82648360578531</v>
      </c>
      <c r="K99" s="1">
        <v>3973.5840486666689</v>
      </c>
      <c r="L99" s="1">
        <f t="shared" si="5"/>
        <v>98</v>
      </c>
    </row>
    <row r="100" spans="1:12" x14ac:dyDescent="0.35">
      <c r="A100" s="1">
        <f t="shared" si="4"/>
        <v>99</v>
      </c>
      <c r="B100" s="1">
        <v>6386.1720264839241</v>
      </c>
      <c r="G100" s="1">
        <v>404.30530639696019</v>
      </c>
      <c r="K100" s="1">
        <v>6386.1720264839241</v>
      </c>
      <c r="L100" s="1">
        <f t="shared" si="5"/>
        <v>99</v>
      </c>
    </row>
  </sheetData>
  <mergeCells count="1">
    <mergeCell ref="D20:D21"/>
  </mergeCell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0F242-0ADC-4D41-9B71-5BE78F8584BB}">
  <dimension ref="A1:AJ104"/>
  <sheetViews>
    <sheetView zoomScale="80" zoomScaleNormal="80" workbookViewId="0">
      <selection activeCell="N5" sqref="N5"/>
    </sheetView>
  </sheetViews>
  <sheetFormatPr defaultRowHeight="14.5" x14ac:dyDescent="0.35"/>
  <cols>
    <col min="1" max="1" width="23.26953125" style="1" bestFit="1" customWidth="1"/>
    <col min="2" max="2" width="25.54296875" style="1" bestFit="1" customWidth="1"/>
    <col min="3" max="3" width="16.7265625" bestFit="1" customWidth="1"/>
    <col min="4" max="4" width="16.7265625" customWidth="1"/>
    <col min="5" max="5" width="16.1796875" bestFit="1" customWidth="1"/>
    <col min="6" max="6" width="20.54296875" customWidth="1"/>
    <col min="7" max="7" width="12" customWidth="1"/>
    <col min="8" max="9" width="12.26953125" customWidth="1"/>
    <col min="10" max="10" width="13" customWidth="1"/>
    <col min="11" max="11" width="8.7265625" customWidth="1"/>
    <col min="12" max="12" width="24.08984375" bestFit="1" customWidth="1"/>
    <col min="13" max="13" width="12.6328125" bestFit="1" customWidth="1"/>
    <col min="14" max="14" width="21.6328125" bestFit="1" customWidth="1"/>
    <col min="16" max="16" width="12.453125" customWidth="1"/>
    <col min="18" max="18" width="14.36328125" customWidth="1"/>
    <col min="19" max="19" width="10.36328125" customWidth="1"/>
    <col min="20" max="20" width="12.453125" customWidth="1"/>
    <col min="21" max="21" width="11.1796875" customWidth="1"/>
    <col min="23" max="23" width="14" customWidth="1"/>
    <col min="26" max="26" width="20.54296875" customWidth="1"/>
    <col min="27" max="27" width="19.81640625" customWidth="1"/>
    <col min="28" max="28" width="18.1796875" customWidth="1"/>
    <col min="29" max="29" width="16" customWidth="1"/>
    <col min="30" max="30" width="15.26953125" bestFit="1" customWidth="1"/>
    <col min="31" max="31" width="14.81640625" bestFit="1" customWidth="1"/>
  </cols>
  <sheetData>
    <row r="1" spans="1:31" ht="63" customHeight="1" x14ac:dyDescent="0.35">
      <c r="A1" s="57" t="s">
        <v>7</v>
      </c>
      <c r="B1" s="60" t="s">
        <v>8</v>
      </c>
      <c r="C1" s="60" t="s">
        <v>253</v>
      </c>
      <c r="D1" s="61" t="s">
        <v>281</v>
      </c>
      <c r="E1" s="60" t="s">
        <v>254</v>
      </c>
      <c r="F1" s="61" t="s">
        <v>255</v>
      </c>
      <c r="G1" s="61" t="s">
        <v>256</v>
      </c>
      <c r="H1" s="61" t="s">
        <v>257</v>
      </c>
      <c r="I1" s="61" t="s">
        <v>282</v>
      </c>
      <c r="J1" s="61" t="s">
        <v>275</v>
      </c>
      <c r="K1" s="69"/>
      <c r="L1" s="69"/>
      <c r="M1" s="69"/>
      <c r="N1" s="69"/>
      <c r="O1" s="69"/>
      <c r="P1" s="61" t="s">
        <v>276</v>
      </c>
      <c r="Q1" s="61" t="s">
        <v>277</v>
      </c>
      <c r="R1" s="61" t="s">
        <v>278</v>
      </c>
      <c r="S1" s="61" t="s">
        <v>279</v>
      </c>
      <c r="T1" s="61" t="s">
        <v>31</v>
      </c>
      <c r="U1" s="12" t="s">
        <v>283</v>
      </c>
      <c r="V1" s="1"/>
      <c r="W1" s="6" t="s">
        <v>33</v>
      </c>
      <c r="X1" s="6" t="s">
        <v>34</v>
      </c>
      <c r="Y1" s="6" t="s">
        <v>35</v>
      </c>
      <c r="Z1" s="6" t="s">
        <v>36</v>
      </c>
      <c r="AA1" s="6" t="s">
        <v>37</v>
      </c>
      <c r="AB1" s="6" t="s">
        <v>38</v>
      </c>
      <c r="AC1" s="12" t="s">
        <v>39</v>
      </c>
      <c r="AD1" s="12" t="s">
        <v>40</v>
      </c>
      <c r="AE1" s="12" t="s">
        <v>41</v>
      </c>
    </row>
    <row r="2" spans="1:31" x14ac:dyDescent="0.35">
      <c r="A2" s="1">
        <v>1</v>
      </c>
      <c r="B2" s="62">
        <v>1079.529030351737</v>
      </c>
      <c r="C2" s="62">
        <v>2</v>
      </c>
      <c r="D2" s="62">
        <v>3494.71</v>
      </c>
      <c r="E2" s="62">
        <v>5</v>
      </c>
      <c r="F2" s="62">
        <v>1.2</v>
      </c>
      <c r="G2" s="62">
        <f>M22</f>
        <v>800</v>
      </c>
      <c r="H2" s="62">
        <f>$M$28*C2</f>
        <v>71.2</v>
      </c>
      <c r="I2" s="56">
        <f>H2/D2</f>
        <v>2.0373650460267088E-2</v>
      </c>
      <c r="J2" s="56">
        <f t="shared" ref="J2:J46" si="0">H2*25</f>
        <v>1780</v>
      </c>
      <c r="K2" s="56"/>
      <c r="L2" s="56"/>
      <c r="M2" s="56"/>
      <c r="N2" s="56"/>
      <c r="O2" s="56"/>
      <c r="P2" s="1">
        <v>273.161</v>
      </c>
      <c r="Q2" s="1">
        <f>P2-G2</f>
        <v>-526.83899999999994</v>
      </c>
      <c r="R2" s="1">
        <f>P2*$M$37</f>
        <v>6829.0249999999996</v>
      </c>
      <c r="S2" s="1">
        <f>R2-G2</f>
        <v>6029.0249999999996</v>
      </c>
      <c r="T2" s="1">
        <f>(G2/($M$37*B2))+I2</f>
        <v>5.0016206704978375E-2</v>
      </c>
      <c r="U2" s="1">
        <f>(G2/($M$40*B2))+I2</f>
        <v>7.5531978754848628E-2</v>
      </c>
      <c r="V2" s="1"/>
      <c r="W2" s="1" t="s">
        <v>284</v>
      </c>
      <c r="X2" s="1">
        <v>0</v>
      </c>
      <c r="Y2">
        <f>-W5</f>
        <v>-149440</v>
      </c>
      <c r="Z2">
        <f>Y2</f>
        <v>-149440</v>
      </c>
      <c r="AB2">
        <f>Y2</f>
        <v>-149440</v>
      </c>
      <c r="AC2">
        <f>Y2</f>
        <v>-149440</v>
      </c>
      <c r="AE2">
        <f>Y2</f>
        <v>-149440</v>
      </c>
    </row>
    <row r="3" spans="1:31" x14ac:dyDescent="0.35">
      <c r="A3" s="1">
        <v>2</v>
      </c>
      <c r="B3" s="62">
        <v>3886.3217817133332</v>
      </c>
      <c r="C3" s="62">
        <v>4</v>
      </c>
      <c r="D3" s="62">
        <v>6989.42</v>
      </c>
      <c r="E3" s="62">
        <v>10</v>
      </c>
      <c r="F3" s="62">
        <v>3.3</v>
      </c>
      <c r="G3" s="62">
        <f>M24</f>
        <v>1800</v>
      </c>
      <c r="H3" s="62">
        <f>$M$28*C3</f>
        <v>142.4</v>
      </c>
      <c r="I3" s="56">
        <f t="shared" ref="I3:I46" si="1">H3/D3</f>
        <v>2.0373650460267088E-2</v>
      </c>
      <c r="J3" s="56">
        <f t="shared" si="0"/>
        <v>3560</v>
      </c>
      <c r="K3" s="56"/>
      <c r="L3" s="56" t="s">
        <v>267</v>
      </c>
      <c r="M3" s="56"/>
      <c r="N3" s="56"/>
      <c r="O3" s="56"/>
      <c r="P3" s="1">
        <v>434.72800000000001</v>
      </c>
      <c r="Q3" s="1">
        <f t="shared" ref="Q3:Q66" si="2">P3-G3</f>
        <v>-1365.2719999999999</v>
      </c>
      <c r="R3" s="1">
        <f t="shared" ref="R3:R66" si="3">P3*$M$37</f>
        <v>10868.2</v>
      </c>
      <c r="S3" s="1">
        <f t="shared" ref="S3:S66" si="4">R3-G3</f>
        <v>9068.2000000000007</v>
      </c>
      <c r="T3" s="1">
        <f t="shared" ref="T3:T66" si="5">(G3/($M$37*B3))+I3</f>
        <v>3.890016577322656E-2</v>
      </c>
      <c r="U3" s="1">
        <f t="shared" ref="U3:U66" si="6">(G3/($M$40*B3))+I3</f>
        <v>5.4847452427637305E-2</v>
      </c>
      <c r="V3" s="1"/>
      <c r="W3" s="1"/>
      <c r="X3" s="1">
        <v>1</v>
      </c>
      <c r="Y3">
        <f>W8</f>
        <v>18220.519700000001</v>
      </c>
      <c r="Z3">
        <f>Z2+Y3</f>
        <v>-131219.4803</v>
      </c>
      <c r="AA3">
        <f>Y3/(1+$M$13)^X3</f>
        <v>17172.968614514612</v>
      </c>
      <c r="AB3">
        <f>AB2+AA3</f>
        <v>-132267.03138548537</v>
      </c>
      <c r="AC3">
        <f>$W$8*((1+$M$34)^X3)</f>
        <v>18676.032692500001</v>
      </c>
      <c r="AD3">
        <f>AC3/(1+$M$13)^X3</f>
        <v>17602.292829877475</v>
      </c>
      <c r="AE3">
        <f>AE2+AD3</f>
        <v>-131837.70717012254</v>
      </c>
    </row>
    <row r="4" spans="1:31" ht="29" x14ac:dyDescent="0.35">
      <c r="A4" s="1">
        <v>3</v>
      </c>
      <c r="B4" s="1">
        <v>3457.332910813851</v>
      </c>
      <c r="C4" s="1">
        <v>2</v>
      </c>
      <c r="D4" s="1">
        <v>3494.71</v>
      </c>
      <c r="E4" s="1">
        <v>5</v>
      </c>
      <c r="F4" s="1">
        <v>0</v>
      </c>
      <c r="G4" s="1">
        <f>$M$11*C4*1000</f>
        <v>4000</v>
      </c>
      <c r="H4" s="1">
        <f>$M$12*C4</f>
        <v>53</v>
      </c>
      <c r="I4" s="56">
        <f t="shared" si="1"/>
        <v>1.5165779134749377E-2</v>
      </c>
      <c r="J4" s="4">
        <f t="shared" si="0"/>
        <v>1325</v>
      </c>
      <c r="K4" s="4"/>
      <c r="L4" s="4"/>
      <c r="M4" s="4"/>
      <c r="N4" s="4"/>
      <c r="O4" s="4"/>
      <c r="P4" s="1">
        <v>78.388900000000007</v>
      </c>
      <c r="Q4" s="1">
        <f t="shared" si="2"/>
        <v>-3921.6111000000001</v>
      </c>
      <c r="R4" s="1">
        <f t="shared" si="3"/>
        <v>1959.7225000000001</v>
      </c>
      <c r="S4" s="1">
        <f t="shared" si="4"/>
        <v>-2040.2774999999999</v>
      </c>
      <c r="T4" s="1">
        <f t="shared" si="5"/>
        <v>6.144422674954278E-2</v>
      </c>
      <c r="U4" s="1">
        <f t="shared" si="6"/>
        <v>0.10127987082870715</v>
      </c>
      <c r="V4" s="1"/>
      <c r="W4" s="73" t="s">
        <v>285</v>
      </c>
      <c r="X4" s="1">
        <f>X3+1</f>
        <v>2</v>
      </c>
      <c r="Y4">
        <f>Y3</f>
        <v>18220.519700000001</v>
      </c>
      <c r="Z4">
        <f>Z3+Y4</f>
        <v>-112998.96059999999</v>
      </c>
      <c r="AA4">
        <f t="shared" ref="AA4:AA27" si="7">Y4/(1+$M$13)^X4</f>
        <v>16185.644311512357</v>
      </c>
      <c r="AB4">
        <f t="shared" ref="AB4:AB27" si="8">AB3+AA4</f>
        <v>-116081.38707397302</v>
      </c>
      <c r="AC4">
        <f t="shared" ref="AC4:AC27" si="9">$W$8*((1+$M$34)^X4)</f>
        <v>19142.933509812498</v>
      </c>
      <c r="AD4">
        <f t="shared" ref="AD4:AD27" si="10">AC4/(1+$M$13)^X4</f>
        <v>17005.042554782667</v>
      </c>
      <c r="AE4">
        <f t="shared" ref="AE4:AE27" si="11">AE3+AD4</f>
        <v>-114832.66461533986</v>
      </c>
    </row>
    <row r="5" spans="1:31" x14ac:dyDescent="0.35">
      <c r="A5" s="1">
        <v>4</v>
      </c>
      <c r="B5" s="62">
        <v>1453.8912212817379</v>
      </c>
      <c r="C5" s="62">
        <v>2</v>
      </c>
      <c r="D5" s="62">
        <v>3494.71</v>
      </c>
      <c r="E5" s="62">
        <v>5</v>
      </c>
      <c r="F5" s="62">
        <v>1.2</v>
      </c>
      <c r="G5" s="62">
        <f>M23</f>
        <v>1300</v>
      </c>
      <c r="H5" s="62">
        <f>$M$28*C5</f>
        <v>71.2</v>
      </c>
      <c r="I5" s="56">
        <f t="shared" si="1"/>
        <v>2.0373650460267088E-2</v>
      </c>
      <c r="J5" s="56">
        <f t="shared" si="0"/>
        <v>1780</v>
      </c>
      <c r="K5" s="56"/>
      <c r="L5" s="56"/>
      <c r="M5" s="56"/>
      <c r="N5" s="56"/>
      <c r="O5" s="56"/>
      <c r="P5" s="1">
        <v>253.096</v>
      </c>
      <c r="Q5" s="1">
        <f t="shared" si="2"/>
        <v>-1046.904</v>
      </c>
      <c r="R5" s="1">
        <f t="shared" si="3"/>
        <v>6327.4</v>
      </c>
      <c r="S5" s="1">
        <f t="shared" si="4"/>
        <v>5027.3999999999996</v>
      </c>
      <c r="T5" s="1">
        <f t="shared" si="5"/>
        <v>5.6139737522927287E-2</v>
      </c>
      <c r="U5" s="1">
        <f t="shared" si="6"/>
        <v>8.6926533272685652E-2</v>
      </c>
      <c r="V5" s="1"/>
      <c r="W5" s="1">
        <f>SUM(G2:G46)</f>
        <v>149440</v>
      </c>
      <c r="X5" s="1">
        <f t="shared" ref="X5:X27" si="12">X4+1</f>
        <v>3</v>
      </c>
      <c r="Y5">
        <f t="shared" ref="Y5:Y27" si="13">Y4</f>
        <v>18220.519700000001</v>
      </c>
      <c r="Z5">
        <f t="shared" ref="Z5:Z27" si="14">Z4+Y5</f>
        <v>-94778.440899999987</v>
      </c>
      <c r="AA5">
        <f t="shared" si="7"/>
        <v>15255.084176731723</v>
      </c>
      <c r="AB5">
        <f t="shared" si="8"/>
        <v>-100826.3028972413</v>
      </c>
      <c r="AC5">
        <f t="shared" si="9"/>
        <v>19621.506847557812</v>
      </c>
      <c r="AD5">
        <f t="shared" si="10"/>
        <v>16428.057133508235</v>
      </c>
      <c r="AE5">
        <f t="shared" si="11"/>
        <v>-98404.607481831627</v>
      </c>
    </row>
    <row r="6" spans="1:31" x14ac:dyDescent="0.35">
      <c r="A6" s="1">
        <v>5</v>
      </c>
      <c r="B6" s="1">
        <v>3955.020115733626</v>
      </c>
      <c r="C6" s="1">
        <v>4</v>
      </c>
      <c r="D6" s="1">
        <v>6989.42</v>
      </c>
      <c r="E6" s="1">
        <v>10</v>
      </c>
      <c r="F6" s="1">
        <v>0</v>
      </c>
      <c r="G6" s="1">
        <f>$M$11*C6*1000</f>
        <v>8000</v>
      </c>
      <c r="H6" s="1">
        <f>$M$12*C6</f>
        <v>106</v>
      </c>
      <c r="I6" s="56">
        <f t="shared" si="1"/>
        <v>1.5165779134749377E-2</v>
      </c>
      <c r="J6" s="4">
        <f t="shared" si="0"/>
        <v>2650</v>
      </c>
      <c r="K6" s="4"/>
      <c r="L6" s="4"/>
      <c r="M6" s="4"/>
      <c r="N6" s="4"/>
      <c r="O6" s="4"/>
      <c r="P6" s="1">
        <v>379.79399999999998</v>
      </c>
      <c r="Q6" s="1">
        <f t="shared" si="2"/>
        <v>-7620.2060000000001</v>
      </c>
      <c r="R6" s="1">
        <f t="shared" si="3"/>
        <v>9494.85</v>
      </c>
      <c r="S6" s="1">
        <f t="shared" si="4"/>
        <v>1494.8500000000004</v>
      </c>
      <c r="T6" s="1">
        <f t="shared" si="5"/>
        <v>9.6075607817287564E-2</v>
      </c>
      <c r="U6" s="1">
        <f t="shared" si="6"/>
        <v>0.16572131341077981</v>
      </c>
      <c r="V6" s="1"/>
      <c r="W6" s="1"/>
      <c r="X6" s="1">
        <f t="shared" si="12"/>
        <v>4</v>
      </c>
      <c r="Y6">
        <f t="shared" si="13"/>
        <v>18220.519700000001</v>
      </c>
      <c r="Z6">
        <f t="shared" si="14"/>
        <v>-76557.921199999982</v>
      </c>
      <c r="AA6">
        <f t="shared" si="7"/>
        <v>14378.024671754687</v>
      </c>
      <c r="AB6">
        <f t="shared" si="8"/>
        <v>-86448.278225486618</v>
      </c>
      <c r="AC6">
        <f t="shared" si="9"/>
        <v>20112.044518746756</v>
      </c>
      <c r="AD6">
        <f t="shared" si="10"/>
        <v>15870.648974407106</v>
      </c>
      <c r="AE6">
        <f t="shared" si="11"/>
        <v>-82533.958507424526</v>
      </c>
    </row>
    <row r="7" spans="1:31" ht="29" x14ac:dyDescent="0.35">
      <c r="A7" s="1">
        <v>6</v>
      </c>
      <c r="B7" s="62">
        <v>2105.0165005377999</v>
      </c>
      <c r="C7" s="62">
        <v>2</v>
      </c>
      <c r="D7" s="62">
        <v>3494.71</v>
      </c>
      <c r="E7" s="62">
        <v>5</v>
      </c>
      <c r="F7" s="62">
        <v>4.2</v>
      </c>
      <c r="G7" s="62">
        <f>M23</f>
        <v>1300</v>
      </c>
      <c r="H7" s="62">
        <f>$M$28*C7</f>
        <v>71.2</v>
      </c>
      <c r="I7" s="56">
        <f t="shared" si="1"/>
        <v>2.0373650460267088E-2</v>
      </c>
      <c r="J7" s="56">
        <f t="shared" si="0"/>
        <v>1780</v>
      </c>
      <c r="K7" s="56"/>
      <c r="L7" s="56"/>
      <c r="M7" s="56"/>
      <c r="N7" s="56"/>
      <c r="O7" s="56"/>
      <c r="P7" s="1">
        <v>264.803</v>
      </c>
      <c r="Q7" s="1">
        <f t="shared" si="2"/>
        <v>-1035.1970000000001</v>
      </c>
      <c r="R7" s="1">
        <f t="shared" si="3"/>
        <v>6620.0749999999998</v>
      </c>
      <c r="S7" s="1">
        <f t="shared" si="4"/>
        <v>5320.0749999999998</v>
      </c>
      <c r="T7" s="1">
        <f t="shared" si="5"/>
        <v>4.5076544706803778E-2</v>
      </c>
      <c r="U7" s="1">
        <f t="shared" si="6"/>
        <v>6.6340345755646832E-2</v>
      </c>
      <c r="V7" s="1"/>
      <c r="W7" s="73" t="s">
        <v>286</v>
      </c>
      <c r="X7" s="1">
        <f t="shared" si="12"/>
        <v>5</v>
      </c>
      <c r="Y7">
        <f t="shared" si="13"/>
        <v>18220.519700000001</v>
      </c>
      <c r="Z7">
        <f t="shared" si="14"/>
        <v>-58337.401499999978</v>
      </c>
      <c r="AA7">
        <f t="shared" si="7"/>
        <v>13551.389888552956</v>
      </c>
      <c r="AB7">
        <f t="shared" si="8"/>
        <v>-72896.888336933655</v>
      </c>
      <c r="AC7">
        <f t="shared" si="9"/>
        <v>20614.84563171542</v>
      </c>
      <c r="AD7">
        <f t="shared" si="10"/>
        <v>15332.15381599178</v>
      </c>
      <c r="AE7">
        <f t="shared" si="11"/>
        <v>-67201.804691432742</v>
      </c>
    </row>
    <row r="8" spans="1:31" ht="15" thickBot="1" x14ac:dyDescent="0.4">
      <c r="A8" s="1">
        <v>7</v>
      </c>
      <c r="B8" s="1">
        <v>1617.7934488334181</v>
      </c>
      <c r="C8" s="1">
        <v>2</v>
      </c>
      <c r="D8" s="1">
        <v>3494.71</v>
      </c>
      <c r="E8" s="1">
        <v>5</v>
      </c>
      <c r="F8" s="1">
        <v>0</v>
      </c>
      <c r="G8" s="1">
        <f>$M$11*C8*1000</f>
        <v>4000</v>
      </c>
      <c r="H8" s="1">
        <f>$M$12*C8</f>
        <v>53</v>
      </c>
      <c r="I8" s="56">
        <f t="shared" si="1"/>
        <v>1.5165779134749377E-2</v>
      </c>
      <c r="J8" s="4">
        <f t="shared" si="0"/>
        <v>1325</v>
      </c>
      <c r="K8" s="4"/>
      <c r="L8" s="4"/>
      <c r="M8" s="4"/>
      <c r="N8" s="4"/>
      <c r="O8" s="4"/>
      <c r="P8" s="1">
        <v>199.303</v>
      </c>
      <c r="Q8" s="1">
        <f t="shared" si="2"/>
        <v>-3800.6970000000001</v>
      </c>
      <c r="R8" s="1">
        <f t="shared" si="3"/>
        <v>4982.5749999999998</v>
      </c>
      <c r="S8" s="1">
        <f t="shared" si="4"/>
        <v>982.57499999999982</v>
      </c>
      <c r="T8" s="1">
        <f t="shared" si="5"/>
        <v>0.11406592001205057</v>
      </c>
      <c r="U8" s="1">
        <f t="shared" si="6"/>
        <v>0.19919735839046326</v>
      </c>
      <c r="V8" s="1"/>
      <c r="W8" s="1">
        <f>SUM(P2:P46)</f>
        <v>18220.519700000001</v>
      </c>
      <c r="X8" s="1">
        <f t="shared" si="12"/>
        <v>6</v>
      </c>
      <c r="Y8">
        <f t="shared" si="13"/>
        <v>18220.519700000001</v>
      </c>
      <c r="Z8">
        <f t="shared" si="14"/>
        <v>-40116.881799999974</v>
      </c>
      <c r="AA8">
        <f t="shared" si="7"/>
        <v>12772.280762066875</v>
      </c>
      <c r="AB8">
        <f t="shared" si="8"/>
        <v>-60124.607574866779</v>
      </c>
      <c r="AC8">
        <f t="shared" si="9"/>
        <v>21130.216772508305</v>
      </c>
      <c r="AD8">
        <f t="shared" si="10"/>
        <v>14811.929935336073</v>
      </c>
      <c r="AE8">
        <f t="shared" si="11"/>
        <v>-52389.874756096673</v>
      </c>
    </row>
    <row r="9" spans="1:31" x14ac:dyDescent="0.35">
      <c r="A9" s="1">
        <v>8</v>
      </c>
      <c r="B9" s="62">
        <v>10161.74794678937</v>
      </c>
      <c r="C9" s="62">
        <v>10</v>
      </c>
      <c r="D9" s="62">
        <v>17473.5</v>
      </c>
      <c r="E9" s="62">
        <v>25</v>
      </c>
      <c r="F9" s="62">
        <v>9.6999999999999993</v>
      </c>
      <c r="G9" s="62">
        <f>M27</f>
        <v>3460</v>
      </c>
      <c r="H9" s="62">
        <f>$M$28*C9</f>
        <v>356</v>
      </c>
      <c r="I9" s="56">
        <f t="shared" si="1"/>
        <v>2.0373708758977881E-2</v>
      </c>
      <c r="J9" s="56">
        <f t="shared" si="0"/>
        <v>8900</v>
      </c>
      <c r="K9" s="56"/>
      <c r="L9" s="108" t="s">
        <v>258</v>
      </c>
      <c r="M9" s="109"/>
      <c r="N9" s="64"/>
      <c r="O9" s="56"/>
      <c r="P9" s="1">
        <v>1025.3900000000001</v>
      </c>
      <c r="Q9" s="1">
        <f t="shared" si="2"/>
        <v>-2434.6099999999997</v>
      </c>
      <c r="R9" s="1">
        <f t="shared" si="3"/>
        <v>25634.750000000004</v>
      </c>
      <c r="S9" s="1">
        <f t="shared" si="4"/>
        <v>22174.750000000004</v>
      </c>
      <c r="T9" s="1">
        <f t="shared" si="5"/>
        <v>3.3993412841849549E-2</v>
      </c>
      <c r="U9" s="1">
        <f t="shared" si="6"/>
        <v>4.5717005837552935E-2</v>
      </c>
      <c r="V9" s="1"/>
      <c r="W9" s="1"/>
      <c r="X9" s="1">
        <f t="shared" si="12"/>
        <v>7</v>
      </c>
      <c r="Y9">
        <f t="shared" si="13"/>
        <v>18220.519700000001</v>
      </c>
      <c r="Z9">
        <f t="shared" si="14"/>
        <v>-21896.362099999973</v>
      </c>
      <c r="AA9">
        <f t="shared" si="7"/>
        <v>12037.964902984806</v>
      </c>
      <c r="AB9">
        <f t="shared" si="8"/>
        <v>-48086.642671881971</v>
      </c>
      <c r="AC9">
        <f t="shared" si="9"/>
        <v>21658.472191821013</v>
      </c>
      <c r="AD9">
        <f t="shared" si="10"/>
        <v>14309.357383335984</v>
      </c>
      <c r="AE9">
        <f t="shared" si="11"/>
        <v>-38080.517372760689</v>
      </c>
    </row>
    <row r="10" spans="1:31" x14ac:dyDescent="0.35">
      <c r="A10" s="1">
        <v>9</v>
      </c>
      <c r="B10" s="62">
        <v>5057.043251595851</v>
      </c>
      <c r="C10" s="62">
        <v>4</v>
      </c>
      <c r="D10" s="62">
        <v>6989.42</v>
      </c>
      <c r="E10" s="62">
        <v>10</v>
      </c>
      <c r="F10" s="62">
        <v>6</v>
      </c>
      <c r="G10" s="62">
        <f>M24</f>
        <v>1800</v>
      </c>
      <c r="H10" s="62">
        <f>$M$28*C10</f>
        <v>142.4</v>
      </c>
      <c r="I10" s="56">
        <f t="shared" si="1"/>
        <v>2.0373650460267088E-2</v>
      </c>
      <c r="J10" s="56">
        <f t="shared" si="0"/>
        <v>3560</v>
      </c>
      <c r="K10" s="56"/>
      <c r="L10" s="50" t="s">
        <v>245</v>
      </c>
      <c r="M10" s="2" t="s">
        <v>246</v>
      </c>
      <c r="N10" s="46"/>
      <c r="O10" s="56"/>
      <c r="P10" s="1">
        <v>508.49599999999998</v>
      </c>
      <c r="Q10" s="1">
        <f t="shared" si="2"/>
        <v>-1291.5039999999999</v>
      </c>
      <c r="R10" s="1">
        <f t="shared" si="3"/>
        <v>12712.4</v>
      </c>
      <c r="S10" s="1">
        <f t="shared" si="4"/>
        <v>10912.4</v>
      </c>
      <c r="T10" s="1">
        <f t="shared" si="5"/>
        <v>3.4611219019183202E-2</v>
      </c>
      <c r="U10" s="1">
        <f t="shared" si="6"/>
        <v>4.6866658492576083E-2</v>
      </c>
      <c r="V10" s="1"/>
      <c r="W10" s="1"/>
      <c r="X10" s="1">
        <f t="shared" si="12"/>
        <v>8</v>
      </c>
      <c r="Y10">
        <f t="shared" si="13"/>
        <v>18220.519700000001</v>
      </c>
      <c r="Z10">
        <f t="shared" si="14"/>
        <v>-3675.8423999999723</v>
      </c>
      <c r="AA10">
        <f t="shared" si="7"/>
        <v>11345.867015065793</v>
      </c>
      <c r="AB10">
        <f t="shared" si="8"/>
        <v>-36740.775656816179</v>
      </c>
      <c r="AC10">
        <f t="shared" si="9"/>
        <v>22199.933996616539</v>
      </c>
      <c r="AD10">
        <f t="shared" si="10"/>
        <v>13823.837245918363</v>
      </c>
      <c r="AE10">
        <f t="shared" si="11"/>
        <v>-24256.680126842326</v>
      </c>
    </row>
    <row r="11" spans="1:31" x14ac:dyDescent="0.35">
      <c r="A11" s="1">
        <v>10</v>
      </c>
      <c r="B11" s="1">
        <v>507.10444675644749</v>
      </c>
      <c r="C11" s="1">
        <v>2</v>
      </c>
      <c r="D11" s="1">
        <v>3494.71</v>
      </c>
      <c r="E11" s="1">
        <v>5</v>
      </c>
      <c r="F11" s="1">
        <v>0</v>
      </c>
      <c r="G11" s="1">
        <f>$M$11*C11*1000</f>
        <v>4000</v>
      </c>
      <c r="H11" s="1">
        <f>$M$12*C11</f>
        <v>53</v>
      </c>
      <c r="I11" s="56">
        <f t="shared" si="1"/>
        <v>1.5165779134749377E-2</v>
      </c>
      <c r="J11" s="4">
        <f t="shared" si="0"/>
        <v>1325</v>
      </c>
      <c r="K11" s="4"/>
      <c r="L11" s="65" t="s">
        <v>247</v>
      </c>
      <c r="M11" s="1">
        <f>2.5*0.8</f>
        <v>2</v>
      </c>
      <c r="N11" s="46"/>
      <c r="O11" s="4"/>
      <c r="P11" s="1">
        <v>293.03699999999998</v>
      </c>
      <c r="Q11" s="1">
        <f t="shared" si="2"/>
        <v>-3706.9630000000002</v>
      </c>
      <c r="R11" s="1">
        <f t="shared" si="3"/>
        <v>7325.9249999999993</v>
      </c>
      <c r="S11" s="1">
        <f t="shared" si="4"/>
        <v>3325.9249999999993</v>
      </c>
      <c r="T11" s="1">
        <f t="shared" si="5"/>
        <v>0.33068263374605378</v>
      </c>
      <c r="U11" s="1">
        <f t="shared" si="6"/>
        <v>0.60227379051717278</v>
      </c>
      <c r="V11" s="1"/>
      <c r="W11" s="1"/>
      <c r="X11" s="1">
        <f t="shared" si="12"/>
        <v>9</v>
      </c>
      <c r="Y11">
        <f t="shared" si="13"/>
        <v>18220.519700000001</v>
      </c>
      <c r="Z11">
        <f t="shared" si="14"/>
        <v>14544.677300000028</v>
      </c>
      <c r="AA11">
        <f t="shared" si="7"/>
        <v>10693.559863398485</v>
      </c>
      <c r="AB11">
        <f t="shared" si="8"/>
        <v>-26047.215793417694</v>
      </c>
      <c r="AC11">
        <f t="shared" si="9"/>
        <v>22754.932346531947</v>
      </c>
      <c r="AD11">
        <f t="shared" si="10"/>
        <v>13354.790930316984</v>
      </c>
      <c r="AE11">
        <f t="shared" si="11"/>
        <v>-10901.889196525342</v>
      </c>
    </row>
    <row r="12" spans="1:31" x14ac:dyDescent="0.35">
      <c r="A12" s="1">
        <v>11</v>
      </c>
      <c r="B12" s="1">
        <v>480.82648360578531</v>
      </c>
      <c r="C12" s="1">
        <v>2</v>
      </c>
      <c r="D12" s="1">
        <v>3494.71</v>
      </c>
      <c r="E12" s="1">
        <v>5</v>
      </c>
      <c r="F12" s="1">
        <v>0</v>
      </c>
      <c r="G12" s="1">
        <f>$M$11*C12*1000</f>
        <v>4000</v>
      </c>
      <c r="H12" s="1">
        <f>$M$12*C12</f>
        <v>53</v>
      </c>
      <c r="I12" s="56">
        <f t="shared" si="1"/>
        <v>1.5165779134749377E-2</v>
      </c>
      <c r="J12" s="4">
        <f t="shared" si="0"/>
        <v>1325</v>
      </c>
      <c r="K12" s="4"/>
      <c r="L12" s="65" t="s">
        <v>248</v>
      </c>
      <c r="M12" s="1">
        <v>26.5</v>
      </c>
      <c r="N12" s="46"/>
      <c r="O12" s="4"/>
      <c r="P12" s="1">
        <v>292.19799999999998</v>
      </c>
      <c r="Q12" s="1">
        <f t="shared" si="2"/>
        <v>-3707.8020000000001</v>
      </c>
      <c r="R12" s="1">
        <f t="shared" si="3"/>
        <v>7304.95</v>
      </c>
      <c r="S12" s="1">
        <f t="shared" si="4"/>
        <v>3304.95</v>
      </c>
      <c r="T12" s="1">
        <f t="shared" si="5"/>
        <v>0.34792615206624333</v>
      </c>
      <c r="U12" s="1">
        <f t="shared" si="6"/>
        <v>0.63436021506864326</v>
      </c>
      <c r="V12" s="1"/>
      <c r="W12" s="1"/>
      <c r="X12" s="1">
        <f t="shared" si="12"/>
        <v>10</v>
      </c>
      <c r="Y12">
        <f t="shared" si="13"/>
        <v>18220.519700000001</v>
      </c>
      <c r="Z12">
        <f t="shared" si="14"/>
        <v>32765.197000000029</v>
      </c>
      <c r="AA12">
        <f t="shared" si="7"/>
        <v>10078.755761921286</v>
      </c>
      <c r="AB12">
        <f t="shared" si="8"/>
        <v>-15968.460031496408</v>
      </c>
      <c r="AC12">
        <f t="shared" si="9"/>
        <v>23323.805655195247</v>
      </c>
      <c r="AD12">
        <f t="shared" si="10"/>
        <v>12901.659475565417</v>
      </c>
      <c r="AE12">
        <f t="shared" si="11"/>
        <v>1999.7702790400745</v>
      </c>
    </row>
    <row r="13" spans="1:31" x14ac:dyDescent="0.35">
      <c r="A13" s="1">
        <v>12</v>
      </c>
      <c r="B13" s="1">
        <v>569.06841271947087</v>
      </c>
      <c r="C13" s="1">
        <v>2</v>
      </c>
      <c r="D13" s="1">
        <v>3497.79</v>
      </c>
      <c r="E13" s="1">
        <v>5</v>
      </c>
      <c r="F13" s="1">
        <v>0</v>
      </c>
      <c r="G13" s="1">
        <f>$M$11*C13*1000</f>
        <v>4000</v>
      </c>
      <c r="H13" s="1">
        <f>$M$12*C13</f>
        <v>53</v>
      </c>
      <c r="I13" s="56">
        <f t="shared" si="1"/>
        <v>1.5152424816812901E-2</v>
      </c>
      <c r="J13" s="4">
        <f t="shared" si="0"/>
        <v>1325</v>
      </c>
      <c r="K13" s="4"/>
      <c r="L13" s="65" t="s">
        <v>250</v>
      </c>
      <c r="M13" s="1">
        <v>6.0999999999999999E-2</v>
      </c>
      <c r="N13" s="46"/>
      <c r="O13" s="4"/>
      <c r="P13" s="1">
        <v>288.43700000000001</v>
      </c>
      <c r="Q13" s="1">
        <f t="shared" si="2"/>
        <v>-3711.5630000000001</v>
      </c>
      <c r="R13" s="1">
        <f t="shared" si="3"/>
        <v>7210.9250000000002</v>
      </c>
      <c r="S13" s="1">
        <f t="shared" si="4"/>
        <v>3210.9250000000002</v>
      </c>
      <c r="T13" s="1">
        <f t="shared" si="5"/>
        <v>0.2963136989690543</v>
      </c>
      <c r="U13" s="1">
        <f t="shared" si="6"/>
        <v>0.53833219836212309</v>
      </c>
      <c r="V13" s="1"/>
      <c r="W13" s="1"/>
      <c r="X13" s="1">
        <f t="shared" si="12"/>
        <v>11</v>
      </c>
      <c r="Y13">
        <f t="shared" si="13"/>
        <v>18220.519700000001</v>
      </c>
      <c r="Z13">
        <f t="shared" si="14"/>
        <v>50985.716700000034</v>
      </c>
      <c r="AA13">
        <f t="shared" si="7"/>
        <v>9499.2985503499422</v>
      </c>
      <c r="AB13">
        <f t="shared" si="8"/>
        <v>-6469.161481146466</v>
      </c>
      <c r="AC13">
        <f t="shared" si="9"/>
        <v>23906.900796575126</v>
      </c>
      <c r="AD13">
        <f t="shared" si="10"/>
        <v>12463.902886385065</v>
      </c>
      <c r="AE13">
        <f t="shared" si="11"/>
        <v>14463.67316542514</v>
      </c>
    </row>
    <row r="14" spans="1:31" x14ac:dyDescent="0.35">
      <c r="A14" s="1">
        <v>13</v>
      </c>
      <c r="B14" s="62">
        <v>4563.0069277860366</v>
      </c>
      <c r="C14" s="62">
        <v>6</v>
      </c>
      <c r="D14" s="62">
        <v>10493.4</v>
      </c>
      <c r="E14" s="62">
        <v>15</v>
      </c>
      <c r="F14" s="62">
        <v>5</v>
      </c>
      <c r="G14" s="62">
        <f>M25</f>
        <v>2200</v>
      </c>
      <c r="H14" s="62">
        <f>$M$28*C14</f>
        <v>213.60000000000002</v>
      </c>
      <c r="I14" s="56">
        <f t="shared" si="1"/>
        <v>2.0355652124192353E-2</v>
      </c>
      <c r="J14" s="56">
        <f t="shared" si="0"/>
        <v>5340.0000000000009</v>
      </c>
      <c r="K14" s="56"/>
      <c r="L14" s="65" t="s">
        <v>251</v>
      </c>
      <c r="M14" s="1" t="s">
        <v>252</v>
      </c>
      <c r="N14" s="46"/>
      <c r="O14" s="56"/>
      <c r="P14" s="1">
        <v>766.77200000000005</v>
      </c>
      <c r="Q14" s="1">
        <f t="shared" si="2"/>
        <v>-1433.2280000000001</v>
      </c>
      <c r="R14" s="1">
        <f t="shared" si="3"/>
        <v>19169.300000000003</v>
      </c>
      <c r="S14" s="1">
        <f t="shared" si="4"/>
        <v>16969.300000000003</v>
      </c>
      <c r="T14" s="1">
        <f t="shared" si="5"/>
        <v>3.9641180590987264E-2</v>
      </c>
      <c r="U14" s="1">
        <f t="shared" si="6"/>
        <v>5.6241811931876377E-2</v>
      </c>
      <c r="V14" s="1"/>
      <c r="W14" s="1"/>
      <c r="X14" s="1">
        <f t="shared" si="12"/>
        <v>12</v>
      </c>
      <c r="Y14">
        <f t="shared" si="13"/>
        <v>18220.519700000001</v>
      </c>
      <c r="Z14">
        <f t="shared" si="14"/>
        <v>69206.236400000038</v>
      </c>
      <c r="AA14">
        <f t="shared" si="7"/>
        <v>8953.1560323750637</v>
      </c>
      <c r="AB14">
        <f t="shared" si="8"/>
        <v>2483.9945512285976</v>
      </c>
      <c r="AC14">
        <f t="shared" si="9"/>
        <v>24504.573316489503</v>
      </c>
      <c r="AD14">
        <f t="shared" si="10"/>
        <v>12040.999489674545</v>
      </c>
      <c r="AE14">
        <f t="shared" si="11"/>
        <v>26504.672655099683</v>
      </c>
    </row>
    <row r="15" spans="1:31" x14ac:dyDescent="0.35">
      <c r="A15" s="1">
        <v>14</v>
      </c>
      <c r="B15" s="62">
        <v>2172.7675547581462</v>
      </c>
      <c r="C15" s="62">
        <v>2</v>
      </c>
      <c r="D15" s="62">
        <v>3497.79</v>
      </c>
      <c r="E15" s="62">
        <v>5</v>
      </c>
      <c r="F15" s="62">
        <v>2</v>
      </c>
      <c r="G15" s="62">
        <f>M22</f>
        <v>800</v>
      </c>
      <c r="H15" s="62">
        <f>$M$28*C15</f>
        <v>71.2</v>
      </c>
      <c r="I15" s="56">
        <f t="shared" si="1"/>
        <v>2.0355710319944882E-2</v>
      </c>
      <c r="J15" s="56">
        <f t="shared" si="0"/>
        <v>1780</v>
      </c>
      <c r="K15" s="56"/>
      <c r="L15" s="65" t="s">
        <v>262</v>
      </c>
      <c r="M15" s="1">
        <v>7.0000000000000007E-2</v>
      </c>
      <c r="N15" s="46"/>
      <c r="O15" s="56"/>
      <c r="P15" s="1">
        <v>247.65100000000001</v>
      </c>
      <c r="Q15" s="1">
        <f t="shared" si="2"/>
        <v>-552.34899999999993</v>
      </c>
      <c r="R15" s="1">
        <f t="shared" si="3"/>
        <v>6191.2750000000005</v>
      </c>
      <c r="S15" s="1">
        <f t="shared" si="4"/>
        <v>5391.2750000000005</v>
      </c>
      <c r="T15" s="1">
        <f t="shared" si="5"/>
        <v>3.5083470742325623E-2</v>
      </c>
      <c r="U15" s="1">
        <f t="shared" si="6"/>
        <v>4.776085843589252E-2</v>
      </c>
      <c r="V15" s="1"/>
      <c r="W15" s="1"/>
      <c r="X15" s="1">
        <f t="shared" si="12"/>
        <v>13</v>
      </c>
      <c r="Y15">
        <f t="shared" si="13"/>
        <v>18220.519700000001</v>
      </c>
      <c r="Z15">
        <f t="shared" si="14"/>
        <v>87426.756100000042</v>
      </c>
      <c r="AA15">
        <f t="shared" si="7"/>
        <v>8438.4128486098598</v>
      </c>
      <c r="AB15">
        <f t="shared" si="8"/>
        <v>10922.407399838457</v>
      </c>
      <c r="AC15">
        <f t="shared" si="9"/>
        <v>25117.187649401738</v>
      </c>
      <c r="AD15">
        <f t="shared" si="10"/>
        <v>11632.445312833559</v>
      </c>
      <c r="AE15">
        <f t="shared" si="11"/>
        <v>38137.117967933242</v>
      </c>
    </row>
    <row r="16" spans="1:31" x14ac:dyDescent="0.35">
      <c r="A16" s="1">
        <v>15</v>
      </c>
      <c r="B16" s="62">
        <v>4548.2349752288228</v>
      </c>
      <c r="C16" s="62">
        <v>4</v>
      </c>
      <c r="D16" s="62">
        <v>6995.57</v>
      </c>
      <c r="E16" s="62">
        <v>10</v>
      </c>
      <c r="F16" s="62">
        <v>3.3</v>
      </c>
      <c r="G16" s="62">
        <f>M24</f>
        <v>1800</v>
      </c>
      <c r="H16" s="62">
        <f>$M$28*C16</f>
        <v>142.4</v>
      </c>
      <c r="I16" s="56">
        <f t="shared" si="1"/>
        <v>2.0355739417945929E-2</v>
      </c>
      <c r="J16" s="56">
        <f t="shared" si="0"/>
        <v>3560</v>
      </c>
      <c r="K16" s="56"/>
      <c r="L16" s="65" t="s">
        <v>263</v>
      </c>
      <c r="M16" s="1">
        <v>2.5000000000000001E-2</v>
      </c>
      <c r="N16" s="46"/>
      <c r="O16" s="56"/>
      <c r="P16" s="1">
        <v>513.93200000000002</v>
      </c>
      <c r="Q16" s="1">
        <f t="shared" si="2"/>
        <v>-1286.068</v>
      </c>
      <c r="R16" s="1">
        <f t="shared" si="3"/>
        <v>12848.300000000001</v>
      </c>
      <c r="S16" s="1">
        <f t="shared" si="4"/>
        <v>11048.300000000001</v>
      </c>
      <c r="T16" s="1">
        <f t="shared" si="5"/>
        <v>3.6186056099501651E-2</v>
      </c>
      <c r="U16" s="1">
        <f t="shared" si="6"/>
        <v>4.9812504122043577E-2</v>
      </c>
      <c r="V16" s="1"/>
      <c r="W16" s="1"/>
      <c r="X16" s="1">
        <f t="shared" si="12"/>
        <v>14</v>
      </c>
      <c r="Y16">
        <f t="shared" si="13"/>
        <v>18220.519700000001</v>
      </c>
      <c r="Z16">
        <f t="shared" si="14"/>
        <v>105647.27580000005</v>
      </c>
      <c r="AA16">
        <f t="shared" si="7"/>
        <v>7953.2637592929887</v>
      </c>
      <c r="AB16">
        <f t="shared" si="8"/>
        <v>18875.671159131445</v>
      </c>
      <c r="AC16">
        <f t="shared" si="9"/>
        <v>25745.117340636778</v>
      </c>
      <c r="AD16">
        <f t="shared" si="10"/>
        <v>11237.753483180393</v>
      </c>
      <c r="AE16">
        <f t="shared" si="11"/>
        <v>49374.871451113635</v>
      </c>
    </row>
    <row r="17" spans="1:36" x14ac:dyDescent="0.35">
      <c r="A17" s="1">
        <v>16</v>
      </c>
      <c r="B17" s="1">
        <v>5476.90270703035</v>
      </c>
      <c r="C17" s="1">
        <v>4</v>
      </c>
      <c r="D17" s="1">
        <v>6995.57</v>
      </c>
      <c r="E17" s="1">
        <v>10</v>
      </c>
      <c r="F17" s="1">
        <v>0</v>
      </c>
      <c r="G17" s="1">
        <f>$M$11*C17*1000</f>
        <v>8000</v>
      </c>
      <c r="H17" s="1">
        <f>$M$12*C17</f>
        <v>106</v>
      </c>
      <c r="I17" s="56">
        <f t="shared" si="1"/>
        <v>1.5152446476841773E-2</v>
      </c>
      <c r="J17" s="4">
        <f t="shared" si="0"/>
        <v>2650</v>
      </c>
      <c r="K17" s="4"/>
      <c r="L17" s="63"/>
      <c r="M17" s="4"/>
      <c r="N17" s="46"/>
      <c r="O17" s="4"/>
      <c r="P17" s="1">
        <v>271.02499999999998</v>
      </c>
      <c r="Q17" s="1">
        <f t="shared" si="2"/>
        <v>-7728.9750000000004</v>
      </c>
      <c r="R17" s="1">
        <f t="shared" si="3"/>
        <v>6775.6249999999991</v>
      </c>
      <c r="S17" s="1">
        <f t="shared" si="4"/>
        <v>-1224.3750000000009</v>
      </c>
      <c r="T17" s="1">
        <f t="shared" si="5"/>
        <v>7.3579630072642441E-2</v>
      </c>
      <c r="U17" s="1">
        <f t="shared" si="6"/>
        <v>0.12387268462026951</v>
      </c>
      <c r="V17" s="1"/>
      <c r="W17" s="1"/>
      <c r="X17" s="1">
        <f t="shared" si="12"/>
        <v>15</v>
      </c>
      <c r="Y17">
        <f t="shared" si="13"/>
        <v>18220.519700000001</v>
      </c>
      <c r="Z17">
        <f t="shared" si="14"/>
        <v>123867.79550000005</v>
      </c>
      <c r="AA17">
        <f t="shared" si="7"/>
        <v>7496.007313188491</v>
      </c>
      <c r="AB17">
        <f t="shared" si="8"/>
        <v>26371.678472319938</v>
      </c>
      <c r="AC17">
        <f t="shared" si="9"/>
        <v>26388.745274152705</v>
      </c>
      <c r="AD17">
        <f t="shared" si="10"/>
        <v>10856.453647747319</v>
      </c>
      <c r="AE17">
        <f t="shared" si="11"/>
        <v>60231.325098860951</v>
      </c>
    </row>
    <row r="18" spans="1:36" x14ac:dyDescent="0.35">
      <c r="A18" s="1">
        <v>17</v>
      </c>
      <c r="B18" s="62">
        <v>2180.0429312531028</v>
      </c>
      <c r="C18" s="62">
        <v>2</v>
      </c>
      <c r="D18" s="62">
        <v>3497.79</v>
      </c>
      <c r="E18" s="62">
        <v>5</v>
      </c>
      <c r="F18" s="62">
        <v>2</v>
      </c>
      <c r="G18" s="62">
        <f>M23</f>
        <v>1300</v>
      </c>
      <c r="H18" s="62">
        <f>$M$28*C18</f>
        <v>71.2</v>
      </c>
      <c r="I18" s="56">
        <f t="shared" si="1"/>
        <v>2.0355710319944882E-2</v>
      </c>
      <c r="J18" s="56">
        <f t="shared" si="0"/>
        <v>1780</v>
      </c>
      <c r="K18" s="56"/>
      <c r="L18" s="63"/>
      <c r="M18" s="4"/>
      <c r="N18" s="46" t="s">
        <v>6</v>
      </c>
      <c r="O18" s="56"/>
      <c r="P18" s="1">
        <v>231.06299999999999</v>
      </c>
      <c r="Q18" s="1">
        <f t="shared" si="2"/>
        <v>-1068.9369999999999</v>
      </c>
      <c r="R18" s="1">
        <f t="shared" si="3"/>
        <v>5776.5749999999998</v>
      </c>
      <c r="S18" s="1">
        <f t="shared" si="4"/>
        <v>4476.5749999999998</v>
      </c>
      <c r="T18" s="1">
        <f t="shared" si="5"/>
        <v>4.420845159147116E-2</v>
      </c>
      <c r="U18" s="1">
        <f t="shared" si="6"/>
        <v>6.4740456457191342E-2</v>
      </c>
      <c r="V18" s="1"/>
      <c r="W18" s="1"/>
      <c r="X18" s="1">
        <f t="shared" si="12"/>
        <v>16</v>
      </c>
      <c r="Y18">
        <f t="shared" si="13"/>
        <v>18220.519700000001</v>
      </c>
      <c r="Z18">
        <f t="shared" si="14"/>
        <v>142088.31520000004</v>
      </c>
      <c r="AA18">
        <f t="shared" si="7"/>
        <v>7065.0398804792567</v>
      </c>
      <c r="AB18">
        <f t="shared" si="8"/>
        <v>33436.718352799195</v>
      </c>
      <c r="AC18">
        <f t="shared" si="9"/>
        <v>27048.46390600652</v>
      </c>
      <c r="AD18">
        <f t="shared" si="10"/>
        <v>10488.091412762491</v>
      </c>
      <c r="AE18">
        <f t="shared" si="11"/>
        <v>70719.416511623436</v>
      </c>
    </row>
    <row r="19" spans="1:36" x14ac:dyDescent="0.35">
      <c r="A19" s="1">
        <v>18</v>
      </c>
      <c r="B19" s="62">
        <v>5524.0028847571884</v>
      </c>
      <c r="C19" s="62">
        <v>4</v>
      </c>
      <c r="D19" s="62">
        <v>6995.57</v>
      </c>
      <c r="E19" s="62">
        <v>10</v>
      </c>
      <c r="F19" s="62">
        <v>6</v>
      </c>
      <c r="G19" s="62">
        <f>M24</f>
        <v>1800</v>
      </c>
      <c r="H19" s="62">
        <f>$M$28*C19</f>
        <v>142.4</v>
      </c>
      <c r="I19" s="56">
        <f t="shared" si="1"/>
        <v>2.0355739417945929E-2</v>
      </c>
      <c r="J19" s="56">
        <f t="shared" si="0"/>
        <v>3560</v>
      </c>
      <c r="K19" s="56"/>
      <c r="L19" s="63"/>
      <c r="M19" s="4"/>
      <c r="N19" s="46" t="s">
        <v>6</v>
      </c>
      <c r="O19" s="56"/>
      <c r="P19" s="1">
        <v>453.73200000000003</v>
      </c>
      <c r="Q19" s="1">
        <f t="shared" si="2"/>
        <v>-1346.268</v>
      </c>
      <c r="R19" s="1">
        <f t="shared" si="3"/>
        <v>11343.300000000001</v>
      </c>
      <c r="S19" s="1">
        <f t="shared" si="4"/>
        <v>9543.3000000000011</v>
      </c>
      <c r="T19" s="1">
        <f t="shared" si="5"/>
        <v>3.3389765920480027E-2</v>
      </c>
      <c r="U19" s="1">
        <f t="shared" si="6"/>
        <v>4.4609218331571054E-2</v>
      </c>
      <c r="V19" s="1"/>
      <c r="W19" s="1"/>
      <c r="X19" s="1">
        <f t="shared" si="12"/>
        <v>17</v>
      </c>
      <c r="Y19">
        <f t="shared" si="13"/>
        <v>18220.519700000001</v>
      </c>
      <c r="Z19">
        <f t="shared" si="14"/>
        <v>160308.83490000005</v>
      </c>
      <c r="AA19">
        <f t="shared" si="7"/>
        <v>6658.8500287269162</v>
      </c>
      <c r="AB19">
        <f t="shared" si="8"/>
        <v>40095.568381526115</v>
      </c>
      <c r="AC19">
        <f t="shared" si="9"/>
        <v>27724.675503656679</v>
      </c>
      <c r="AD19">
        <f t="shared" si="10"/>
        <v>10132.227802150379</v>
      </c>
      <c r="AE19">
        <f t="shared" si="11"/>
        <v>80851.64431377381</v>
      </c>
    </row>
    <row r="20" spans="1:36" x14ac:dyDescent="0.35">
      <c r="A20" s="1">
        <v>19</v>
      </c>
      <c r="B20" s="1">
        <v>6393.5501464958952</v>
      </c>
      <c r="C20" s="1">
        <v>4</v>
      </c>
      <c r="D20" s="1">
        <v>6995.57</v>
      </c>
      <c r="E20" s="1">
        <v>10</v>
      </c>
      <c r="F20" s="1">
        <v>0</v>
      </c>
      <c r="G20" s="1">
        <f>$M$11*C20*1000</f>
        <v>8000</v>
      </c>
      <c r="H20" s="1">
        <f>$M$12*C20</f>
        <v>106</v>
      </c>
      <c r="I20" s="56">
        <f t="shared" si="1"/>
        <v>1.5152446476841773E-2</v>
      </c>
      <c r="J20" s="4">
        <f t="shared" si="0"/>
        <v>2650</v>
      </c>
      <c r="K20" s="4"/>
      <c r="L20" s="106" t="s">
        <v>259</v>
      </c>
      <c r="M20" s="107"/>
      <c r="N20" s="46"/>
      <c r="O20" s="4"/>
      <c r="P20" s="1">
        <v>120.19499999999999</v>
      </c>
      <c r="Q20" s="1">
        <f t="shared" si="2"/>
        <v>-7879.8050000000003</v>
      </c>
      <c r="R20" s="1">
        <f t="shared" si="3"/>
        <v>3004.875</v>
      </c>
      <c r="S20" s="1">
        <f t="shared" si="4"/>
        <v>-4995.125</v>
      </c>
      <c r="T20" s="1">
        <f t="shared" si="5"/>
        <v>6.5202886790566683E-2</v>
      </c>
      <c r="U20" s="1">
        <f t="shared" si="6"/>
        <v>0.10828539342386327</v>
      </c>
      <c r="V20" s="1"/>
      <c r="W20" s="1"/>
      <c r="X20" s="1">
        <f>X19+1</f>
        <v>18</v>
      </c>
      <c r="Y20">
        <f t="shared" si="13"/>
        <v>18220.519700000001</v>
      </c>
      <c r="Z20">
        <f t="shared" si="14"/>
        <v>178529.35460000005</v>
      </c>
      <c r="AA20">
        <f t="shared" si="7"/>
        <v>6276.0132221742842</v>
      </c>
      <c r="AB20">
        <f t="shared" si="8"/>
        <v>46371.581603700397</v>
      </c>
      <c r="AC20">
        <f t="shared" si="9"/>
        <v>28417.792391248095</v>
      </c>
      <c r="AD20">
        <f t="shared" si="10"/>
        <v>9788.4387344054085</v>
      </c>
      <c r="AE20">
        <f t="shared" si="11"/>
        <v>90640.083048179222</v>
      </c>
    </row>
    <row r="21" spans="1:36" x14ac:dyDescent="0.35">
      <c r="A21" s="1">
        <v>20</v>
      </c>
      <c r="B21" s="62">
        <v>6287.6864400653858</v>
      </c>
      <c r="C21" s="62">
        <v>10</v>
      </c>
      <c r="D21" s="62">
        <v>17488.900000000001</v>
      </c>
      <c r="E21" s="62">
        <v>25</v>
      </c>
      <c r="F21" s="62">
        <v>13.5</v>
      </c>
      <c r="G21" s="62">
        <f>M27</f>
        <v>3460</v>
      </c>
      <c r="H21" s="62">
        <f>$M$28*C21</f>
        <v>356</v>
      </c>
      <c r="I21" s="56">
        <f t="shared" si="1"/>
        <v>2.0355768516030166E-2</v>
      </c>
      <c r="J21" s="56">
        <f t="shared" si="0"/>
        <v>8900</v>
      </c>
      <c r="K21" s="56"/>
      <c r="L21" s="50" t="s">
        <v>245</v>
      </c>
      <c r="M21" s="2" t="s">
        <v>246</v>
      </c>
      <c r="N21" s="46"/>
      <c r="O21" s="56"/>
      <c r="P21" s="1">
        <v>1324.72</v>
      </c>
      <c r="Q21" s="1">
        <f t="shared" si="2"/>
        <v>-2135.2799999999997</v>
      </c>
      <c r="R21" s="1">
        <f t="shared" si="3"/>
        <v>33118</v>
      </c>
      <c r="S21" s="1">
        <f t="shared" si="4"/>
        <v>29658</v>
      </c>
      <c r="T21" s="1">
        <f t="shared" si="5"/>
        <v>4.2367044256199041E-2</v>
      </c>
      <c r="U21" s="1">
        <f t="shared" si="6"/>
        <v>6.1313949161311353E-2</v>
      </c>
      <c r="V21" s="1"/>
      <c r="W21" s="1"/>
      <c r="X21" s="1">
        <f t="shared" si="12"/>
        <v>19</v>
      </c>
      <c r="Y21">
        <f t="shared" si="13"/>
        <v>18220.519700000001</v>
      </c>
      <c r="Z21">
        <f t="shared" si="14"/>
        <v>196749.87430000005</v>
      </c>
      <c r="AA21">
        <f t="shared" si="7"/>
        <v>5915.186825800457</v>
      </c>
      <c r="AB21">
        <f t="shared" si="8"/>
        <v>52286.768429500851</v>
      </c>
      <c r="AC21">
        <f t="shared" si="9"/>
        <v>29128.2372010293</v>
      </c>
      <c r="AD21">
        <f t="shared" si="10"/>
        <v>9456.3145172154054</v>
      </c>
      <c r="AE21">
        <f t="shared" si="11"/>
        <v>100096.39756539463</v>
      </c>
    </row>
    <row r="22" spans="1:36" x14ac:dyDescent="0.35">
      <c r="A22" s="1">
        <v>21</v>
      </c>
      <c r="B22" s="62">
        <v>1195.617299383852</v>
      </c>
      <c r="C22" s="62">
        <v>2</v>
      </c>
      <c r="D22" s="62">
        <v>3497.79</v>
      </c>
      <c r="E22" s="62">
        <v>5</v>
      </c>
      <c r="F22" s="62">
        <v>1.2</v>
      </c>
      <c r="G22" s="62">
        <f>M22</f>
        <v>800</v>
      </c>
      <c r="H22" s="62">
        <f>$M$28*C22</f>
        <v>71.2</v>
      </c>
      <c r="I22" s="56">
        <f t="shared" si="1"/>
        <v>2.0355710319944882E-2</v>
      </c>
      <c r="J22" s="56">
        <f t="shared" si="0"/>
        <v>1780</v>
      </c>
      <c r="K22" s="56"/>
      <c r="L22" s="63" t="s">
        <v>247</v>
      </c>
      <c r="M22" s="4">
        <f>0.1*8000</f>
        <v>800</v>
      </c>
      <c r="N22" s="46" t="s">
        <v>269</v>
      </c>
      <c r="O22" s="56"/>
      <c r="P22" s="1">
        <v>291.58100000000002</v>
      </c>
      <c r="Q22" s="1">
        <f t="shared" si="2"/>
        <v>-508.41899999999998</v>
      </c>
      <c r="R22" s="1">
        <f t="shared" si="3"/>
        <v>7289.5250000000005</v>
      </c>
      <c r="S22" s="1">
        <f t="shared" si="4"/>
        <v>6489.5250000000005</v>
      </c>
      <c r="T22" s="1">
        <f t="shared" si="5"/>
        <v>4.7120127342424267E-2</v>
      </c>
      <c r="U22" s="1">
        <f t="shared" si="6"/>
        <v>7.0158449616505941E-2</v>
      </c>
      <c r="V22" s="1"/>
      <c r="W22" s="1"/>
      <c r="X22" s="1">
        <f t="shared" si="12"/>
        <v>20</v>
      </c>
      <c r="Y22">
        <f t="shared" si="13"/>
        <v>18220.519700000001</v>
      </c>
      <c r="Z22">
        <f t="shared" si="14"/>
        <v>214970.39400000006</v>
      </c>
      <c r="AA22">
        <f t="shared" si="7"/>
        <v>5575.1053966074051</v>
      </c>
      <c r="AB22">
        <f t="shared" si="8"/>
        <v>57861.873826108254</v>
      </c>
      <c r="AC22">
        <f t="shared" si="9"/>
        <v>29856.443131055028</v>
      </c>
      <c r="AD22">
        <f t="shared" si="10"/>
        <v>9135.4593592326</v>
      </c>
      <c r="AE22">
        <f t="shared" si="11"/>
        <v>109231.85692462722</v>
      </c>
    </row>
    <row r="23" spans="1:36" x14ac:dyDescent="0.35">
      <c r="A23" s="1">
        <v>22</v>
      </c>
      <c r="B23" s="1">
        <v>4102.942217502793</v>
      </c>
      <c r="C23" s="1">
        <v>4</v>
      </c>
      <c r="D23" s="1">
        <v>6995.57</v>
      </c>
      <c r="E23" s="1">
        <v>10</v>
      </c>
      <c r="F23" s="1">
        <v>0</v>
      </c>
      <c r="G23" s="1">
        <f>$M$11*C23*1000</f>
        <v>8000</v>
      </c>
      <c r="H23" s="1">
        <f>$M$12*C23</f>
        <v>106</v>
      </c>
      <c r="I23" s="56">
        <f t="shared" si="1"/>
        <v>1.5152446476841773E-2</v>
      </c>
      <c r="J23" s="4">
        <f t="shared" si="0"/>
        <v>2650</v>
      </c>
      <c r="K23" s="4"/>
      <c r="L23" s="63" t="s">
        <v>247</v>
      </c>
      <c r="M23" s="1">
        <f>0.1*13000</f>
        <v>1300</v>
      </c>
      <c r="N23" s="46" t="s">
        <v>274</v>
      </c>
      <c r="O23" s="4"/>
      <c r="P23" s="1">
        <v>325.01499999999999</v>
      </c>
      <c r="Q23" s="1">
        <f t="shared" si="2"/>
        <v>-7674.9849999999997</v>
      </c>
      <c r="R23" s="1">
        <f t="shared" si="3"/>
        <v>8125.375</v>
      </c>
      <c r="S23" s="1">
        <f t="shared" si="4"/>
        <v>125.375</v>
      </c>
      <c r="T23" s="1">
        <f t="shared" si="5"/>
        <v>9.3145258229078487E-2</v>
      </c>
      <c r="U23" s="1">
        <f t="shared" si="6"/>
        <v>0.16028004882439262</v>
      </c>
      <c r="V23" s="1"/>
      <c r="W23" s="1"/>
      <c r="X23" s="1">
        <f t="shared" si="12"/>
        <v>21</v>
      </c>
      <c r="Y23">
        <f t="shared" si="13"/>
        <v>18220.519700000001</v>
      </c>
      <c r="Z23">
        <f t="shared" si="14"/>
        <v>233190.91370000006</v>
      </c>
      <c r="AA23">
        <f t="shared" si="7"/>
        <v>5254.5762456243219</v>
      </c>
      <c r="AB23">
        <f t="shared" si="8"/>
        <v>63116.450071732579</v>
      </c>
      <c r="AC23">
        <f t="shared" si="9"/>
        <v>30602.854209331399</v>
      </c>
      <c r="AD23">
        <f t="shared" si="10"/>
        <v>8825.4908984103804</v>
      </c>
      <c r="AE23">
        <f t="shared" si="11"/>
        <v>118057.34782303761</v>
      </c>
    </row>
    <row r="24" spans="1:36" x14ac:dyDescent="0.35">
      <c r="A24" s="1">
        <v>23</v>
      </c>
      <c r="B24" s="62">
        <v>2916.9354826987528</v>
      </c>
      <c r="C24" s="62">
        <v>2</v>
      </c>
      <c r="D24" s="62">
        <v>3465.23</v>
      </c>
      <c r="E24" s="62">
        <v>5</v>
      </c>
      <c r="F24" s="62">
        <v>2</v>
      </c>
      <c r="G24" s="62">
        <f>M22</f>
        <v>800</v>
      </c>
      <c r="H24" s="62">
        <f>$M$28*C24</f>
        <v>71.2</v>
      </c>
      <c r="I24" s="56">
        <f t="shared" si="1"/>
        <v>2.0546976679758633E-2</v>
      </c>
      <c r="J24" s="56">
        <f t="shared" si="0"/>
        <v>1780</v>
      </c>
      <c r="K24" s="56"/>
      <c r="L24" s="63" t="s">
        <v>247</v>
      </c>
      <c r="M24" s="4">
        <f>0.1*18000</f>
        <v>1800</v>
      </c>
      <c r="N24" s="46" t="s">
        <v>270</v>
      </c>
      <c r="O24" s="56"/>
      <c r="P24" s="1">
        <v>235.66200000000001</v>
      </c>
      <c r="Q24" s="1">
        <f t="shared" si="2"/>
        <v>-564.33799999999997</v>
      </c>
      <c r="R24" s="1">
        <f t="shared" si="3"/>
        <v>5891.55</v>
      </c>
      <c r="S24" s="1">
        <f t="shared" si="4"/>
        <v>5091.55</v>
      </c>
      <c r="T24" s="1">
        <f t="shared" si="5"/>
        <v>3.151739415721122E-2</v>
      </c>
      <c r="U24" s="1">
        <f t="shared" si="6"/>
        <v>4.0960529537835993E-2</v>
      </c>
      <c r="V24" s="1"/>
      <c r="W24" s="1"/>
      <c r="X24" s="1">
        <f t="shared" si="12"/>
        <v>22</v>
      </c>
      <c r="Y24">
        <f t="shared" si="13"/>
        <v>18220.519700000001</v>
      </c>
      <c r="Z24">
        <f t="shared" si="14"/>
        <v>251411.43340000007</v>
      </c>
      <c r="AA24">
        <f t="shared" si="7"/>
        <v>4952.4752550653357</v>
      </c>
      <c r="AB24">
        <f t="shared" si="8"/>
        <v>68068.925326797907</v>
      </c>
      <c r="AC24">
        <f t="shared" si="9"/>
        <v>31367.925564564684</v>
      </c>
      <c r="AD24">
        <f t="shared" si="10"/>
        <v>8526.0397463436748</v>
      </c>
      <c r="AE24">
        <f t="shared" si="11"/>
        <v>126583.38756938127</v>
      </c>
    </row>
    <row r="25" spans="1:36" x14ac:dyDescent="0.35">
      <c r="A25" s="1">
        <v>24</v>
      </c>
      <c r="B25" s="62">
        <v>4395.7178346280416</v>
      </c>
      <c r="C25" s="62">
        <v>4</v>
      </c>
      <c r="D25" s="62">
        <v>6930.46</v>
      </c>
      <c r="E25" s="62">
        <v>10</v>
      </c>
      <c r="F25" s="62">
        <v>3.3</v>
      </c>
      <c r="G25" s="62">
        <f>M24</f>
        <v>1800</v>
      </c>
      <c r="H25" s="62">
        <f>$M$28*C25</f>
        <v>142.4</v>
      </c>
      <c r="I25" s="56">
        <f t="shared" si="1"/>
        <v>2.0546976679758633E-2</v>
      </c>
      <c r="J25" s="56">
        <f t="shared" si="0"/>
        <v>3560</v>
      </c>
      <c r="K25" s="56"/>
      <c r="L25" s="63" t="s">
        <v>247</v>
      </c>
      <c r="M25" s="4">
        <f>0.1*22000</f>
        <v>2200</v>
      </c>
      <c r="N25" s="46" t="s">
        <v>271</v>
      </c>
      <c r="O25" s="56"/>
      <c r="P25" s="1">
        <v>486.286</v>
      </c>
      <c r="Q25" s="1">
        <f t="shared" si="2"/>
        <v>-1313.7139999999999</v>
      </c>
      <c r="R25" s="1">
        <f t="shared" si="3"/>
        <v>12157.15</v>
      </c>
      <c r="S25" s="1">
        <f t="shared" si="4"/>
        <v>10357.15</v>
      </c>
      <c r="T25" s="1">
        <f t="shared" si="5"/>
        <v>3.6926553965818107E-2</v>
      </c>
      <c r="U25" s="1">
        <f t="shared" si="6"/>
        <v>5.1025795504033716E-2</v>
      </c>
      <c r="V25" s="1"/>
      <c r="W25" s="1"/>
      <c r="X25" s="1">
        <f t="shared" si="12"/>
        <v>23</v>
      </c>
      <c r="Y25">
        <f t="shared" si="13"/>
        <v>18220.519700000001</v>
      </c>
      <c r="Z25">
        <f t="shared" si="14"/>
        <v>269631.95310000004</v>
      </c>
      <c r="AA25">
        <f t="shared" si="7"/>
        <v>4667.7429359710995</v>
      </c>
      <c r="AB25">
        <f t="shared" si="8"/>
        <v>72736.668262769002</v>
      </c>
      <c r="AC25">
        <f t="shared" si="9"/>
        <v>32152.123703678801</v>
      </c>
      <c r="AD25">
        <f t="shared" si="10"/>
        <v>8236.7490480699998</v>
      </c>
      <c r="AE25">
        <f t="shared" si="11"/>
        <v>134820.13661745127</v>
      </c>
    </row>
    <row r="26" spans="1:36" x14ac:dyDescent="0.35">
      <c r="A26" s="1">
        <v>25</v>
      </c>
      <c r="B26" s="1">
        <v>3480.4540913845358</v>
      </c>
      <c r="C26" s="1">
        <v>2</v>
      </c>
      <c r="D26" s="1">
        <v>3465.23</v>
      </c>
      <c r="E26" s="1">
        <v>5</v>
      </c>
      <c r="F26" s="1">
        <v>0</v>
      </c>
      <c r="G26" s="1">
        <f>$M$11*C26*1000</f>
        <v>4000</v>
      </c>
      <c r="H26" s="1">
        <f>$M$12*C26</f>
        <v>53</v>
      </c>
      <c r="I26" s="56">
        <f t="shared" si="1"/>
        <v>1.5294800056561902E-2</v>
      </c>
      <c r="J26" s="4">
        <f t="shared" si="0"/>
        <v>1325</v>
      </c>
      <c r="K26" s="4"/>
      <c r="L26" s="63" t="s">
        <v>247</v>
      </c>
      <c r="M26" s="4">
        <f>0.1*32500</f>
        <v>3250</v>
      </c>
      <c r="N26" s="46" t="s">
        <v>272</v>
      </c>
      <c r="O26" s="4"/>
      <c r="P26" s="1">
        <v>59.389600000000002</v>
      </c>
      <c r="Q26" s="1">
        <f t="shared" si="2"/>
        <v>-3940.6104</v>
      </c>
      <c r="R26" s="1">
        <f t="shared" si="3"/>
        <v>1484.74</v>
      </c>
      <c r="S26" s="1">
        <f t="shared" si="4"/>
        <v>-2515.2600000000002</v>
      </c>
      <c r="T26" s="1">
        <f t="shared" si="5"/>
        <v>6.1265812975842063E-2</v>
      </c>
      <c r="U26" s="1">
        <f t="shared" si="6"/>
        <v>0.10083682287345413</v>
      </c>
      <c r="V26" s="1"/>
      <c r="W26" s="1"/>
      <c r="X26" s="1">
        <f>X25+1</f>
        <v>24</v>
      </c>
      <c r="Y26">
        <f t="shared" si="13"/>
        <v>18220.519700000001</v>
      </c>
      <c r="Z26">
        <f t="shared" si="14"/>
        <v>287852.47280000005</v>
      </c>
      <c r="AA26">
        <f t="shared" si="7"/>
        <v>4399.3807125081057</v>
      </c>
      <c r="AB26">
        <f t="shared" si="8"/>
        <v>77136.04897527711</v>
      </c>
      <c r="AC26">
        <f t="shared" si="9"/>
        <v>32955.926796270767</v>
      </c>
      <c r="AD26">
        <f t="shared" si="10"/>
        <v>7957.2740568065492</v>
      </c>
      <c r="AE26">
        <f t="shared" si="11"/>
        <v>142777.41067425782</v>
      </c>
    </row>
    <row r="27" spans="1:36" x14ac:dyDescent="0.35">
      <c r="A27" s="1">
        <v>26</v>
      </c>
      <c r="B27" s="1">
        <v>5233.1130996820621</v>
      </c>
      <c r="C27" s="1">
        <v>4</v>
      </c>
      <c r="D27" s="1">
        <v>6930.46</v>
      </c>
      <c r="E27" s="1">
        <v>10</v>
      </c>
      <c r="F27" s="1">
        <v>0</v>
      </c>
      <c r="G27" s="1">
        <f>$M$11*C27*1000</f>
        <v>8000</v>
      </c>
      <c r="H27" s="1">
        <f>$M$12*C27</f>
        <v>106</v>
      </c>
      <c r="I27" s="56">
        <f t="shared" si="1"/>
        <v>1.5294800056561902E-2</v>
      </c>
      <c r="J27" s="4">
        <f t="shared" si="0"/>
        <v>2650</v>
      </c>
      <c r="K27" s="4"/>
      <c r="L27" s="63" t="s">
        <v>247</v>
      </c>
      <c r="M27" s="4">
        <f>0.1*34600</f>
        <v>3460</v>
      </c>
      <c r="N27" s="46" t="s">
        <v>273</v>
      </c>
      <c r="O27" s="4"/>
      <c r="P27" s="1">
        <v>212.84299999999999</v>
      </c>
      <c r="Q27" s="1">
        <f t="shared" si="2"/>
        <v>-7787.1570000000002</v>
      </c>
      <c r="R27" s="1">
        <f t="shared" si="3"/>
        <v>5321.0749999999998</v>
      </c>
      <c r="S27" s="1">
        <f t="shared" si="4"/>
        <v>-2678.9250000000002</v>
      </c>
      <c r="T27" s="1">
        <f t="shared" si="5"/>
        <v>7.6443870199808306E-2</v>
      </c>
      <c r="U27" s="1">
        <f t="shared" si="6"/>
        <v>0.12907987506915822</v>
      </c>
      <c r="V27" s="1"/>
      <c r="W27" s="1"/>
      <c r="X27" s="1">
        <f t="shared" si="12"/>
        <v>25</v>
      </c>
      <c r="Y27">
        <f t="shared" si="13"/>
        <v>18220.519700000001</v>
      </c>
      <c r="Z27">
        <f t="shared" si="14"/>
        <v>306072.99250000005</v>
      </c>
      <c r="AA27">
        <f t="shared" si="7"/>
        <v>4146.4474198945381</v>
      </c>
      <c r="AB27">
        <f t="shared" si="8"/>
        <v>81282.496395171649</v>
      </c>
      <c r="AC27">
        <f t="shared" si="9"/>
        <v>33779.824966177533</v>
      </c>
      <c r="AD27">
        <f t="shared" si="10"/>
        <v>7687.2817231165991</v>
      </c>
      <c r="AE27">
        <f t="shared" si="11"/>
        <v>150464.69239737443</v>
      </c>
    </row>
    <row r="28" spans="1:36" x14ac:dyDescent="0.35">
      <c r="A28" s="1">
        <v>27</v>
      </c>
      <c r="B28" s="1">
        <v>6696.2920887280334</v>
      </c>
      <c r="C28" s="1">
        <v>4</v>
      </c>
      <c r="D28" s="1">
        <v>6930.46</v>
      </c>
      <c r="E28" s="1">
        <v>10</v>
      </c>
      <c r="F28" s="1">
        <v>0</v>
      </c>
      <c r="G28" s="1">
        <f>$M$11*C28*1000</f>
        <v>8000</v>
      </c>
      <c r="H28" s="1">
        <f>$M$12*C28</f>
        <v>106</v>
      </c>
      <c r="I28" s="56">
        <f t="shared" si="1"/>
        <v>1.5294800056561902E-2</v>
      </c>
      <c r="J28" s="4">
        <f t="shared" si="0"/>
        <v>2650</v>
      </c>
      <c r="K28" s="4"/>
      <c r="L28" s="65" t="s">
        <v>248</v>
      </c>
      <c r="M28" s="1">
        <v>35.6</v>
      </c>
      <c r="N28" s="46"/>
      <c r="O28" s="4"/>
      <c r="P28" s="1">
        <v>83.282200000000003</v>
      </c>
      <c r="Q28" s="1">
        <f t="shared" si="2"/>
        <v>-7916.7178000000004</v>
      </c>
      <c r="R28" s="1">
        <f t="shared" si="3"/>
        <v>2082.0550000000003</v>
      </c>
      <c r="S28" s="1">
        <f t="shared" si="4"/>
        <v>-5917.9449999999997</v>
      </c>
      <c r="T28" s="1">
        <f t="shared" si="5"/>
        <v>6.3082440703041573E-2</v>
      </c>
      <c r="U28" s="1">
        <f t="shared" si="6"/>
        <v>0.1042171706322203</v>
      </c>
      <c r="V28" s="1"/>
      <c r="W28" s="1"/>
      <c r="X28" s="1"/>
    </row>
    <row r="29" spans="1:36" ht="29" x14ac:dyDescent="0.35">
      <c r="A29" s="1">
        <v>28</v>
      </c>
      <c r="B29" s="62">
        <v>8230.4847304692612</v>
      </c>
      <c r="C29" s="62">
        <v>6</v>
      </c>
      <c r="D29" s="62">
        <v>10395.700000000001</v>
      </c>
      <c r="E29" s="62">
        <v>15</v>
      </c>
      <c r="F29" s="62">
        <v>5</v>
      </c>
      <c r="G29" s="62">
        <f>M25</f>
        <v>2200</v>
      </c>
      <c r="H29" s="62">
        <f>$M$28*C29</f>
        <v>213.60000000000002</v>
      </c>
      <c r="I29" s="56">
        <f t="shared" si="1"/>
        <v>2.0546956914878269E-2</v>
      </c>
      <c r="J29" s="56">
        <f t="shared" si="0"/>
        <v>5340.0000000000009</v>
      </c>
      <c r="K29" s="56"/>
      <c r="L29" s="68" t="s">
        <v>260</v>
      </c>
      <c r="M29" s="1">
        <v>220</v>
      </c>
      <c r="N29" s="46"/>
      <c r="O29" s="56"/>
      <c r="P29" s="1">
        <v>774.16899999999998</v>
      </c>
      <c r="Q29" s="1">
        <f t="shared" si="2"/>
        <v>-1425.8310000000001</v>
      </c>
      <c r="R29" s="1">
        <f t="shared" si="3"/>
        <v>19354.224999999999</v>
      </c>
      <c r="S29" s="1">
        <f t="shared" si="4"/>
        <v>17154.224999999999</v>
      </c>
      <c r="T29" s="1">
        <f t="shared" si="5"/>
        <v>3.1238915272351911E-2</v>
      </c>
      <c r="U29" s="1">
        <f t="shared" si="6"/>
        <v>4.0442358118637368E-2</v>
      </c>
      <c r="V29" s="1"/>
      <c r="W29" s="1"/>
    </row>
    <row r="30" spans="1:36" ht="29" x14ac:dyDescent="0.35">
      <c r="A30" s="1">
        <v>29</v>
      </c>
      <c r="B30" s="62">
        <v>3184.1460343074909</v>
      </c>
      <c r="C30" s="62">
        <v>2</v>
      </c>
      <c r="D30" s="62">
        <v>3465.23</v>
      </c>
      <c r="E30" s="62">
        <v>5</v>
      </c>
      <c r="F30" s="62">
        <v>3.3</v>
      </c>
      <c r="G30" s="62">
        <f>M23</f>
        <v>1300</v>
      </c>
      <c r="H30" s="62">
        <f>$M$28*C30</f>
        <v>71.2</v>
      </c>
      <c r="I30" s="56">
        <f t="shared" si="1"/>
        <v>2.0546976679758633E-2</v>
      </c>
      <c r="J30" s="56">
        <f t="shared" si="0"/>
        <v>1780</v>
      </c>
      <c r="K30" s="56"/>
      <c r="L30" s="68" t="s">
        <v>261</v>
      </c>
      <c r="M30" s="1">
        <v>165</v>
      </c>
      <c r="N30" s="46"/>
      <c r="O30" s="56"/>
      <c r="P30" s="1">
        <v>270.46199999999999</v>
      </c>
      <c r="Q30" s="1">
        <f t="shared" si="2"/>
        <v>-1029.538</v>
      </c>
      <c r="R30" s="1">
        <f t="shared" si="3"/>
        <v>6761.5499999999993</v>
      </c>
      <c r="S30" s="1">
        <f t="shared" si="4"/>
        <v>5461.5499999999993</v>
      </c>
      <c r="T30" s="1">
        <f t="shared" si="5"/>
        <v>3.68778859533056E-2</v>
      </c>
      <c r="U30" s="1">
        <f t="shared" si="6"/>
        <v>5.093523495353839E-2</v>
      </c>
      <c r="V30" s="1"/>
      <c r="W30" s="1"/>
      <c r="Z30" t="s">
        <v>6</v>
      </c>
      <c r="AA30" t="s">
        <v>6</v>
      </c>
      <c r="AJ30" t="s">
        <v>6</v>
      </c>
    </row>
    <row r="31" spans="1:36" x14ac:dyDescent="0.35">
      <c r="A31" s="1">
        <v>30</v>
      </c>
      <c r="B31" s="62">
        <v>2455.556329062375</v>
      </c>
      <c r="C31" s="62">
        <v>2</v>
      </c>
      <c r="D31" s="62">
        <v>3465.23</v>
      </c>
      <c r="E31" s="62">
        <v>5</v>
      </c>
      <c r="F31" s="62">
        <v>1.2</v>
      </c>
      <c r="G31" s="62">
        <f>M22</f>
        <v>800</v>
      </c>
      <c r="H31" s="62">
        <f>$M$28*C31</f>
        <v>71.2</v>
      </c>
      <c r="I31" s="56">
        <f t="shared" si="1"/>
        <v>2.0546976679758633E-2</v>
      </c>
      <c r="J31" s="56">
        <f t="shared" si="0"/>
        <v>1780</v>
      </c>
      <c r="K31" s="56"/>
      <c r="L31" s="65" t="s">
        <v>250</v>
      </c>
      <c r="M31" s="1">
        <v>3.1E-2</v>
      </c>
      <c r="N31" s="46"/>
      <c r="O31" s="56"/>
      <c r="P31" s="1">
        <v>253.29300000000001</v>
      </c>
      <c r="Q31" s="1">
        <f t="shared" si="2"/>
        <v>-546.70699999999999</v>
      </c>
      <c r="R31" s="1">
        <f t="shared" si="3"/>
        <v>6332.3249999999998</v>
      </c>
      <c r="S31" s="1">
        <f t="shared" si="4"/>
        <v>5532.3249999999998</v>
      </c>
      <c r="T31" s="1">
        <f t="shared" si="5"/>
        <v>3.3578646782891158E-2</v>
      </c>
      <c r="U31" s="1">
        <f t="shared" si="6"/>
        <v>4.4796070848333022E-2</v>
      </c>
      <c r="V31" s="1"/>
      <c r="W31" s="1" t="s">
        <v>287</v>
      </c>
      <c r="X31" s="1">
        <v>0</v>
      </c>
      <c r="Y31">
        <f>-W34</f>
        <v>-11000</v>
      </c>
      <c r="Z31">
        <f>Y31</f>
        <v>-11000</v>
      </c>
      <c r="AB31">
        <f>Y31</f>
        <v>-11000</v>
      </c>
      <c r="AC31">
        <f>Y31</f>
        <v>-11000</v>
      </c>
      <c r="AE31">
        <f>Y31</f>
        <v>-11000</v>
      </c>
    </row>
    <row r="32" spans="1:36" x14ac:dyDescent="0.35">
      <c r="A32" s="1">
        <v>31</v>
      </c>
      <c r="B32" s="1">
        <v>1553.515228702383</v>
      </c>
      <c r="C32" s="1">
        <v>2</v>
      </c>
      <c r="D32" s="1">
        <v>3465.23</v>
      </c>
      <c r="E32" s="1">
        <v>5</v>
      </c>
      <c r="F32" s="1">
        <v>0</v>
      </c>
      <c r="G32" s="1">
        <f>$M$11*C32*1000</f>
        <v>4000</v>
      </c>
      <c r="H32" s="1">
        <f>$M$12*C32</f>
        <v>53</v>
      </c>
      <c r="I32" s="56">
        <f t="shared" si="1"/>
        <v>1.5294800056561902E-2</v>
      </c>
      <c r="J32" s="4">
        <f t="shared" si="0"/>
        <v>1325</v>
      </c>
      <c r="K32" s="4"/>
      <c r="L32" s="65" t="s">
        <v>251</v>
      </c>
      <c r="M32" s="1" t="s">
        <v>252</v>
      </c>
      <c r="N32" s="46"/>
      <c r="O32" s="4"/>
      <c r="P32" s="1">
        <v>220.10300000000001</v>
      </c>
      <c r="Q32" s="1">
        <f t="shared" si="2"/>
        <v>-3779.8969999999999</v>
      </c>
      <c r="R32" s="1">
        <f t="shared" si="3"/>
        <v>5502.5749999999998</v>
      </c>
      <c r="S32" s="1">
        <f t="shared" si="4"/>
        <v>1502.5749999999998</v>
      </c>
      <c r="T32" s="1">
        <f t="shared" si="5"/>
        <v>0.11828703150938422</v>
      </c>
      <c r="U32" s="1">
        <f t="shared" si="6"/>
        <v>0.20694086685890994</v>
      </c>
      <c r="V32" s="1"/>
      <c r="W32" s="1"/>
      <c r="X32" s="1">
        <v>1</v>
      </c>
      <c r="Y32">
        <f>W37</f>
        <v>4685.0797199999997</v>
      </c>
      <c r="Z32">
        <f>Z31+Y32</f>
        <v>-6314.9202800000003</v>
      </c>
      <c r="AA32">
        <f>Y32/(1+$M$13)^X32</f>
        <v>4415.7207540056552</v>
      </c>
      <c r="AB32">
        <f>AB31+AA32</f>
        <v>-6584.2792459943448</v>
      </c>
      <c r="AC32">
        <f>$W$37*((1+$M$34)^X32)</f>
        <v>4802.2067129999996</v>
      </c>
      <c r="AD32">
        <f>AC32/(1+$M$13)^X32</f>
        <v>4526.113772855796</v>
      </c>
      <c r="AE32">
        <f>AE31+AD32</f>
        <v>-6473.886227144204</v>
      </c>
    </row>
    <row r="33" spans="1:31" ht="29" x14ac:dyDescent="0.35">
      <c r="A33" s="1">
        <v>32</v>
      </c>
      <c r="B33" s="62">
        <v>14627.53150971361</v>
      </c>
      <c r="C33" s="62">
        <v>10</v>
      </c>
      <c r="D33" s="62">
        <v>17326.099999999999</v>
      </c>
      <c r="E33" s="62">
        <v>25</v>
      </c>
      <c r="F33" s="62">
        <f>19.4</f>
        <v>19.399999999999999</v>
      </c>
      <c r="G33" s="62">
        <f>M27</f>
        <v>3460</v>
      </c>
      <c r="H33" s="62">
        <f>$M$28*C33</f>
        <v>356</v>
      </c>
      <c r="I33" s="56">
        <f t="shared" si="1"/>
        <v>2.0547035974627877E-2</v>
      </c>
      <c r="J33" s="56">
        <f t="shared" si="0"/>
        <v>8900</v>
      </c>
      <c r="K33" s="56"/>
      <c r="L33" s="65" t="s">
        <v>262</v>
      </c>
      <c r="M33" s="1">
        <v>7.0000000000000007E-2</v>
      </c>
      <c r="N33" s="46"/>
      <c r="O33" s="56"/>
      <c r="P33" s="1">
        <v>1176.7</v>
      </c>
      <c r="Q33" s="1">
        <f t="shared" si="2"/>
        <v>-2283.3000000000002</v>
      </c>
      <c r="R33" s="1">
        <f t="shared" si="3"/>
        <v>29417.5</v>
      </c>
      <c r="S33" s="1">
        <f t="shared" si="4"/>
        <v>25957.5</v>
      </c>
      <c r="T33" s="1">
        <f t="shared" si="5"/>
        <v>3.0008646083489621E-2</v>
      </c>
      <c r="U33" s="1">
        <f t="shared" si="6"/>
        <v>3.8153027585862163E-2</v>
      </c>
      <c r="V33" s="1"/>
      <c r="W33" s="73" t="s">
        <v>285</v>
      </c>
      <c r="X33" s="1">
        <f>X32+1</f>
        <v>2</v>
      </c>
      <c r="Y33">
        <f>Y32</f>
        <v>4685.0797199999997</v>
      </c>
      <c r="Z33">
        <f>Z32+Y33</f>
        <v>-1629.8405600000006</v>
      </c>
      <c r="AA33">
        <f t="shared" ref="AA33:AA56" si="15">Y33/(1+$M$13)^X33</f>
        <v>4161.8480245105138</v>
      </c>
      <c r="AB33">
        <f t="shared" ref="AB33:AB56" si="16">AB32+AA33</f>
        <v>-2422.431221483831</v>
      </c>
      <c r="AC33">
        <f t="shared" ref="AC33:AC56" si="17">$W$8*((1+$M$34)^X33)</f>
        <v>19142.933509812498</v>
      </c>
      <c r="AD33">
        <f t="shared" ref="AD33:AD56" si="18">AC33/(1+$M$13)^X33</f>
        <v>17005.042554782667</v>
      </c>
      <c r="AE33">
        <f t="shared" ref="AE33:AE56" si="19">AE32+AD33</f>
        <v>10531.156327638462</v>
      </c>
    </row>
    <row r="34" spans="1:31" x14ac:dyDescent="0.35">
      <c r="A34" s="1">
        <v>33</v>
      </c>
      <c r="B34" s="62">
        <v>4264.5516094210579</v>
      </c>
      <c r="C34" s="62">
        <v>4</v>
      </c>
      <c r="D34" s="62">
        <v>6930.46</v>
      </c>
      <c r="E34" s="62">
        <v>10</v>
      </c>
      <c r="F34" s="62">
        <v>6</v>
      </c>
      <c r="G34" s="62">
        <f>M24</f>
        <v>1800</v>
      </c>
      <c r="H34" s="62">
        <f>$M$28*C34</f>
        <v>142.4</v>
      </c>
      <c r="I34" s="56">
        <f t="shared" si="1"/>
        <v>2.0546976679758633E-2</v>
      </c>
      <c r="J34" s="56">
        <f t="shared" si="0"/>
        <v>3560</v>
      </c>
      <c r="K34" s="56"/>
      <c r="L34" s="65" t="s">
        <v>263</v>
      </c>
      <c r="M34" s="1">
        <v>2.5000000000000001E-2</v>
      </c>
      <c r="N34" s="46"/>
      <c r="O34" s="56"/>
      <c r="P34" s="1">
        <v>513.029</v>
      </c>
      <c r="Q34" s="1">
        <f t="shared" si="2"/>
        <v>-1286.971</v>
      </c>
      <c r="R34" s="1">
        <f t="shared" si="3"/>
        <v>12825.725</v>
      </c>
      <c r="S34" s="1">
        <f t="shared" si="4"/>
        <v>11025.725</v>
      </c>
      <c r="T34" s="1">
        <f t="shared" si="5"/>
        <v>3.7430346045236776E-2</v>
      </c>
      <c r="U34" s="1">
        <f t="shared" si="6"/>
        <v>5.196324262159608E-2</v>
      </c>
      <c r="V34" s="1"/>
      <c r="W34" s="1">
        <f>200*55</f>
        <v>11000</v>
      </c>
      <c r="X34" s="1">
        <f t="shared" ref="X34:X48" si="20">X33+1</f>
        <v>3</v>
      </c>
      <c r="Y34">
        <f t="shared" ref="Y34:Y56" si="21">Y33</f>
        <v>4685.0797199999997</v>
      </c>
      <c r="Z34">
        <f t="shared" ref="Z34:Z56" si="22">Z33+Y34</f>
        <v>3055.2391599999992</v>
      </c>
      <c r="AA34">
        <f t="shared" si="15"/>
        <v>3922.5711823850274</v>
      </c>
      <c r="AB34">
        <f t="shared" si="16"/>
        <v>1500.1399609011964</v>
      </c>
      <c r="AC34">
        <f>$W$37*((1+$M$34)^X34)</f>
        <v>5045.3184278456238</v>
      </c>
      <c r="AD34">
        <f t="shared" si="18"/>
        <v>4224.1801322056008</v>
      </c>
      <c r="AE34">
        <f t="shared" si="19"/>
        <v>14755.336459844064</v>
      </c>
    </row>
    <row r="35" spans="1:31" x14ac:dyDescent="0.35">
      <c r="A35" s="1">
        <v>34</v>
      </c>
      <c r="B35" s="1">
        <v>5041.8344142687847</v>
      </c>
      <c r="C35" s="1">
        <v>4</v>
      </c>
      <c r="D35" s="1">
        <v>7106.6</v>
      </c>
      <c r="E35" s="1">
        <v>10</v>
      </c>
      <c r="F35" s="1">
        <v>0</v>
      </c>
      <c r="G35" s="1">
        <f>$M$11*C35*1000</f>
        <v>8000</v>
      </c>
      <c r="H35" s="1">
        <f>$M$12*C35</f>
        <v>106</v>
      </c>
      <c r="I35" s="56">
        <f t="shared" si="1"/>
        <v>1.4915712154898262E-2</v>
      </c>
      <c r="J35" s="4">
        <f t="shared" si="0"/>
        <v>2650</v>
      </c>
      <c r="K35" s="4"/>
      <c r="L35" s="63"/>
      <c r="M35" s="4"/>
      <c r="N35" s="46"/>
      <c r="O35" s="4"/>
      <c r="P35" s="1">
        <v>321.40800000000002</v>
      </c>
      <c r="Q35" s="1">
        <f t="shared" si="2"/>
        <v>-7678.5919999999996</v>
      </c>
      <c r="R35" s="1">
        <f t="shared" si="3"/>
        <v>8035.2000000000007</v>
      </c>
      <c r="S35" s="1">
        <f t="shared" si="4"/>
        <v>35.200000000000728</v>
      </c>
      <c r="T35" s="1">
        <f t="shared" si="5"/>
        <v>7.8384674779766517E-2</v>
      </c>
      <c r="U35" s="1">
        <f t="shared" si="6"/>
        <v>0.13301760080708275</v>
      </c>
      <c r="V35" s="1"/>
      <c r="W35" s="1"/>
      <c r="X35" s="1">
        <f t="shared" si="20"/>
        <v>4</v>
      </c>
      <c r="Y35">
        <f t="shared" si="21"/>
        <v>4685.0797199999997</v>
      </c>
      <c r="Z35">
        <f t="shared" si="22"/>
        <v>7740.3188799999989</v>
      </c>
      <c r="AA35">
        <f t="shared" si="15"/>
        <v>3697.0510672808928</v>
      </c>
      <c r="AB35">
        <f t="shared" si="16"/>
        <v>5197.1910281820892</v>
      </c>
      <c r="AC35">
        <f t="shared" si="17"/>
        <v>20112.044518746756</v>
      </c>
      <c r="AD35">
        <f t="shared" si="18"/>
        <v>15870.648974407106</v>
      </c>
      <c r="AE35">
        <f t="shared" si="19"/>
        <v>30625.985434251168</v>
      </c>
    </row>
    <row r="36" spans="1:31" ht="29" x14ac:dyDescent="0.35">
      <c r="A36" s="1">
        <v>35</v>
      </c>
      <c r="B36" s="62">
        <v>1680.154057549307</v>
      </c>
      <c r="C36" s="62">
        <v>2</v>
      </c>
      <c r="D36" s="62">
        <v>3553.3</v>
      </c>
      <c r="E36" s="62">
        <v>5</v>
      </c>
      <c r="F36" s="62">
        <v>1.2</v>
      </c>
      <c r="G36" s="62">
        <f>M22</f>
        <v>800</v>
      </c>
      <c r="H36" s="62">
        <f>$M$28*C36</f>
        <v>71.2</v>
      </c>
      <c r="I36" s="56">
        <f t="shared" si="1"/>
        <v>2.0037711423184081E-2</v>
      </c>
      <c r="J36" s="56">
        <f t="shared" si="0"/>
        <v>1780</v>
      </c>
      <c r="K36" s="56"/>
      <c r="L36" s="63"/>
      <c r="M36" s="4"/>
      <c r="N36" s="46"/>
      <c r="O36" s="56"/>
      <c r="P36" s="1">
        <v>275.78899999999999</v>
      </c>
      <c r="Q36" s="1">
        <f t="shared" si="2"/>
        <v>-524.21100000000001</v>
      </c>
      <c r="R36" s="1">
        <f t="shared" si="3"/>
        <v>6894.7249999999995</v>
      </c>
      <c r="S36" s="1">
        <f t="shared" si="4"/>
        <v>6094.7249999999995</v>
      </c>
      <c r="T36" s="1">
        <f t="shared" si="5"/>
        <v>3.9083583946728492E-2</v>
      </c>
      <c r="U36" s="1">
        <f t="shared" si="6"/>
        <v>5.5477923820448097E-2</v>
      </c>
      <c r="V36" s="1"/>
      <c r="W36" s="73" t="s">
        <v>286</v>
      </c>
      <c r="X36" s="1">
        <f t="shared" si="20"/>
        <v>5</v>
      </c>
      <c r="Y36">
        <f t="shared" si="21"/>
        <v>4685.0797199999997</v>
      </c>
      <c r="Z36">
        <f t="shared" si="22"/>
        <v>12425.398599999999</v>
      </c>
      <c r="AA36">
        <f t="shared" si="15"/>
        <v>3484.4967646379764</v>
      </c>
      <c r="AB36">
        <f t="shared" si="16"/>
        <v>8681.6877928200665</v>
      </c>
      <c r="AC36">
        <f t="shared" si="17"/>
        <v>20614.84563171542</v>
      </c>
      <c r="AD36">
        <f t="shared" si="18"/>
        <v>15332.15381599178</v>
      </c>
      <c r="AE36">
        <f t="shared" si="19"/>
        <v>45958.139250242952</v>
      </c>
    </row>
    <row r="37" spans="1:31" x14ac:dyDescent="0.35">
      <c r="A37" s="1">
        <v>36</v>
      </c>
      <c r="B37" s="1">
        <v>5659.8657296841702</v>
      </c>
      <c r="C37" s="1">
        <v>4</v>
      </c>
      <c r="D37" s="1">
        <v>7106.6</v>
      </c>
      <c r="E37" s="1">
        <v>10</v>
      </c>
      <c r="F37" s="1">
        <v>0</v>
      </c>
      <c r="G37" s="1">
        <f>$M$11*C37*1000</f>
        <v>8000</v>
      </c>
      <c r="H37" s="1">
        <f>$M$12*C37</f>
        <v>106</v>
      </c>
      <c r="I37" s="56">
        <f t="shared" si="1"/>
        <v>1.4915712154898262E-2</v>
      </c>
      <c r="J37" s="4">
        <f t="shared" si="0"/>
        <v>2650</v>
      </c>
      <c r="K37" s="4"/>
      <c r="L37" s="50" t="s">
        <v>49</v>
      </c>
      <c r="M37" s="4">
        <v>25</v>
      </c>
      <c r="N37" s="46"/>
      <c r="O37" s="4"/>
      <c r="P37" s="1">
        <v>274.303</v>
      </c>
      <c r="Q37" s="1">
        <f t="shared" si="2"/>
        <v>-7725.6970000000001</v>
      </c>
      <c r="R37" s="1">
        <f t="shared" si="3"/>
        <v>6857.5749999999998</v>
      </c>
      <c r="S37" s="1">
        <f t="shared" si="4"/>
        <v>-1142.4250000000002</v>
      </c>
      <c r="T37" s="1">
        <f t="shared" si="5"/>
        <v>7.1454155871275349E-2</v>
      </c>
      <c r="U37" s="1">
        <f t="shared" si="6"/>
        <v>0.12012141756126148</v>
      </c>
      <c r="V37" s="1"/>
      <c r="W37" s="1">
        <f>SUM(P47:P100)</f>
        <v>4685.0797199999997</v>
      </c>
      <c r="X37" s="1">
        <f t="shared" si="20"/>
        <v>6</v>
      </c>
      <c r="Y37">
        <f t="shared" si="21"/>
        <v>4685.0797199999997</v>
      </c>
      <c r="Z37">
        <f t="shared" si="22"/>
        <v>17110.478319999998</v>
      </c>
      <c r="AA37">
        <f t="shared" si="15"/>
        <v>3284.1628318925318</v>
      </c>
      <c r="AB37">
        <f t="shared" si="16"/>
        <v>11965.850624712599</v>
      </c>
      <c r="AC37">
        <f t="shared" si="17"/>
        <v>21130.216772508305</v>
      </c>
      <c r="AD37">
        <f t="shared" si="18"/>
        <v>14811.929935336073</v>
      </c>
      <c r="AE37">
        <f t="shared" si="19"/>
        <v>60770.069185579021</v>
      </c>
    </row>
    <row r="38" spans="1:31" x14ac:dyDescent="0.35">
      <c r="A38" s="1">
        <v>37</v>
      </c>
      <c r="B38" s="62">
        <v>7074.8321611913698</v>
      </c>
      <c r="C38" s="62">
        <v>6</v>
      </c>
      <c r="D38" s="62">
        <v>10659.9</v>
      </c>
      <c r="E38" s="62">
        <v>15</v>
      </c>
      <c r="F38" s="62">
        <v>5</v>
      </c>
      <c r="G38" s="62">
        <f>M25</f>
        <v>2200</v>
      </c>
      <c r="H38" s="62">
        <f>$M$28*C38</f>
        <v>213.60000000000002</v>
      </c>
      <c r="I38" s="56">
        <f t="shared" si="1"/>
        <v>2.0037711423184085E-2</v>
      </c>
      <c r="J38" s="56">
        <f t="shared" si="0"/>
        <v>5340.0000000000009</v>
      </c>
      <c r="K38" s="56"/>
      <c r="L38" s="65"/>
      <c r="M38" s="4"/>
      <c r="N38" s="46"/>
      <c r="O38" s="56"/>
      <c r="P38" s="1">
        <v>798.74900000000002</v>
      </c>
      <c r="Q38" s="1">
        <f>P38-G38</f>
        <v>-1401.251</v>
      </c>
      <c r="R38" s="1">
        <f t="shared" si="3"/>
        <v>19968.725000000002</v>
      </c>
      <c r="S38" s="1">
        <f t="shared" si="4"/>
        <v>17768.725000000002</v>
      </c>
      <c r="T38" s="1">
        <f t="shared" si="5"/>
        <v>3.2476169042393699E-2</v>
      </c>
      <c r="U38" s="1">
        <f t="shared" si="6"/>
        <v>4.3182966615573623E-2</v>
      </c>
      <c r="V38" s="1"/>
      <c r="W38" s="1"/>
      <c r="X38" s="1">
        <f t="shared" si="20"/>
        <v>7</v>
      </c>
      <c r="Y38">
        <f t="shared" si="21"/>
        <v>4685.0797199999997</v>
      </c>
      <c r="Z38">
        <f t="shared" si="22"/>
        <v>21795.558039999996</v>
      </c>
      <c r="AA38">
        <f t="shared" si="15"/>
        <v>3095.3466841588429</v>
      </c>
      <c r="AB38">
        <f t="shared" si="16"/>
        <v>15061.197308871442</v>
      </c>
      <c r="AC38">
        <f t="shared" si="17"/>
        <v>21658.472191821013</v>
      </c>
      <c r="AD38">
        <f t="shared" si="18"/>
        <v>14309.357383335984</v>
      </c>
      <c r="AE38">
        <f t="shared" si="19"/>
        <v>75079.426568915005</v>
      </c>
    </row>
    <row r="39" spans="1:31" x14ac:dyDescent="0.35">
      <c r="A39" s="1">
        <v>38</v>
      </c>
      <c r="B39" s="1">
        <v>1036.155497852058</v>
      </c>
      <c r="C39" s="1">
        <v>2</v>
      </c>
      <c r="D39" s="1">
        <v>3553.3</v>
      </c>
      <c r="E39" s="1">
        <v>5</v>
      </c>
      <c r="F39" s="1">
        <v>0</v>
      </c>
      <c r="G39" s="1">
        <f>$M$11*C39*1000</f>
        <v>4000</v>
      </c>
      <c r="H39" s="1">
        <f>$M$12*C39</f>
        <v>53</v>
      </c>
      <c r="I39" s="56">
        <f t="shared" si="1"/>
        <v>1.4915712154898262E-2</v>
      </c>
      <c r="J39" s="4">
        <f t="shared" si="0"/>
        <v>1325</v>
      </c>
      <c r="K39" s="4"/>
      <c r="L39" s="63"/>
      <c r="M39" s="4"/>
      <c r="N39" s="46"/>
      <c r="O39" s="4"/>
      <c r="P39" s="1">
        <v>256.82299999999998</v>
      </c>
      <c r="Q39" s="1">
        <f t="shared" si="2"/>
        <v>-3743.1770000000001</v>
      </c>
      <c r="R39" s="1">
        <f t="shared" si="3"/>
        <v>6420.5749999999998</v>
      </c>
      <c r="S39" s="1">
        <f t="shared" si="4"/>
        <v>2420.5749999999998</v>
      </c>
      <c r="T39" s="1">
        <f t="shared" si="5"/>
        <v>0.16933268946349597</v>
      </c>
      <c r="U39" s="1">
        <f t="shared" si="6"/>
        <v>0.30225200860417023</v>
      </c>
      <c r="V39" s="1"/>
      <c r="W39" s="1"/>
      <c r="X39" s="1">
        <f t="shared" si="20"/>
        <v>8</v>
      </c>
      <c r="Y39">
        <f t="shared" si="21"/>
        <v>4685.0797199999997</v>
      </c>
      <c r="Z39">
        <f t="shared" si="22"/>
        <v>26480.637759999998</v>
      </c>
      <c r="AA39">
        <f t="shared" si="15"/>
        <v>2917.3861302156861</v>
      </c>
      <c r="AB39">
        <f t="shared" si="16"/>
        <v>17978.583439087128</v>
      </c>
      <c r="AC39">
        <f t="shared" si="17"/>
        <v>22199.933996616539</v>
      </c>
      <c r="AD39">
        <f t="shared" si="18"/>
        <v>13823.837245918363</v>
      </c>
      <c r="AE39">
        <f t="shared" si="19"/>
        <v>88903.263814833364</v>
      </c>
    </row>
    <row r="40" spans="1:31" x14ac:dyDescent="0.35">
      <c r="A40" s="1">
        <v>39</v>
      </c>
      <c r="B40" s="62">
        <v>1397.7981728371551</v>
      </c>
      <c r="C40" s="62">
        <v>2</v>
      </c>
      <c r="D40" s="62">
        <v>3553.3</v>
      </c>
      <c r="E40" s="62">
        <v>5</v>
      </c>
      <c r="F40" s="62">
        <v>1.2</v>
      </c>
      <c r="G40" s="62">
        <f>M22</f>
        <v>800</v>
      </c>
      <c r="H40" s="62">
        <f>$M$28*C40</f>
        <v>71.2</v>
      </c>
      <c r="I40" s="56">
        <f t="shared" si="1"/>
        <v>2.0037711423184081E-2</v>
      </c>
      <c r="J40" s="56">
        <f t="shared" si="0"/>
        <v>1780</v>
      </c>
      <c r="K40" s="56"/>
      <c r="L40" s="50" t="s">
        <v>280</v>
      </c>
      <c r="M40" s="1">
        <f>1+((1-(1+$M$13)^(1-$M$37))/$M$13)</f>
        <v>13.43521330378282</v>
      </c>
      <c r="N40" s="46"/>
      <c r="O40" s="56"/>
      <c r="P40" s="1">
        <v>278.79599999999999</v>
      </c>
      <c r="Q40" s="1">
        <f t="shared" si="2"/>
        <v>-521.20399999999995</v>
      </c>
      <c r="R40" s="1">
        <f t="shared" si="3"/>
        <v>6969.9</v>
      </c>
      <c r="S40" s="1">
        <f t="shared" si="4"/>
        <v>6169.9</v>
      </c>
      <c r="T40" s="1">
        <f t="shared" si="5"/>
        <v>4.2930859104904531E-2</v>
      </c>
      <c r="U40" s="1">
        <f t="shared" si="6"/>
        <v>6.2636863301321094E-2</v>
      </c>
      <c r="V40" s="1"/>
      <c r="W40" s="1"/>
      <c r="X40" s="1">
        <f t="shared" si="20"/>
        <v>9</v>
      </c>
      <c r="Y40">
        <f t="shared" si="21"/>
        <v>4685.0797199999997</v>
      </c>
      <c r="Z40">
        <f t="shared" si="22"/>
        <v>31165.717479999999</v>
      </c>
      <c r="AA40">
        <f t="shared" si="15"/>
        <v>2749.6570501561605</v>
      </c>
      <c r="AB40">
        <f t="shared" si="16"/>
        <v>20728.24048924329</v>
      </c>
      <c r="AC40">
        <f t="shared" si="17"/>
        <v>22754.932346531947</v>
      </c>
      <c r="AD40">
        <f t="shared" si="18"/>
        <v>13354.790930316984</v>
      </c>
      <c r="AE40">
        <f t="shared" si="19"/>
        <v>102258.05474515035</v>
      </c>
    </row>
    <row r="41" spans="1:31" x14ac:dyDescent="0.35">
      <c r="A41" s="1">
        <v>40</v>
      </c>
      <c r="B41" s="62">
        <v>2769.3097556877569</v>
      </c>
      <c r="C41" s="62">
        <v>2</v>
      </c>
      <c r="D41" s="62">
        <v>3553.3</v>
      </c>
      <c r="E41" s="62">
        <v>5</v>
      </c>
      <c r="F41" s="62">
        <v>3.3</v>
      </c>
      <c r="G41" s="62">
        <f>M23</f>
        <v>1300</v>
      </c>
      <c r="H41" s="62">
        <f>$M$28*C41</f>
        <v>71.2</v>
      </c>
      <c r="I41" s="56">
        <f t="shared" si="1"/>
        <v>2.0037711423184081E-2</v>
      </c>
      <c r="J41" s="56">
        <f t="shared" si="0"/>
        <v>1780</v>
      </c>
      <c r="K41" s="56"/>
      <c r="L41" s="72"/>
      <c r="M41" s="4"/>
      <c r="N41" s="46"/>
      <c r="O41" s="56"/>
      <c r="P41" s="1">
        <v>268.85399999999998</v>
      </c>
      <c r="Q41" s="1">
        <f t="shared" si="2"/>
        <v>-1031.146</v>
      </c>
      <c r="R41" s="1">
        <f t="shared" si="3"/>
        <v>6721.3499999999995</v>
      </c>
      <c r="S41" s="1">
        <f t="shared" si="4"/>
        <v>5421.3499999999995</v>
      </c>
      <c r="T41" s="1">
        <f t="shared" si="5"/>
        <v>3.8814953619799905E-2</v>
      </c>
      <c r="U41" s="1">
        <f t="shared" si="6"/>
        <v>5.4978061405065087E-2</v>
      </c>
      <c r="V41" s="1"/>
      <c r="W41" s="1"/>
      <c r="X41" s="1">
        <f t="shared" si="20"/>
        <v>10</v>
      </c>
      <c r="Y41">
        <f t="shared" si="21"/>
        <v>4685.0797199999997</v>
      </c>
      <c r="Z41">
        <f t="shared" si="22"/>
        <v>35850.797200000001</v>
      </c>
      <c r="AA41">
        <f t="shared" si="15"/>
        <v>2591.5712065562302</v>
      </c>
      <c r="AB41">
        <f t="shared" si="16"/>
        <v>23319.811695799519</v>
      </c>
      <c r="AC41">
        <f t="shared" si="17"/>
        <v>23323.805655195247</v>
      </c>
      <c r="AD41">
        <f t="shared" si="18"/>
        <v>12901.659475565417</v>
      </c>
      <c r="AE41">
        <f t="shared" si="19"/>
        <v>115159.71422071577</v>
      </c>
    </row>
    <row r="42" spans="1:31" x14ac:dyDescent="0.35">
      <c r="A42" s="1">
        <v>41</v>
      </c>
      <c r="B42" s="1">
        <v>975.76163139608616</v>
      </c>
      <c r="C42" s="1">
        <v>2</v>
      </c>
      <c r="D42" s="1">
        <v>3553.3</v>
      </c>
      <c r="E42" s="1">
        <v>5</v>
      </c>
      <c r="F42" s="1">
        <v>0</v>
      </c>
      <c r="G42" s="1">
        <f>$M$11*C42*1000</f>
        <v>4000</v>
      </c>
      <c r="H42" s="1">
        <f>$M$12*C42</f>
        <v>53</v>
      </c>
      <c r="I42" s="56">
        <f t="shared" si="1"/>
        <v>1.4915712154898262E-2</v>
      </c>
      <c r="J42" s="4">
        <f t="shared" si="0"/>
        <v>1325</v>
      </c>
      <c r="K42" s="4"/>
      <c r="L42" s="63"/>
      <c r="M42" s="4"/>
      <c r="N42" s="46"/>
      <c r="O42" s="4"/>
      <c r="P42" s="1">
        <v>269.17599999999999</v>
      </c>
      <c r="Q42" s="1">
        <f t="shared" si="2"/>
        <v>-3730.8240000000001</v>
      </c>
      <c r="R42" s="1">
        <f t="shared" si="3"/>
        <v>6729.4</v>
      </c>
      <c r="S42" s="1">
        <f t="shared" si="4"/>
        <v>2729.3999999999996</v>
      </c>
      <c r="T42" s="1">
        <f t="shared" si="5"/>
        <v>0.17889018589094535</v>
      </c>
      <c r="U42" s="1">
        <f t="shared" si="6"/>
        <v>0.32003642372908375</v>
      </c>
      <c r="V42" s="1"/>
      <c r="W42" s="1"/>
      <c r="X42" s="1">
        <f t="shared" si="20"/>
        <v>11</v>
      </c>
      <c r="Y42">
        <f t="shared" si="21"/>
        <v>4685.0797199999997</v>
      </c>
      <c r="Z42">
        <f t="shared" si="22"/>
        <v>40535.876920000002</v>
      </c>
      <c r="AA42">
        <f t="shared" si="15"/>
        <v>2442.5741814856087</v>
      </c>
      <c r="AB42">
        <f t="shared" si="16"/>
        <v>25762.385877285127</v>
      </c>
      <c r="AC42">
        <f t="shared" si="17"/>
        <v>23906.900796575126</v>
      </c>
      <c r="AD42">
        <f t="shared" si="18"/>
        <v>12463.902886385065</v>
      </c>
      <c r="AE42">
        <f t="shared" si="19"/>
        <v>127623.61710710084</v>
      </c>
    </row>
    <row r="43" spans="1:31" ht="15" thickBot="1" x14ac:dyDescent="0.4">
      <c r="A43" s="1">
        <v>42</v>
      </c>
      <c r="B43" s="62">
        <v>1220.838737866377</v>
      </c>
      <c r="C43" s="62">
        <v>2</v>
      </c>
      <c r="D43" s="62">
        <v>3553.3</v>
      </c>
      <c r="E43" s="62">
        <v>5</v>
      </c>
      <c r="F43" s="62">
        <v>2</v>
      </c>
      <c r="G43" s="62">
        <f>M22</f>
        <v>800</v>
      </c>
      <c r="H43" s="62">
        <f>$M$28*C43</f>
        <v>71.2</v>
      </c>
      <c r="I43" s="56">
        <f t="shared" si="1"/>
        <v>2.0037711423184081E-2</v>
      </c>
      <c r="J43" s="56">
        <f t="shared" si="0"/>
        <v>1780</v>
      </c>
      <c r="K43" s="56"/>
      <c r="L43" s="66"/>
      <c r="M43" s="52"/>
      <c r="N43" s="53"/>
      <c r="O43" s="56"/>
      <c r="P43" s="1">
        <v>269.30700000000002</v>
      </c>
      <c r="Q43" s="1">
        <f t="shared" si="2"/>
        <v>-530.69299999999998</v>
      </c>
      <c r="R43" s="1">
        <f t="shared" si="3"/>
        <v>6732.6750000000002</v>
      </c>
      <c r="S43" s="1">
        <f t="shared" si="4"/>
        <v>5932.6750000000002</v>
      </c>
      <c r="T43" s="1">
        <f t="shared" si="5"/>
        <v>4.6249199482553363E-2</v>
      </c>
      <c r="U43" s="1">
        <f t="shared" si="6"/>
        <v>6.8811570584744935E-2</v>
      </c>
      <c r="V43" s="1"/>
      <c r="W43" s="1"/>
      <c r="X43" s="1">
        <f t="shared" si="20"/>
        <v>12</v>
      </c>
      <c r="Y43">
        <f t="shared" si="21"/>
        <v>4685.0797199999997</v>
      </c>
      <c r="Z43">
        <f t="shared" si="22"/>
        <v>45220.956640000004</v>
      </c>
      <c r="AA43">
        <f t="shared" si="15"/>
        <v>2302.1434321259271</v>
      </c>
      <c r="AB43">
        <f t="shared" si="16"/>
        <v>28064.529309411053</v>
      </c>
      <c r="AC43">
        <f t="shared" si="17"/>
        <v>24504.573316489503</v>
      </c>
      <c r="AD43">
        <f t="shared" si="18"/>
        <v>12040.999489674545</v>
      </c>
      <c r="AE43">
        <f t="shared" si="19"/>
        <v>139664.61659677539</v>
      </c>
    </row>
    <row r="44" spans="1:31" x14ac:dyDescent="0.35">
      <c r="A44" s="1">
        <v>43</v>
      </c>
      <c r="B44" s="62">
        <v>3438.0361146713012</v>
      </c>
      <c r="C44" s="62">
        <v>10</v>
      </c>
      <c r="D44" s="62">
        <v>17766.5</v>
      </c>
      <c r="E44" s="62">
        <v>25</v>
      </c>
      <c r="F44" s="62">
        <v>9.6999999999999993</v>
      </c>
      <c r="G44" s="62">
        <f>M27</f>
        <v>3460</v>
      </c>
      <c r="H44" s="62">
        <f>$M$28*C44</f>
        <v>356</v>
      </c>
      <c r="I44" s="56">
        <f t="shared" si="1"/>
        <v>2.0037711423184081E-2</v>
      </c>
      <c r="J44" s="56">
        <f t="shared" si="0"/>
        <v>8900</v>
      </c>
      <c r="K44" s="56"/>
      <c r="L44" s="4"/>
      <c r="M44" s="4"/>
      <c r="N44" s="4"/>
      <c r="O44" s="56"/>
      <c r="P44" s="1">
        <v>1572.32</v>
      </c>
      <c r="Q44" s="1">
        <f t="shared" si="2"/>
        <v>-1887.68</v>
      </c>
      <c r="R44" s="1">
        <f t="shared" si="3"/>
        <v>39308</v>
      </c>
      <c r="S44" s="1">
        <f t="shared" si="4"/>
        <v>35848</v>
      </c>
      <c r="T44" s="1">
        <f t="shared" si="5"/>
        <v>6.0293251325571617E-2</v>
      </c>
      <c r="U44" s="1">
        <f t="shared" si="6"/>
        <v>9.4944486239801965E-2</v>
      </c>
      <c r="V44" s="1"/>
      <c r="W44" s="1"/>
      <c r="X44" s="1">
        <f t="shared" si="20"/>
        <v>13</v>
      </c>
      <c r="Y44">
        <f t="shared" si="21"/>
        <v>4685.0797199999997</v>
      </c>
      <c r="Z44">
        <f t="shared" si="22"/>
        <v>49906.036360000006</v>
      </c>
      <c r="AA44">
        <f t="shared" si="15"/>
        <v>2169.7864581771223</v>
      </c>
      <c r="AB44">
        <f t="shared" si="16"/>
        <v>30234.315767588174</v>
      </c>
      <c r="AC44">
        <f t="shared" si="17"/>
        <v>25117.187649401738</v>
      </c>
      <c r="AD44">
        <f t="shared" si="18"/>
        <v>11632.445312833559</v>
      </c>
      <c r="AE44">
        <f t="shared" si="19"/>
        <v>151297.06190960895</v>
      </c>
    </row>
    <row r="45" spans="1:31" x14ac:dyDescent="0.35">
      <c r="A45" s="1">
        <v>44</v>
      </c>
      <c r="B45" s="1">
        <v>1279.200878938675</v>
      </c>
      <c r="C45" s="1">
        <v>2</v>
      </c>
      <c r="D45" s="1">
        <v>3553.3</v>
      </c>
      <c r="E45" s="1">
        <v>5</v>
      </c>
      <c r="F45" s="1">
        <v>0</v>
      </c>
      <c r="G45" s="1">
        <f>$M$11*C45*1000</f>
        <v>4000</v>
      </c>
      <c r="H45" s="1">
        <f>$M$12*C45</f>
        <v>53</v>
      </c>
      <c r="I45" s="56">
        <f t="shared" si="1"/>
        <v>1.4915712154898262E-2</v>
      </c>
      <c r="J45" s="4">
        <f t="shared" si="0"/>
        <v>1325</v>
      </c>
      <c r="K45" s="4"/>
      <c r="L45" s="1" t="s">
        <v>247</v>
      </c>
      <c r="M45" s="1">
        <v>24000</v>
      </c>
      <c r="N45" s="4" t="s">
        <v>268</v>
      </c>
      <c r="O45" s="4"/>
      <c r="P45" s="1">
        <v>242.89599999999999</v>
      </c>
      <c r="Q45" s="1">
        <f t="shared" si="2"/>
        <v>-3757.1039999999998</v>
      </c>
      <c r="R45" s="1">
        <f t="shared" si="3"/>
        <v>6072.4</v>
      </c>
      <c r="S45" s="1">
        <f>R45-G45</f>
        <v>2072.3999999999996</v>
      </c>
      <c r="T45" s="1">
        <f t="shared" si="5"/>
        <v>0.139993800072371</v>
      </c>
      <c r="U45" s="1">
        <f t="shared" si="6"/>
        <v>0.24765873805508204</v>
      </c>
      <c r="V45" s="1"/>
      <c r="W45" s="1"/>
      <c r="X45" s="1">
        <f t="shared" si="20"/>
        <v>14</v>
      </c>
      <c r="Y45">
        <f t="shared" si="21"/>
        <v>4685.0797199999997</v>
      </c>
      <c r="Z45">
        <f t="shared" si="22"/>
        <v>54591.116080000007</v>
      </c>
      <c r="AA45">
        <f t="shared" si="15"/>
        <v>2045.0390746249975</v>
      </c>
      <c r="AB45">
        <f t="shared" si="16"/>
        <v>32279.354842213172</v>
      </c>
      <c r="AC45">
        <f t="shared" si="17"/>
        <v>25745.117340636778</v>
      </c>
      <c r="AD45">
        <f t="shared" si="18"/>
        <v>11237.753483180393</v>
      </c>
      <c r="AE45">
        <f t="shared" si="19"/>
        <v>162534.81539278934</v>
      </c>
    </row>
    <row r="46" spans="1:31" x14ac:dyDescent="0.35">
      <c r="A46" s="62">
        <v>45</v>
      </c>
      <c r="B46" s="62">
        <v>3266.9511427123548</v>
      </c>
      <c r="C46" s="62">
        <v>2</v>
      </c>
      <c r="D46" s="62">
        <v>3553.3</v>
      </c>
      <c r="E46" s="62">
        <v>5</v>
      </c>
      <c r="F46" s="62">
        <v>4.2</v>
      </c>
      <c r="G46" s="62">
        <f>M23</f>
        <v>1300</v>
      </c>
      <c r="H46" s="62">
        <f>$M$28*C46</f>
        <v>71.2</v>
      </c>
      <c r="I46" s="56">
        <f t="shared" si="1"/>
        <v>2.0037711423184081E-2</v>
      </c>
      <c r="J46" s="56">
        <f t="shared" si="0"/>
        <v>1780</v>
      </c>
      <c r="K46" s="4"/>
      <c r="L46" s="4" t="s">
        <v>247</v>
      </c>
      <c r="M46" s="4">
        <v>26000</v>
      </c>
      <c r="N46" s="4" t="s">
        <v>264</v>
      </c>
      <c r="O46" s="56"/>
      <c r="P46" s="1">
        <v>270.36200000000002</v>
      </c>
      <c r="Q46" s="1">
        <f t="shared" si="2"/>
        <v>-1029.6379999999999</v>
      </c>
      <c r="R46" s="1">
        <f t="shared" si="3"/>
        <v>6759.05</v>
      </c>
      <c r="S46" s="1">
        <f t="shared" si="4"/>
        <v>5459.05</v>
      </c>
      <c r="T46" s="1">
        <f t="shared" si="5"/>
        <v>3.5954692647711214E-2</v>
      </c>
      <c r="U46" s="1">
        <f t="shared" si="6"/>
        <v>4.9655739929001588E-2</v>
      </c>
      <c r="V46" s="1"/>
      <c r="W46" s="1"/>
      <c r="X46" s="1">
        <f t="shared" si="20"/>
        <v>15</v>
      </c>
      <c r="Y46">
        <f t="shared" si="21"/>
        <v>4685.0797199999997</v>
      </c>
      <c r="Z46">
        <f t="shared" si="22"/>
        <v>59276.195800000009</v>
      </c>
      <c r="AA46">
        <f t="shared" si="15"/>
        <v>1927.4637838124388</v>
      </c>
      <c r="AB46">
        <f t="shared" si="16"/>
        <v>34206.818626025612</v>
      </c>
      <c r="AC46">
        <f t="shared" si="17"/>
        <v>26388.745274152705</v>
      </c>
      <c r="AD46">
        <f t="shared" si="18"/>
        <v>10856.453647747319</v>
      </c>
      <c r="AE46">
        <f t="shared" si="19"/>
        <v>173391.26904053666</v>
      </c>
    </row>
    <row r="47" spans="1:31" x14ac:dyDescent="0.35">
      <c r="A47" s="70">
        <v>46</v>
      </c>
      <c r="B47" s="70">
        <v>1763.99702425654</v>
      </c>
      <c r="C47" s="70">
        <v>0</v>
      </c>
      <c r="D47" s="70"/>
      <c r="E47" s="70">
        <v>0</v>
      </c>
      <c r="F47" s="70">
        <v>0</v>
      </c>
      <c r="G47" s="71">
        <f t="shared" ref="G47:G78" si="23">$M$11*C47*1000</f>
        <v>0</v>
      </c>
      <c r="H47" s="71">
        <f t="shared" ref="H47:H78" si="24">$M$12*C47</f>
        <v>0</v>
      </c>
      <c r="I47" s="71">
        <f t="shared" ref="I47:J62" si="25">$M$12*D47</f>
        <v>0</v>
      </c>
      <c r="J47" s="71">
        <f t="shared" si="25"/>
        <v>0</v>
      </c>
      <c r="K47" s="71"/>
      <c r="L47" s="4" t="s">
        <v>247</v>
      </c>
      <c r="M47" s="4">
        <v>32500</v>
      </c>
      <c r="N47" s="4" t="s">
        <v>265</v>
      </c>
      <c r="O47" s="71"/>
      <c r="P47" s="70">
        <v>36.3322</v>
      </c>
      <c r="Q47" s="70">
        <f t="shared" si="2"/>
        <v>36.3322</v>
      </c>
      <c r="R47" s="70">
        <f t="shared" si="3"/>
        <v>908.30500000000006</v>
      </c>
      <c r="S47" s="70">
        <f t="shared" si="4"/>
        <v>908.30500000000006</v>
      </c>
      <c r="T47" s="70">
        <f t="shared" si="5"/>
        <v>0</v>
      </c>
      <c r="U47" s="70">
        <f t="shared" si="6"/>
        <v>0</v>
      </c>
      <c r="V47" s="4"/>
      <c r="W47" s="1"/>
      <c r="X47" s="1">
        <f t="shared" si="20"/>
        <v>16</v>
      </c>
      <c r="Y47">
        <f t="shared" si="21"/>
        <v>4685.0797199999997</v>
      </c>
      <c r="Z47">
        <f t="shared" si="22"/>
        <v>63961.27552000001</v>
      </c>
      <c r="AA47">
        <f t="shared" si="15"/>
        <v>1816.648241105032</v>
      </c>
      <c r="AB47">
        <f t="shared" si="16"/>
        <v>36023.466867130643</v>
      </c>
      <c r="AC47">
        <f t="shared" si="17"/>
        <v>27048.46390600652</v>
      </c>
      <c r="AD47">
        <f t="shared" si="18"/>
        <v>10488.091412762491</v>
      </c>
      <c r="AE47">
        <f t="shared" si="19"/>
        <v>183879.36045329916</v>
      </c>
    </row>
    <row r="48" spans="1:31" x14ac:dyDescent="0.35">
      <c r="A48" s="1">
        <v>47</v>
      </c>
      <c r="B48" s="1">
        <v>2322.9032263370332</v>
      </c>
      <c r="C48" s="1">
        <v>0</v>
      </c>
      <c r="D48" s="1"/>
      <c r="E48" s="1">
        <v>0</v>
      </c>
      <c r="F48" s="1">
        <v>0</v>
      </c>
      <c r="G48" s="4">
        <f t="shared" si="23"/>
        <v>0</v>
      </c>
      <c r="H48" s="4">
        <f t="shared" si="24"/>
        <v>0</v>
      </c>
      <c r="I48" s="4">
        <f t="shared" si="25"/>
        <v>0</v>
      </c>
      <c r="J48" s="4">
        <f t="shared" si="25"/>
        <v>0</v>
      </c>
      <c r="K48" s="4"/>
      <c r="L48" s="4" t="s">
        <v>247</v>
      </c>
      <c r="M48" s="4">
        <v>34600</v>
      </c>
      <c r="N48" s="4" t="s">
        <v>266</v>
      </c>
      <c r="O48" s="4"/>
      <c r="P48" s="1">
        <v>48.805199999999999</v>
      </c>
      <c r="Q48" s="1">
        <f>P48-G48</f>
        <v>48.805199999999999</v>
      </c>
      <c r="R48" s="1">
        <f t="shared" si="3"/>
        <v>1220.1299999999999</v>
      </c>
      <c r="S48" s="1">
        <f t="shared" si="4"/>
        <v>1220.1299999999999</v>
      </c>
      <c r="T48" s="1">
        <f t="shared" si="5"/>
        <v>0</v>
      </c>
      <c r="U48" s="1">
        <f t="shared" si="6"/>
        <v>0</v>
      </c>
      <c r="V48" s="4"/>
      <c r="W48" s="1"/>
      <c r="X48" s="1">
        <f t="shared" si="20"/>
        <v>17</v>
      </c>
      <c r="Y48">
        <f t="shared" si="21"/>
        <v>4685.0797199999997</v>
      </c>
      <c r="Z48">
        <f t="shared" si="22"/>
        <v>68646.355240000004</v>
      </c>
      <c r="AA48">
        <f t="shared" si="15"/>
        <v>1712.2038087700587</v>
      </c>
      <c r="AB48">
        <f t="shared" si="16"/>
        <v>37735.670675900699</v>
      </c>
      <c r="AC48">
        <f t="shared" si="17"/>
        <v>27724.675503656679</v>
      </c>
      <c r="AD48">
        <f t="shared" si="18"/>
        <v>10132.227802150379</v>
      </c>
      <c r="AE48">
        <f t="shared" si="19"/>
        <v>194011.58825544955</v>
      </c>
    </row>
    <row r="49" spans="1:31" x14ac:dyDescent="0.35">
      <c r="A49" s="1">
        <v>48</v>
      </c>
      <c r="B49" s="1">
        <v>1052.7350255677291</v>
      </c>
      <c r="C49" s="1">
        <v>0</v>
      </c>
      <c r="D49" s="1"/>
      <c r="E49" s="1">
        <v>0</v>
      </c>
      <c r="F49" s="1">
        <v>0</v>
      </c>
      <c r="G49" s="4">
        <f t="shared" si="23"/>
        <v>0</v>
      </c>
      <c r="H49" s="4">
        <f t="shared" si="24"/>
        <v>0</v>
      </c>
      <c r="I49" s="4">
        <f t="shared" si="25"/>
        <v>0</v>
      </c>
      <c r="J49" s="4">
        <f t="shared" si="25"/>
        <v>0</v>
      </c>
      <c r="K49" s="4"/>
      <c r="L49" s="4"/>
      <c r="M49" s="4"/>
      <c r="N49" s="4"/>
      <c r="O49" s="4"/>
      <c r="P49" s="1">
        <v>22.118400000000001</v>
      </c>
      <c r="Q49" s="1">
        <f t="shared" si="2"/>
        <v>22.118400000000001</v>
      </c>
      <c r="R49" s="1">
        <f t="shared" si="3"/>
        <v>552.96</v>
      </c>
      <c r="S49" s="1">
        <f t="shared" si="4"/>
        <v>552.96</v>
      </c>
      <c r="T49" s="1">
        <f t="shared" si="5"/>
        <v>0</v>
      </c>
      <c r="U49" s="1">
        <f t="shared" si="6"/>
        <v>0</v>
      </c>
      <c r="V49" s="4"/>
      <c r="W49" s="1"/>
      <c r="X49" s="1">
        <f>X48+1</f>
        <v>18</v>
      </c>
      <c r="Y49">
        <f t="shared" si="21"/>
        <v>4685.0797199999997</v>
      </c>
      <c r="Z49">
        <f t="shared" si="22"/>
        <v>73331.434959999999</v>
      </c>
      <c r="AA49">
        <f t="shared" si="15"/>
        <v>1613.7641929972278</v>
      </c>
      <c r="AB49">
        <f t="shared" si="16"/>
        <v>39349.43486889793</v>
      </c>
      <c r="AC49">
        <f t="shared" si="17"/>
        <v>28417.792391248095</v>
      </c>
      <c r="AD49">
        <f t="shared" si="18"/>
        <v>9788.4387344054085</v>
      </c>
      <c r="AE49">
        <f t="shared" si="19"/>
        <v>203800.02698985496</v>
      </c>
    </row>
    <row r="50" spans="1:31" x14ac:dyDescent="0.35">
      <c r="A50" s="1">
        <v>49</v>
      </c>
      <c r="B50" s="1">
        <v>2650.8063291642311</v>
      </c>
      <c r="C50" s="1">
        <v>0</v>
      </c>
      <c r="D50" s="1"/>
      <c r="E50" s="1">
        <v>0</v>
      </c>
      <c r="F50" s="1">
        <v>0</v>
      </c>
      <c r="G50" s="4">
        <f t="shared" si="23"/>
        <v>0</v>
      </c>
      <c r="H50" s="4">
        <f t="shared" si="24"/>
        <v>0</v>
      </c>
      <c r="I50" s="4">
        <f t="shared" si="25"/>
        <v>0</v>
      </c>
      <c r="J50" s="4">
        <f t="shared" si="25"/>
        <v>0</v>
      </c>
      <c r="K50" s="4"/>
      <c r="L50" s="4"/>
      <c r="M50" s="4"/>
      <c r="N50" s="4"/>
      <c r="O50" s="4"/>
      <c r="P50" s="4">
        <v>53.152200000000001</v>
      </c>
      <c r="Q50" s="1">
        <f t="shared" si="2"/>
        <v>53.152200000000001</v>
      </c>
      <c r="R50" s="1">
        <f t="shared" si="3"/>
        <v>1328.8050000000001</v>
      </c>
      <c r="S50" s="1">
        <f t="shared" si="4"/>
        <v>1328.8050000000001</v>
      </c>
      <c r="T50" s="1">
        <f t="shared" si="5"/>
        <v>0</v>
      </c>
      <c r="U50" s="1">
        <f t="shared" si="6"/>
        <v>0</v>
      </c>
      <c r="V50" s="4"/>
      <c r="W50" s="1"/>
      <c r="X50" s="1">
        <f t="shared" ref="X50:X54" si="26">X49+1</f>
        <v>19</v>
      </c>
      <c r="Y50">
        <f t="shared" si="21"/>
        <v>4685.0797199999997</v>
      </c>
      <c r="Z50">
        <f t="shared" si="22"/>
        <v>78016.514679999993</v>
      </c>
      <c r="AA50">
        <f t="shared" si="15"/>
        <v>1520.9841592810819</v>
      </c>
      <c r="AB50">
        <f t="shared" si="16"/>
        <v>40870.419028179014</v>
      </c>
      <c r="AC50">
        <f t="shared" si="17"/>
        <v>29128.2372010293</v>
      </c>
      <c r="AD50">
        <f t="shared" si="18"/>
        <v>9456.3145172154054</v>
      </c>
      <c r="AE50">
        <f t="shared" si="19"/>
        <v>213256.34150707038</v>
      </c>
    </row>
    <row r="51" spans="1:31" x14ac:dyDescent="0.35">
      <c r="A51" s="1">
        <v>50</v>
      </c>
      <c r="B51" s="1">
        <v>2336.365059758562</v>
      </c>
      <c r="C51" s="1">
        <v>0</v>
      </c>
      <c r="D51" s="1"/>
      <c r="E51" s="1">
        <v>0</v>
      </c>
      <c r="F51" s="1">
        <v>0</v>
      </c>
      <c r="G51" s="4">
        <f t="shared" si="23"/>
        <v>0</v>
      </c>
      <c r="H51" s="4">
        <f t="shared" si="24"/>
        <v>0</v>
      </c>
      <c r="I51" s="4">
        <f t="shared" si="25"/>
        <v>0</v>
      </c>
      <c r="J51" s="4">
        <f t="shared" si="25"/>
        <v>0</v>
      </c>
      <c r="K51" s="4"/>
      <c r="L51" s="4"/>
      <c r="M51" s="4"/>
      <c r="N51" s="4"/>
      <c r="O51" s="4"/>
      <c r="P51" s="4">
        <v>49.088000000000001</v>
      </c>
      <c r="Q51" s="1">
        <f t="shared" si="2"/>
        <v>49.088000000000001</v>
      </c>
      <c r="R51" s="1">
        <f t="shared" si="3"/>
        <v>1227.2</v>
      </c>
      <c r="S51" s="1">
        <f t="shared" si="4"/>
        <v>1227.2</v>
      </c>
      <c r="T51" s="1">
        <f t="shared" si="5"/>
        <v>0</v>
      </c>
      <c r="U51" s="1">
        <f t="shared" si="6"/>
        <v>0</v>
      </c>
      <c r="V51" s="4"/>
      <c r="W51" s="1"/>
      <c r="X51" s="1">
        <f t="shared" si="26"/>
        <v>20</v>
      </c>
      <c r="Y51">
        <f t="shared" si="21"/>
        <v>4685.0797199999997</v>
      </c>
      <c r="Z51">
        <f t="shared" si="22"/>
        <v>82701.594399999987</v>
      </c>
      <c r="AA51">
        <f t="shared" si="15"/>
        <v>1433.538321659832</v>
      </c>
      <c r="AB51">
        <f t="shared" si="16"/>
        <v>42303.957349838849</v>
      </c>
      <c r="AC51">
        <f t="shared" si="17"/>
        <v>29856.443131055028</v>
      </c>
      <c r="AD51">
        <f t="shared" si="18"/>
        <v>9135.4593592326</v>
      </c>
      <c r="AE51">
        <f t="shared" si="19"/>
        <v>222391.80086630298</v>
      </c>
    </row>
    <row r="52" spans="1:31" x14ac:dyDescent="0.35">
      <c r="A52" s="1">
        <v>51</v>
      </c>
      <c r="B52" s="1">
        <v>586.05584352134008</v>
      </c>
      <c r="C52" s="1">
        <v>0</v>
      </c>
      <c r="D52" s="1"/>
      <c r="E52" s="1">
        <v>0</v>
      </c>
      <c r="F52" s="1">
        <v>0</v>
      </c>
      <c r="G52" s="4">
        <f t="shared" si="23"/>
        <v>0</v>
      </c>
      <c r="H52" s="4">
        <f t="shared" si="24"/>
        <v>0</v>
      </c>
      <c r="I52" s="4">
        <f t="shared" si="25"/>
        <v>0</v>
      </c>
      <c r="J52" s="4">
        <f t="shared" si="25"/>
        <v>0</v>
      </c>
      <c r="K52" s="4"/>
      <c r="L52" s="4"/>
      <c r="M52" s="4"/>
      <c r="N52" s="4"/>
      <c r="O52" s="4"/>
      <c r="P52" s="4">
        <v>11.751200000000001</v>
      </c>
      <c r="Q52" s="1">
        <f t="shared" si="2"/>
        <v>11.751200000000001</v>
      </c>
      <c r="R52" s="1">
        <f t="shared" si="3"/>
        <v>293.78000000000003</v>
      </c>
      <c r="S52" s="1">
        <f t="shared" si="4"/>
        <v>293.78000000000003</v>
      </c>
      <c r="T52" s="1">
        <f t="shared" si="5"/>
        <v>0</v>
      </c>
      <c r="U52" s="1">
        <f t="shared" si="6"/>
        <v>0</v>
      </c>
      <c r="V52" s="4"/>
      <c r="W52" s="1"/>
      <c r="X52" s="1">
        <f t="shared" si="26"/>
        <v>21</v>
      </c>
      <c r="Y52">
        <f t="shared" si="21"/>
        <v>4685.0797199999997</v>
      </c>
      <c r="Z52">
        <f t="shared" si="22"/>
        <v>87386.674119999981</v>
      </c>
      <c r="AA52">
        <f t="shared" si="15"/>
        <v>1351.1200015644035</v>
      </c>
      <c r="AB52">
        <f t="shared" si="16"/>
        <v>43655.077351403255</v>
      </c>
      <c r="AC52">
        <f t="shared" si="17"/>
        <v>30602.854209331399</v>
      </c>
      <c r="AD52">
        <f t="shared" si="18"/>
        <v>8825.4908984103804</v>
      </c>
      <c r="AE52">
        <f t="shared" si="19"/>
        <v>231217.29176471336</v>
      </c>
    </row>
    <row r="53" spans="1:31" x14ac:dyDescent="0.35">
      <c r="A53" s="1">
        <v>52</v>
      </c>
      <c r="B53" s="1">
        <v>5329.6971333659421</v>
      </c>
      <c r="C53" s="1">
        <v>0</v>
      </c>
      <c r="D53" s="1"/>
      <c r="E53" s="1">
        <v>0</v>
      </c>
      <c r="F53" s="1">
        <v>0</v>
      </c>
      <c r="G53" s="4">
        <f t="shared" si="23"/>
        <v>0</v>
      </c>
      <c r="H53" s="4">
        <f t="shared" si="24"/>
        <v>0</v>
      </c>
      <c r="I53" s="4">
        <f t="shared" si="25"/>
        <v>0</v>
      </c>
      <c r="J53" s="4">
        <f t="shared" si="25"/>
        <v>0</v>
      </c>
      <c r="K53" s="4"/>
      <c r="L53" s="4"/>
      <c r="M53" s="4"/>
      <c r="N53" s="4"/>
      <c r="O53" s="4"/>
      <c r="P53" s="4">
        <v>110.047</v>
      </c>
      <c r="Q53" s="1">
        <f t="shared" si="2"/>
        <v>110.047</v>
      </c>
      <c r="R53" s="1">
        <f t="shared" si="3"/>
        <v>2751.1749999999997</v>
      </c>
      <c r="S53" s="1">
        <f t="shared" si="4"/>
        <v>2751.1749999999997</v>
      </c>
      <c r="T53" s="1">
        <f t="shared" si="5"/>
        <v>0</v>
      </c>
      <c r="U53" s="1">
        <f t="shared" si="6"/>
        <v>0</v>
      </c>
      <c r="V53" s="4"/>
      <c r="W53" s="1"/>
      <c r="X53" s="1">
        <f t="shared" si="26"/>
        <v>22</v>
      </c>
      <c r="Y53">
        <f t="shared" si="21"/>
        <v>4685.0797199999997</v>
      </c>
      <c r="Z53">
        <f t="shared" si="22"/>
        <v>92071.753839999976</v>
      </c>
      <c r="AA53">
        <f t="shared" si="15"/>
        <v>1273.4401522755923</v>
      </c>
      <c r="AB53">
        <f t="shared" si="16"/>
        <v>44928.51750367885</v>
      </c>
      <c r="AC53">
        <f t="shared" si="17"/>
        <v>31367.925564564684</v>
      </c>
      <c r="AD53">
        <f t="shared" si="18"/>
        <v>8526.0397463436748</v>
      </c>
      <c r="AE53">
        <f t="shared" si="19"/>
        <v>239743.33151105704</v>
      </c>
    </row>
    <row r="54" spans="1:31" x14ac:dyDescent="0.35">
      <c r="A54" s="1">
        <v>53</v>
      </c>
      <c r="B54" s="1">
        <v>5328.3833046167756</v>
      </c>
      <c r="C54" s="1">
        <v>0</v>
      </c>
      <c r="D54" s="1"/>
      <c r="E54" s="1">
        <v>0</v>
      </c>
      <c r="F54" s="1">
        <v>0</v>
      </c>
      <c r="G54" s="4">
        <f t="shared" si="23"/>
        <v>0</v>
      </c>
      <c r="H54" s="4">
        <f t="shared" si="24"/>
        <v>0</v>
      </c>
      <c r="I54" s="4">
        <f t="shared" si="25"/>
        <v>0</v>
      </c>
      <c r="J54" s="4">
        <f t="shared" si="25"/>
        <v>0</v>
      </c>
      <c r="K54" s="4"/>
      <c r="L54" s="4"/>
      <c r="M54" s="4"/>
      <c r="N54" s="4"/>
      <c r="O54" s="4"/>
      <c r="P54" s="4">
        <v>104.018</v>
      </c>
      <c r="Q54" s="1">
        <f t="shared" si="2"/>
        <v>104.018</v>
      </c>
      <c r="R54" s="1">
        <f t="shared" si="3"/>
        <v>2600.4499999999998</v>
      </c>
      <c r="S54" s="1">
        <f t="shared" si="4"/>
        <v>2600.4499999999998</v>
      </c>
      <c r="T54" s="1">
        <f t="shared" si="5"/>
        <v>0</v>
      </c>
      <c r="U54" s="1">
        <f t="shared" si="6"/>
        <v>0</v>
      </c>
      <c r="V54" s="4"/>
      <c r="W54" s="1"/>
      <c r="X54" s="1">
        <f t="shared" si="26"/>
        <v>23</v>
      </c>
      <c r="Y54">
        <f t="shared" si="21"/>
        <v>4685.0797199999997</v>
      </c>
      <c r="Z54">
        <f t="shared" si="22"/>
        <v>96756.83355999997</v>
      </c>
      <c r="AA54">
        <f t="shared" si="15"/>
        <v>1200.2263452173352</v>
      </c>
      <c r="AB54">
        <f t="shared" si="16"/>
        <v>46128.743848896185</v>
      </c>
      <c r="AC54">
        <f t="shared" si="17"/>
        <v>32152.123703678801</v>
      </c>
      <c r="AD54">
        <f t="shared" si="18"/>
        <v>8236.7490480699998</v>
      </c>
      <c r="AE54">
        <f t="shared" si="19"/>
        <v>247980.08055912703</v>
      </c>
    </row>
    <row r="55" spans="1:31" x14ac:dyDescent="0.35">
      <c r="A55" s="1">
        <v>54</v>
      </c>
      <c r="B55" s="1">
        <v>1132.850191183687</v>
      </c>
      <c r="C55" s="1">
        <v>0</v>
      </c>
      <c r="D55" s="1"/>
      <c r="E55" s="1">
        <v>0</v>
      </c>
      <c r="F55" s="1">
        <v>0</v>
      </c>
      <c r="G55" s="4">
        <f t="shared" si="23"/>
        <v>0</v>
      </c>
      <c r="H55" s="4">
        <f t="shared" si="24"/>
        <v>0</v>
      </c>
      <c r="I55" s="4">
        <f t="shared" si="25"/>
        <v>0</v>
      </c>
      <c r="J55" s="4">
        <f t="shared" si="25"/>
        <v>0</v>
      </c>
      <c r="K55" s="4"/>
      <c r="L55" s="4"/>
      <c r="M55" s="4"/>
      <c r="N55" s="4"/>
      <c r="O55" s="4"/>
      <c r="P55" s="4">
        <v>23.8017</v>
      </c>
      <c r="Q55" s="1">
        <f t="shared" si="2"/>
        <v>23.8017</v>
      </c>
      <c r="R55" s="1">
        <f t="shared" si="3"/>
        <v>595.04250000000002</v>
      </c>
      <c r="S55" s="1">
        <f t="shared" si="4"/>
        <v>595.04250000000002</v>
      </c>
      <c r="T55" s="1">
        <f t="shared" si="5"/>
        <v>0</v>
      </c>
      <c r="U55" s="1">
        <f t="shared" si="6"/>
        <v>0</v>
      </c>
      <c r="V55" s="4"/>
      <c r="W55" s="1"/>
      <c r="X55" s="1">
        <f>X54+1</f>
        <v>24</v>
      </c>
      <c r="Y55">
        <f t="shared" si="21"/>
        <v>4685.0797199999997</v>
      </c>
      <c r="Z55">
        <f t="shared" si="22"/>
        <v>101441.91327999996</v>
      </c>
      <c r="AA55">
        <f t="shared" si="15"/>
        <v>1131.2218145309473</v>
      </c>
      <c r="AB55">
        <f t="shared" si="16"/>
        <v>47259.96566342713</v>
      </c>
      <c r="AC55">
        <f t="shared" si="17"/>
        <v>32955.926796270767</v>
      </c>
      <c r="AD55">
        <f t="shared" si="18"/>
        <v>7957.2740568065492</v>
      </c>
      <c r="AE55">
        <f t="shared" si="19"/>
        <v>255937.35461593358</v>
      </c>
    </row>
    <row r="56" spans="1:31" x14ac:dyDescent="0.35">
      <c r="A56" s="1">
        <v>55</v>
      </c>
      <c r="B56" s="1">
        <v>1734.337401732017</v>
      </c>
      <c r="C56" s="1">
        <v>0</v>
      </c>
      <c r="D56" s="1"/>
      <c r="E56" s="1">
        <v>0</v>
      </c>
      <c r="F56" s="1">
        <v>0</v>
      </c>
      <c r="G56" s="4">
        <f t="shared" si="23"/>
        <v>0</v>
      </c>
      <c r="H56" s="4">
        <f t="shared" si="24"/>
        <v>0</v>
      </c>
      <c r="I56" s="4">
        <f t="shared" si="25"/>
        <v>0</v>
      </c>
      <c r="J56" s="4">
        <f t="shared" si="25"/>
        <v>0</v>
      </c>
      <c r="K56" s="4"/>
      <c r="L56" s="4"/>
      <c r="M56" s="4"/>
      <c r="N56" s="4"/>
      <c r="O56" s="4"/>
      <c r="P56" s="4">
        <v>36.4392</v>
      </c>
      <c r="Q56" s="1">
        <f t="shared" si="2"/>
        <v>36.4392</v>
      </c>
      <c r="R56" s="1">
        <f t="shared" si="3"/>
        <v>910.98</v>
      </c>
      <c r="S56" s="1">
        <f t="shared" si="4"/>
        <v>910.98</v>
      </c>
      <c r="T56" s="1">
        <f t="shared" si="5"/>
        <v>0</v>
      </c>
      <c r="U56" s="1">
        <f t="shared" si="6"/>
        <v>0</v>
      </c>
      <c r="V56" s="4"/>
      <c r="W56" s="1"/>
      <c r="X56" s="1">
        <f t="shared" ref="X56" si="27">X55+1</f>
        <v>25</v>
      </c>
      <c r="Y56">
        <f t="shared" si="21"/>
        <v>4685.0797199999997</v>
      </c>
      <c r="Z56">
        <f t="shared" si="22"/>
        <v>106126.99299999996</v>
      </c>
      <c r="AA56">
        <f t="shared" si="15"/>
        <v>1066.1845565795923</v>
      </c>
      <c r="AB56">
        <f t="shared" si="16"/>
        <v>48326.150220006726</v>
      </c>
      <c r="AC56">
        <f t="shared" si="17"/>
        <v>33779.824966177533</v>
      </c>
      <c r="AD56">
        <f t="shared" si="18"/>
        <v>7687.2817231165991</v>
      </c>
      <c r="AE56">
        <f t="shared" si="19"/>
        <v>263624.63633905019</v>
      </c>
    </row>
    <row r="57" spans="1:31" x14ac:dyDescent="0.35">
      <c r="A57" s="1">
        <v>56</v>
      </c>
      <c r="B57" s="1">
        <v>1696.5437943175671</v>
      </c>
      <c r="C57" s="1">
        <v>0</v>
      </c>
      <c r="D57" s="1"/>
      <c r="E57" s="1">
        <v>0</v>
      </c>
      <c r="F57" s="1">
        <v>0</v>
      </c>
      <c r="G57" s="4">
        <f t="shared" si="23"/>
        <v>0</v>
      </c>
      <c r="H57" s="4">
        <f t="shared" si="24"/>
        <v>0</v>
      </c>
      <c r="I57" s="4">
        <f t="shared" si="25"/>
        <v>0</v>
      </c>
      <c r="J57" s="4">
        <f t="shared" si="25"/>
        <v>0</v>
      </c>
      <c r="K57" s="4"/>
      <c r="L57" s="4"/>
      <c r="M57" s="4"/>
      <c r="N57" s="4"/>
      <c r="O57" s="4"/>
      <c r="P57" s="4">
        <v>33.6798</v>
      </c>
      <c r="Q57" s="1">
        <f t="shared" si="2"/>
        <v>33.6798</v>
      </c>
      <c r="R57" s="1">
        <f t="shared" si="3"/>
        <v>841.995</v>
      </c>
      <c r="S57" s="1">
        <f t="shared" si="4"/>
        <v>841.995</v>
      </c>
      <c r="T57" s="1">
        <f t="shared" si="5"/>
        <v>0</v>
      </c>
      <c r="U57" s="1">
        <f t="shared" si="6"/>
        <v>0</v>
      </c>
      <c r="V57" s="4"/>
    </row>
    <row r="58" spans="1:31" x14ac:dyDescent="0.35">
      <c r="A58" s="1">
        <v>57</v>
      </c>
      <c r="B58" s="1">
        <v>2227.6855671211929</v>
      </c>
      <c r="C58" s="1">
        <v>0</v>
      </c>
      <c r="D58" s="1"/>
      <c r="E58" s="1">
        <v>0</v>
      </c>
      <c r="F58" s="1">
        <v>0</v>
      </c>
      <c r="G58" s="4">
        <f t="shared" si="23"/>
        <v>0</v>
      </c>
      <c r="H58" s="4">
        <f t="shared" si="24"/>
        <v>0</v>
      </c>
      <c r="I58" s="4">
        <f t="shared" si="25"/>
        <v>0</v>
      </c>
      <c r="J58" s="4">
        <f t="shared" si="25"/>
        <v>0</v>
      </c>
      <c r="K58" s="4"/>
      <c r="L58" s="4"/>
      <c r="M58" s="4"/>
      <c r="N58" s="4"/>
      <c r="O58" s="4"/>
      <c r="P58" s="4">
        <v>43.985100000000003</v>
      </c>
      <c r="Q58" s="1">
        <f t="shared" si="2"/>
        <v>43.985100000000003</v>
      </c>
      <c r="R58" s="1">
        <f t="shared" si="3"/>
        <v>1099.6275000000001</v>
      </c>
      <c r="S58" s="1">
        <f t="shared" si="4"/>
        <v>1099.6275000000001</v>
      </c>
      <c r="T58" s="1">
        <f t="shared" si="5"/>
        <v>0</v>
      </c>
      <c r="U58" s="1">
        <f t="shared" si="6"/>
        <v>0</v>
      </c>
      <c r="V58" s="4"/>
    </row>
    <row r="59" spans="1:31" x14ac:dyDescent="0.35">
      <c r="A59" s="1">
        <v>58</v>
      </c>
      <c r="B59" s="1">
        <v>404.30530639696019</v>
      </c>
      <c r="C59" s="1">
        <v>0</v>
      </c>
      <c r="D59" s="1"/>
      <c r="E59" s="1">
        <v>0</v>
      </c>
      <c r="F59" s="1">
        <v>0</v>
      </c>
      <c r="G59" s="4">
        <f t="shared" si="23"/>
        <v>0</v>
      </c>
      <c r="H59" s="4">
        <f t="shared" si="24"/>
        <v>0</v>
      </c>
      <c r="I59" s="4">
        <f t="shared" si="25"/>
        <v>0</v>
      </c>
      <c r="J59" s="4">
        <f t="shared" si="25"/>
        <v>0</v>
      </c>
      <c r="K59" s="4"/>
      <c r="L59" s="4"/>
      <c r="M59" s="4"/>
      <c r="N59" s="4"/>
      <c r="O59" s="4"/>
      <c r="P59" s="4">
        <v>7.2637200000000002</v>
      </c>
      <c r="Q59" s="1">
        <f t="shared" si="2"/>
        <v>7.2637200000000002</v>
      </c>
      <c r="R59" s="1">
        <f t="shared" si="3"/>
        <v>181.59300000000002</v>
      </c>
      <c r="S59" s="1">
        <f t="shared" si="4"/>
        <v>181.59300000000002</v>
      </c>
      <c r="T59" s="1">
        <f t="shared" si="5"/>
        <v>0</v>
      </c>
      <c r="U59" s="1">
        <f t="shared" si="6"/>
        <v>0</v>
      </c>
      <c r="V59" s="4"/>
    </row>
    <row r="60" spans="1:31" x14ac:dyDescent="0.35">
      <c r="A60" s="1">
        <v>59</v>
      </c>
      <c r="B60" s="1">
        <v>3141.552121160008</v>
      </c>
      <c r="C60" s="1">
        <v>0</v>
      </c>
      <c r="D60" s="1"/>
      <c r="E60" s="1">
        <v>0</v>
      </c>
      <c r="F60" s="1">
        <v>0</v>
      </c>
      <c r="G60" s="4">
        <f t="shared" si="23"/>
        <v>0</v>
      </c>
      <c r="H60" s="4">
        <f t="shared" si="24"/>
        <v>0</v>
      </c>
      <c r="I60" s="4">
        <f t="shared" si="25"/>
        <v>0</v>
      </c>
      <c r="J60" s="4">
        <f t="shared" si="25"/>
        <v>0</v>
      </c>
      <c r="K60" s="4"/>
      <c r="L60" s="4"/>
      <c r="M60" s="4"/>
      <c r="N60" s="4"/>
      <c r="O60" s="4"/>
      <c r="P60" s="4">
        <v>63.6265</v>
      </c>
      <c r="Q60" s="1">
        <f t="shared" si="2"/>
        <v>63.6265</v>
      </c>
      <c r="R60" s="1">
        <f t="shared" si="3"/>
        <v>1590.6624999999999</v>
      </c>
      <c r="S60" s="1">
        <f t="shared" si="4"/>
        <v>1590.6624999999999</v>
      </c>
      <c r="T60" s="1">
        <f t="shared" si="5"/>
        <v>0</v>
      </c>
      <c r="U60" s="1">
        <f t="shared" si="6"/>
        <v>0</v>
      </c>
      <c r="V60" s="4"/>
    </row>
    <row r="61" spans="1:31" x14ac:dyDescent="0.35">
      <c r="A61" s="1">
        <v>60</v>
      </c>
      <c r="B61" s="1">
        <v>2862.8042339526478</v>
      </c>
      <c r="C61" s="1">
        <v>0</v>
      </c>
      <c r="D61" s="1"/>
      <c r="E61" s="1">
        <v>0</v>
      </c>
      <c r="F61" s="1">
        <v>0</v>
      </c>
      <c r="G61" s="4">
        <f t="shared" si="23"/>
        <v>0</v>
      </c>
      <c r="H61" s="4">
        <f t="shared" si="24"/>
        <v>0</v>
      </c>
      <c r="I61" s="4">
        <f t="shared" si="25"/>
        <v>0</v>
      </c>
      <c r="J61" s="4">
        <f t="shared" si="25"/>
        <v>0</v>
      </c>
      <c r="K61" s="4"/>
      <c r="L61" s="4"/>
      <c r="M61" s="4"/>
      <c r="N61" s="4"/>
      <c r="O61" s="4"/>
      <c r="P61" s="4">
        <v>59.825899999999997</v>
      </c>
      <c r="Q61" s="1">
        <f t="shared" si="2"/>
        <v>59.825899999999997</v>
      </c>
      <c r="R61" s="1">
        <f t="shared" si="3"/>
        <v>1495.6475</v>
      </c>
      <c r="S61" s="1">
        <f t="shared" si="4"/>
        <v>1495.6475</v>
      </c>
      <c r="T61" s="1">
        <f t="shared" si="5"/>
        <v>0</v>
      </c>
      <c r="U61" s="1">
        <f t="shared" si="6"/>
        <v>0</v>
      </c>
      <c r="V61" s="4"/>
    </row>
    <row r="62" spans="1:31" x14ac:dyDescent="0.35">
      <c r="A62" s="1">
        <v>61</v>
      </c>
      <c r="B62" s="1">
        <v>2954.0094942934988</v>
      </c>
      <c r="C62" s="1">
        <v>0</v>
      </c>
      <c r="D62" s="1"/>
      <c r="E62" s="1">
        <v>0</v>
      </c>
      <c r="F62" s="1">
        <v>0</v>
      </c>
      <c r="G62" s="4">
        <f t="shared" si="23"/>
        <v>0</v>
      </c>
      <c r="H62" s="4">
        <f t="shared" si="24"/>
        <v>0</v>
      </c>
      <c r="I62" s="4">
        <f t="shared" si="25"/>
        <v>0</v>
      </c>
      <c r="J62" s="4">
        <f t="shared" si="25"/>
        <v>0</v>
      </c>
      <c r="K62" s="4"/>
      <c r="L62" s="4"/>
      <c r="M62" s="4"/>
      <c r="N62" s="4"/>
      <c r="O62" s="4"/>
      <c r="P62" s="4">
        <v>64.215500000000006</v>
      </c>
      <c r="Q62" s="1">
        <f t="shared" si="2"/>
        <v>64.215500000000006</v>
      </c>
      <c r="R62" s="1">
        <f t="shared" si="3"/>
        <v>1605.3875</v>
      </c>
      <c r="S62" s="1">
        <f t="shared" si="4"/>
        <v>1605.3875</v>
      </c>
      <c r="T62" s="1">
        <f t="shared" si="5"/>
        <v>0</v>
      </c>
      <c r="U62" s="1">
        <f t="shared" si="6"/>
        <v>0</v>
      </c>
      <c r="V62" s="4"/>
    </row>
    <row r="63" spans="1:31" x14ac:dyDescent="0.35">
      <c r="A63" s="1">
        <v>62</v>
      </c>
      <c r="B63" s="1">
        <v>1204.0745303370161</v>
      </c>
      <c r="C63" s="1">
        <v>0</v>
      </c>
      <c r="D63" s="1"/>
      <c r="E63" s="1">
        <v>0</v>
      </c>
      <c r="F63" s="1">
        <v>0</v>
      </c>
      <c r="G63" s="4">
        <f t="shared" si="23"/>
        <v>0</v>
      </c>
      <c r="H63" s="4">
        <f t="shared" si="24"/>
        <v>0</v>
      </c>
      <c r="I63" s="4">
        <f t="shared" ref="I63:J78" si="28">$M$12*D63</f>
        <v>0</v>
      </c>
      <c r="J63" s="4">
        <f t="shared" si="28"/>
        <v>0</v>
      </c>
      <c r="K63" s="4"/>
      <c r="L63" s="4"/>
      <c r="M63" s="4"/>
      <c r="N63" s="4"/>
      <c r="O63" s="4"/>
      <c r="P63" s="4">
        <v>25.6633</v>
      </c>
      <c r="Q63" s="1">
        <f t="shared" si="2"/>
        <v>25.6633</v>
      </c>
      <c r="R63" s="1">
        <f t="shared" si="3"/>
        <v>641.58249999999998</v>
      </c>
      <c r="S63" s="1">
        <f>R63-G63</f>
        <v>641.58249999999998</v>
      </c>
      <c r="T63" s="1">
        <f t="shared" si="5"/>
        <v>0</v>
      </c>
      <c r="U63" s="1">
        <f t="shared" si="6"/>
        <v>0</v>
      </c>
      <c r="V63" s="4"/>
    </row>
    <row r="64" spans="1:31" x14ac:dyDescent="0.35">
      <c r="A64" s="1">
        <v>63</v>
      </c>
      <c r="B64" s="1">
        <v>13474.18710799874</v>
      </c>
      <c r="C64" s="1">
        <v>0</v>
      </c>
      <c r="D64" s="1"/>
      <c r="E64" s="1">
        <v>0</v>
      </c>
      <c r="F64" s="1">
        <v>0</v>
      </c>
      <c r="G64" s="4">
        <f t="shared" si="23"/>
        <v>0</v>
      </c>
      <c r="H64" s="4">
        <f t="shared" si="24"/>
        <v>0</v>
      </c>
      <c r="I64" s="4">
        <f t="shared" si="28"/>
        <v>0</v>
      </c>
      <c r="J64" s="4">
        <f t="shared" si="28"/>
        <v>0</v>
      </c>
      <c r="K64" s="4"/>
      <c r="L64" s="4"/>
      <c r="M64" s="4"/>
      <c r="N64" s="4"/>
      <c r="O64" s="4"/>
      <c r="P64" s="4">
        <v>279.54399999999998</v>
      </c>
      <c r="Q64" s="1">
        <f t="shared" si="2"/>
        <v>279.54399999999998</v>
      </c>
      <c r="R64" s="1">
        <f t="shared" si="3"/>
        <v>6988.5999999999995</v>
      </c>
      <c r="S64" s="1">
        <f t="shared" si="4"/>
        <v>6988.5999999999995</v>
      </c>
      <c r="T64" s="1">
        <f t="shared" si="5"/>
        <v>0</v>
      </c>
      <c r="U64" s="1">
        <f t="shared" si="6"/>
        <v>0</v>
      </c>
      <c r="V64" s="4"/>
    </row>
    <row r="65" spans="1:22" x14ac:dyDescent="0.35">
      <c r="A65" s="1">
        <v>64</v>
      </c>
      <c r="B65" s="1">
        <v>3713.6923624805509</v>
      </c>
      <c r="C65" s="1">
        <v>0</v>
      </c>
      <c r="D65" s="1"/>
      <c r="E65" s="1">
        <v>0</v>
      </c>
      <c r="F65" s="1">
        <v>0</v>
      </c>
      <c r="G65" s="4">
        <f t="shared" si="23"/>
        <v>0</v>
      </c>
      <c r="H65" s="4">
        <f t="shared" si="24"/>
        <v>0</v>
      </c>
      <c r="I65" s="4">
        <f t="shared" si="28"/>
        <v>0</v>
      </c>
      <c r="J65" s="4">
        <f t="shared" si="28"/>
        <v>0</v>
      </c>
      <c r="K65" s="4"/>
      <c r="L65" s="4"/>
      <c r="M65" s="4"/>
      <c r="N65" s="4"/>
      <c r="O65" s="4"/>
      <c r="P65" s="4">
        <v>78.026300000000006</v>
      </c>
      <c r="Q65" s="1">
        <f t="shared" si="2"/>
        <v>78.026300000000006</v>
      </c>
      <c r="R65" s="1">
        <f t="shared" si="3"/>
        <v>1950.6575000000003</v>
      </c>
      <c r="S65" s="1">
        <f t="shared" si="4"/>
        <v>1950.6575000000003</v>
      </c>
      <c r="T65" s="1">
        <f t="shared" si="5"/>
        <v>0</v>
      </c>
      <c r="U65" s="1">
        <f t="shared" si="6"/>
        <v>0</v>
      </c>
      <c r="V65" s="4"/>
    </row>
    <row r="66" spans="1:22" x14ac:dyDescent="0.35">
      <c r="A66" s="1">
        <v>65</v>
      </c>
      <c r="B66" s="1">
        <v>1118.1009256975681</v>
      </c>
      <c r="C66" s="1">
        <v>0</v>
      </c>
      <c r="D66" s="1"/>
      <c r="E66" s="1">
        <v>0</v>
      </c>
      <c r="F66" s="1">
        <v>0</v>
      </c>
      <c r="G66" s="4">
        <f t="shared" si="23"/>
        <v>0</v>
      </c>
      <c r="H66" s="4">
        <f t="shared" si="24"/>
        <v>0</v>
      </c>
      <c r="I66" s="4">
        <f t="shared" si="28"/>
        <v>0</v>
      </c>
      <c r="J66" s="4">
        <f t="shared" si="28"/>
        <v>0</v>
      </c>
      <c r="K66" s="4"/>
      <c r="L66" s="4"/>
      <c r="M66" s="4"/>
      <c r="N66" s="4"/>
      <c r="O66" s="4"/>
      <c r="P66" s="4">
        <v>23.491800000000001</v>
      </c>
      <c r="Q66" s="1">
        <f t="shared" si="2"/>
        <v>23.491800000000001</v>
      </c>
      <c r="R66" s="1">
        <f t="shared" si="3"/>
        <v>587.29500000000007</v>
      </c>
      <c r="S66" s="1">
        <f t="shared" si="4"/>
        <v>587.29500000000007</v>
      </c>
      <c r="T66" s="1">
        <f t="shared" si="5"/>
        <v>0</v>
      </c>
      <c r="U66" s="1">
        <f t="shared" si="6"/>
        <v>0</v>
      </c>
      <c r="V66" s="4"/>
    </row>
    <row r="67" spans="1:22" x14ac:dyDescent="0.35">
      <c r="A67" s="1">
        <v>66</v>
      </c>
      <c r="B67" s="1">
        <v>789.18834550043005</v>
      </c>
      <c r="C67" s="1">
        <v>0</v>
      </c>
      <c r="D67" s="1"/>
      <c r="E67" s="1">
        <v>0</v>
      </c>
      <c r="F67" s="1">
        <v>0</v>
      </c>
      <c r="G67" s="4">
        <f t="shared" si="23"/>
        <v>0</v>
      </c>
      <c r="H67" s="4">
        <f t="shared" si="24"/>
        <v>0</v>
      </c>
      <c r="I67" s="4">
        <f t="shared" si="28"/>
        <v>0</v>
      </c>
      <c r="J67" s="4">
        <f t="shared" si="28"/>
        <v>0</v>
      </c>
      <c r="K67" s="4"/>
      <c r="L67" s="4"/>
      <c r="M67" s="4"/>
      <c r="N67" s="4"/>
      <c r="O67" s="4"/>
      <c r="P67" s="4">
        <v>16.784199999999998</v>
      </c>
      <c r="Q67" s="1">
        <f t="shared" ref="Q67:Q100" si="29">P67-G67</f>
        <v>16.784199999999998</v>
      </c>
      <c r="R67" s="1">
        <f t="shared" ref="R67:R100" si="30">P67*$M$37</f>
        <v>419.60499999999996</v>
      </c>
      <c r="S67" s="1">
        <f t="shared" ref="S67:S80" si="31">R67-G67</f>
        <v>419.60499999999996</v>
      </c>
      <c r="T67" s="1">
        <f t="shared" ref="T67:T100" si="32">(G67/($M$37*B67))+I67</f>
        <v>0</v>
      </c>
      <c r="U67" s="1">
        <f t="shared" ref="U67:U100" si="33">(G67/($M$40*B67))+I67</f>
        <v>0</v>
      </c>
      <c r="V67" s="4"/>
    </row>
    <row r="68" spans="1:22" x14ac:dyDescent="0.35">
      <c r="A68" s="1">
        <v>67</v>
      </c>
      <c r="B68" s="1">
        <v>1631.3808757786551</v>
      </c>
      <c r="C68" s="1">
        <v>0</v>
      </c>
      <c r="D68" s="1"/>
      <c r="E68" s="1">
        <v>0</v>
      </c>
      <c r="F68" s="1">
        <v>0</v>
      </c>
      <c r="G68" s="4">
        <f t="shared" si="23"/>
        <v>0</v>
      </c>
      <c r="H68" s="4">
        <f t="shared" si="24"/>
        <v>0</v>
      </c>
      <c r="I68" s="4">
        <f t="shared" si="28"/>
        <v>0</v>
      </c>
      <c r="J68" s="4">
        <f t="shared" si="28"/>
        <v>0</v>
      </c>
      <c r="K68" s="4"/>
      <c r="L68" s="4"/>
      <c r="M68" s="4"/>
      <c r="N68" s="4"/>
      <c r="O68" s="4"/>
      <c r="P68" s="4">
        <v>31.626000000000001</v>
      </c>
      <c r="Q68" s="1">
        <f t="shared" si="29"/>
        <v>31.626000000000001</v>
      </c>
      <c r="R68" s="1">
        <f t="shared" si="30"/>
        <v>790.65</v>
      </c>
      <c r="S68" s="1">
        <f t="shared" si="31"/>
        <v>790.65</v>
      </c>
      <c r="T68" s="1">
        <f t="shared" si="32"/>
        <v>0</v>
      </c>
      <c r="U68" s="1">
        <f t="shared" si="33"/>
        <v>0</v>
      </c>
      <c r="V68" s="4"/>
    </row>
    <row r="69" spans="1:22" x14ac:dyDescent="0.35">
      <c r="A69" s="1">
        <v>68</v>
      </c>
      <c r="B69" s="1">
        <v>4258.9353884654111</v>
      </c>
      <c r="C69" s="1">
        <v>0</v>
      </c>
      <c r="D69" s="1"/>
      <c r="E69" s="1">
        <v>0</v>
      </c>
      <c r="F69" s="1">
        <v>0</v>
      </c>
      <c r="G69" s="4">
        <f t="shared" si="23"/>
        <v>0</v>
      </c>
      <c r="H69" s="4">
        <f t="shared" si="24"/>
        <v>0</v>
      </c>
      <c r="I69" s="4">
        <f t="shared" si="28"/>
        <v>0</v>
      </c>
      <c r="J69" s="4">
        <f t="shared" si="28"/>
        <v>0</v>
      </c>
      <c r="K69" s="4"/>
      <c r="L69" s="4"/>
      <c r="M69" s="4"/>
      <c r="N69" s="4"/>
      <c r="O69" s="4"/>
      <c r="P69" s="4">
        <v>86.851900000000001</v>
      </c>
      <c r="Q69" s="1">
        <f t="shared" si="29"/>
        <v>86.851900000000001</v>
      </c>
      <c r="R69" s="1">
        <f t="shared" si="30"/>
        <v>2171.2975000000001</v>
      </c>
      <c r="S69" s="1">
        <f t="shared" si="31"/>
        <v>2171.2975000000001</v>
      </c>
      <c r="T69" s="1">
        <f t="shared" si="32"/>
        <v>0</v>
      </c>
      <c r="U69" s="1">
        <f t="shared" si="33"/>
        <v>0</v>
      </c>
      <c r="V69" s="4"/>
    </row>
    <row r="70" spans="1:22" x14ac:dyDescent="0.35">
      <c r="A70" s="1">
        <v>69</v>
      </c>
      <c r="B70" s="1">
        <v>4490.8701254733214</v>
      </c>
      <c r="C70" s="1">
        <v>0</v>
      </c>
      <c r="D70" s="1"/>
      <c r="E70" s="1">
        <v>0</v>
      </c>
      <c r="F70" s="1">
        <v>0</v>
      </c>
      <c r="G70" s="4">
        <f t="shared" si="23"/>
        <v>0</v>
      </c>
      <c r="H70" s="4">
        <f t="shared" si="24"/>
        <v>0</v>
      </c>
      <c r="I70" s="4">
        <f t="shared" si="28"/>
        <v>0</v>
      </c>
      <c r="J70" s="4">
        <f t="shared" si="28"/>
        <v>0</v>
      </c>
      <c r="K70" s="4"/>
      <c r="L70" s="4"/>
      <c r="M70" s="4"/>
      <c r="N70" s="4"/>
      <c r="O70" s="4"/>
      <c r="P70" s="4">
        <v>90.9893</v>
      </c>
      <c r="Q70" s="1">
        <f t="shared" si="29"/>
        <v>90.9893</v>
      </c>
      <c r="R70" s="1">
        <f t="shared" si="30"/>
        <v>2274.7325000000001</v>
      </c>
      <c r="S70" s="1">
        <f t="shared" si="31"/>
        <v>2274.7325000000001</v>
      </c>
      <c r="T70" s="1">
        <f t="shared" si="32"/>
        <v>0</v>
      </c>
      <c r="U70" s="1">
        <f t="shared" si="33"/>
        <v>0</v>
      </c>
      <c r="V70" s="4"/>
    </row>
    <row r="71" spans="1:22" x14ac:dyDescent="0.35">
      <c r="A71" s="1">
        <v>70</v>
      </c>
      <c r="B71" s="1">
        <v>6097.7538980173758</v>
      </c>
      <c r="C71" s="1">
        <v>0</v>
      </c>
      <c r="D71" s="1"/>
      <c r="E71" s="1">
        <v>0</v>
      </c>
      <c r="F71" s="1">
        <v>0</v>
      </c>
      <c r="G71" s="4">
        <f t="shared" si="23"/>
        <v>0</v>
      </c>
      <c r="H71" s="4">
        <f t="shared" si="24"/>
        <v>0</v>
      </c>
      <c r="I71" s="4">
        <f t="shared" si="28"/>
        <v>0</v>
      </c>
      <c r="J71" s="4">
        <f t="shared" si="28"/>
        <v>0</v>
      </c>
      <c r="K71" s="4"/>
      <c r="L71" s="4"/>
      <c r="M71" s="4"/>
      <c r="N71" s="4"/>
      <c r="O71" s="4"/>
      <c r="P71" s="4">
        <v>124.14400000000001</v>
      </c>
      <c r="Q71" s="1">
        <f t="shared" si="29"/>
        <v>124.14400000000001</v>
      </c>
      <c r="R71" s="1">
        <f t="shared" si="30"/>
        <v>3103.6000000000004</v>
      </c>
      <c r="S71" s="1">
        <f t="shared" si="31"/>
        <v>3103.6000000000004</v>
      </c>
      <c r="T71" s="1">
        <f t="shared" si="32"/>
        <v>0</v>
      </c>
      <c r="U71" s="1">
        <f t="shared" si="33"/>
        <v>0</v>
      </c>
      <c r="V71" s="4"/>
    </row>
    <row r="72" spans="1:22" x14ac:dyDescent="0.35">
      <c r="A72" s="1">
        <v>71</v>
      </c>
      <c r="B72" s="1">
        <v>4593.5313049109664</v>
      </c>
      <c r="C72" s="1">
        <v>0</v>
      </c>
      <c r="D72" s="1"/>
      <c r="E72" s="1">
        <v>0</v>
      </c>
      <c r="F72" s="1">
        <v>0</v>
      </c>
      <c r="G72" s="4">
        <f t="shared" si="23"/>
        <v>0</v>
      </c>
      <c r="H72" s="4">
        <f t="shared" si="24"/>
        <v>0</v>
      </c>
      <c r="I72" s="4">
        <f t="shared" si="28"/>
        <v>0</v>
      </c>
      <c r="J72" s="4">
        <f t="shared" si="28"/>
        <v>0</v>
      </c>
      <c r="K72" s="4"/>
      <c r="L72" s="4"/>
      <c r="M72" s="4"/>
      <c r="N72" s="4"/>
      <c r="O72" s="4"/>
      <c r="P72" s="4">
        <v>96.512100000000004</v>
      </c>
      <c r="Q72" s="1">
        <f t="shared" si="29"/>
        <v>96.512100000000004</v>
      </c>
      <c r="R72" s="1">
        <f t="shared" si="30"/>
        <v>2412.8025000000002</v>
      </c>
      <c r="S72" s="1">
        <f t="shared" si="31"/>
        <v>2412.8025000000002</v>
      </c>
      <c r="T72" s="1">
        <f t="shared" si="32"/>
        <v>0</v>
      </c>
      <c r="U72" s="1">
        <f t="shared" si="33"/>
        <v>0</v>
      </c>
      <c r="V72" s="4"/>
    </row>
    <row r="73" spans="1:22" x14ac:dyDescent="0.35">
      <c r="A73" s="1">
        <v>72</v>
      </c>
      <c r="B73" s="1">
        <v>8062.2213477933838</v>
      </c>
      <c r="C73" s="1">
        <v>0</v>
      </c>
      <c r="D73" s="1"/>
      <c r="E73" s="1">
        <v>0</v>
      </c>
      <c r="F73" s="1">
        <v>0</v>
      </c>
      <c r="G73" s="4">
        <f t="shared" si="23"/>
        <v>0</v>
      </c>
      <c r="H73" s="4">
        <f t="shared" si="24"/>
        <v>0</v>
      </c>
      <c r="I73" s="4">
        <f t="shared" si="28"/>
        <v>0</v>
      </c>
      <c r="J73" s="4">
        <f t="shared" si="28"/>
        <v>0</v>
      </c>
      <c r="K73" s="4"/>
      <c r="L73" s="4"/>
      <c r="M73" s="4"/>
      <c r="N73" s="4"/>
      <c r="O73" s="4"/>
      <c r="P73" s="4">
        <v>174.48599999999999</v>
      </c>
      <c r="Q73" s="1">
        <f t="shared" si="29"/>
        <v>174.48599999999999</v>
      </c>
      <c r="R73" s="1">
        <f t="shared" si="30"/>
        <v>4362.1499999999996</v>
      </c>
      <c r="S73" s="1">
        <f t="shared" si="31"/>
        <v>4362.1499999999996</v>
      </c>
      <c r="T73" s="1">
        <f t="shared" si="32"/>
        <v>0</v>
      </c>
      <c r="U73" s="1">
        <f t="shared" si="33"/>
        <v>0</v>
      </c>
      <c r="V73" s="4"/>
    </row>
    <row r="74" spans="1:22" x14ac:dyDescent="0.35">
      <c r="A74" s="1">
        <v>73</v>
      </c>
      <c r="B74" s="1">
        <v>4657.9117518025187</v>
      </c>
      <c r="C74" s="1">
        <v>0</v>
      </c>
      <c r="D74" s="1"/>
      <c r="E74" s="1">
        <v>0</v>
      </c>
      <c r="F74" s="1">
        <v>0</v>
      </c>
      <c r="G74" s="4">
        <f t="shared" si="23"/>
        <v>0</v>
      </c>
      <c r="H74" s="4">
        <f t="shared" si="24"/>
        <v>0</v>
      </c>
      <c r="I74" s="4">
        <f t="shared" si="28"/>
        <v>0</v>
      </c>
      <c r="J74" s="4">
        <f t="shared" si="28"/>
        <v>0</v>
      </c>
      <c r="K74" s="4"/>
      <c r="L74" s="4"/>
      <c r="M74" s="4"/>
      <c r="N74" s="4"/>
      <c r="O74" s="4"/>
      <c r="P74" s="4">
        <v>98.659400000000005</v>
      </c>
      <c r="Q74" s="1">
        <f t="shared" si="29"/>
        <v>98.659400000000005</v>
      </c>
      <c r="R74" s="1">
        <f t="shared" si="30"/>
        <v>2466.4850000000001</v>
      </c>
      <c r="S74" s="1">
        <f t="shared" si="31"/>
        <v>2466.4850000000001</v>
      </c>
      <c r="T74" s="1">
        <f t="shared" si="32"/>
        <v>0</v>
      </c>
      <c r="U74" s="1">
        <f t="shared" si="33"/>
        <v>0</v>
      </c>
      <c r="V74" s="4"/>
    </row>
    <row r="75" spans="1:22" x14ac:dyDescent="0.35">
      <c r="A75" s="1">
        <v>74</v>
      </c>
      <c r="B75" s="1">
        <v>4129.0607113934348</v>
      </c>
      <c r="C75" s="1">
        <v>0</v>
      </c>
      <c r="D75" s="1"/>
      <c r="E75" s="1">
        <v>0</v>
      </c>
      <c r="F75" s="1">
        <v>0</v>
      </c>
      <c r="G75" s="4">
        <f t="shared" si="23"/>
        <v>0</v>
      </c>
      <c r="H75" s="4">
        <f t="shared" si="24"/>
        <v>0</v>
      </c>
      <c r="I75" s="4">
        <f t="shared" si="28"/>
        <v>0</v>
      </c>
      <c r="J75" s="4">
        <f t="shared" si="28"/>
        <v>0</v>
      </c>
      <c r="K75" s="4"/>
      <c r="L75" s="4"/>
      <c r="M75" s="4"/>
      <c r="N75" s="4"/>
      <c r="O75" s="4"/>
      <c r="P75" s="4">
        <v>86.753399999999999</v>
      </c>
      <c r="Q75" s="1">
        <f t="shared" si="29"/>
        <v>86.753399999999999</v>
      </c>
      <c r="R75" s="1">
        <f t="shared" si="30"/>
        <v>2168.835</v>
      </c>
      <c r="S75" s="1">
        <f t="shared" si="31"/>
        <v>2168.835</v>
      </c>
      <c r="T75" s="1">
        <f t="shared" si="32"/>
        <v>0</v>
      </c>
      <c r="U75" s="1">
        <f t="shared" si="33"/>
        <v>0</v>
      </c>
      <c r="V75" s="4"/>
    </row>
    <row r="76" spans="1:22" x14ac:dyDescent="0.35">
      <c r="A76" s="1">
        <v>75</v>
      </c>
      <c r="B76" s="1">
        <v>14350.316193396229</v>
      </c>
      <c r="C76" s="1">
        <v>0</v>
      </c>
      <c r="D76" s="1"/>
      <c r="E76" s="1">
        <v>0</v>
      </c>
      <c r="F76" s="1">
        <v>0</v>
      </c>
      <c r="G76" s="4">
        <f t="shared" si="23"/>
        <v>0</v>
      </c>
      <c r="H76" s="4">
        <f t="shared" si="24"/>
        <v>0</v>
      </c>
      <c r="I76" s="4">
        <f t="shared" si="28"/>
        <v>0</v>
      </c>
      <c r="J76" s="4">
        <f t="shared" si="28"/>
        <v>0</v>
      </c>
      <c r="K76" s="4"/>
      <c r="L76" s="4"/>
      <c r="M76" s="4"/>
      <c r="N76" s="4"/>
      <c r="O76" s="4"/>
      <c r="P76" s="4">
        <v>250.209</v>
      </c>
      <c r="Q76" s="1">
        <f t="shared" si="29"/>
        <v>250.209</v>
      </c>
      <c r="R76" s="1">
        <f t="shared" si="30"/>
        <v>6255.2250000000004</v>
      </c>
      <c r="S76" s="1">
        <f t="shared" si="31"/>
        <v>6255.2250000000004</v>
      </c>
      <c r="T76" s="1">
        <f t="shared" si="32"/>
        <v>0</v>
      </c>
      <c r="U76" s="1">
        <f t="shared" si="33"/>
        <v>0</v>
      </c>
      <c r="V76" s="4"/>
    </row>
    <row r="77" spans="1:22" x14ac:dyDescent="0.35">
      <c r="A77" s="1">
        <v>76</v>
      </c>
      <c r="B77" s="1">
        <v>5149.4780654648821</v>
      </c>
      <c r="C77" s="1">
        <v>0</v>
      </c>
      <c r="D77" s="1"/>
      <c r="E77" s="1">
        <v>0</v>
      </c>
      <c r="F77" s="1">
        <v>0</v>
      </c>
      <c r="G77" s="4">
        <f t="shared" si="23"/>
        <v>0</v>
      </c>
      <c r="H77" s="4">
        <f t="shared" si="24"/>
        <v>0</v>
      </c>
      <c r="I77" s="4">
        <f t="shared" si="28"/>
        <v>0</v>
      </c>
      <c r="J77" s="4">
        <f t="shared" si="28"/>
        <v>0</v>
      </c>
      <c r="K77" s="4"/>
      <c r="L77" s="4"/>
      <c r="M77" s="4"/>
      <c r="N77" s="4"/>
      <c r="O77" s="4"/>
      <c r="P77" s="4">
        <v>108.91500000000001</v>
      </c>
      <c r="Q77" s="1">
        <f t="shared" si="29"/>
        <v>108.91500000000001</v>
      </c>
      <c r="R77" s="1">
        <f t="shared" si="30"/>
        <v>2722.875</v>
      </c>
      <c r="S77" s="1">
        <f t="shared" si="31"/>
        <v>2722.875</v>
      </c>
      <c r="T77" s="1">
        <f t="shared" si="32"/>
        <v>0</v>
      </c>
      <c r="U77" s="1">
        <f t="shared" si="33"/>
        <v>0</v>
      </c>
      <c r="V77" s="4"/>
    </row>
    <row r="78" spans="1:22" x14ac:dyDescent="0.35">
      <c r="A78" s="1">
        <v>77</v>
      </c>
      <c r="B78" s="1">
        <v>4612.9275296437472</v>
      </c>
      <c r="C78" s="1">
        <v>0</v>
      </c>
      <c r="D78" s="1"/>
      <c r="E78" s="1">
        <v>0</v>
      </c>
      <c r="F78" s="1">
        <v>0</v>
      </c>
      <c r="G78" s="4">
        <f t="shared" si="23"/>
        <v>0</v>
      </c>
      <c r="H78" s="4">
        <f t="shared" si="24"/>
        <v>0</v>
      </c>
      <c r="I78" s="4">
        <f t="shared" si="28"/>
        <v>0</v>
      </c>
      <c r="J78" s="4">
        <f t="shared" si="28"/>
        <v>0</v>
      </c>
      <c r="K78" s="4"/>
      <c r="L78" s="4"/>
      <c r="M78" s="4"/>
      <c r="N78" s="4"/>
      <c r="O78" s="4"/>
      <c r="P78" s="4">
        <v>98.416499999999999</v>
      </c>
      <c r="Q78" s="1">
        <f t="shared" si="29"/>
        <v>98.416499999999999</v>
      </c>
      <c r="R78" s="1">
        <f t="shared" si="30"/>
        <v>2460.4124999999999</v>
      </c>
      <c r="S78" s="1">
        <f t="shared" si="31"/>
        <v>2460.4124999999999</v>
      </c>
      <c r="T78" s="1">
        <f t="shared" si="32"/>
        <v>0</v>
      </c>
      <c r="U78" s="1">
        <f t="shared" si="33"/>
        <v>0</v>
      </c>
      <c r="V78" s="4"/>
    </row>
    <row r="79" spans="1:22" x14ac:dyDescent="0.35">
      <c r="A79" s="1">
        <v>78</v>
      </c>
      <c r="B79" s="1">
        <v>4299.5858542619962</v>
      </c>
      <c r="C79" s="1">
        <v>0</v>
      </c>
      <c r="D79" s="1"/>
      <c r="E79" s="1">
        <v>0</v>
      </c>
      <c r="F79" s="1">
        <v>0</v>
      </c>
      <c r="G79" s="4">
        <f t="shared" ref="G79:G100" si="34">$M$11*C79*1000</f>
        <v>0</v>
      </c>
      <c r="H79" s="4">
        <f t="shared" ref="H79:H100" si="35">$M$12*C79</f>
        <v>0</v>
      </c>
      <c r="I79" s="4">
        <f t="shared" ref="I79:J94" si="36">$M$12*D79</f>
        <v>0</v>
      </c>
      <c r="J79" s="4">
        <f t="shared" si="36"/>
        <v>0</v>
      </c>
      <c r="K79" s="4"/>
      <c r="L79" s="4"/>
      <c r="M79" s="4"/>
      <c r="N79" s="4"/>
      <c r="O79" s="4"/>
      <c r="P79" s="4">
        <v>78.811800000000005</v>
      </c>
      <c r="Q79" s="1">
        <f t="shared" si="29"/>
        <v>78.811800000000005</v>
      </c>
      <c r="R79" s="1">
        <f t="shared" si="30"/>
        <v>1970.2950000000001</v>
      </c>
      <c r="S79" s="1">
        <f t="shared" si="31"/>
        <v>1970.2950000000001</v>
      </c>
      <c r="T79" s="1">
        <f t="shared" si="32"/>
        <v>0</v>
      </c>
      <c r="U79" s="1">
        <f t="shared" si="33"/>
        <v>0</v>
      </c>
      <c r="V79" s="4"/>
    </row>
    <row r="80" spans="1:22" x14ac:dyDescent="0.35">
      <c r="A80" s="1">
        <v>79</v>
      </c>
      <c r="B80" s="1">
        <v>3153.09355833985</v>
      </c>
      <c r="C80" s="1">
        <v>0</v>
      </c>
      <c r="D80" s="1"/>
      <c r="E80" s="1">
        <v>0</v>
      </c>
      <c r="F80" s="1">
        <v>0</v>
      </c>
      <c r="G80" s="4">
        <f t="shared" si="34"/>
        <v>0</v>
      </c>
      <c r="H80" s="4">
        <f t="shared" si="35"/>
        <v>0</v>
      </c>
      <c r="I80" s="4">
        <f t="shared" si="36"/>
        <v>0</v>
      </c>
      <c r="J80" s="4">
        <f t="shared" si="36"/>
        <v>0</v>
      </c>
      <c r="K80" s="4"/>
      <c r="L80" s="4"/>
      <c r="M80" s="4"/>
      <c r="N80" s="4"/>
      <c r="O80" s="4"/>
      <c r="P80" s="4">
        <v>66.247900000000001</v>
      </c>
      <c r="Q80" s="1">
        <f t="shared" si="29"/>
        <v>66.247900000000001</v>
      </c>
      <c r="R80" s="1">
        <f t="shared" si="30"/>
        <v>1656.1975</v>
      </c>
      <c r="S80" s="1">
        <f t="shared" si="31"/>
        <v>1656.1975</v>
      </c>
      <c r="T80" s="1">
        <f t="shared" si="32"/>
        <v>0</v>
      </c>
      <c r="U80" s="1">
        <f t="shared" si="33"/>
        <v>0</v>
      </c>
      <c r="V80" s="4"/>
    </row>
    <row r="81" spans="1:22" x14ac:dyDescent="0.35">
      <c r="A81" s="1">
        <v>80</v>
      </c>
      <c r="B81" s="1">
        <v>4296.4999200900902</v>
      </c>
      <c r="C81" s="1">
        <v>0</v>
      </c>
      <c r="D81" s="1"/>
      <c r="E81" s="1">
        <v>0</v>
      </c>
      <c r="F81" s="1">
        <v>0</v>
      </c>
      <c r="G81" s="4">
        <f t="shared" si="34"/>
        <v>0</v>
      </c>
      <c r="H81" s="4">
        <f t="shared" si="35"/>
        <v>0</v>
      </c>
      <c r="I81" s="4">
        <f t="shared" si="36"/>
        <v>0</v>
      </c>
      <c r="J81" s="4">
        <f t="shared" si="36"/>
        <v>0</v>
      </c>
      <c r="K81" s="4"/>
      <c r="L81" s="4"/>
      <c r="M81" s="4"/>
      <c r="N81" s="4"/>
      <c r="O81" s="4"/>
      <c r="P81" s="4">
        <v>89.923500000000004</v>
      </c>
      <c r="Q81" s="1">
        <f t="shared" si="29"/>
        <v>89.923500000000004</v>
      </c>
      <c r="R81" s="1">
        <f t="shared" si="30"/>
        <v>2248.0875000000001</v>
      </c>
      <c r="S81" s="1">
        <f>R81-G81</f>
        <v>2248.0875000000001</v>
      </c>
      <c r="T81" s="1">
        <f t="shared" si="32"/>
        <v>0</v>
      </c>
      <c r="U81" s="1">
        <f t="shared" si="33"/>
        <v>0</v>
      </c>
      <c r="V81" s="4"/>
    </row>
    <row r="82" spans="1:22" x14ac:dyDescent="0.35">
      <c r="A82" s="1">
        <v>81</v>
      </c>
      <c r="B82" s="1">
        <v>1722.7511821559251</v>
      </c>
      <c r="C82" s="1">
        <v>0</v>
      </c>
      <c r="D82" s="1"/>
      <c r="E82" s="1">
        <v>0</v>
      </c>
      <c r="F82" s="1">
        <v>0</v>
      </c>
      <c r="G82" s="4">
        <f t="shared" si="34"/>
        <v>0</v>
      </c>
      <c r="H82" s="4">
        <f t="shared" si="35"/>
        <v>0</v>
      </c>
      <c r="I82" s="4">
        <f t="shared" si="36"/>
        <v>0</v>
      </c>
      <c r="J82" s="4">
        <f t="shared" si="36"/>
        <v>0</v>
      </c>
      <c r="K82" s="4"/>
      <c r="L82" s="4"/>
      <c r="M82" s="4"/>
      <c r="N82" s="4"/>
      <c r="O82" s="4"/>
      <c r="P82" s="4">
        <v>30.037500000000001</v>
      </c>
      <c r="Q82" s="1">
        <f t="shared" si="29"/>
        <v>30.037500000000001</v>
      </c>
      <c r="R82" s="1">
        <f t="shared" si="30"/>
        <v>750.9375</v>
      </c>
      <c r="S82" s="1">
        <f t="shared" ref="S82:S96" si="37">R82-G82</f>
        <v>750.9375</v>
      </c>
      <c r="T82" s="1">
        <f t="shared" si="32"/>
        <v>0</v>
      </c>
      <c r="U82" s="1">
        <f t="shared" si="33"/>
        <v>0</v>
      </c>
      <c r="V82" s="4"/>
    </row>
    <row r="83" spans="1:22" x14ac:dyDescent="0.35">
      <c r="A83" s="1">
        <v>82</v>
      </c>
      <c r="B83" s="1">
        <v>8378.7212496204556</v>
      </c>
      <c r="C83" s="1">
        <v>0</v>
      </c>
      <c r="D83" s="1"/>
      <c r="E83" s="1">
        <v>0</v>
      </c>
      <c r="F83" s="1">
        <v>0</v>
      </c>
      <c r="G83" s="4">
        <f t="shared" si="34"/>
        <v>0</v>
      </c>
      <c r="H83" s="4">
        <f t="shared" si="35"/>
        <v>0</v>
      </c>
      <c r="I83" s="4">
        <f t="shared" si="36"/>
        <v>0</v>
      </c>
      <c r="J83" s="4">
        <f t="shared" si="36"/>
        <v>0</v>
      </c>
      <c r="K83" s="4"/>
      <c r="L83" s="4"/>
      <c r="M83" s="4"/>
      <c r="N83" s="4"/>
      <c r="O83" s="4"/>
      <c r="P83" s="4">
        <v>122.405</v>
      </c>
      <c r="Q83" s="1">
        <f t="shared" si="29"/>
        <v>122.405</v>
      </c>
      <c r="R83" s="1">
        <f t="shared" si="30"/>
        <v>3060.125</v>
      </c>
      <c r="S83" s="1">
        <f t="shared" si="37"/>
        <v>3060.125</v>
      </c>
      <c r="T83" s="1">
        <f t="shared" si="32"/>
        <v>0</v>
      </c>
      <c r="U83" s="1">
        <f t="shared" si="33"/>
        <v>0</v>
      </c>
      <c r="V83" s="4"/>
    </row>
    <row r="84" spans="1:22" x14ac:dyDescent="0.35">
      <c r="A84" s="1">
        <v>83</v>
      </c>
      <c r="B84" s="1">
        <v>4180.060549855245</v>
      </c>
      <c r="C84" s="1">
        <v>0</v>
      </c>
      <c r="D84" s="1"/>
      <c r="E84" s="1">
        <v>0</v>
      </c>
      <c r="F84" s="1">
        <v>0</v>
      </c>
      <c r="G84" s="4">
        <f t="shared" si="34"/>
        <v>0</v>
      </c>
      <c r="H84" s="4">
        <f t="shared" si="35"/>
        <v>0</v>
      </c>
      <c r="I84" s="4">
        <f t="shared" si="36"/>
        <v>0</v>
      </c>
      <c r="J84" s="4">
        <f t="shared" si="36"/>
        <v>0</v>
      </c>
      <c r="K84" s="4"/>
      <c r="L84" s="4"/>
      <c r="M84" s="4"/>
      <c r="N84" s="4"/>
      <c r="O84" s="4"/>
      <c r="P84" s="4">
        <v>92.304299999999998</v>
      </c>
      <c r="Q84" s="1">
        <f t="shared" si="29"/>
        <v>92.304299999999998</v>
      </c>
      <c r="R84" s="1">
        <f t="shared" si="30"/>
        <v>2307.6075000000001</v>
      </c>
      <c r="S84" s="1">
        <f t="shared" si="37"/>
        <v>2307.6075000000001</v>
      </c>
      <c r="T84" s="1">
        <f t="shared" si="32"/>
        <v>0</v>
      </c>
      <c r="U84" s="1">
        <f t="shared" si="33"/>
        <v>0</v>
      </c>
      <c r="V84" s="4"/>
    </row>
    <row r="85" spans="1:22" x14ac:dyDescent="0.35">
      <c r="A85" s="1">
        <v>84</v>
      </c>
      <c r="B85" s="1">
        <v>3330.950005722922</v>
      </c>
      <c r="C85" s="1">
        <v>0</v>
      </c>
      <c r="D85" s="1"/>
      <c r="E85" s="1">
        <v>0</v>
      </c>
      <c r="F85" s="1">
        <v>0</v>
      </c>
      <c r="G85" s="4">
        <f t="shared" si="34"/>
        <v>0</v>
      </c>
      <c r="H85" s="4">
        <f t="shared" si="35"/>
        <v>0</v>
      </c>
      <c r="I85" s="4">
        <f t="shared" si="36"/>
        <v>0</v>
      </c>
      <c r="J85" s="4">
        <f t="shared" si="36"/>
        <v>0</v>
      </c>
      <c r="K85" s="4"/>
      <c r="L85" s="4"/>
      <c r="M85" s="4"/>
      <c r="N85" s="4"/>
      <c r="O85" s="4"/>
      <c r="P85" s="4">
        <v>57.065800000000003</v>
      </c>
      <c r="Q85" s="1">
        <f t="shared" si="29"/>
        <v>57.065800000000003</v>
      </c>
      <c r="R85" s="1">
        <f t="shared" si="30"/>
        <v>1426.645</v>
      </c>
      <c r="S85" s="1">
        <f t="shared" si="37"/>
        <v>1426.645</v>
      </c>
      <c r="T85" s="1">
        <f t="shared" si="32"/>
        <v>0</v>
      </c>
      <c r="U85" s="1">
        <f t="shared" si="33"/>
        <v>0</v>
      </c>
      <c r="V85" s="4"/>
    </row>
    <row r="86" spans="1:22" x14ac:dyDescent="0.35">
      <c r="A86" s="1">
        <v>85</v>
      </c>
      <c r="B86" s="1">
        <v>2875.5642031497382</v>
      </c>
      <c r="C86" s="1">
        <v>0</v>
      </c>
      <c r="D86" s="1"/>
      <c r="E86" s="1">
        <v>0</v>
      </c>
      <c r="F86" s="1">
        <v>0</v>
      </c>
      <c r="G86" s="4">
        <f t="shared" si="34"/>
        <v>0</v>
      </c>
      <c r="H86" s="4">
        <f t="shared" si="35"/>
        <v>0</v>
      </c>
      <c r="I86" s="4">
        <f t="shared" si="36"/>
        <v>0</v>
      </c>
      <c r="J86" s="4">
        <f t="shared" si="36"/>
        <v>0</v>
      </c>
      <c r="K86" s="4"/>
      <c r="L86" s="4"/>
      <c r="M86" s="4"/>
      <c r="N86" s="4"/>
      <c r="O86" s="4"/>
      <c r="P86" s="4">
        <v>62.269399999999997</v>
      </c>
      <c r="Q86" s="1">
        <f t="shared" si="29"/>
        <v>62.269399999999997</v>
      </c>
      <c r="R86" s="1">
        <f t="shared" si="30"/>
        <v>1556.7349999999999</v>
      </c>
      <c r="S86" s="1">
        <f t="shared" si="37"/>
        <v>1556.7349999999999</v>
      </c>
      <c r="T86" s="1">
        <f t="shared" si="32"/>
        <v>0</v>
      </c>
      <c r="U86" s="1">
        <f t="shared" si="33"/>
        <v>0</v>
      </c>
      <c r="V86" s="4"/>
    </row>
    <row r="87" spans="1:22" x14ac:dyDescent="0.35">
      <c r="A87" s="1">
        <v>86</v>
      </c>
      <c r="B87" s="1">
        <v>2673.7959050516761</v>
      </c>
      <c r="C87" s="1">
        <v>0</v>
      </c>
      <c r="D87" s="1"/>
      <c r="E87" s="1">
        <v>0</v>
      </c>
      <c r="F87" s="1">
        <v>0</v>
      </c>
      <c r="G87" s="4">
        <f t="shared" si="34"/>
        <v>0</v>
      </c>
      <c r="H87" s="4">
        <f t="shared" si="35"/>
        <v>0</v>
      </c>
      <c r="I87" s="4">
        <f t="shared" si="36"/>
        <v>0</v>
      </c>
      <c r="J87" s="4">
        <f t="shared" si="36"/>
        <v>0</v>
      </c>
      <c r="K87" s="4"/>
      <c r="L87" s="4"/>
      <c r="M87" s="4"/>
      <c r="N87" s="4"/>
      <c r="O87" s="4"/>
      <c r="P87" s="4">
        <v>54.038899999999998</v>
      </c>
      <c r="Q87" s="1">
        <f t="shared" si="29"/>
        <v>54.038899999999998</v>
      </c>
      <c r="R87" s="1">
        <f t="shared" si="30"/>
        <v>1350.9724999999999</v>
      </c>
      <c r="S87" s="1">
        <f t="shared" si="37"/>
        <v>1350.9724999999999</v>
      </c>
      <c r="T87" s="1">
        <f t="shared" si="32"/>
        <v>0</v>
      </c>
      <c r="U87" s="1">
        <f t="shared" si="33"/>
        <v>0</v>
      </c>
      <c r="V87" s="4"/>
    </row>
    <row r="88" spans="1:22" x14ac:dyDescent="0.35">
      <c r="A88" s="1">
        <v>87</v>
      </c>
      <c r="B88" s="1">
        <v>19513.44492845656</v>
      </c>
      <c r="C88" s="1">
        <v>0</v>
      </c>
      <c r="D88" s="1"/>
      <c r="E88" s="1">
        <v>0</v>
      </c>
      <c r="F88" s="1">
        <v>0</v>
      </c>
      <c r="G88" s="4">
        <f t="shared" si="34"/>
        <v>0</v>
      </c>
      <c r="H88" s="4">
        <f t="shared" si="35"/>
        <v>0</v>
      </c>
      <c r="I88" s="4">
        <f t="shared" si="36"/>
        <v>0</v>
      </c>
      <c r="J88" s="4">
        <f t="shared" si="36"/>
        <v>0</v>
      </c>
      <c r="K88" s="4"/>
      <c r="L88" s="4"/>
      <c r="M88" s="4"/>
      <c r="N88" s="4"/>
      <c r="O88" s="4"/>
      <c r="P88" s="4">
        <v>382.77600000000001</v>
      </c>
      <c r="Q88" s="1">
        <f t="shared" si="29"/>
        <v>382.77600000000001</v>
      </c>
      <c r="R88" s="1">
        <f t="shared" si="30"/>
        <v>9569.4</v>
      </c>
      <c r="S88" s="1">
        <f t="shared" si="37"/>
        <v>9569.4</v>
      </c>
      <c r="T88" s="1">
        <f t="shared" si="32"/>
        <v>0</v>
      </c>
      <c r="U88" s="1">
        <f t="shared" si="33"/>
        <v>0</v>
      </c>
      <c r="V88" s="4"/>
    </row>
    <row r="89" spans="1:22" x14ac:dyDescent="0.35">
      <c r="A89" s="1">
        <v>88</v>
      </c>
      <c r="B89" s="1">
        <v>5533.3813285011611</v>
      </c>
      <c r="C89" s="1">
        <v>0</v>
      </c>
      <c r="D89" s="1"/>
      <c r="E89" s="1">
        <v>0</v>
      </c>
      <c r="F89" s="1">
        <v>0</v>
      </c>
      <c r="G89" s="4">
        <f t="shared" si="34"/>
        <v>0</v>
      </c>
      <c r="H89" s="4">
        <f t="shared" si="35"/>
        <v>0</v>
      </c>
      <c r="I89" s="4">
        <f t="shared" si="36"/>
        <v>0</v>
      </c>
      <c r="J89" s="4">
        <f t="shared" si="36"/>
        <v>0</v>
      </c>
      <c r="K89" s="4"/>
      <c r="L89" s="4"/>
      <c r="M89" s="4"/>
      <c r="N89" s="4"/>
      <c r="O89" s="4"/>
      <c r="P89" s="4">
        <v>110.304</v>
      </c>
      <c r="Q89" s="1">
        <f t="shared" si="29"/>
        <v>110.304</v>
      </c>
      <c r="R89" s="1">
        <f t="shared" si="30"/>
        <v>2757.6</v>
      </c>
      <c r="S89" s="1">
        <f t="shared" si="37"/>
        <v>2757.6</v>
      </c>
      <c r="T89" s="1">
        <f t="shared" si="32"/>
        <v>0</v>
      </c>
      <c r="U89" s="1">
        <f t="shared" si="33"/>
        <v>0</v>
      </c>
      <c r="V89" s="4"/>
    </row>
    <row r="90" spans="1:22" x14ac:dyDescent="0.35">
      <c r="A90" s="1">
        <v>89</v>
      </c>
      <c r="B90" s="1">
        <v>7532.7075080212007</v>
      </c>
      <c r="C90" s="1">
        <v>0</v>
      </c>
      <c r="D90" s="1"/>
      <c r="E90" s="1">
        <v>0</v>
      </c>
      <c r="F90" s="1">
        <v>0</v>
      </c>
      <c r="G90" s="4">
        <f t="shared" si="34"/>
        <v>0</v>
      </c>
      <c r="H90" s="4">
        <f t="shared" si="35"/>
        <v>0</v>
      </c>
      <c r="I90" s="4">
        <f t="shared" si="36"/>
        <v>0</v>
      </c>
      <c r="J90" s="4">
        <f t="shared" si="36"/>
        <v>0</v>
      </c>
      <c r="K90" s="4"/>
      <c r="L90" s="4"/>
      <c r="M90" s="4"/>
      <c r="N90" s="4"/>
      <c r="O90" s="4"/>
      <c r="P90" s="4">
        <v>158.81</v>
      </c>
      <c r="Q90" s="1">
        <f t="shared" si="29"/>
        <v>158.81</v>
      </c>
      <c r="R90" s="1">
        <f t="shared" si="30"/>
        <v>3970.25</v>
      </c>
      <c r="S90" s="1">
        <f t="shared" si="37"/>
        <v>3970.25</v>
      </c>
      <c r="T90" s="1">
        <f t="shared" si="32"/>
        <v>0</v>
      </c>
      <c r="U90" s="1">
        <f t="shared" si="33"/>
        <v>0</v>
      </c>
      <c r="V90" s="4"/>
    </row>
    <row r="91" spans="1:22" x14ac:dyDescent="0.35">
      <c r="A91" s="1">
        <v>90</v>
      </c>
      <c r="B91" s="1">
        <v>4797.2959806436729</v>
      </c>
      <c r="C91" s="1">
        <v>0</v>
      </c>
      <c r="D91" s="1"/>
      <c r="E91" s="1">
        <v>0</v>
      </c>
      <c r="F91" s="1">
        <v>0</v>
      </c>
      <c r="G91" s="4">
        <f t="shared" si="34"/>
        <v>0</v>
      </c>
      <c r="H91" s="4">
        <f t="shared" si="35"/>
        <v>0</v>
      </c>
      <c r="I91" s="4">
        <f t="shared" si="36"/>
        <v>0</v>
      </c>
      <c r="J91" s="4">
        <f t="shared" si="36"/>
        <v>0</v>
      </c>
      <c r="K91" s="4"/>
      <c r="L91" s="4"/>
      <c r="M91" s="4"/>
      <c r="N91" s="4"/>
      <c r="O91" s="4"/>
      <c r="P91" s="4">
        <v>100.91</v>
      </c>
      <c r="Q91" s="1">
        <f t="shared" si="29"/>
        <v>100.91</v>
      </c>
      <c r="R91" s="1">
        <f t="shared" si="30"/>
        <v>2522.75</v>
      </c>
      <c r="S91" s="1">
        <f t="shared" si="37"/>
        <v>2522.75</v>
      </c>
      <c r="T91" s="1">
        <f t="shared" si="32"/>
        <v>0</v>
      </c>
      <c r="U91" s="1">
        <f t="shared" si="33"/>
        <v>0</v>
      </c>
      <c r="V91" s="4"/>
    </row>
    <row r="92" spans="1:22" x14ac:dyDescent="0.35">
      <c r="A92" s="1">
        <v>91</v>
      </c>
      <c r="B92" s="1">
        <v>5147.5629031179114</v>
      </c>
      <c r="C92" s="1">
        <v>0</v>
      </c>
      <c r="D92" s="1"/>
      <c r="E92" s="1">
        <v>0</v>
      </c>
      <c r="F92" s="1">
        <v>0</v>
      </c>
      <c r="G92" s="4">
        <f t="shared" si="34"/>
        <v>0</v>
      </c>
      <c r="H92" s="4">
        <f t="shared" si="35"/>
        <v>0</v>
      </c>
      <c r="I92" s="4">
        <f t="shared" si="36"/>
        <v>0</v>
      </c>
      <c r="J92" s="4">
        <f t="shared" si="36"/>
        <v>0</v>
      </c>
      <c r="K92" s="4"/>
      <c r="L92" s="4"/>
      <c r="M92" s="4"/>
      <c r="N92" s="4" t="s">
        <v>6</v>
      </c>
      <c r="O92" s="4"/>
      <c r="P92" s="4">
        <v>83.866</v>
      </c>
      <c r="Q92" s="1">
        <f t="shared" si="29"/>
        <v>83.866</v>
      </c>
      <c r="R92" s="1">
        <f t="shared" si="30"/>
        <v>2096.65</v>
      </c>
      <c r="S92" s="1">
        <f t="shared" si="37"/>
        <v>2096.65</v>
      </c>
      <c r="T92" s="1">
        <f t="shared" si="32"/>
        <v>0</v>
      </c>
      <c r="U92" s="1">
        <f t="shared" si="33"/>
        <v>0</v>
      </c>
      <c r="V92" s="4"/>
    </row>
    <row r="93" spans="1:22" x14ac:dyDescent="0.35">
      <c r="A93" s="1">
        <v>92</v>
      </c>
      <c r="B93" s="1">
        <v>2534.563494353717</v>
      </c>
      <c r="C93" s="1">
        <v>0</v>
      </c>
      <c r="D93" s="1"/>
      <c r="E93" s="1">
        <v>0</v>
      </c>
      <c r="F93" s="1">
        <v>0</v>
      </c>
      <c r="G93" s="4">
        <f t="shared" si="34"/>
        <v>0</v>
      </c>
      <c r="H93" s="4">
        <f t="shared" si="35"/>
        <v>0</v>
      </c>
      <c r="I93" s="4">
        <f t="shared" si="36"/>
        <v>0</v>
      </c>
      <c r="J93" s="4">
        <f t="shared" si="36"/>
        <v>0</v>
      </c>
      <c r="K93" s="4"/>
      <c r="L93" s="4"/>
      <c r="M93" s="4"/>
      <c r="N93" s="4"/>
      <c r="O93" s="4"/>
      <c r="P93" s="4">
        <v>53.252299999999998</v>
      </c>
      <c r="Q93" s="1">
        <f t="shared" si="29"/>
        <v>53.252299999999998</v>
      </c>
      <c r="R93" s="1">
        <f t="shared" si="30"/>
        <v>1331.3074999999999</v>
      </c>
      <c r="S93" s="1">
        <f t="shared" si="37"/>
        <v>1331.3074999999999</v>
      </c>
      <c r="T93" s="1">
        <f t="shared" si="32"/>
        <v>0</v>
      </c>
      <c r="U93" s="1">
        <f t="shared" si="33"/>
        <v>0</v>
      </c>
      <c r="V93" s="4"/>
    </row>
    <row r="94" spans="1:22" x14ac:dyDescent="0.35">
      <c r="A94" s="1">
        <v>93</v>
      </c>
      <c r="B94" s="1">
        <v>5159.4345472126533</v>
      </c>
      <c r="C94" s="1">
        <v>0</v>
      </c>
      <c r="D94" s="1"/>
      <c r="E94" s="1">
        <v>0</v>
      </c>
      <c r="F94" s="1">
        <v>0</v>
      </c>
      <c r="G94" s="4">
        <f t="shared" si="34"/>
        <v>0</v>
      </c>
      <c r="H94" s="4">
        <f t="shared" si="35"/>
        <v>0</v>
      </c>
      <c r="I94" s="4">
        <f t="shared" si="36"/>
        <v>0</v>
      </c>
      <c r="J94" s="4">
        <f t="shared" si="36"/>
        <v>0</v>
      </c>
      <c r="K94" s="4"/>
      <c r="L94" s="4"/>
      <c r="M94" s="4"/>
      <c r="N94" s="4"/>
      <c r="O94" s="4"/>
      <c r="P94" s="4">
        <v>109.45699999999999</v>
      </c>
      <c r="Q94" s="1">
        <f t="shared" si="29"/>
        <v>109.45699999999999</v>
      </c>
      <c r="R94" s="1">
        <f t="shared" si="30"/>
        <v>2736.4249999999997</v>
      </c>
      <c r="S94" s="1">
        <f t="shared" si="37"/>
        <v>2736.4249999999997</v>
      </c>
      <c r="T94" s="1">
        <f t="shared" si="32"/>
        <v>0</v>
      </c>
      <c r="U94" s="1">
        <f t="shared" si="33"/>
        <v>0</v>
      </c>
      <c r="V94" s="4"/>
    </row>
    <row r="95" spans="1:22" x14ac:dyDescent="0.35">
      <c r="A95" s="1">
        <v>94</v>
      </c>
      <c r="B95" s="1">
        <v>4317.7330751348463</v>
      </c>
      <c r="C95" s="1">
        <v>0</v>
      </c>
      <c r="D95" s="1"/>
      <c r="E95" s="1">
        <v>0</v>
      </c>
      <c r="F95" s="1">
        <v>0</v>
      </c>
      <c r="G95" s="4">
        <f t="shared" si="34"/>
        <v>0</v>
      </c>
      <c r="H95" s="4">
        <f t="shared" si="35"/>
        <v>0</v>
      </c>
      <c r="I95" s="4">
        <f t="shared" ref="I95:J100" si="38">$M$12*D95</f>
        <v>0</v>
      </c>
      <c r="J95" s="4">
        <f t="shared" si="38"/>
        <v>0</v>
      </c>
      <c r="K95" s="4"/>
      <c r="L95" s="4"/>
      <c r="M95" s="4"/>
      <c r="N95" s="4"/>
      <c r="O95" s="4"/>
      <c r="P95" s="4">
        <v>97.187200000000004</v>
      </c>
      <c r="Q95" s="1">
        <f t="shared" si="29"/>
        <v>97.187200000000004</v>
      </c>
      <c r="R95" s="1">
        <f t="shared" si="30"/>
        <v>2429.6800000000003</v>
      </c>
      <c r="S95" s="1">
        <f t="shared" si="37"/>
        <v>2429.6800000000003</v>
      </c>
      <c r="T95" s="1">
        <f t="shared" si="32"/>
        <v>0</v>
      </c>
      <c r="U95" s="1">
        <f t="shared" si="33"/>
        <v>0</v>
      </c>
      <c r="V95" s="4"/>
    </row>
    <row r="96" spans="1:22" x14ac:dyDescent="0.35">
      <c r="A96" s="1">
        <v>95</v>
      </c>
      <c r="B96" s="1">
        <v>6988.6643510423764</v>
      </c>
      <c r="C96" s="1">
        <v>0</v>
      </c>
      <c r="D96" s="1"/>
      <c r="E96" s="1">
        <v>0</v>
      </c>
      <c r="F96" s="1">
        <v>0</v>
      </c>
      <c r="G96" s="4">
        <f t="shared" si="34"/>
        <v>0</v>
      </c>
      <c r="H96" s="4">
        <f t="shared" si="35"/>
        <v>0</v>
      </c>
      <c r="I96" s="4">
        <f t="shared" si="38"/>
        <v>0</v>
      </c>
      <c r="J96" s="4">
        <f t="shared" si="38"/>
        <v>0</v>
      </c>
      <c r="K96" s="4"/>
      <c r="L96" s="4"/>
      <c r="M96" s="4"/>
      <c r="N96" s="4"/>
      <c r="O96" s="4"/>
      <c r="P96" s="4">
        <v>114.952</v>
      </c>
      <c r="Q96" s="1">
        <f t="shared" si="29"/>
        <v>114.952</v>
      </c>
      <c r="R96" s="1">
        <f t="shared" si="30"/>
        <v>2873.8</v>
      </c>
      <c r="S96" s="1">
        <f t="shared" si="37"/>
        <v>2873.8</v>
      </c>
      <c r="T96" s="1">
        <f t="shared" si="32"/>
        <v>0</v>
      </c>
      <c r="U96" s="1">
        <f t="shared" si="33"/>
        <v>0</v>
      </c>
      <c r="V96" s="4"/>
    </row>
    <row r="97" spans="1:22" x14ac:dyDescent="0.35">
      <c r="A97" s="1">
        <v>96</v>
      </c>
      <c r="B97" s="1">
        <v>2938.8092172996649</v>
      </c>
      <c r="C97" s="1">
        <v>0</v>
      </c>
      <c r="D97" s="1"/>
      <c r="E97" s="1">
        <v>0</v>
      </c>
      <c r="F97" s="1">
        <v>0</v>
      </c>
      <c r="G97" s="4">
        <f t="shared" si="34"/>
        <v>0</v>
      </c>
      <c r="H97" s="4">
        <f t="shared" si="35"/>
        <v>0</v>
      </c>
      <c r="I97" s="4">
        <f t="shared" si="38"/>
        <v>0</v>
      </c>
      <c r="J97" s="4">
        <f t="shared" si="38"/>
        <v>0</v>
      </c>
      <c r="K97" s="4"/>
      <c r="L97" s="4"/>
      <c r="M97" s="4"/>
      <c r="N97" s="4"/>
      <c r="O97" s="4"/>
      <c r="P97" s="4">
        <v>61.982599999999998</v>
      </c>
      <c r="Q97" s="1">
        <f t="shared" si="29"/>
        <v>61.982599999999998</v>
      </c>
      <c r="R97" s="1">
        <f t="shared" si="30"/>
        <v>1549.5650000000001</v>
      </c>
      <c r="S97" s="1">
        <f>R97-G97</f>
        <v>1549.5650000000001</v>
      </c>
      <c r="T97" s="1">
        <f t="shared" si="32"/>
        <v>0</v>
      </c>
      <c r="U97" s="1">
        <f t="shared" si="33"/>
        <v>0</v>
      </c>
      <c r="V97" s="4"/>
    </row>
    <row r="98" spans="1:22" x14ac:dyDescent="0.35">
      <c r="A98" s="1">
        <v>97</v>
      </c>
      <c r="B98" s="1">
        <v>6184.3427862351964</v>
      </c>
      <c r="C98" s="1">
        <v>0</v>
      </c>
      <c r="D98" s="1"/>
      <c r="E98" s="1">
        <v>0</v>
      </c>
      <c r="F98" s="1">
        <v>0</v>
      </c>
      <c r="G98" s="4">
        <f t="shared" si="34"/>
        <v>0</v>
      </c>
      <c r="H98" s="4">
        <f t="shared" si="35"/>
        <v>0</v>
      </c>
      <c r="I98" s="4">
        <f t="shared" si="38"/>
        <v>0</v>
      </c>
      <c r="J98" s="4">
        <f t="shared" si="38"/>
        <v>0</v>
      </c>
      <c r="K98" s="4"/>
      <c r="L98" s="4"/>
      <c r="M98" s="4"/>
      <c r="N98" s="4"/>
      <c r="O98" s="4"/>
      <c r="P98" s="4">
        <v>129.93600000000001</v>
      </c>
      <c r="Q98" s="1">
        <f t="shared" si="29"/>
        <v>129.93600000000001</v>
      </c>
      <c r="R98" s="1">
        <f t="shared" si="30"/>
        <v>3248.4</v>
      </c>
      <c r="S98" s="1">
        <f t="shared" ref="S98:S100" si="39">R98-G98</f>
        <v>3248.4</v>
      </c>
      <c r="T98" s="1">
        <f t="shared" si="32"/>
        <v>0</v>
      </c>
      <c r="U98" s="1">
        <f t="shared" si="33"/>
        <v>0</v>
      </c>
      <c r="V98" s="4"/>
    </row>
    <row r="99" spans="1:22" x14ac:dyDescent="0.35">
      <c r="A99" s="1">
        <v>98</v>
      </c>
      <c r="B99" s="1">
        <v>3973.5840486666689</v>
      </c>
      <c r="C99" s="1">
        <v>0</v>
      </c>
      <c r="D99" s="1"/>
      <c r="E99" s="1">
        <v>0</v>
      </c>
      <c r="F99" s="1">
        <v>0</v>
      </c>
      <c r="G99" s="4">
        <f t="shared" si="34"/>
        <v>0</v>
      </c>
      <c r="H99" s="4">
        <f t="shared" si="35"/>
        <v>0</v>
      </c>
      <c r="I99" s="4">
        <f t="shared" si="38"/>
        <v>0</v>
      </c>
      <c r="J99" s="4">
        <f t="shared" si="38"/>
        <v>0</v>
      </c>
      <c r="K99" s="4"/>
      <c r="L99" s="4"/>
      <c r="M99" s="4"/>
      <c r="N99" s="4"/>
      <c r="O99" s="4"/>
      <c r="P99" s="4">
        <v>82.931700000000006</v>
      </c>
      <c r="Q99" s="1">
        <f t="shared" si="29"/>
        <v>82.931700000000006</v>
      </c>
      <c r="R99" s="1">
        <f t="shared" si="30"/>
        <v>2073.2925</v>
      </c>
      <c r="S99" s="1">
        <f t="shared" si="39"/>
        <v>2073.2925</v>
      </c>
      <c r="T99" s="1">
        <f t="shared" si="32"/>
        <v>0</v>
      </c>
      <c r="U99" s="1">
        <f t="shared" si="33"/>
        <v>0</v>
      </c>
      <c r="V99" s="4"/>
    </row>
    <row r="100" spans="1:22" x14ac:dyDescent="0.35">
      <c r="A100" s="1">
        <v>99</v>
      </c>
      <c r="B100" s="1">
        <v>6386.1720264839241</v>
      </c>
      <c r="C100" s="1">
        <v>0</v>
      </c>
      <c r="D100" s="1"/>
      <c r="E100" s="1">
        <v>0</v>
      </c>
      <c r="F100" s="1">
        <v>0</v>
      </c>
      <c r="G100" s="4">
        <f t="shared" si="34"/>
        <v>0</v>
      </c>
      <c r="H100" s="4">
        <f t="shared" si="35"/>
        <v>0</v>
      </c>
      <c r="I100" s="4">
        <f t="shared" si="38"/>
        <v>0</v>
      </c>
      <c r="J100" s="4">
        <f t="shared" si="38"/>
        <v>0</v>
      </c>
      <c r="K100" s="4"/>
      <c r="L100" s="4"/>
      <c r="M100" s="4"/>
      <c r="N100" s="4"/>
      <c r="O100" s="4"/>
      <c r="P100" s="4">
        <v>106.389</v>
      </c>
      <c r="Q100" s="1">
        <f t="shared" si="29"/>
        <v>106.389</v>
      </c>
      <c r="R100" s="1">
        <f t="shared" si="30"/>
        <v>2659.7249999999999</v>
      </c>
      <c r="S100" s="1">
        <f t="shared" si="39"/>
        <v>2659.7249999999999</v>
      </c>
      <c r="T100" s="1">
        <f t="shared" si="32"/>
        <v>0</v>
      </c>
      <c r="U100" s="1">
        <f t="shared" si="33"/>
        <v>0</v>
      </c>
      <c r="V100" s="4"/>
    </row>
    <row r="101" spans="1:22" x14ac:dyDescent="0.35">
      <c r="C101" s="4"/>
      <c r="D101" s="4"/>
      <c r="E101" s="4"/>
      <c r="F101" s="4"/>
      <c r="G101" s="4"/>
      <c r="H101" s="4"/>
      <c r="I101" s="4"/>
      <c r="J101" s="4"/>
      <c r="K101" s="4"/>
      <c r="L101" s="4"/>
      <c r="M101" s="4"/>
      <c r="N101" s="4"/>
      <c r="O101" s="4"/>
      <c r="P101" s="4"/>
      <c r="Q101" s="4"/>
      <c r="R101" s="4"/>
      <c r="S101" s="4"/>
      <c r="T101" s="4"/>
      <c r="U101" s="4"/>
      <c r="V101" s="4"/>
    </row>
    <row r="102" spans="1:22" x14ac:dyDescent="0.35">
      <c r="A102" s="1" t="s">
        <v>57</v>
      </c>
      <c r="B102" s="1">
        <f>SUM(B2:B100)</f>
        <v>404431.86611276446</v>
      </c>
      <c r="C102" s="1">
        <f t="shared" ref="C102:S102" si="40">SUM(C2:C100)</f>
        <v>162</v>
      </c>
      <c r="D102" s="1"/>
      <c r="E102" s="1">
        <f t="shared" si="40"/>
        <v>405</v>
      </c>
      <c r="F102" s="1">
        <f t="shared" si="40"/>
        <v>125.40000000000002</v>
      </c>
      <c r="G102" s="1">
        <f t="shared" si="40"/>
        <v>149440</v>
      </c>
      <c r="H102" s="1">
        <f t="shared" si="40"/>
        <v>5293.9999999999991</v>
      </c>
      <c r="I102" s="1"/>
      <c r="J102" s="1">
        <f t="shared" si="40"/>
        <v>132350</v>
      </c>
      <c r="K102" s="1">
        <f t="shared" si="40"/>
        <v>0</v>
      </c>
      <c r="L102" s="1">
        <f t="shared" si="40"/>
        <v>0</v>
      </c>
      <c r="M102" s="1">
        <f t="shared" si="40"/>
        <v>130397.81721330379</v>
      </c>
      <c r="N102" s="1">
        <f t="shared" si="40"/>
        <v>0</v>
      </c>
      <c r="O102" s="1">
        <f t="shared" si="40"/>
        <v>0</v>
      </c>
      <c r="P102" s="1">
        <f t="shared" si="40"/>
        <v>22905.599420000006</v>
      </c>
      <c r="Q102" s="1">
        <f t="shared" si="40"/>
        <v>-126534.40058</v>
      </c>
      <c r="R102" s="1">
        <f t="shared" si="40"/>
        <v>572639.98549999995</v>
      </c>
      <c r="S102" s="1">
        <f t="shared" si="40"/>
        <v>423199.98549999989</v>
      </c>
      <c r="T102" s="1"/>
      <c r="U102" s="1"/>
      <c r="V102" s="4"/>
    </row>
    <row r="103" spans="1:22" x14ac:dyDescent="0.35">
      <c r="C103" s="4"/>
      <c r="D103" s="4"/>
      <c r="E103" s="4"/>
      <c r="F103" s="4"/>
      <c r="G103" s="4"/>
      <c r="H103" s="4"/>
      <c r="I103" s="4"/>
      <c r="J103" s="4"/>
      <c r="K103" s="4"/>
      <c r="L103" s="4"/>
      <c r="M103" s="4"/>
      <c r="N103" s="4"/>
      <c r="O103" s="4"/>
      <c r="P103" s="4"/>
      <c r="Q103" s="4"/>
      <c r="R103" s="4"/>
      <c r="S103" s="4"/>
      <c r="T103" s="4"/>
      <c r="U103" s="4"/>
      <c r="V103" s="4"/>
    </row>
    <row r="104" spans="1:22" x14ac:dyDescent="0.35">
      <c r="C104" s="4"/>
      <c r="D104" s="4"/>
      <c r="E104" s="4"/>
      <c r="F104" s="4"/>
      <c r="G104" s="4"/>
      <c r="H104" s="4"/>
      <c r="I104" s="4"/>
      <c r="J104" s="4"/>
      <c r="K104" s="4"/>
      <c r="L104" s="4"/>
      <c r="M104" s="4"/>
      <c r="N104" s="4"/>
      <c r="O104" s="4"/>
      <c r="P104" s="4"/>
      <c r="Q104" s="4"/>
      <c r="R104" s="4"/>
      <c r="S104" s="4"/>
      <c r="T104" s="4"/>
      <c r="U104" s="4"/>
      <c r="V104" s="4"/>
    </row>
  </sheetData>
  <mergeCells count="2">
    <mergeCell ref="L9:M9"/>
    <mergeCell ref="L20:M20"/>
  </mergeCells>
  <pageMargins left="0.7" right="0.7" top="0.75" bottom="0.75" header="0.3" footer="0.3"/>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104"/>
  <sheetViews>
    <sheetView topLeftCell="A14" zoomScale="80" zoomScaleNormal="80" workbookViewId="0">
      <selection activeCell="N52" sqref="N52"/>
    </sheetView>
  </sheetViews>
  <sheetFormatPr defaultRowHeight="14.5" x14ac:dyDescent="0.35"/>
  <cols>
    <col min="1" max="1" width="23.26953125" style="1" bestFit="1" customWidth="1"/>
    <col min="2" max="2" width="25.54296875" style="1" bestFit="1" customWidth="1"/>
    <col min="3" max="3" width="16.7265625" bestFit="1" customWidth="1"/>
    <col min="4" max="4" width="16.7265625" customWidth="1"/>
    <col min="5" max="5" width="16.1796875" bestFit="1" customWidth="1"/>
    <col min="6" max="6" width="20.54296875" customWidth="1"/>
    <col min="7" max="7" width="12" customWidth="1"/>
    <col min="8" max="9" width="12.26953125" customWidth="1"/>
    <col min="10" max="10" width="13" customWidth="1"/>
    <col min="11" max="11" width="8.7265625" customWidth="1"/>
    <col min="12" max="12" width="24.08984375" bestFit="1" customWidth="1"/>
    <col min="13" max="13" width="12.6328125" bestFit="1" customWidth="1"/>
    <col min="14" max="14" width="21.6328125" bestFit="1" customWidth="1"/>
    <col min="16" max="16" width="12.453125" customWidth="1"/>
    <col min="18" max="18" width="14.36328125" customWidth="1"/>
    <col min="19" max="19" width="10.36328125" customWidth="1"/>
    <col min="20" max="20" width="12.453125" customWidth="1"/>
    <col min="21" max="21" width="10.453125" customWidth="1"/>
    <col min="23" max="23" width="14" customWidth="1"/>
    <col min="26" max="26" width="20.54296875" customWidth="1"/>
    <col min="27" max="27" width="19.81640625" customWidth="1"/>
    <col min="28" max="28" width="18.1796875" customWidth="1"/>
    <col min="29" max="29" width="16" customWidth="1"/>
    <col min="30" max="30" width="15.26953125" bestFit="1" customWidth="1"/>
    <col min="31" max="31" width="14.81640625" bestFit="1" customWidth="1"/>
  </cols>
  <sheetData>
    <row r="1" spans="1:31" ht="63" customHeight="1" x14ac:dyDescent="0.35">
      <c r="A1" s="57" t="s">
        <v>7</v>
      </c>
      <c r="B1" s="60" t="s">
        <v>8</v>
      </c>
      <c r="C1" s="60" t="s">
        <v>253</v>
      </c>
      <c r="D1" s="61" t="s">
        <v>281</v>
      </c>
      <c r="E1" s="60" t="s">
        <v>254</v>
      </c>
      <c r="F1" s="61" t="s">
        <v>255</v>
      </c>
      <c r="G1" s="61" t="s">
        <v>256</v>
      </c>
      <c r="H1" s="61" t="s">
        <v>257</v>
      </c>
      <c r="I1" s="61" t="s">
        <v>282</v>
      </c>
      <c r="J1" s="61" t="s">
        <v>275</v>
      </c>
      <c r="K1" s="69"/>
      <c r="L1" s="69"/>
      <c r="M1" s="69"/>
      <c r="N1" s="69"/>
      <c r="O1" s="69"/>
      <c r="P1" s="61" t="s">
        <v>276</v>
      </c>
      <c r="Q1" s="61" t="s">
        <v>277</v>
      </c>
      <c r="R1" s="61" t="s">
        <v>278</v>
      </c>
      <c r="S1" s="61" t="s">
        <v>279</v>
      </c>
      <c r="T1" s="61" t="s">
        <v>31</v>
      </c>
      <c r="U1" s="12" t="s">
        <v>283</v>
      </c>
      <c r="V1" s="1"/>
      <c r="W1" s="6" t="s">
        <v>33</v>
      </c>
      <c r="X1" s="6" t="s">
        <v>34</v>
      </c>
      <c r="Y1" s="6" t="s">
        <v>35</v>
      </c>
      <c r="Z1" s="6" t="s">
        <v>36</v>
      </c>
      <c r="AA1" s="6" t="s">
        <v>37</v>
      </c>
      <c r="AB1" s="6" t="s">
        <v>38</v>
      </c>
      <c r="AC1" s="12" t="s">
        <v>39</v>
      </c>
      <c r="AD1" s="12" t="s">
        <v>40</v>
      </c>
      <c r="AE1" s="12" t="s">
        <v>41</v>
      </c>
    </row>
    <row r="2" spans="1:31" x14ac:dyDescent="0.35">
      <c r="A2" s="1">
        <v>1</v>
      </c>
      <c r="B2" s="62">
        <v>1079.529030351737</v>
      </c>
      <c r="C2" s="62">
        <v>2</v>
      </c>
      <c r="D2" s="62">
        <v>3494.71</v>
      </c>
      <c r="E2" s="62">
        <v>5</v>
      </c>
      <c r="F2" s="62">
        <v>1.2</v>
      </c>
      <c r="G2" s="56">
        <f>M22</f>
        <v>8000</v>
      </c>
      <c r="H2" s="56">
        <f>$M$28*C2</f>
        <v>71.2</v>
      </c>
      <c r="I2" s="56">
        <f>H2/D2</f>
        <v>2.0373650460267088E-2</v>
      </c>
      <c r="J2" s="56">
        <f t="shared" ref="J2:J46" si="0">H2*25</f>
        <v>1780</v>
      </c>
      <c r="K2" s="56"/>
      <c r="L2" s="56"/>
      <c r="M2" s="56"/>
      <c r="N2" s="56"/>
      <c r="O2" s="56"/>
      <c r="P2" s="1">
        <v>273.161</v>
      </c>
      <c r="Q2" s="1">
        <f>P2-G2</f>
        <v>-7726.8389999999999</v>
      </c>
      <c r="R2" s="1">
        <f>P2*$M$37</f>
        <v>6829.0249999999996</v>
      </c>
      <c r="S2" s="1">
        <f>R2-G2</f>
        <v>-1170.9750000000004</v>
      </c>
      <c r="T2" s="1">
        <f>(G2/($M$37*B2))+I2</f>
        <v>0.31679921290737989</v>
      </c>
      <c r="U2" s="1">
        <f>(G2/($M$40*B2))+I2</f>
        <v>0.57195693340608234</v>
      </c>
      <c r="V2" s="1"/>
      <c r="W2" s="1" t="s">
        <v>284</v>
      </c>
      <c r="X2" s="1">
        <v>0</v>
      </c>
      <c r="Y2">
        <f>-W5</f>
        <v>-584400</v>
      </c>
      <c r="Z2">
        <f>Y2</f>
        <v>-584400</v>
      </c>
      <c r="AB2">
        <f>Y2</f>
        <v>-584400</v>
      </c>
      <c r="AC2">
        <f>Y2</f>
        <v>-584400</v>
      </c>
      <c r="AE2">
        <f>Y2</f>
        <v>-584400</v>
      </c>
    </row>
    <row r="3" spans="1:31" x14ac:dyDescent="0.35">
      <c r="A3" s="1">
        <v>2</v>
      </c>
      <c r="B3" s="62">
        <v>3886.3217817133332</v>
      </c>
      <c r="C3" s="62">
        <v>4</v>
      </c>
      <c r="D3" s="62">
        <v>6989.42</v>
      </c>
      <c r="E3" s="62">
        <v>10</v>
      </c>
      <c r="F3" s="62">
        <v>3.3</v>
      </c>
      <c r="G3" s="56">
        <f>M24</f>
        <v>18000</v>
      </c>
      <c r="H3" s="56">
        <f>$M$28*C3</f>
        <v>142.4</v>
      </c>
      <c r="I3" s="56">
        <f t="shared" ref="I3:I46" si="1">H3/D3</f>
        <v>2.0373650460267088E-2</v>
      </c>
      <c r="J3" s="56">
        <f t="shared" si="0"/>
        <v>3560</v>
      </c>
      <c r="K3" s="56"/>
      <c r="L3" s="56" t="s">
        <v>267</v>
      </c>
      <c r="M3" s="56"/>
      <c r="N3" s="56"/>
      <c r="O3" s="56"/>
      <c r="P3" s="1">
        <v>434.72800000000001</v>
      </c>
      <c r="Q3" s="1">
        <f t="shared" ref="Q3:Q66" si="2">P3-G3</f>
        <v>-17565.272000000001</v>
      </c>
      <c r="R3" s="1">
        <f t="shared" ref="R3:R66" si="3">P3*$M$37</f>
        <v>10868.2</v>
      </c>
      <c r="S3" s="1">
        <f t="shared" ref="S3:S66" si="4">R3-G3</f>
        <v>-7131.7999999999993</v>
      </c>
      <c r="T3" s="1">
        <f t="shared" ref="T3:T66" si="5">(G3/($M$37*B3))+I3</f>
        <v>0.20563880358986181</v>
      </c>
      <c r="U3" s="1">
        <f t="shared" ref="U3:U66" si="6">(G3/($M$40*B3))+I3</f>
        <v>0.36511167013396928</v>
      </c>
      <c r="V3" s="1"/>
      <c r="W3" s="1"/>
      <c r="X3" s="1">
        <v>1</v>
      </c>
      <c r="Y3">
        <f>W8</f>
        <v>18220.519700000001</v>
      </c>
      <c r="Z3">
        <f>Z2+Y3</f>
        <v>-566179.48030000005</v>
      </c>
      <c r="AA3">
        <f>Y3/(1+$M$13)^X3</f>
        <v>17172.968614514612</v>
      </c>
      <c r="AB3">
        <f>AB2+AA3</f>
        <v>-567227.03138548543</v>
      </c>
      <c r="AC3">
        <f>$W$8*((1+$M$34)^X3)</f>
        <v>18676.032692500001</v>
      </c>
      <c r="AD3">
        <f>AC3/(1+$M$13)^X3</f>
        <v>17602.292829877475</v>
      </c>
      <c r="AE3">
        <f>AE2+AD3</f>
        <v>-566797.70717012254</v>
      </c>
    </row>
    <row r="4" spans="1:31" ht="29" x14ac:dyDescent="0.35">
      <c r="A4" s="1">
        <v>3</v>
      </c>
      <c r="B4" s="1">
        <v>3457.332910813851</v>
      </c>
      <c r="C4" s="1">
        <v>2</v>
      </c>
      <c r="D4" s="1">
        <v>3494.71</v>
      </c>
      <c r="E4" s="1">
        <v>5</v>
      </c>
      <c r="F4" s="1">
        <v>0</v>
      </c>
      <c r="G4" s="4">
        <f>$M$11*C4*1000</f>
        <v>5000</v>
      </c>
      <c r="H4" s="4">
        <f>$M$12*C4</f>
        <v>53</v>
      </c>
      <c r="I4" s="56">
        <f t="shared" si="1"/>
        <v>1.5165779134749377E-2</v>
      </c>
      <c r="J4" s="4">
        <f t="shared" si="0"/>
        <v>1325</v>
      </c>
      <c r="K4" s="4"/>
      <c r="L4" s="4"/>
      <c r="M4" s="4"/>
      <c r="N4" s="4"/>
      <c r="O4" s="4"/>
      <c r="P4" s="1">
        <v>78.388900000000007</v>
      </c>
      <c r="Q4" s="1">
        <f t="shared" si="2"/>
        <v>-4921.6111000000001</v>
      </c>
      <c r="R4" s="1">
        <f t="shared" si="3"/>
        <v>1959.7225000000001</v>
      </c>
      <c r="S4" s="1">
        <f t="shared" si="4"/>
        <v>-3040.2775000000001</v>
      </c>
      <c r="T4" s="1">
        <f t="shared" si="5"/>
        <v>7.3013838653241139E-2</v>
      </c>
      <c r="U4" s="1">
        <f t="shared" si="6"/>
        <v>0.1228083937521966</v>
      </c>
      <c r="V4" s="1"/>
      <c r="W4" s="73" t="s">
        <v>285</v>
      </c>
      <c r="X4" s="1">
        <f>X3+1</f>
        <v>2</v>
      </c>
      <c r="Y4">
        <f>Y3</f>
        <v>18220.519700000001</v>
      </c>
      <c r="Z4">
        <f>Z3+Y4</f>
        <v>-547958.96060000011</v>
      </c>
      <c r="AA4">
        <f t="shared" ref="AA4:AA27" si="7">Y4/(1+$M$13)^X4</f>
        <v>16185.644311512357</v>
      </c>
      <c r="AB4">
        <f t="shared" ref="AB4:AB27" si="8">AB3+AA4</f>
        <v>-551041.38707397308</v>
      </c>
      <c r="AC4">
        <f t="shared" ref="AC4:AC27" si="9">$W$8*((1+$M$34)^X4)</f>
        <v>19142.933509812498</v>
      </c>
      <c r="AD4">
        <f t="shared" ref="AD4:AD27" si="10">AC4/(1+$M$13)^X4</f>
        <v>17005.042554782667</v>
      </c>
      <c r="AE4">
        <f t="shared" ref="AE4:AE27" si="11">AE3+AD4</f>
        <v>-549792.66461533983</v>
      </c>
    </row>
    <row r="5" spans="1:31" x14ac:dyDescent="0.35">
      <c r="A5" s="1">
        <v>4</v>
      </c>
      <c r="B5" s="62">
        <v>1453.8912212817379</v>
      </c>
      <c r="C5" s="62">
        <v>2</v>
      </c>
      <c r="D5" s="62">
        <v>3494.71</v>
      </c>
      <c r="E5" s="62">
        <v>5</v>
      </c>
      <c r="F5" s="62">
        <v>1.2</v>
      </c>
      <c r="G5" s="56">
        <f>M23</f>
        <v>13000</v>
      </c>
      <c r="H5" s="56">
        <f>$M$28*C5</f>
        <v>71.2</v>
      </c>
      <c r="I5" s="56">
        <f t="shared" si="1"/>
        <v>2.0373650460267088E-2</v>
      </c>
      <c r="J5" s="56">
        <f t="shared" si="0"/>
        <v>1780</v>
      </c>
      <c r="K5" s="56"/>
      <c r="L5" s="56"/>
      <c r="M5" s="56"/>
      <c r="N5" s="56"/>
      <c r="O5" s="56"/>
      <c r="P5" s="1">
        <v>253.096</v>
      </c>
      <c r="Q5" s="1">
        <f t="shared" si="2"/>
        <v>-12746.904</v>
      </c>
      <c r="R5" s="1">
        <f t="shared" si="3"/>
        <v>6327.4</v>
      </c>
      <c r="S5" s="1">
        <f t="shared" si="4"/>
        <v>-6672.6</v>
      </c>
      <c r="T5" s="1">
        <f t="shared" si="5"/>
        <v>0.37803452108686902</v>
      </c>
      <c r="U5" s="1">
        <f t="shared" si="6"/>
        <v>0.68590247858445275</v>
      </c>
      <c r="V5" s="1"/>
      <c r="W5" s="1">
        <f>SUM(G2:G46)</f>
        <v>584400</v>
      </c>
      <c r="X5" s="1">
        <f t="shared" ref="X5:X27" si="12">X4+1</f>
        <v>3</v>
      </c>
      <c r="Y5">
        <f t="shared" ref="Y5:Y27" si="13">Y4</f>
        <v>18220.519700000001</v>
      </c>
      <c r="Z5">
        <f t="shared" ref="Z5:Z27" si="14">Z4+Y5</f>
        <v>-529738.44090000016</v>
      </c>
      <c r="AA5">
        <f t="shared" si="7"/>
        <v>15255.084176731723</v>
      </c>
      <c r="AB5">
        <f t="shared" si="8"/>
        <v>-535786.30289724132</v>
      </c>
      <c r="AC5">
        <f t="shared" si="9"/>
        <v>19621.506847557812</v>
      </c>
      <c r="AD5">
        <f t="shared" si="10"/>
        <v>16428.057133508235</v>
      </c>
      <c r="AE5">
        <f t="shared" si="11"/>
        <v>-533364.60748183157</v>
      </c>
    </row>
    <row r="6" spans="1:31" x14ac:dyDescent="0.35">
      <c r="A6" s="1">
        <v>5</v>
      </c>
      <c r="B6" s="1">
        <v>3955.020115733626</v>
      </c>
      <c r="C6" s="1">
        <v>4</v>
      </c>
      <c r="D6" s="1">
        <v>6989.42</v>
      </c>
      <c r="E6" s="1">
        <v>10</v>
      </c>
      <c r="F6" s="1">
        <v>0</v>
      </c>
      <c r="G6" s="4">
        <f>$M$11*C6*1000</f>
        <v>10000</v>
      </c>
      <c r="H6" s="4">
        <f>$M$12*C6</f>
        <v>106</v>
      </c>
      <c r="I6" s="56">
        <f t="shared" si="1"/>
        <v>1.5165779134749377E-2</v>
      </c>
      <c r="J6" s="4">
        <f t="shared" si="0"/>
        <v>2650</v>
      </c>
      <c r="K6" s="4"/>
      <c r="L6" s="4"/>
      <c r="M6" s="4"/>
      <c r="N6" s="4"/>
      <c r="O6" s="4"/>
      <c r="P6" s="1">
        <v>379.79399999999998</v>
      </c>
      <c r="Q6" s="1">
        <f t="shared" si="2"/>
        <v>-9620.2060000000001</v>
      </c>
      <c r="R6" s="1">
        <f t="shared" si="3"/>
        <v>9494.85</v>
      </c>
      <c r="S6" s="1">
        <f t="shared" si="4"/>
        <v>-505.14999999999964</v>
      </c>
      <c r="T6" s="1">
        <f t="shared" si="5"/>
        <v>0.11630306498792212</v>
      </c>
      <c r="U6" s="1">
        <f t="shared" si="6"/>
        <v>0.20336019697978741</v>
      </c>
      <c r="V6" s="1"/>
      <c r="W6" s="1"/>
      <c r="X6" s="1">
        <f t="shared" si="12"/>
        <v>4</v>
      </c>
      <c r="Y6">
        <f t="shared" si="13"/>
        <v>18220.519700000001</v>
      </c>
      <c r="Z6">
        <f t="shared" si="14"/>
        <v>-511517.92120000016</v>
      </c>
      <c r="AA6">
        <f t="shared" si="7"/>
        <v>14378.024671754687</v>
      </c>
      <c r="AB6">
        <f t="shared" si="8"/>
        <v>-521408.27822548663</v>
      </c>
      <c r="AC6">
        <f t="shared" si="9"/>
        <v>20112.044518746756</v>
      </c>
      <c r="AD6">
        <f t="shared" si="10"/>
        <v>15870.648974407106</v>
      </c>
      <c r="AE6">
        <f t="shared" si="11"/>
        <v>-517493.95850742445</v>
      </c>
    </row>
    <row r="7" spans="1:31" ht="29" x14ac:dyDescent="0.35">
      <c r="A7" s="1">
        <v>6</v>
      </c>
      <c r="B7" s="62">
        <v>2105.0165005377999</v>
      </c>
      <c r="C7" s="62">
        <v>2</v>
      </c>
      <c r="D7" s="62">
        <v>3494.71</v>
      </c>
      <c r="E7" s="62">
        <v>5</v>
      </c>
      <c r="F7" s="62">
        <v>4.2</v>
      </c>
      <c r="G7" s="56">
        <f>M23</f>
        <v>13000</v>
      </c>
      <c r="H7" s="56">
        <f>$M$28*C7</f>
        <v>71.2</v>
      </c>
      <c r="I7" s="56">
        <f t="shared" si="1"/>
        <v>2.0373650460267088E-2</v>
      </c>
      <c r="J7" s="56">
        <f t="shared" si="0"/>
        <v>1780</v>
      </c>
      <c r="K7" s="56"/>
      <c r="L7" s="56"/>
      <c r="M7" s="56"/>
      <c r="N7" s="56"/>
      <c r="O7" s="56"/>
      <c r="P7" s="1">
        <v>264.803</v>
      </c>
      <c r="Q7" s="1">
        <f t="shared" si="2"/>
        <v>-12735.197</v>
      </c>
      <c r="R7" s="1">
        <f t="shared" si="3"/>
        <v>6620.0749999999998</v>
      </c>
      <c r="S7" s="1">
        <f t="shared" si="4"/>
        <v>-6379.9250000000002</v>
      </c>
      <c r="T7" s="1">
        <f t="shared" si="5"/>
        <v>0.26740259292563395</v>
      </c>
      <c r="U7" s="1">
        <f t="shared" si="6"/>
        <v>0.48004060341406452</v>
      </c>
      <c r="V7" s="1"/>
      <c r="W7" s="73" t="s">
        <v>286</v>
      </c>
      <c r="X7" s="1">
        <f t="shared" si="12"/>
        <v>5</v>
      </c>
      <c r="Y7">
        <f t="shared" si="13"/>
        <v>18220.519700000001</v>
      </c>
      <c r="Z7">
        <f t="shared" si="14"/>
        <v>-493297.40150000015</v>
      </c>
      <c r="AA7">
        <f t="shared" si="7"/>
        <v>13551.389888552956</v>
      </c>
      <c r="AB7">
        <f t="shared" si="8"/>
        <v>-507856.88833693368</v>
      </c>
      <c r="AC7">
        <f t="shared" si="9"/>
        <v>20614.84563171542</v>
      </c>
      <c r="AD7">
        <f t="shared" si="10"/>
        <v>15332.15381599178</v>
      </c>
      <c r="AE7">
        <f t="shared" si="11"/>
        <v>-502161.80469143268</v>
      </c>
    </row>
    <row r="8" spans="1:31" ht="15" thickBot="1" x14ac:dyDescent="0.4">
      <c r="A8" s="1">
        <v>7</v>
      </c>
      <c r="B8" s="1">
        <v>1617.7934488334181</v>
      </c>
      <c r="C8" s="1">
        <v>2</v>
      </c>
      <c r="D8" s="1">
        <v>3494.71</v>
      </c>
      <c r="E8" s="1">
        <v>5</v>
      </c>
      <c r="F8" s="1">
        <v>0</v>
      </c>
      <c r="G8" s="4">
        <f>$M$11*C8*1000</f>
        <v>5000</v>
      </c>
      <c r="H8" s="4">
        <f>$M$12*C8</f>
        <v>53</v>
      </c>
      <c r="I8" s="56">
        <f t="shared" si="1"/>
        <v>1.5165779134749377E-2</v>
      </c>
      <c r="J8" s="4">
        <f t="shared" si="0"/>
        <v>1325</v>
      </c>
      <c r="K8" s="4"/>
      <c r="L8" s="4"/>
      <c r="M8" s="4"/>
      <c r="N8" s="4"/>
      <c r="O8" s="4"/>
      <c r="P8" s="1">
        <v>199.303</v>
      </c>
      <c r="Q8" s="1">
        <f t="shared" si="2"/>
        <v>-4800.6970000000001</v>
      </c>
      <c r="R8" s="1">
        <f t="shared" si="3"/>
        <v>4982.5749999999998</v>
      </c>
      <c r="S8" s="1">
        <f t="shared" si="4"/>
        <v>-17.425000000000182</v>
      </c>
      <c r="T8" s="1">
        <f t="shared" si="5"/>
        <v>0.13879095523137586</v>
      </c>
      <c r="U8" s="1">
        <f t="shared" si="6"/>
        <v>0.24520525320439171</v>
      </c>
      <c r="V8" s="1"/>
      <c r="W8" s="1">
        <f>SUM(P2:P46)</f>
        <v>18220.519700000001</v>
      </c>
      <c r="X8" s="1">
        <f t="shared" si="12"/>
        <v>6</v>
      </c>
      <c r="Y8">
        <f t="shared" si="13"/>
        <v>18220.519700000001</v>
      </c>
      <c r="Z8">
        <f t="shared" si="14"/>
        <v>-475076.88180000015</v>
      </c>
      <c r="AA8">
        <f t="shared" si="7"/>
        <v>12772.280762066875</v>
      </c>
      <c r="AB8">
        <f t="shared" si="8"/>
        <v>-495084.60757486679</v>
      </c>
      <c r="AC8">
        <f t="shared" si="9"/>
        <v>21130.216772508305</v>
      </c>
      <c r="AD8">
        <f t="shared" si="10"/>
        <v>14811.929935336073</v>
      </c>
      <c r="AE8">
        <f t="shared" si="11"/>
        <v>-487349.87475609663</v>
      </c>
    </row>
    <row r="9" spans="1:31" x14ac:dyDescent="0.35">
      <c r="A9" s="1">
        <v>8</v>
      </c>
      <c r="B9" s="62">
        <v>10161.74794678937</v>
      </c>
      <c r="C9" s="62">
        <v>10</v>
      </c>
      <c r="D9" s="62">
        <v>17473.5</v>
      </c>
      <c r="E9" s="62">
        <v>25</v>
      </c>
      <c r="F9" s="62">
        <v>9.6999999999999993</v>
      </c>
      <c r="G9" s="56">
        <f>M27</f>
        <v>34600</v>
      </c>
      <c r="H9" s="56">
        <f>$M$28*C9</f>
        <v>356</v>
      </c>
      <c r="I9" s="56">
        <f t="shared" si="1"/>
        <v>2.0373708758977881E-2</v>
      </c>
      <c r="J9" s="56">
        <f t="shared" si="0"/>
        <v>8900</v>
      </c>
      <c r="K9" s="56"/>
      <c r="L9" s="108" t="s">
        <v>258</v>
      </c>
      <c r="M9" s="109"/>
      <c r="N9" s="64"/>
      <c r="O9" s="56"/>
      <c r="P9" s="1">
        <v>1025.3900000000001</v>
      </c>
      <c r="Q9" s="1">
        <f t="shared" si="2"/>
        <v>-33574.61</v>
      </c>
      <c r="R9" s="1">
        <f t="shared" si="3"/>
        <v>25634.750000000004</v>
      </c>
      <c r="S9" s="1">
        <f t="shared" si="4"/>
        <v>-8965.2499999999964</v>
      </c>
      <c r="T9" s="1">
        <f t="shared" si="5"/>
        <v>0.1565707495876946</v>
      </c>
      <c r="U9" s="1">
        <f t="shared" si="6"/>
        <v>0.27380667954472837</v>
      </c>
      <c r="V9" s="1"/>
      <c r="W9" s="1"/>
      <c r="X9" s="1">
        <f t="shared" si="12"/>
        <v>7</v>
      </c>
      <c r="Y9">
        <f t="shared" si="13"/>
        <v>18220.519700000001</v>
      </c>
      <c r="Z9">
        <f t="shared" si="14"/>
        <v>-456856.36210000014</v>
      </c>
      <c r="AA9">
        <f t="shared" si="7"/>
        <v>12037.964902984806</v>
      </c>
      <c r="AB9">
        <f t="shared" si="8"/>
        <v>-483046.642671882</v>
      </c>
      <c r="AC9">
        <f t="shared" si="9"/>
        <v>21658.472191821013</v>
      </c>
      <c r="AD9">
        <f t="shared" si="10"/>
        <v>14309.357383335984</v>
      </c>
      <c r="AE9">
        <f t="shared" si="11"/>
        <v>-473040.51737276063</v>
      </c>
    </row>
    <row r="10" spans="1:31" x14ac:dyDescent="0.35">
      <c r="A10" s="1">
        <v>9</v>
      </c>
      <c r="B10" s="62">
        <v>5057.043251595851</v>
      </c>
      <c r="C10" s="62">
        <v>4</v>
      </c>
      <c r="D10" s="62">
        <v>6989.42</v>
      </c>
      <c r="E10" s="62">
        <v>10</v>
      </c>
      <c r="F10" s="62">
        <v>6</v>
      </c>
      <c r="G10" s="56">
        <f>M24</f>
        <v>18000</v>
      </c>
      <c r="H10" s="56">
        <f>$M$28*C10</f>
        <v>142.4</v>
      </c>
      <c r="I10" s="56">
        <f t="shared" si="1"/>
        <v>2.0373650460267088E-2</v>
      </c>
      <c r="J10" s="56">
        <f t="shared" si="0"/>
        <v>3560</v>
      </c>
      <c r="K10" s="56"/>
      <c r="L10" s="50" t="s">
        <v>245</v>
      </c>
      <c r="M10" s="2" t="s">
        <v>246</v>
      </c>
      <c r="N10" s="46"/>
      <c r="O10" s="56"/>
      <c r="P10" s="1">
        <v>508.49599999999998</v>
      </c>
      <c r="Q10" s="1">
        <f t="shared" si="2"/>
        <v>-17491.504000000001</v>
      </c>
      <c r="R10" s="1">
        <f t="shared" si="3"/>
        <v>12712.4</v>
      </c>
      <c r="S10" s="1">
        <f t="shared" si="4"/>
        <v>-5287.6</v>
      </c>
      <c r="T10" s="1">
        <f t="shared" si="5"/>
        <v>0.16274933604942823</v>
      </c>
      <c r="U10" s="1">
        <f t="shared" si="6"/>
        <v>0.28530373078335697</v>
      </c>
      <c r="V10" s="1"/>
      <c r="W10" s="1"/>
      <c r="X10" s="1">
        <f t="shared" si="12"/>
        <v>8</v>
      </c>
      <c r="Y10">
        <f t="shared" si="13"/>
        <v>18220.519700000001</v>
      </c>
      <c r="Z10">
        <f t="shared" si="14"/>
        <v>-438635.84240000014</v>
      </c>
      <c r="AA10">
        <f t="shared" si="7"/>
        <v>11345.867015065793</v>
      </c>
      <c r="AB10">
        <f t="shared" si="8"/>
        <v>-471700.7756568162</v>
      </c>
      <c r="AC10">
        <f t="shared" si="9"/>
        <v>22199.933996616539</v>
      </c>
      <c r="AD10">
        <f t="shared" si="10"/>
        <v>13823.837245918363</v>
      </c>
      <c r="AE10">
        <f t="shared" si="11"/>
        <v>-459216.68012684229</v>
      </c>
    </row>
    <row r="11" spans="1:31" x14ac:dyDescent="0.35">
      <c r="A11" s="1">
        <v>10</v>
      </c>
      <c r="B11" s="1">
        <v>507.10444675644749</v>
      </c>
      <c r="C11" s="1">
        <v>2</v>
      </c>
      <c r="D11" s="1">
        <v>3494.71</v>
      </c>
      <c r="E11" s="1">
        <v>5</v>
      </c>
      <c r="F11" s="1">
        <v>0</v>
      </c>
      <c r="G11" s="4">
        <f>$M$11*C11*1000</f>
        <v>5000</v>
      </c>
      <c r="H11" s="4">
        <f>$M$12*C11</f>
        <v>53</v>
      </c>
      <c r="I11" s="56">
        <f t="shared" si="1"/>
        <v>1.5165779134749377E-2</v>
      </c>
      <c r="J11" s="4">
        <f t="shared" si="0"/>
        <v>1325</v>
      </c>
      <c r="K11" s="4"/>
      <c r="L11" s="65" t="s">
        <v>247</v>
      </c>
      <c r="M11" s="1">
        <v>2.5</v>
      </c>
      <c r="N11" s="46"/>
      <c r="O11" s="4"/>
      <c r="P11" s="1">
        <v>293.03699999999998</v>
      </c>
      <c r="Q11" s="1">
        <f t="shared" si="2"/>
        <v>-4706.9629999999997</v>
      </c>
      <c r="R11" s="1">
        <f t="shared" si="3"/>
        <v>7325.9249999999993</v>
      </c>
      <c r="S11" s="1">
        <f t="shared" si="4"/>
        <v>2325.9249999999993</v>
      </c>
      <c r="T11" s="1">
        <f t="shared" si="5"/>
        <v>0.40956184739887985</v>
      </c>
      <c r="U11" s="1">
        <f t="shared" si="6"/>
        <v>0.74905079336277858</v>
      </c>
      <c r="V11" s="1"/>
      <c r="W11" s="1"/>
      <c r="X11" s="1">
        <f t="shared" si="12"/>
        <v>9</v>
      </c>
      <c r="Y11">
        <f t="shared" si="13"/>
        <v>18220.519700000001</v>
      </c>
      <c r="Z11">
        <f t="shared" si="14"/>
        <v>-420415.32270000014</v>
      </c>
      <c r="AA11">
        <f t="shared" si="7"/>
        <v>10693.559863398485</v>
      </c>
      <c r="AB11">
        <f t="shared" si="8"/>
        <v>-461007.21579341771</v>
      </c>
      <c r="AC11">
        <f t="shared" si="9"/>
        <v>22754.932346531947</v>
      </c>
      <c r="AD11">
        <f t="shared" si="10"/>
        <v>13354.790930316984</v>
      </c>
      <c r="AE11">
        <f t="shared" si="11"/>
        <v>-445861.88919652533</v>
      </c>
    </row>
    <row r="12" spans="1:31" x14ac:dyDescent="0.35">
      <c r="A12" s="1">
        <v>11</v>
      </c>
      <c r="B12" s="1">
        <v>480.82648360578531</v>
      </c>
      <c r="C12" s="1">
        <v>2</v>
      </c>
      <c r="D12" s="1">
        <v>3494.71</v>
      </c>
      <c r="E12" s="1">
        <v>5</v>
      </c>
      <c r="F12" s="1">
        <v>0</v>
      </c>
      <c r="G12" s="4">
        <f>$M$11*C12*1000</f>
        <v>5000</v>
      </c>
      <c r="H12" s="4">
        <f>$M$12*C12</f>
        <v>53</v>
      </c>
      <c r="I12" s="56">
        <f t="shared" si="1"/>
        <v>1.5165779134749377E-2</v>
      </c>
      <c r="J12" s="4">
        <f t="shared" si="0"/>
        <v>1325</v>
      </c>
      <c r="K12" s="4"/>
      <c r="L12" s="65" t="s">
        <v>248</v>
      </c>
      <c r="M12" s="1">
        <v>26.5</v>
      </c>
      <c r="N12" s="46"/>
      <c r="O12" s="4"/>
      <c r="P12" s="1">
        <v>292.19799999999998</v>
      </c>
      <c r="Q12" s="1">
        <f t="shared" si="2"/>
        <v>-4707.8019999999997</v>
      </c>
      <c r="R12" s="1">
        <f t="shared" si="3"/>
        <v>7304.95</v>
      </c>
      <c r="S12" s="1">
        <f t="shared" si="4"/>
        <v>2304.9499999999998</v>
      </c>
      <c r="T12" s="1">
        <f t="shared" si="5"/>
        <v>0.43111624529911685</v>
      </c>
      <c r="U12" s="1">
        <f t="shared" si="6"/>
        <v>0.78915882405211668</v>
      </c>
      <c r="V12" s="1"/>
      <c r="W12" s="1"/>
      <c r="X12" s="1">
        <f t="shared" si="12"/>
        <v>10</v>
      </c>
      <c r="Y12">
        <f t="shared" si="13"/>
        <v>18220.519700000001</v>
      </c>
      <c r="Z12">
        <f t="shared" si="14"/>
        <v>-402194.80300000013</v>
      </c>
      <c r="AA12">
        <f t="shared" si="7"/>
        <v>10078.755761921286</v>
      </c>
      <c r="AB12">
        <f t="shared" si="8"/>
        <v>-450928.46003149642</v>
      </c>
      <c r="AC12">
        <f t="shared" si="9"/>
        <v>23323.805655195247</v>
      </c>
      <c r="AD12">
        <f t="shared" si="10"/>
        <v>12901.659475565417</v>
      </c>
      <c r="AE12">
        <f t="shared" si="11"/>
        <v>-432960.22972095991</v>
      </c>
    </row>
    <row r="13" spans="1:31" x14ac:dyDescent="0.35">
      <c r="A13" s="1">
        <v>12</v>
      </c>
      <c r="B13" s="1">
        <v>569.06841271947087</v>
      </c>
      <c r="C13" s="1">
        <v>2</v>
      </c>
      <c r="D13" s="1">
        <v>3497.79</v>
      </c>
      <c r="E13" s="1">
        <v>5</v>
      </c>
      <c r="F13" s="1">
        <v>0</v>
      </c>
      <c r="G13" s="4">
        <f>$M$11*C13*1000</f>
        <v>5000</v>
      </c>
      <c r="H13" s="4">
        <f>$M$12*C13</f>
        <v>53</v>
      </c>
      <c r="I13" s="56">
        <f t="shared" si="1"/>
        <v>1.5152424816812901E-2</v>
      </c>
      <c r="J13" s="4">
        <f t="shared" si="0"/>
        <v>1325</v>
      </c>
      <c r="K13" s="4"/>
      <c r="L13" s="65" t="s">
        <v>250</v>
      </c>
      <c r="M13" s="1">
        <v>6.0999999999999999E-2</v>
      </c>
      <c r="N13" s="46"/>
      <c r="O13" s="4"/>
      <c r="P13" s="1">
        <v>288.43700000000001</v>
      </c>
      <c r="Q13" s="1">
        <f t="shared" si="2"/>
        <v>-4711.5630000000001</v>
      </c>
      <c r="R13" s="1">
        <f t="shared" si="3"/>
        <v>7210.9250000000002</v>
      </c>
      <c r="S13" s="1">
        <f t="shared" si="4"/>
        <v>2210.9250000000002</v>
      </c>
      <c r="T13" s="1">
        <f t="shared" si="5"/>
        <v>0.36660401750711463</v>
      </c>
      <c r="U13" s="1">
        <f t="shared" si="6"/>
        <v>0.66912714174845067</v>
      </c>
      <c r="V13" s="1"/>
      <c r="W13" s="1"/>
      <c r="X13" s="1">
        <f t="shared" si="12"/>
        <v>11</v>
      </c>
      <c r="Y13">
        <f t="shared" si="13"/>
        <v>18220.519700000001</v>
      </c>
      <c r="Z13">
        <f t="shared" si="14"/>
        <v>-383974.28330000013</v>
      </c>
      <c r="AA13">
        <f t="shared" si="7"/>
        <v>9499.2985503499422</v>
      </c>
      <c r="AB13">
        <f t="shared" si="8"/>
        <v>-441429.16148114647</v>
      </c>
      <c r="AC13">
        <f t="shared" si="9"/>
        <v>23906.900796575126</v>
      </c>
      <c r="AD13">
        <f t="shared" si="10"/>
        <v>12463.902886385065</v>
      </c>
      <c r="AE13">
        <f t="shared" si="11"/>
        <v>-420496.32683457487</v>
      </c>
    </row>
    <row r="14" spans="1:31" x14ac:dyDescent="0.35">
      <c r="A14" s="1">
        <v>13</v>
      </c>
      <c r="B14" s="62">
        <v>4563.0069277860366</v>
      </c>
      <c r="C14" s="62">
        <v>6</v>
      </c>
      <c r="D14" s="62">
        <v>10493.4</v>
      </c>
      <c r="E14" s="62">
        <v>15</v>
      </c>
      <c r="F14" s="62">
        <v>5</v>
      </c>
      <c r="G14" s="56">
        <f>M25</f>
        <v>22000</v>
      </c>
      <c r="H14" s="56">
        <f>$M$28*C14</f>
        <v>213.60000000000002</v>
      </c>
      <c r="I14" s="56">
        <f t="shared" si="1"/>
        <v>2.0355652124192353E-2</v>
      </c>
      <c r="J14" s="56">
        <f t="shared" si="0"/>
        <v>5340.0000000000009</v>
      </c>
      <c r="K14" s="56"/>
      <c r="L14" s="65" t="s">
        <v>251</v>
      </c>
      <c r="M14" s="1" t="s">
        <v>252</v>
      </c>
      <c r="N14" s="46"/>
      <c r="O14" s="56"/>
      <c r="P14" s="1">
        <v>766.77200000000005</v>
      </c>
      <c r="Q14" s="1">
        <f t="shared" si="2"/>
        <v>-21233.227999999999</v>
      </c>
      <c r="R14" s="1">
        <f t="shared" si="3"/>
        <v>19169.300000000003</v>
      </c>
      <c r="S14" s="1">
        <f t="shared" si="4"/>
        <v>-2830.6999999999971</v>
      </c>
      <c r="T14" s="1">
        <f t="shared" si="5"/>
        <v>0.21321093679214148</v>
      </c>
      <c r="U14" s="1">
        <f t="shared" si="6"/>
        <v>0.37921725020103259</v>
      </c>
      <c r="V14" s="1"/>
      <c r="W14" s="1"/>
      <c r="X14" s="1">
        <f t="shared" si="12"/>
        <v>12</v>
      </c>
      <c r="Y14">
        <f t="shared" si="13"/>
        <v>18220.519700000001</v>
      </c>
      <c r="Z14">
        <f t="shared" si="14"/>
        <v>-365753.76360000012</v>
      </c>
      <c r="AA14">
        <f t="shared" si="7"/>
        <v>8953.1560323750637</v>
      </c>
      <c r="AB14">
        <f t="shared" si="8"/>
        <v>-432476.00544877141</v>
      </c>
      <c r="AC14">
        <f t="shared" si="9"/>
        <v>24504.573316489503</v>
      </c>
      <c r="AD14">
        <f t="shared" si="10"/>
        <v>12040.999489674545</v>
      </c>
      <c r="AE14">
        <f t="shared" si="11"/>
        <v>-408455.32734490035</v>
      </c>
    </row>
    <row r="15" spans="1:31" x14ac:dyDescent="0.35">
      <c r="A15" s="1">
        <v>14</v>
      </c>
      <c r="B15" s="62">
        <v>2172.7675547581462</v>
      </c>
      <c r="C15" s="62">
        <v>2</v>
      </c>
      <c r="D15" s="62">
        <v>3497.79</v>
      </c>
      <c r="E15" s="62">
        <v>5</v>
      </c>
      <c r="F15" s="62">
        <v>2</v>
      </c>
      <c r="G15" s="56">
        <f>M22</f>
        <v>8000</v>
      </c>
      <c r="H15" s="56">
        <f>$M$28*C15</f>
        <v>71.2</v>
      </c>
      <c r="I15" s="56">
        <f t="shared" si="1"/>
        <v>2.0355710319944882E-2</v>
      </c>
      <c r="J15" s="56">
        <f t="shared" si="0"/>
        <v>1780</v>
      </c>
      <c r="K15" s="56"/>
      <c r="L15" s="65" t="s">
        <v>262</v>
      </c>
      <c r="M15" s="1">
        <v>7.0000000000000007E-2</v>
      </c>
      <c r="N15" s="46"/>
      <c r="O15" s="56"/>
      <c r="P15" s="1">
        <v>247.65100000000001</v>
      </c>
      <c r="Q15" s="1">
        <f t="shared" si="2"/>
        <v>-7752.3490000000002</v>
      </c>
      <c r="R15" s="1">
        <f t="shared" si="3"/>
        <v>6191.2750000000005</v>
      </c>
      <c r="S15" s="1">
        <f t="shared" si="4"/>
        <v>-1808.7249999999995</v>
      </c>
      <c r="T15" s="1">
        <f t="shared" si="5"/>
        <v>0.16763331454375224</v>
      </c>
      <c r="U15" s="1">
        <f t="shared" si="6"/>
        <v>0.29440719147942129</v>
      </c>
      <c r="V15" s="1"/>
      <c r="W15" s="1"/>
      <c r="X15" s="1">
        <f t="shared" si="12"/>
        <v>13</v>
      </c>
      <c r="Y15">
        <f t="shared" si="13"/>
        <v>18220.519700000001</v>
      </c>
      <c r="Z15">
        <f t="shared" si="14"/>
        <v>-347533.24390000012</v>
      </c>
      <c r="AA15">
        <f t="shared" si="7"/>
        <v>8438.4128486098598</v>
      </c>
      <c r="AB15">
        <f t="shared" si="8"/>
        <v>-424037.59260016156</v>
      </c>
      <c r="AC15">
        <f t="shared" si="9"/>
        <v>25117.187649401738</v>
      </c>
      <c r="AD15">
        <f t="shared" si="10"/>
        <v>11632.445312833559</v>
      </c>
      <c r="AE15">
        <f t="shared" si="11"/>
        <v>-396822.88203206682</v>
      </c>
    </row>
    <row r="16" spans="1:31" x14ac:dyDescent="0.35">
      <c r="A16" s="1">
        <v>15</v>
      </c>
      <c r="B16" s="62">
        <v>4548.2349752288228</v>
      </c>
      <c r="C16" s="62">
        <v>4</v>
      </c>
      <c r="D16" s="62">
        <v>6995.57</v>
      </c>
      <c r="E16" s="62">
        <v>10</v>
      </c>
      <c r="F16" s="62">
        <v>3.3</v>
      </c>
      <c r="G16" s="56">
        <f>M24</f>
        <v>18000</v>
      </c>
      <c r="H16" s="56">
        <f>$M$28*C16</f>
        <v>142.4</v>
      </c>
      <c r="I16" s="56">
        <f t="shared" si="1"/>
        <v>2.0355739417945929E-2</v>
      </c>
      <c r="J16" s="56">
        <f t="shared" si="0"/>
        <v>3560</v>
      </c>
      <c r="K16" s="56"/>
      <c r="L16" s="65" t="s">
        <v>263</v>
      </c>
      <c r="M16" s="1">
        <v>2.5000000000000001E-2</v>
      </c>
      <c r="N16" s="46"/>
      <c r="O16" s="56"/>
      <c r="P16" s="1">
        <v>513.93200000000002</v>
      </c>
      <c r="Q16" s="1">
        <f t="shared" si="2"/>
        <v>-17486.067999999999</v>
      </c>
      <c r="R16" s="1">
        <f t="shared" si="3"/>
        <v>12848.300000000001</v>
      </c>
      <c r="S16" s="1">
        <f t="shared" si="4"/>
        <v>-5151.6999999999989</v>
      </c>
      <c r="T16" s="1">
        <f t="shared" si="5"/>
        <v>0.17865890623350314</v>
      </c>
      <c r="U16" s="1">
        <f t="shared" si="6"/>
        <v>0.31492338645892248</v>
      </c>
      <c r="V16" s="1"/>
      <c r="W16" s="1"/>
      <c r="X16" s="1">
        <f t="shared" si="12"/>
        <v>14</v>
      </c>
      <c r="Y16">
        <f t="shared" si="13"/>
        <v>18220.519700000001</v>
      </c>
      <c r="Z16">
        <f t="shared" si="14"/>
        <v>-329312.72420000011</v>
      </c>
      <c r="AA16">
        <f t="shared" si="7"/>
        <v>7953.2637592929887</v>
      </c>
      <c r="AB16">
        <f t="shared" si="8"/>
        <v>-416084.32884086855</v>
      </c>
      <c r="AC16">
        <f t="shared" si="9"/>
        <v>25745.117340636778</v>
      </c>
      <c r="AD16">
        <f t="shared" si="10"/>
        <v>11237.753483180393</v>
      </c>
      <c r="AE16">
        <f t="shared" si="11"/>
        <v>-385585.12854888639</v>
      </c>
    </row>
    <row r="17" spans="1:36" x14ac:dyDescent="0.35">
      <c r="A17" s="1">
        <v>16</v>
      </c>
      <c r="B17" s="1">
        <v>5476.90270703035</v>
      </c>
      <c r="C17" s="1">
        <v>4</v>
      </c>
      <c r="D17" s="1">
        <v>6995.57</v>
      </c>
      <c r="E17" s="1">
        <v>10</v>
      </c>
      <c r="F17" s="1">
        <v>0</v>
      </c>
      <c r="G17" s="4">
        <f>$M$11*C17*1000</f>
        <v>10000</v>
      </c>
      <c r="H17" s="4">
        <f>$M$12*C17</f>
        <v>106</v>
      </c>
      <c r="I17" s="56">
        <f t="shared" si="1"/>
        <v>1.5152446476841773E-2</v>
      </c>
      <c r="J17" s="4">
        <f t="shared" si="0"/>
        <v>2650</v>
      </c>
      <c r="K17" s="4"/>
      <c r="L17" s="63"/>
      <c r="M17" s="4"/>
      <c r="N17" s="46"/>
      <c r="O17" s="4"/>
      <c r="P17" s="1">
        <v>271.02499999999998</v>
      </c>
      <c r="Q17" s="1">
        <f t="shared" si="2"/>
        <v>-9728.9750000000004</v>
      </c>
      <c r="R17" s="1">
        <f t="shared" si="3"/>
        <v>6775.6249999999991</v>
      </c>
      <c r="S17" s="1">
        <f t="shared" si="4"/>
        <v>-3224.3750000000009</v>
      </c>
      <c r="T17" s="1">
        <f t="shared" si="5"/>
        <v>8.8186425971592611E-2</v>
      </c>
      <c r="U17" s="1">
        <f t="shared" si="6"/>
        <v>0.15105274415612646</v>
      </c>
      <c r="V17" s="1"/>
      <c r="W17" s="1"/>
      <c r="X17" s="1">
        <f t="shared" si="12"/>
        <v>15</v>
      </c>
      <c r="Y17">
        <f t="shared" si="13"/>
        <v>18220.519700000001</v>
      </c>
      <c r="Z17">
        <f t="shared" si="14"/>
        <v>-311092.20450000011</v>
      </c>
      <c r="AA17">
        <f t="shared" si="7"/>
        <v>7496.007313188491</v>
      </c>
      <c r="AB17">
        <f t="shared" si="8"/>
        <v>-408588.32152768003</v>
      </c>
      <c r="AC17">
        <f t="shared" si="9"/>
        <v>26388.745274152705</v>
      </c>
      <c r="AD17">
        <f t="shared" si="10"/>
        <v>10856.453647747319</v>
      </c>
      <c r="AE17">
        <f t="shared" si="11"/>
        <v>-374728.67490113905</v>
      </c>
    </row>
    <row r="18" spans="1:36" x14ac:dyDescent="0.35">
      <c r="A18" s="1">
        <v>17</v>
      </c>
      <c r="B18" s="62">
        <v>2180.0429312531028</v>
      </c>
      <c r="C18" s="62">
        <v>2</v>
      </c>
      <c r="D18" s="62">
        <v>3497.79</v>
      </c>
      <c r="E18" s="62">
        <v>5</v>
      </c>
      <c r="F18" s="62">
        <v>2</v>
      </c>
      <c r="G18" s="56">
        <f>M23</f>
        <v>13000</v>
      </c>
      <c r="H18" s="56">
        <f>$M$28*C18</f>
        <v>71.2</v>
      </c>
      <c r="I18" s="56">
        <f t="shared" si="1"/>
        <v>2.0355710319944882E-2</v>
      </c>
      <c r="J18" s="56">
        <f t="shared" si="0"/>
        <v>1780</v>
      </c>
      <c r="K18" s="56"/>
      <c r="L18" s="63"/>
      <c r="M18" s="4"/>
      <c r="N18" s="46" t="s">
        <v>6</v>
      </c>
      <c r="O18" s="56"/>
      <c r="P18" s="1">
        <v>231.06299999999999</v>
      </c>
      <c r="Q18" s="1">
        <f t="shared" si="2"/>
        <v>-12768.937</v>
      </c>
      <c r="R18" s="1">
        <f t="shared" si="3"/>
        <v>5776.5749999999998</v>
      </c>
      <c r="S18" s="1">
        <f t="shared" si="4"/>
        <v>-7223.4250000000002</v>
      </c>
      <c r="T18" s="1">
        <f t="shared" si="5"/>
        <v>0.25888312303520761</v>
      </c>
      <c r="U18" s="1">
        <f t="shared" si="6"/>
        <v>0.46420317169240954</v>
      </c>
      <c r="V18" s="1"/>
      <c r="W18" s="1"/>
      <c r="X18" s="1">
        <f t="shared" si="12"/>
        <v>16</v>
      </c>
      <c r="Y18">
        <f t="shared" si="13"/>
        <v>18220.519700000001</v>
      </c>
      <c r="Z18">
        <f t="shared" si="14"/>
        <v>-292871.6848000001</v>
      </c>
      <c r="AA18">
        <f t="shared" si="7"/>
        <v>7065.0398804792567</v>
      </c>
      <c r="AB18">
        <f t="shared" si="8"/>
        <v>-401523.28164720075</v>
      </c>
      <c r="AC18">
        <f t="shared" si="9"/>
        <v>27048.46390600652</v>
      </c>
      <c r="AD18">
        <f t="shared" si="10"/>
        <v>10488.091412762491</v>
      </c>
      <c r="AE18">
        <f t="shared" si="11"/>
        <v>-364240.58348837658</v>
      </c>
    </row>
    <row r="19" spans="1:36" x14ac:dyDescent="0.35">
      <c r="A19" s="1">
        <v>18</v>
      </c>
      <c r="B19" s="62">
        <v>5524.0028847571884</v>
      </c>
      <c r="C19" s="62">
        <v>4</v>
      </c>
      <c r="D19" s="62">
        <v>6995.57</v>
      </c>
      <c r="E19" s="62">
        <v>10</v>
      </c>
      <c r="F19" s="62">
        <v>6</v>
      </c>
      <c r="G19" s="56">
        <f>M24</f>
        <v>18000</v>
      </c>
      <c r="H19" s="56">
        <f>$M$28*C19</f>
        <v>142.4</v>
      </c>
      <c r="I19" s="56">
        <f t="shared" si="1"/>
        <v>2.0355739417945929E-2</v>
      </c>
      <c r="J19" s="56">
        <f t="shared" si="0"/>
        <v>3560</v>
      </c>
      <c r="K19" s="56"/>
      <c r="L19" s="63"/>
      <c r="M19" s="4"/>
      <c r="N19" s="46" t="s">
        <v>6</v>
      </c>
      <c r="O19" s="56"/>
      <c r="P19" s="1">
        <v>453.73200000000003</v>
      </c>
      <c r="Q19" s="1">
        <f t="shared" si="2"/>
        <v>-17546.268</v>
      </c>
      <c r="R19" s="1">
        <f t="shared" si="3"/>
        <v>11343.300000000001</v>
      </c>
      <c r="S19" s="1">
        <f t="shared" si="4"/>
        <v>-6656.6999999999989</v>
      </c>
      <c r="T19" s="1">
        <f t="shared" si="5"/>
        <v>0.15069600444328693</v>
      </c>
      <c r="U19" s="1">
        <f t="shared" si="6"/>
        <v>0.2628905285541972</v>
      </c>
      <c r="V19" s="1"/>
      <c r="W19" s="1"/>
      <c r="X19" s="1">
        <f t="shared" si="12"/>
        <v>17</v>
      </c>
      <c r="Y19">
        <f t="shared" si="13"/>
        <v>18220.519700000001</v>
      </c>
      <c r="Z19">
        <f t="shared" si="14"/>
        <v>-274651.1651000001</v>
      </c>
      <c r="AA19">
        <f t="shared" si="7"/>
        <v>6658.8500287269162</v>
      </c>
      <c r="AB19">
        <f t="shared" si="8"/>
        <v>-394864.43161847384</v>
      </c>
      <c r="AC19">
        <f t="shared" si="9"/>
        <v>27724.675503656679</v>
      </c>
      <c r="AD19">
        <f t="shared" si="10"/>
        <v>10132.227802150379</v>
      </c>
      <c r="AE19">
        <f t="shared" si="11"/>
        <v>-354108.35568622622</v>
      </c>
    </row>
    <row r="20" spans="1:36" x14ac:dyDescent="0.35">
      <c r="A20" s="1">
        <v>19</v>
      </c>
      <c r="B20" s="1">
        <v>6393.5501464958952</v>
      </c>
      <c r="C20" s="1">
        <v>4</v>
      </c>
      <c r="D20" s="1">
        <v>6995.57</v>
      </c>
      <c r="E20" s="1">
        <v>10</v>
      </c>
      <c r="F20" s="1">
        <v>0</v>
      </c>
      <c r="G20" s="4">
        <f>$M$11*C20*1000</f>
        <v>10000</v>
      </c>
      <c r="H20" s="4">
        <f>$M$12*C20</f>
        <v>106</v>
      </c>
      <c r="I20" s="56">
        <f t="shared" si="1"/>
        <v>1.5152446476841773E-2</v>
      </c>
      <c r="J20" s="4">
        <f t="shared" si="0"/>
        <v>2650</v>
      </c>
      <c r="K20" s="4"/>
      <c r="L20" s="106" t="s">
        <v>259</v>
      </c>
      <c r="M20" s="107"/>
      <c r="N20" s="46"/>
      <c r="O20" s="4"/>
      <c r="P20" s="1">
        <v>120.19499999999999</v>
      </c>
      <c r="Q20" s="1">
        <f t="shared" si="2"/>
        <v>-9879.8050000000003</v>
      </c>
      <c r="R20" s="1">
        <f t="shared" si="3"/>
        <v>3004.875</v>
      </c>
      <c r="S20" s="1">
        <f t="shared" si="4"/>
        <v>-6995.125</v>
      </c>
      <c r="T20" s="1">
        <f t="shared" si="5"/>
        <v>7.7715496868997924E-2</v>
      </c>
      <c r="U20" s="1">
        <f t="shared" si="6"/>
        <v>0.13156863016061865</v>
      </c>
      <c r="V20" s="1"/>
      <c r="W20" s="1"/>
      <c r="X20" s="1">
        <f>X19+1</f>
        <v>18</v>
      </c>
      <c r="Y20">
        <f t="shared" si="13"/>
        <v>18220.519700000001</v>
      </c>
      <c r="Z20">
        <f t="shared" si="14"/>
        <v>-256430.6454000001</v>
      </c>
      <c r="AA20">
        <f t="shared" si="7"/>
        <v>6276.0132221742842</v>
      </c>
      <c r="AB20">
        <f t="shared" si="8"/>
        <v>-388588.41839629953</v>
      </c>
      <c r="AC20">
        <f t="shared" si="9"/>
        <v>28417.792391248095</v>
      </c>
      <c r="AD20">
        <f t="shared" si="10"/>
        <v>9788.4387344054085</v>
      </c>
      <c r="AE20">
        <f t="shared" si="11"/>
        <v>-344319.91695182084</v>
      </c>
    </row>
    <row r="21" spans="1:36" x14ac:dyDescent="0.35">
      <c r="A21" s="1">
        <v>20</v>
      </c>
      <c r="B21" s="62">
        <v>6287.6864400653858</v>
      </c>
      <c r="C21" s="62">
        <v>10</v>
      </c>
      <c r="D21" s="62">
        <v>17488.900000000001</v>
      </c>
      <c r="E21" s="62">
        <v>25</v>
      </c>
      <c r="F21" s="62">
        <v>13.5</v>
      </c>
      <c r="G21" s="56">
        <f>M27</f>
        <v>34600</v>
      </c>
      <c r="H21" s="56">
        <f>$M$28*C21</f>
        <v>356</v>
      </c>
      <c r="I21" s="56">
        <f t="shared" si="1"/>
        <v>2.0355768516030166E-2</v>
      </c>
      <c r="J21" s="56">
        <f t="shared" si="0"/>
        <v>8900</v>
      </c>
      <c r="K21" s="56"/>
      <c r="L21" s="50" t="s">
        <v>245</v>
      </c>
      <c r="M21" s="2" t="s">
        <v>246</v>
      </c>
      <c r="N21" s="46"/>
      <c r="O21" s="56"/>
      <c r="P21" s="1">
        <v>1324.72</v>
      </c>
      <c r="Q21" s="1">
        <f t="shared" si="2"/>
        <v>-33275.279999999999</v>
      </c>
      <c r="R21" s="1">
        <f t="shared" si="3"/>
        <v>33118</v>
      </c>
      <c r="S21" s="1">
        <f t="shared" si="4"/>
        <v>-1482</v>
      </c>
      <c r="T21" s="1">
        <f t="shared" si="5"/>
        <v>0.24046852591771889</v>
      </c>
      <c r="U21" s="1">
        <f t="shared" si="6"/>
        <v>0.42993757496884205</v>
      </c>
      <c r="V21" s="1"/>
      <c r="W21" s="1"/>
      <c r="X21" s="1">
        <f t="shared" si="12"/>
        <v>19</v>
      </c>
      <c r="Y21">
        <f t="shared" si="13"/>
        <v>18220.519700000001</v>
      </c>
      <c r="Z21">
        <f t="shared" si="14"/>
        <v>-238210.12570000009</v>
      </c>
      <c r="AA21">
        <f t="shared" si="7"/>
        <v>5915.186825800457</v>
      </c>
      <c r="AB21">
        <f t="shared" si="8"/>
        <v>-382673.23157049908</v>
      </c>
      <c r="AC21">
        <f t="shared" si="9"/>
        <v>29128.2372010293</v>
      </c>
      <c r="AD21">
        <f t="shared" si="10"/>
        <v>9456.3145172154054</v>
      </c>
      <c r="AE21">
        <f t="shared" si="11"/>
        <v>-334863.60243460542</v>
      </c>
    </row>
    <row r="22" spans="1:36" x14ac:dyDescent="0.35">
      <c r="A22" s="1">
        <v>21</v>
      </c>
      <c r="B22" s="62">
        <v>1195.617299383852</v>
      </c>
      <c r="C22" s="62">
        <v>2</v>
      </c>
      <c r="D22" s="62">
        <v>3497.79</v>
      </c>
      <c r="E22" s="62">
        <v>5</v>
      </c>
      <c r="F22" s="62">
        <v>1.2</v>
      </c>
      <c r="G22" s="56">
        <f>M22</f>
        <v>8000</v>
      </c>
      <c r="H22" s="56">
        <f>$M$28*C22</f>
        <v>71.2</v>
      </c>
      <c r="I22" s="56">
        <f t="shared" si="1"/>
        <v>2.0355710319944882E-2</v>
      </c>
      <c r="J22" s="56">
        <f t="shared" si="0"/>
        <v>1780</v>
      </c>
      <c r="K22" s="56"/>
      <c r="L22" s="63" t="s">
        <v>247</v>
      </c>
      <c r="M22" s="4">
        <v>8000</v>
      </c>
      <c r="N22" s="46" t="s">
        <v>269</v>
      </c>
      <c r="O22" s="56"/>
      <c r="P22" s="1">
        <v>291.58100000000002</v>
      </c>
      <c r="Q22" s="1">
        <f t="shared" si="2"/>
        <v>-7708.4189999999999</v>
      </c>
      <c r="R22" s="1">
        <f t="shared" si="3"/>
        <v>7289.5250000000005</v>
      </c>
      <c r="S22" s="1">
        <f t="shared" si="4"/>
        <v>-710.47499999999945</v>
      </c>
      <c r="T22" s="1">
        <f t="shared" si="5"/>
        <v>0.28799988054473868</v>
      </c>
      <c r="U22" s="1">
        <f t="shared" si="6"/>
        <v>0.51838310328555548</v>
      </c>
      <c r="V22" s="1"/>
      <c r="W22" s="1"/>
      <c r="X22" s="1">
        <f t="shared" si="12"/>
        <v>20</v>
      </c>
      <c r="Y22">
        <f t="shared" si="13"/>
        <v>18220.519700000001</v>
      </c>
      <c r="Z22">
        <f t="shared" si="14"/>
        <v>-219989.60600000009</v>
      </c>
      <c r="AA22">
        <f t="shared" si="7"/>
        <v>5575.1053966074051</v>
      </c>
      <c r="AB22">
        <f t="shared" si="8"/>
        <v>-377098.12617389165</v>
      </c>
      <c r="AC22">
        <f t="shared" si="9"/>
        <v>29856.443131055028</v>
      </c>
      <c r="AD22">
        <f t="shared" si="10"/>
        <v>9135.4593592326</v>
      </c>
      <c r="AE22">
        <f t="shared" si="11"/>
        <v>-325728.14307537279</v>
      </c>
    </row>
    <row r="23" spans="1:36" x14ac:dyDescent="0.35">
      <c r="A23" s="1">
        <v>22</v>
      </c>
      <c r="B23" s="1">
        <v>4102.942217502793</v>
      </c>
      <c r="C23" s="1">
        <v>4</v>
      </c>
      <c r="D23" s="1">
        <v>6995.57</v>
      </c>
      <c r="E23" s="1">
        <v>10</v>
      </c>
      <c r="F23" s="1">
        <v>0</v>
      </c>
      <c r="G23" s="4">
        <f>$M$11*C23*1000</f>
        <v>10000</v>
      </c>
      <c r="H23" s="4">
        <f>$M$12*C23</f>
        <v>106</v>
      </c>
      <c r="I23" s="56">
        <f t="shared" si="1"/>
        <v>1.5152446476841773E-2</v>
      </c>
      <c r="J23" s="4">
        <f t="shared" si="0"/>
        <v>2650</v>
      </c>
      <c r="K23" s="4"/>
      <c r="L23" s="63" t="s">
        <v>247</v>
      </c>
      <c r="M23" s="1">
        <v>13000</v>
      </c>
      <c r="N23" s="46" t="s">
        <v>274</v>
      </c>
      <c r="O23" s="4"/>
      <c r="P23" s="1">
        <v>325.01499999999999</v>
      </c>
      <c r="Q23" s="1">
        <f t="shared" si="2"/>
        <v>-9674.9850000000006</v>
      </c>
      <c r="R23" s="1">
        <f t="shared" si="3"/>
        <v>8125.375</v>
      </c>
      <c r="S23" s="1">
        <f t="shared" si="4"/>
        <v>-1874.625</v>
      </c>
      <c r="T23" s="1">
        <f t="shared" si="5"/>
        <v>0.11264346116713767</v>
      </c>
      <c r="U23" s="1">
        <f t="shared" si="6"/>
        <v>0.19656194941128033</v>
      </c>
      <c r="V23" s="1"/>
      <c r="W23" s="1"/>
      <c r="X23" s="1">
        <f t="shared" si="12"/>
        <v>21</v>
      </c>
      <c r="Y23">
        <f t="shared" si="13"/>
        <v>18220.519700000001</v>
      </c>
      <c r="Z23">
        <f t="shared" si="14"/>
        <v>-201769.08630000008</v>
      </c>
      <c r="AA23">
        <f t="shared" si="7"/>
        <v>5254.5762456243219</v>
      </c>
      <c r="AB23">
        <f t="shared" si="8"/>
        <v>-371843.54992826731</v>
      </c>
      <c r="AC23">
        <f t="shared" si="9"/>
        <v>30602.854209331399</v>
      </c>
      <c r="AD23">
        <f t="shared" si="10"/>
        <v>8825.4908984103804</v>
      </c>
      <c r="AE23">
        <f t="shared" si="11"/>
        <v>-316902.65217696241</v>
      </c>
    </row>
    <row r="24" spans="1:36" x14ac:dyDescent="0.35">
      <c r="A24" s="1">
        <v>23</v>
      </c>
      <c r="B24" s="62">
        <v>2916.9354826987528</v>
      </c>
      <c r="C24" s="62">
        <v>2</v>
      </c>
      <c r="D24" s="62">
        <v>3465.23</v>
      </c>
      <c r="E24" s="62">
        <v>5</v>
      </c>
      <c r="F24" s="62">
        <v>2</v>
      </c>
      <c r="G24" s="56">
        <f>M22</f>
        <v>8000</v>
      </c>
      <c r="H24" s="56">
        <f>$M$28*C24</f>
        <v>71.2</v>
      </c>
      <c r="I24" s="56">
        <f t="shared" si="1"/>
        <v>2.0546976679758633E-2</v>
      </c>
      <c r="J24" s="56">
        <f t="shared" si="0"/>
        <v>1780</v>
      </c>
      <c r="K24" s="56"/>
      <c r="L24" s="63" t="s">
        <v>247</v>
      </c>
      <c r="M24" s="4">
        <v>18000</v>
      </c>
      <c r="N24" s="46" t="s">
        <v>270</v>
      </c>
      <c r="O24" s="56"/>
      <c r="P24" s="1">
        <v>235.66200000000001</v>
      </c>
      <c r="Q24" s="1">
        <f t="shared" si="2"/>
        <v>-7764.3379999999997</v>
      </c>
      <c r="R24" s="1">
        <f t="shared" si="3"/>
        <v>5891.55</v>
      </c>
      <c r="S24" s="1">
        <f t="shared" si="4"/>
        <v>-2108.4499999999998</v>
      </c>
      <c r="T24" s="1">
        <f t="shared" si="5"/>
        <v>0.13025115145428451</v>
      </c>
      <c r="U24" s="1">
        <f t="shared" si="6"/>
        <v>0.22468250526053221</v>
      </c>
      <c r="V24" s="1"/>
      <c r="W24" s="1"/>
      <c r="X24" s="1">
        <f t="shared" si="12"/>
        <v>22</v>
      </c>
      <c r="Y24">
        <f t="shared" si="13"/>
        <v>18220.519700000001</v>
      </c>
      <c r="Z24">
        <f t="shared" si="14"/>
        <v>-183548.56660000008</v>
      </c>
      <c r="AA24">
        <f t="shared" si="7"/>
        <v>4952.4752550653357</v>
      </c>
      <c r="AB24">
        <f t="shared" si="8"/>
        <v>-366891.07467320201</v>
      </c>
      <c r="AC24">
        <f t="shared" si="9"/>
        <v>31367.925564564684</v>
      </c>
      <c r="AD24">
        <f t="shared" si="10"/>
        <v>8526.0397463436748</v>
      </c>
      <c r="AE24">
        <f t="shared" si="11"/>
        <v>-308376.61243061873</v>
      </c>
    </row>
    <row r="25" spans="1:36" x14ac:dyDescent="0.35">
      <c r="A25" s="1">
        <v>24</v>
      </c>
      <c r="B25" s="62">
        <v>4395.7178346280416</v>
      </c>
      <c r="C25" s="62">
        <v>4</v>
      </c>
      <c r="D25" s="62">
        <v>6930.46</v>
      </c>
      <c r="E25" s="62">
        <v>10</v>
      </c>
      <c r="F25" s="62">
        <v>3.3</v>
      </c>
      <c r="G25" s="56">
        <f>M24</f>
        <v>18000</v>
      </c>
      <c r="H25" s="56">
        <f>$M$28*C25</f>
        <v>142.4</v>
      </c>
      <c r="I25" s="56">
        <f t="shared" si="1"/>
        <v>2.0546976679758633E-2</v>
      </c>
      <c r="J25" s="56">
        <f t="shared" si="0"/>
        <v>3560</v>
      </c>
      <c r="K25" s="56"/>
      <c r="L25" s="63" t="s">
        <v>247</v>
      </c>
      <c r="M25" s="4">
        <v>22000</v>
      </c>
      <c r="N25" s="46" t="s">
        <v>271</v>
      </c>
      <c r="O25" s="56"/>
      <c r="P25" s="1">
        <v>486.286</v>
      </c>
      <c r="Q25" s="1">
        <f t="shared" si="2"/>
        <v>-17513.714</v>
      </c>
      <c r="R25" s="1">
        <f t="shared" si="3"/>
        <v>12157.15</v>
      </c>
      <c r="S25" s="1">
        <f t="shared" si="4"/>
        <v>-5842.85</v>
      </c>
      <c r="T25" s="1">
        <f t="shared" si="5"/>
        <v>0.18434274954035337</v>
      </c>
      <c r="U25" s="1">
        <f t="shared" si="6"/>
        <v>0.32533516492250947</v>
      </c>
      <c r="V25" s="1"/>
      <c r="W25" s="1"/>
      <c r="X25" s="1">
        <f t="shared" si="12"/>
        <v>23</v>
      </c>
      <c r="Y25">
        <f t="shared" si="13"/>
        <v>18220.519700000001</v>
      </c>
      <c r="Z25">
        <f t="shared" si="14"/>
        <v>-165328.04690000007</v>
      </c>
      <c r="AA25">
        <f t="shared" si="7"/>
        <v>4667.7429359710995</v>
      </c>
      <c r="AB25">
        <f t="shared" si="8"/>
        <v>-362223.33173723088</v>
      </c>
      <c r="AC25">
        <f t="shared" si="9"/>
        <v>32152.123703678801</v>
      </c>
      <c r="AD25">
        <f t="shared" si="10"/>
        <v>8236.7490480699998</v>
      </c>
      <c r="AE25">
        <f t="shared" si="11"/>
        <v>-300139.86338254873</v>
      </c>
    </row>
    <row r="26" spans="1:36" x14ac:dyDescent="0.35">
      <c r="A26" s="1">
        <v>25</v>
      </c>
      <c r="B26" s="1">
        <v>3480.4540913845358</v>
      </c>
      <c r="C26" s="1">
        <v>2</v>
      </c>
      <c r="D26" s="1">
        <v>3465.23</v>
      </c>
      <c r="E26" s="1">
        <v>5</v>
      </c>
      <c r="F26" s="1">
        <v>0</v>
      </c>
      <c r="G26" s="4">
        <f>$M$11*C26*1000</f>
        <v>5000</v>
      </c>
      <c r="H26" s="4">
        <f>$M$12*C26</f>
        <v>53</v>
      </c>
      <c r="I26" s="56">
        <f t="shared" si="1"/>
        <v>1.5294800056561902E-2</v>
      </c>
      <c r="J26" s="4">
        <f t="shared" si="0"/>
        <v>1325</v>
      </c>
      <c r="K26" s="4"/>
      <c r="L26" s="63" t="s">
        <v>247</v>
      </c>
      <c r="M26" s="4">
        <v>32500</v>
      </c>
      <c r="N26" s="46" t="s">
        <v>272</v>
      </c>
      <c r="O26" s="4"/>
      <c r="P26" s="1">
        <v>59.389600000000002</v>
      </c>
      <c r="Q26" s="1">
        <f t="shared" si="2"/>
        <v>-4940.6103999999996</v>
      </c>
      <c r="R26" s="1">
        <f t="shared" si="3"/>
        <v>1484.74</v>
      </c>
      <c r="S26" s="1">
        <f t="shared" si="4"/>
        <v>-3515.26</v>
      </c>
      <c r="T26" s="1">
        <f t="shared" si="5"/>
        <v>7.2758566205662109E-2</v>
      </c>
      <c r="U26" s="1">
        <f t="shared" si="6"/>
        <v>0.12222232857767719</v>
      </c>
      <c r="V26" s="1"/>
      <c r="W26" s="1"/>
      <c r="X26" s="1">
        <f>X25+1</f>
        <v>24</v>
      </c>
      <c r="Y26">
        <f t="shared" si="13"/>
        <v>18220.519700000001</v>
      </c>
      <c r="Z26">
        <f t="shared" si="14"/>
        <v>-147107.52720000007</v>
      </c>
      <c r="AA26">
        <f t="shared" si="7"/>
        <v>4399.3807125081057</v>
      </c>
      <c r="AB26">
        <f t="shared" si="8"/>
        <v>-357823.95102472277</v>
      </c>
      <c r="AC26">
        <f t="shared" si="9"/>
        <v>32955.926796270767</v>
      </c>
      <c r="AD26">
        <f t="shared" si="10"/>
        <v>7957.2740568065492</v>
      </c>
      <c r="AE26">
        <f t="shared" si="11"/>
        <v>-292182.58932574221</v>
      </c>
    </row>
    <row r="27" spans="1:36" x14ac:dyDescent="0.35">
      <c r="A27" s="1">
        <v>26</v>
      </c>
      <c r="B27" s="1">
        <v>5233.1130996820621</v>
      </c>
      <c r="C27" s="1">
        <v>4</v>
      </c>
      <c r="D27" s="1">
        <v>6930.46</v>
      </c>
      <c r="E27" s="1">
        <v>10</v>
      </c>
      <c r="F27" s="1">
        <v>0</v>
      </c>
      <c r="G27" s="4">
        <f>$M$11*C27*1000</f>
        <v>10000</v>
      </c>
      <c r="H27" s="4">
        <f>$M$12*C27</f>
        <v>106</v>
      </c>
      <c r="I27" s="56">
        <f t="shared" si="1"/>
        <v>1.5294800056561902E-2</v>
      </c>
      <c r="J27" s="4">
        <f t="shared" si="0"/>
        <v>2650</v>
      </c>
      <c r="K27" s="4"/>
      <c r="L27" s="63" t="s">
        <v>247</v>
      </c>
      <c r="M27" s="4">
        <v>34600</v>
      </c>
      <c r="N27" s="46" t="s">
        <v>273</v>
      </c>
      <c r="O27" s="4"/>
      <c r="P27" s="1">
        <v>212.84299999999999</v>
      </c>
      <c r="Q27" s="1">
        <f t="shared" si="2"/>
        <v>-9787.1569999999992</v>
      </c>
      <c r="R27" s="1">
        <f t="shared" si="3"/>
        <v>5321.0749999999998</v>
      </c>
      <c r="S27" s="1">
        <f t="shared" si="4"/>
        <v>-4678.9250000000002</v>
      </c>
      <c r="T27" s="1">
        <f t="shared" si="5"/>
        <v>9.1731137735619903E-2</v>
      </c>
      <c r="U27" s="1">
        <f t="shared" si="6"/>
        <v>0.15752614382230729</v>
      </c>
      <c r="V27" s="1"/>
      <c r="W27" s="1"/>
      <c r="X27" s="1">
        <f t="shared" si="12"/>
        <v>25</v>
      </c>
      <c r="Y27">
        <f t="shared" si="13"/>
        <v>18220.519700000001</v>
      </c>
      <c r="Z27">
        <f t="shared" si="14"/>
        <v>-128887.00750000007</v>
      </c>
      <c r="AA27">
        <f t="shared" si="7"/>
        <v>4146.4474198945381</v>
      </c>
      <c r="AB27">
        <f t="shared" si="8"/>
        <v>-353677.50360482826</v>
      </c>
      <c r="AC27">
        <f t="shared" si="9"/>
        <v>33779.824966177533</v>
      </c>
      <c r="AD27">
        <f t="shared" si="10"/>
        <v>7687.2817231165991</v>
      </c>
      <c r="AE27">
        <f t="shared" si="11"/>
        <v>-284495.30760262563</v>
      </c>
    </row>
    <row r="28" spans="1:36" x14ac:dyDescent="0.35">
      <c r="A28" s="1">
        <v>27</v>
      </c>
      <c r="B28" s="1">
        <v>6696.2920887280334</v>
      </c>
      <c r="C28" s="1">
        <v>4</v>
      </c>
      <c r="D28" s="1">
        <v>6930.46</v>
      </c>
      <c r="E28" s="1">
        <v>10</v>
      </c>
      <c r="F28" s="1">
        <v>0</v>
      </c>
      <c r="G28" s="4">
        <f>$M$11*C28*1000</f>
        <v>10000</v>
      </c>
      <c r="H28" s="4">
        <f>$M$12*C28</f>
        <v>106</v>
      </c>
      <c r="I28" s="56">
        <f t="shared" si="1"/>
        <v>1.5294800056561902E-2</v>
      </c>
      <c r="J28" s="4">
        <f t="shared" si="0"/>
        <v>2650</v>
      </c>
      <c r="K28" s="4"/>
      <c r="L28" s="65" t="s">
        <v>248</v>
      </c>
      <c r="M28" s="1">
        <v>35.6</v>
      </c>
      <c r="N28" s="46"/>
      <c r="O28" s="4"/>
      <c r="P28" s="1">
        <v>83.282200000000003</v>
      </c>
      <c r="Q28" s="1">
        <f t="shared" si="2"/>
        <v>-9916.7178000000004</v>
      </c>
      <c r="R28" s="1">
        <f t="shared" si="3"/>
        <v>2082.0550000000003</v>
      </c>
      <c r="S28" s="1">
        <f t="shared" si="4"/>
        <v>-7917.9449999999997</v>
      </c>
      <c r="T28" s="1">
        <f t="shared" si="5"/>
        <v>7.502935086466149E-2</v>
      </c>
      <c r="U28" s="1">
        <f t="shared" si="6"/>
        <v>0.12644776327613488</v>
      </c>
      <c r="V28" s="1"/>
      <c r="W28" s="1"/>
      <c r="X28" s="1"/>
    </row>
    <row r="29" spans="1:36" ht="29" x14ac:dyDescent="0.35">
      <c r="A29" s="1">
        <v>28</v>
      </c>
      <c r="B29" s="62">
        <v>8230.4847304692612</v>
      </c>
      <c r="C29" s="62">
        <v>6</v>
      </c>
      <c r="D29" s="62">
        <v>10395.700000000001</v>
      </c>
      <c r="E29" s="62">
        <v>15</v>
      </c>
      <c r="F29" s="62">
        <v>5</v>
      </c>
      <c r="G29" s="56">
        <f>M25</f>
        <v>22000</v>
      </c>
      <c r="H29" s="56">
        <f>$M$28*C29</f>
        <v>213.60000000000002</v>
      </c>
      <c r="I29" s="56">
        <f t="shared" si="1"/>
        <v>2.0546956914878269E-2</v>
      </c>
      <c r="J29" s="56">
        <f t="shared" si="0"/>
        <v>5340.0000000000009</v>
      </c>
      <c r="K29" s="56"/>
      <c r="L29" s="68" t="s">
        <v>260</v>
      </c>
      <c r="M29" s="1">
        <v>220</v>
      </c>
      <c r="N29" s="46"/>
      <c r="O29" s="56"/>
      <c r="P29" s="1">
        <v>774.16899999999998</v>
      </c>
      <c r="Q29" s="1">
        <f t="shared" si="2"/>
        <v>-21225.830999999998</v>
      </c>
      <c r="R29" s="1">
        <f t="shared" si="3"/>
        <v>19354.224999999999</v>
      </c>
      <c r="S29" s="1">
        <f t="shared" si="4"/>
        <v>-2645.7750000000015</v>
      </c>
      <c r="T29" s="1">
        <f t="shared" si="5"/>
        <v>0.12746654048961467</v>
      </c>
      <c r="U29" s="1">
        <f t="shared" si="6"/>
        <v>0.21950096895246926</v>
      </c>
      <c r="V29" s="1"/>
      <c r="W29" s="1"/>
    </row>
    <row r="30" spans="1:36" ht="29" x14ac:dyDescent="0.35">
      <c r="A30" s="1">
        <v>29</v>
      </c>
      <c r="B30" s="62">
        <v>3184.1460343074909</v>
      </c>
      <c r="C30" s="62">
        <v>2</v>
      </c>
      <c r="D30" s="62">
        <v>3465.23</v>
      </c>
      <c r="E30" s="62">
        <v>5</v>
      </c>
      <c r="F30" s="62">
        <v>3.3</v>
      </c>
      <c r="G30" s="56">
        <f>M23</f>
        <v>13000</v>
      </c>
      <c r="H30" s="56">
        <f>$M$28*C30</f>
        <v>71.2</v>
      </c>
      <c r="I30" s="56">
        <f t="shared" si="1"/>
        <v>2.0546976679758633E-2</v>
      </c>
      <c r="J30" s="56">
        <f t="shared" si="0"/>
        <v>1780</v>
      </c>
      <c r="K30" s="56"/>
      <c r="L30" s="68" t="s">
        <v>261</v>
      </c>
      <c r="M30" s="1">
        <v>165</v>
      </c>
      <c r="N30" s="46"/>
      <c r="O30" s="56"/>
      <c r="P30" s="1">
        <v>270.46199999999999</v>
      </c>
      <c r="Q30" s="1">
        <f t="shared" si="2"/>
        <v>-12729.538</v>
      </c>
      <c r="R30" s="1">
        <f t="shared" si="3"/>
        <v>6761.5499999999993</v>
      </c>
      <c r="S30" s="1">
        <f t="shared" si="4"/>
        <v>-6238.4500000000007</v>
      </c>
      <c r="T30" s="1">
        <f t="shared" si="5"/>
        <v>0.18385606941522831</v>
      </c>
      <c r="U30" s="1">
        <f t="shared" si="6"/>
        <v>0.32442955941755619</v>
      </c>
      <c r="V30" s="1"/>
      <c r="W30" s="1"/>
      <c r="Z30" t="s">
        <v>6</v>
      </c>
      <c r="AA30" t="s">
        <v>6</v>
      </c>
      <c r="AJ30" t="s">
        <v>6</v>
      </c>
    </row>
    <row r="31" spans="1:36" x14ac:dyDescent="0.35">
      <c r="A31" s="1">
        <v>30</v>
      </c>
      <c r="B31" s="62">
        <v>2455.556329062375</v>
      </c>
      <c r="C31" s="62">
        <v>2</v>
      </c>
      <c r="D31" s="62">
        <v>3465.23</v>
      </c>
      <c r="E31" s="62">
        <v>5</v>
      </c>
      <c r="F31" s="62">
        <v>1.2</v>
      </c>
      <c r="G31" s="56">
        <f>M22</f>
        <v>8000</v>
      </c>
      <c r="H31" s="56">
        <f>$M$28*C31</f>
        <v>71.2</v>
      </c>
      <c r="I31" s="56">
        <f t="shared" si="1"/>
        <v>2.0546976679758633E-2</v>
      </c>
      <c r="J31" s="56">
        <f t="shared" si="0"/>
        <v>1780</v>
      </c>
      <c r="K31" s="56"/>
      <c r="L31" s="65" t="s">
        <v>250</v>
      </c>
      <c r="M31" s="1">
        <v>3.1E-2</v>
      </c>
      <c r="N31" s="46"/>
      <c r="O31" s="56"/>
      <c r="P31" s="1">
        <v>253.29300000000001</v>
      </c>
      <c r="Q31" s="1">
        <f t="shared" si="2"/>
        <v>-7746.7070000000003</v>
      </c>
      <c r="R31" s="1">
        <f t="shared" si="3"/>
        <v>6332.3249999999998</v>
      </c>
      <c r="S31" s="1">
        <f t="shared" si="4"/>
        <v>-1667.6750000000002</v>
      </c>
      <c r="T31" s="1">
        <f t="shared" si="5"/>
        <v>0.15086367771108386</v>
      </c>
      <c r="U31" s="1">
        <f t="shared" si="6"/>
        <v>0.26303791836550255</v>
      </c>
      <c r="V31" s="1"/>
      <c r="W31" s="1" t="s">
        <v>287</v>
      </c>
      <c r="X31" s="1">
        <v>0</v>
      </c>
      <c r="Y31">
        <f>-W34</f>
        <v>-11000</v>
      </c>
      <c r="Z31">
        <f>Y31</f>
        <v>-11000</v>
      </c>
      <c r="AB31">
        <f>Y31</f>
        <v>-11000</v>
      </c>
      <c r="AC31">
        <f>Y31</f>
        <v>-11000</v>
      </c>
      <c r="AE31">
        <f>Y31</f>
        <v>-11000</v>
      </c>
    </row>
    <row r="32" spans="1:36" x14ac:dyDescent="0.35">
      <c r="A32" s="1">
        <v>31</v>
      </c>
      <c r="B32" s="1">
        <v>1553.515228702383</v>
      </c>
      <c r="C32" s="1">
        <v>2</v>
      </c>
      <c r="D32" s="1">
        <v>3465.23</v>
      </c>
      <c r="E32" s="1">
        <v>5</v>
      </c>
      <c r="F32" s="1">
        <v>0</v>
      </c>
      <c r="G32" s="4">
        <f>$M$11*C32*1000</f>
        <v>5000</v>
      </c>
      <c r="H32" s="4">
        <f>$M$12*C32</f>
        <v>53</v>
      </c>
      <c r="I32" s="56">
        <f t="shared" si="1"/>
        <v>1.5294800056561902E-2</v>
      </c>
      <c r="J32" s="4">
        <f t="shared" si="0"/>
        <v>1325</v>
      </c>
      <c r="K32" s="4"/>
      <c r="L32" s="65" t="s">
        <v>251</v>
      </c>
      <c r="M32" s="1" t="s">
        <v>252</v>
      </c>
      <c r="N32" s="46"/>
      <c r="O32" s="4"/>
      <c r="P32" s="1">
        <v>220.10300000000001</v>
      </c>
      <c r="Q32" s="1">
        <f t="shared" si="2"/>
        <v>-4779.8969999999999</v>
      </c>
      <c r="R32" s="1">
        <f t="shared" si="3"/>
        <v>5502.5749999999998</v>
      </c>
      <c r="S32" s="1">
        <f t="shared" si="4"/>
        <v>502.57499999999982</v>
      </c>
      <c r="T32" s="1">
        <f t="shared" si="5"/>
        <v>0.14403508937258977</v>
      </c>
      <c r="U32" s="1">
        <f t="shared" si="6"/>
        <v>0.25485238355949696</v>
      </c>
      <c r="V32" s="1"/>
      <c r="W32" s="1"/>
      <c r="X32" s="1">
        <v>1</v>
      </c>
      <c r="Y32">
        <f>W37</f>
        <v>4685.0797199999997</v>
      </c>
      <c r="Z32">
        <f>Z31+Y32</f>
        <v>-6314.9202800000003</v>
      </c>
      <c r="AA32">
        <f>Y32/(1+$M$13)^X32</f>
        <v>4415.7207540056552</v>
      </c>
      <c r="AB32">
        <f>AB31+AA32</f>
        <v>-6584.2792459943448</v>
      </c>
      <c r="AC32">
        <f>$W$37*((1+$M$34)^X32)</f>
        <v>4802.2067129999996</v>
      </c>
      <c r="AD32">
        <f>AC32/(1+$M$13)^X32</f>
        <v>4526.113772855796</v>
      </c>
      <c r="AE32">
        <f>AE31+AD32</f>
        <v>-6473.886227144204</v>
      </c>
    </row>
    <row r="33" spans="1:31" ht="29" x14ac:dyDescent="0.35">
      <c r="A33" s="1">
        <v>32</v>
      </c>
      <c r="B33" s="62">
        <v>14627.53150971361</v>
      </c>
      <c r="C33" s="62">
        <v>10</v>
      </c>
      <c r="D33" s="62">
        <v>17326.099999999999</v>
      </c>
      <c r="E33" s="62">
        <v>25</v>
      </c>
      <c r="F33" s="62">
        <f>19.4</f>
        <v>19.399999999999999</v>
      </c>
      <c r="G33" s="56">
        <f>M27</f>
        <v>34600</v>
      </c>
      <c r="H33" s="56">
        <f>$M$28*C33</f>
        <v>356</v>
      </c>
      <c r="I33" s="56">
        <f t="shared" si="1"/>
        <v>2.0547035974627877E-2</v>
      </c>
      <c r="J33" s="56">
        <f t="shared" si="0"/>
        <v>8900</v>
      </c>
      <c r="K33" s="56"/>
      <c r="L33" s="65" t="s">
        <v>262</v>
      </c>
      <c r="M33" s="1">
        <v>7.0000000000000007E-2</v>
      </c>
      <c r="N33" s="46"/>
      <c r="O33" s="56"/>
      <c r="P33" s="1">
        <v>1176.7</v>
      </c>
      <c r="Q33" s="1">
        <f t="shared" si="2"/>
        <v>-33423.300000000003</v>
      </c>
      <c r="R33" s="1">
        <f t="shared" si="3"/>
        <v>29417.5</v>
      </c>
      <c r="S33" s="1">
        <f t="shared" si="4"/>
        <v>-5182.5</v>
      </c>
      <c r="T33" s="1">
        <f t="shared" si="5"/>
        <v>0.11516313706324532</v>
      </c>
      <c r="U33" s="1">
        <f t="shared" si="6"/>
        <v>0.19660695208697074</v>
      </c>
      <c r="V33" s="1"/>
      <c r="W33" s="73" t="s">
        <v>285</v>
      </c>
      <c r="X33" s="1">
        <f>X32+1</f>
        <v>2</v>
      </c>
      <c r="Y33">
        <f>Y32</f>
        <v>4685.0797199999997</v>
      </c>
      <c r="Z33">
        <f>Z32+Y33</f>
        <v>-1629.8405600000006</v>
      </c>
      <c r="AA33">
        <f t="shared" ref="AA33:AA56" si="15">Y33/(1+$M$13)^X33</f>
        <v>4161.8480245105138</v>
      </c>
      <c r="AB33">
        <f t="shared" ref="AB33:AB56" si="16">AB32+AA33</f>
        <v>-2422.431221483831</v>
      </c>
      <c r="AC33">
        <f t="shared" ref="AC33:AC56" si="17">$W$8*((1+$M$34)^X33)</f>
        <v>19142.933509812498</v>
      </c>
      <c r="AD33">
        <f t="shared" ref="AD33:AD56" si="18">AC33/(1+$M$13)^X33</f>
        <v>17005.042554782667</v>
      </c>
      <c r="AE33">
        <f t="shared" ref="AE33:AE56" si="19">AE32+AD33</f>
        <v>10531.156327638462</v>
      </c>
    </row>
    <row r="34" spans="1:31" x14ac:dyDescent="0.35">
      <c r="A34" s="1">
        <v>33</v>
      </c>
      <c r="B34" s="62">
        <v>4264.5516094210579</v>
      </c>
      <c r="C34" s="62">
        <v>4</v>
      </c>
      <c r="D34" s="62">
        <v>6930.46</v>
      </c>
      <c r="E34" s="62">
        <v>10</v>
      </c>
      <c r="F34" s="62">
        <v>6</v>
      </c>
      <c r="G34" s="56">
        <f>M24</f>
        <v>18000</v>
      </c>
      <c r="H34" s="56">
        <f>$M$28*C34</f>
        <v>142.4</v>
      </c>
      <c r="I34" s="56">
        <f t="shared" si="1"/>
        <v>2.0546976679758633E-2</v>
      </c>
      <c r="J34" s="56">
        <f t="shared" si="0"/>
        <v>3560</v>
      </c>
      <c r="K34" s="56"/>
      <c r="L34" s="65" t="s">
        <v>263</v>
      </c>
      <c r="M34" s="1">
        <v>2.5000000000000001E-2</v>
      </c>
      <c r="N34" s="46"/>
      <c r="O34" s="56"/>
      <c r="P34" s="1">
        <v>513.029</v>
      </c>
      <c r="Q34" s="1">
        <f t="shared" si="2"/>
        <v>-17486.971000000001</v>
      </c>
      <c r="R34" s="1">
        <f t="shared" si="3"/>
        <v>12825.725</v>
      </c>
      <c r="S34" s="1">
        <f t="shared" si="4"/>
        <v>-5174.2749999999996</v>
      </c>
      <c r="T34" s="1">
        <f t="shared" si="5"/>
        <v>0.18938067033454006</v>
      </c>
      <c r="U34" s="1">
        <f t="shared" si="6"/>
        <v>0.33470963609813309</v>
      </c>
      <c r="V34" s="1"/>
      <c r="W34" s="1">
        <f>200*55</f>
        <v>11000</v>
      </c>
      <c r="X34" s="1">
        <f t="shared" ref="X34:X48" si="20">X33+1</f>
        <v>3</v>
      </c>
      <c r="Y34">
        <f t="shared" ref="Y34:Y56" si="21">Y33</f>
        <v>4685.0797199999997</v>
      </c>
      <c r="Z34">
        <f t="shared" ref="Z34:Z56" si="22">Z33+Y34</f>
        <v>3055.2391599999992</v>
      </c>
      <c r="AA34">
        <f t="shared" si="15"/>
        <v>3922.5711823850274</v>
      </c>
      <c r="AB34">
        <f t="shared" si="16"/>
        <v>1500.1399609011964</v>
      </c>
      <c r="AC34">
        <f>$W$37*((1+$M$34)^X34)</f>
        <v>5045.3184278456238</v>
      </c>
      <c r="AD34">
        <f t="shared" si="18"/>
        <v>4224.1801322056008</v>
      </c>
      <c r="AE34">
        <f t="shared" si="19"/>
        <v>14755.336459844064</v>
      </c>
    </row>
    <row r="35" spans="1:31" x14ac:dyDescent="0.35">
      <c r="A35" s="1">
        <v>34</v>
      </c>
      <c r="B35" s="1">
        <v>5041.8344142687847</v>
      </c>
      <c r="C35" s="1">
        <v>4</v>
      </c>
      <c r="D35" s="1">
        <v>7106.6</v>
      </c>
      <c r="E35" s="1">
        <v>10</v>
      </c>
      <c r="F35" s="1">
        <v>0</v>
      </c>
      <c r="G35" s="4">
        <f>$M$11*C35*1000</f>
        <v>10000</v>
      </c>
      <c r="H35" s="4">
        <f>$M$12*C35</f>
        <v>106</v>
      </c>
      <c r="I35" s="56">
        <f t="shared" si="1"/>
        <v>1.4915712154898262E-2</v>
      </c>
      <c r="J35" s="4">
        <f t="shared" si="0"/>
        <v>2650</v>
      </c>
      <c r="K35" s="4"/>
      <c r="L35" s="63"/>
      <c r="M35" s="4"/>
      <c r="N35" s="46"/>
      <c r="O35" s="4"/>
      <c r="P35" s="1">
        <v>321.40800000000002</v>
      </c>
      <c r="Q35" s="1">
        <f t="shared" si="2"/>
        <v>-9678.5920000000006</v>
      </c>
      <c r="R35" s="1">
        <f t="shared" si="3"/>
        <v>8035.2000000000007</v>
      </c>
      <c r="S35" s="1">
        <f t="shared" si="4"/>
        <v>-1964.7999999999993</v>
      </c>
      <c r="T35" s="1">
        <f t="shared" si="5"/>
        <v>9.4251915435983574E-2</v>
      </c>
      <c r="U35" s="1">
        <f t="shared" si="6"/>
        <v>0.16254307297012888</v>
      </c>
      <c r="V35" s="1"/>
      <c r="W35" s="1"/>
      <c r="X35" s="1">
        <f t="shared" si="20"/>
        <v>4</v>
      </c>
      <c r="Y35">
        <f t="shared" si="21"/>
        <v>4685.0797199999997</v>
      </c>
      <c r="Z35">
        <f t="shared" si="22"/>
        <v>7740.3188799999989</v>
      </c>
      <c r="AA35">
        <f t="shared" si="15"/>
        <v>3697.0510672808928</v>
      </c>
      <c r="AB35">
        <f t="shared" si="16"/>
        <v>5197.1910281820892</v>
      </c>
      <c r="AC35">
        <f t="shared" si="17"/>
        <v>20112.044518746756</v>
      </c>
      <c r="AD35">
        <f t="shared" si="18"/>
        <v>15870.648974407106</v>
      </c>
      <c r="AE35">
        <f t="shared" si="19"/>
        <v>30625.985434251168</v>
      </c>
    </row>
    <row r="36" spans="1:31" ht="29" x14ac:dyDescent="0.35">
      <c r="A36" s="1">
        <v>35</v>
      </c>
      <c r="B36" s="62">
        <v>1680.154057549307</v>
      </c>
      <c r="C36" s="62">
        <v>2</v>
      </c>
      <c r="D36" s="62">
        <v>3553.3</v>
      </c>
      <c r="E36" s="62">
        <v>5</v>
      </c>
      <c r="F36" s="62">
        <v>1.2</v>
      </c>
      <c r="G36" s="56">
        <f>M22</f>
        <v>8000</v>
      </c>
      <c r="H36" s="56">
        <f>$M$28*C36</f>
        <v>71.2</v>
      </c>
      <c r="I36" s="56">
        <f t="shared" si="1"/>
        <v>2.0037711423184081E-2</v>
      </c>
      <c r="J36" s="56">
        <f t="shared" si="0"/>
        <v>1780</v>
      </c>
      <c r="K36" s="56"/>
      <c r="L36" s="63"/>
      <c r="M36" s="4"/>
      <c r="N36" s="46"/>
      <c r="O36" s="56"/>
      <c r="P36" s="1">
        <v>275.78899999999999</v>
      </c>
      <c r="Q36" s="1">
        <f t="shared" si="2"/>
        <v>-7724.2110000000002</v>
      </c>
      <c r="R36" s="1">
        <f t="shared" si="3"/>
        <v>6894.7249999999995</v>
      </c>
      <c r="S36" s="1">
        <f t="shared" si="4"/>
        <v>-1105.2750000000005</v>
      </c>
      <c r="T36" s="1">
        <f t="shared" si="5"/>
        <v>0.21049643665862819</v>
      </c>
      <c r="U36" s="1">
        <f t="shared" si="6"/>
        <v>0.37443983539582415</v>
      </c>
      <c r="V36" s="1"/>
      <c r="W36" s="73" t="s">
        <v>286</v>
      </c>
      <c r="X36" s="1">
        <f t="shared" si="20"/>
        <v>5</v>
      </c>
      <c r="Y36">
        <f t="shared" si="21"/>
        <v>4685.0797199999997</v>
      </c>
      <c r="Z36">
        <f t="shared" si="22"/>
        <v>12425.398599999999</v>
      </c>
      <c r="AA36">
        <f t="shared" si="15"/>
        <v>3484.4967646379764</v>
      </c>
      <c r="AB36">
        <f t="shared" si="16"/>
        <v>8681.6877928200665</v>
      </c>
      <c r="AC36">
        <f t="shared" si="17"/>
        <v>20614.84563171542</v>
      </c>
      <c r="AD36">
        <f t="shared" si="18"/>
        <v>15332.15381599178</v>
      </c>
      <c r="AE36">
        <f t="shared" si="19"/>
        <v>45958.139250242952</v>
      </c>
    </row>
    <row r="37" spans="1:31" x14ac:dyDescent="0.35">
      <c r="A37" s="1">
        <v>36</v>
      </c>
      <c r="B37" s="1">
        <v>5659.8657296841702</v>
      </c>
      <c r="C37" s="1">
        <v>4</v>
      </c>
      <c r="D37" s="1">
        <v>7106.6</v>
      </c>
      <c r="E37" s="1">
        <v>10</v>
      </c>
      <c r="F37" s="1">
        <v>0</v>
      </c>
      <c r="G37" s="4">
        <f>$M$11*C37*1000</f>
        <v>10000</v>
      </c>
      <c r="H37" s="4">
        <f>$M$12*C37</f>
        <v>106</v>
      </c>
      <c r="I37" s="56">
        <f t="shared" si="1"/>
        <v>1.4915712154898262E-2</v>
      </c>
      <c r="J37" s="4">
        <f t="shared" si="0"/>
        <v>2650</v>
      </c>
      <c r="K37" s="4"/>
      <c r="L37" s="50" t="s">
        <v>49</v>
      </c>
      <c r="M37" s="4">
        <v>25</v>
      </c>
      <c r="N37" s="46"/>
      <c r="O37" s="4"/>
      <c r="P37" s="1">
        <v>274.303</v>
      </c>
      <c r="Q37" s="1">
        <f t="shared" si="2"/>
        <v>-9725.6970000000001</v>
      </c>
      <c r="R37" s="1">
        <f t="shared" si="3"/>
        <v>6857.5749999999998</v>
      </c>
      <c r="S37" s="1">
        <f t="shared" si="4"/>
        <v>-3142.4250000000002</v>
      </c>
      <c r="T37" s="1">
        <f t="shared" si="5"/>
        <v>8.5588766800369614E-2</v>
      </c>
      <c r="U37" s="1">
        <f t="shared" si="6"/>
        <v>0.14642284391285229</v>
      </c>
      <c r="V37" s="1"/>
      <c r="W37" s="1">
        <f>SUM(P47:P100)</f>
        <v>4685.0797199999997</v>
      </c>
      <c r="X37" s="1">
        <f t="shared" si="20"/>
        <v>6</v>
      </c>
      <c r="Y37">
        <f t="shared" si="21"/>
        <v>4685.0797199999997</v>
      </c>
      <c r="Z37">
        <f t="shared" si="22"/>
        <v>17110.478319999998</v>
      </c>
      <c r="AA37">
        <f t="shared" si="15"/>
        <v>3284.1628318925318</v>
      </c>
      <c r="AB37">
        <f t="shared" si="16"/>
        <v>11965.850624712599</v>
      </c>
      <c r="AC37">
        <f t="shared" si="17"/>
        <v>21130.216772508305</v>
      </c>
      <c r="AD37">
        <f t="shared" si="18"/>
        <v>14811.929935336073</v>
      </c>
      <c r="AE37">
        <f t="shared" si="19"/>
        <v>60770.069185579021</v>
      </c>
    </row>
    <row r="38" spans="1:31" x14ac:dyDescent="0.35">
      <c r="A38" s="1">
        <v>37</v>
      </c>
      <c r="B38" s="62">
        <v>7074.8321611913698</v>
      </c>
      <c r="C38" s="62">
        <v>6</v>
      </c>
      <c r="D38" s="62">
        <v>10659.9</v>
      </c>
      <c r="E38" s="62">
        <v>15</v>
      </c>
      <c r="F38" s="62">
        <v>5</v>
      </c>
      <c r="G38" s="56">
        <f>M25</f>
        <v>22000</v>
      </c>
      <c r="H38" s="56">
        <f>$M$28*C38</f>
        <v>213.60000000000002</v>
      </c>
      <c r="I38" s="56">
        <f t="shared" si="1"/>
        <v>2.0037711423184085E-2</v>
      </c>
      <c r="J38" s="56">
        <f t="shared" si="0"/>
        <v>5340.0000000000009</v>
      </c>
      <c r="K38" s="56"/>
      <c r="L38" s="65"/>
      <c r="M38" s="4"/>
      <c r="N38" s="46"/>
      <c r="O38" s="56"/>
      <c r="P38" s="1">
        <v>798.74900000000002</v>
      </c>
      <c r="Q38" s="1">
        <f>P38-G38</f>
        <v>-21201.251</v>
      </c>
      <c r="R38" s="1">
        <f t="shared" si="3"/>
        <v>19968.725000000002</v>
      </c>
      <c r="S38" s="1">
        <f t="shared" si="4"/>
        <v>-2031.2749999999978</v>
      </c>
      <c r="T38" s="1">
        <f t="shared" si="5"/>
        <v>0.1444222876152802</v>
      </c>
      <c r="U38" s="1">
        <f t="shared" si="6"/>
        <v>0.25149026334707947</v>
      </c>
      <c r="V38" s="1"/>
      <c r="W38" s="1"/>
      <c r="X38" s="1">
        <f t="shared" si="20"/>
        <v>7</v>
      </c>
      <c r="Y38">
        <f t="shared" si="21"/>
        <v>4685.0797199999997</v>
      </c>
      <c r="Z38">
        <f t="shared" si="22"/>
        <v>21795.558039999996</v>
      </c>
      <c r="AA38">
        <f t="shared" si="15"/>
        <v>3095.3466841588429</v>
      </c>
      <c r="AB38">
        <f t="shared" si="16"/>
        <v>15061.197308871442</v>
      </c>
      <c r="AC38">
        <f t="shared" si="17"/>
        <v>21658.472191821013</v>
      </c>
      <c r="AD38">
        <f t="shared" si="18"/>
        <v>14309.357383335984</v>
      </c>
      <c r="AE38">
        <f t="shared" si="19"/>
        <v>75079.426568915005</v>
      </c>
    </row>
    <row r="39" spans="1:31" x14ac:dyDescent="0.35">
      <c r="A39" s="1">
        <v>38</v>
      </c>
      <c r="B39" s="1">
        <v>1036.155497852058</v>
      </c>
      <c r="C39" s="1">
        <v>2</v>
      </c>
      <c r="D39" s="1">
        <v>3553.3</v>
      </c>
      <c r="E39" s="1">
        <v>5</v>
      </c>
      <c r="F39" s="1">
        <v>0</v>
      </c>
      <c r="G39" s="4">
        <f>$M$11*C39*1000</f>
        <v>5000</v>
      </c>
      <c r="H39" s="4">
        <f>$M$12*C39</f>
        <v>53</v>
      </c>
      <c r="I39" s="56">
        <f t="shared" si="1"/>
        <v>1.4915712154898262E-2</v>
      </c>
      <c r="J39" s="4">
        <f t="shared" si="0"/>
        <v>1325</v>
      </c>
      <c r="K39" s="4"/>
      <c r="L39" s="63"/>
      <c r="M39" s="4"/>
      <c r="N39" s="46"/>
      <c r="O39" s="4"/>
      <c r="P39" s="1">
        <v>256.82299999999998</v>
      </c>
      <c r="Q39" s="1">
        <f t="shared" si="2"/>
        <v>-4743.1769999999997</v>
      </c>
      <c r="R39" s="1">
        <f t="shared" si="3"/>
        <v>6420.5749999999998</v>
      </c>
      <c r="S39" s="1">
        <f t="shared" si="4"/>
        <v>1420.5749999999998</v>
      </c>
      <c r="T39" s="1">
        <f t="shared" si="5"/>
        <v>0.20793693379064537</v>
      </c>
      <c r="U39" s="1">
        <f t="shared" si="6"/>
        <v>0.37408608271648819</v>
      </c>
      <c r="V39" s="1"/>
      <c r="W39" s="1"/>
      <c r="X39" s="1">
        <f t="shared" si="20"/>
        <v>8</v>
      </c>
      <c r="Y39">
        <f t="shared" si="21"/>
        <v>4685.0797199999997</v>
      </c>
      <c r="Z39">
        <f t="shared" si="22"/>
        <v>26480.637759999998</v>
      </c>
      <c r="AA39">
        <f t="shared" si="15"/>
        <v>2917.3861302156861</v>
      </c>
      <c r="AB39">
        <f t="shared" si="16"/>
        <v>17978.583439087128</v>
      </c>
      <c r="AC39">
        <f t="shared" si="17"/>
        <v>22199.933996616539</v>
      </c>
      <c r="AD39">
        <f t="shared" si="18"/>
        <v>13823.837245918363</v>
      </c>
      <c r="AE39">
        <f t="shared" si="19"/>
        <v>88903.263814833364</v>
      </c>
    </row>
    <row r="40" spans="1:31" x14ac:dyDescent="0.35">
      <c r="A40" s="1">
        <v>39</v>
      </c>
      <c r="B40" s="62">
        <v>1397.7981728371551</v>
      </c>
      <c r="C40" s="62">
        <v>2</v>
      </c>
      <c r="D40" s="62">
        <v>3553.3</v>
      </c>
      <c r="E40" s="62">
        <v>5</v>
      </c>
      <c r="F40" s="62">
        <v>1.2</v>
      </c>
      <c r="G40" s="56">
        <f>M22</f>
        <v>8000</v>
      </c>
      <c r="H40" s="56">
        <f>$M$28*C40</f>
        <v>71.2</v>
      </c>
      <c r="I40" s="56">
        <f t="shared" si="1"/>
        <v>2.0037711423184081E-2</v>
      </c>
      <c r="J40" s="56">
        <f t="shared" si="0"/>
        <v>1780</v>
      </c>
      <c r="K40" s="56"/>
      <c r="L40" s="50" t="s">
        <v>280</v>
      </c>
      <c r="M40" s="1">
        <f>1+((1-(1+$M$13)^(1-$M$37))/$M$13)</f>
        <v>13.43521330378282</v>
      </c>
      <c r="N40" s="46"/>
      <c r="O40" s="56"/>
      <c r="P40" s="1">
        <v>278.79599999999999</v>
      </c>
      <c r="Q40" s="1">
        <f t="shared" si="2"/>
        <v>-7721.2039999999997</v>
      </c>
      <c r="R40" s="1">
        <f t="shared" si="3"/>
        <v>6969.9</v>
      </c>
      <c r="S40" s="1">
        <f t="shared" si="4"/>
        <v>-1030.1000000000004</v>
      </c>
      <c r="T40" s="1">
        <f t="shared" si="5"/>
        <v>0.24896918824038861</v>
      </c>
      <c r="U40" s="1">
        <f t="shared" si="6"/>
        <v>0.44602923020455415</v>
      </c>
      <c r="V40" s="1"/>
      <c r="W40" s="1"/>
      <c r="X40" s="1">
        <f t="shared" si="20"/>
        <v>9</v>
      </c>
      <c r="Y40">
        <f t="shared" si="21"/>
        <v>4685.0797199999997</v>
      </c>
      <c r="Z40">
        <f t="shared" si="22"/>
        <v>31165.717479999999</v>
      </c>
      <c r="AA40">
        <f t="shared" si="15"/>
        <v>2749.6570501561605</v>
      </c>
      <c r="AB40">
        <f t="shared" si="16"/>
        <v>20728.24048924329</v>
      </c>
      <c r="AC40">
        <f t="shared" si="17"/>
        <v>22754.932346531947</v>
      </c>
      <c r="AD40">
        <f t="shared" si="18"/>
        <v>13354.790930316984</v>
      </c>
      <c r="AE40">
        <f t="shared" si="19"/>
        <v>102258.05474515035</v>
      </c>
    </row>
    <row r="41" spans="1:31" x14ac:dyDescent="0.35">
      <c r="A41" s="1">
        <v>40</v>
      </c>
      <c r="B41" s="62">
        <v>2769.3097556877569</v>
      </c>
      <c r="C41" s="62">
        <v>2</v>
      </c>
      <c r="D41" s="62">
        <v>3553.3</v>
      </c>
      <c r="E41" s="62">
        <v>5</v>
      </c>
      <c r="F41" s="62">
        <v>3.3</v>
      </c>
      <c r="G41" s="56">
        <f>M23</f>
        <v>13000</v>
      </c>
      <c r="H41" s="56">
        <f>$M$28*C41</f>
        <v>71.2</v>
      </c>
      <c r="I41" s="56">
        <f t="shared" si="1"/>
        <v>2.0037711423184081E-2</v>
      </c>
      <c r="J41" s="56">
        <f t="shared" si="0"/>
        <v>1780</v>
      </c>
      <c r="K41" s="56"/>
      <c r="L41" s="72"/>
      <c r="M41" s="4"/>
      <c r="N41" s="46"/>
      <c r="O41" s="56"/>
      <c r="P41" s="1">
        <v>268.85399999999998</v>
      </c>
      <c r="Q41" s="1">
        <f t="shared" si="2"/>
        <v>-12731.146000000001</v>
      </c>
      <c r="R41" s="1">
        <f t="shared" si="3"/>
        <v>6721.3499999999995</v>
      </c>
      <c r="S41" s="1">
        <f t="shared" si="4"/>
        <v>-6278.6500000000005</v>
      </c>
      <c r="T41" s="1">
        <f t="shared" si="5"/>
        <v>0.20781013338934232</v>
      </c>
      <c r="U41" s="1">
        <f t="shared" si="6"/>
        <v>0.36944121124199414</v>
      </c>
      <c r="V41" s="1"/>
      <c r="W41" s="1"/>
      <c r="X41" s="1">
        <f t="shared" si="20"/>
        <v>10</v>
      </c>
      <c r="Y41">
        <f t="shared" si="21"/>
        <v>4685.0797199999997</v>
      </c>
      <c r="Z41">
        <f t="shared" si="22"/>
        <v>35850.797200000001</v>
      </c>
      <c r="AA41">
        <f t="shared" si="15"/>
        <v>2591.5712065562302</v>
      </c>
      <c r="AB41">
        <f t="shared" si="16"/>
        <v>23319.811695799519</v>
      </c>
      <c r="AC41">
        <f t="shared" si="17"/>
        <v>23323.805655195247</v>
      </c>
      <c r="AD41">
        <f t="shared" si="18"/>
        <v>12901.659475565417</v>
      </c>
      <c r="AE41">
        <f t="shared" si="19"/>
        <v>115159.71422071577</v>
      </c>
    </row>
    <row r="42" spans="1:31" x14ac:dyDescent="0.35">
      <c r="A42" s="1">
        <v>41</v>
      </c>
      <c r="B42" s="1">
        <v>975.76163139608616</v>
      </c>
      <c r="C42" s="1">
        <v>2</v>
      </c>
      <c r="D42" s="1">
        <v>3553.3</v>
      </c>
      <c r="E42" s="1">
        <v>5</v>
      </c>
      <c r="F42" s="1">
        <v>0</v>
      </c>
      <c r="G42" s="4">
        <f>$M$11*C42*1000</f>
        <v>5000</v>
      </c>
      <c r="H42" s="4">
        <f>$M$12*C42</f>
        <v>53</v>
      </c>
      <c r="I42" s="56">
        <f t="shared" si="1"/>
        <v>1.4915712154898262E-2</v>
      </c>
      <c r="J42" s="4">
        <f t="shared" si="0"/>
        <v>1325</v>
      </c>
      <c r="K42" s="4"/>
      <c r="L42" s="63"/>
      <c r="M42" s="4"/>
      <c r="N42" s="46"/>
      <c r="O42" s="4"/>
      <c r="P42" s="1">
        <v>269.17599999999999</v>
      </c>
      <c r="Q42" s="1">
        <f t="shared" si="2"/>
        <v>-4730.8239999999996</v>
      </c>
      <c r="R42" s="1">
        <f t="shared" si="3"/>
        <v>6729.4</v>
      </c>
      <c r="S42" s="1">
        <f t="shared" si="4"/>
        <v>1729.3999999999996</v>
      </c>
      <c r="T42" s="1">
        <f t="shared" si="5"/>
        <v>0.21988380432495713</v>
      </c>
      <c r="U42" s="1">
        <f t="shared" si="6"/>
        <v>0.3963166016226301</v>
      </c>
      <c r="V42" s="1"/>
      <c r="W42" s="1"/>
      <c r="X42" s="1">
        <f t="shared" si="20"/>
        <v>11</v>
      </c>
      <c r="Y42">
        <f t="shared" si="21"/>
        <v>4685.0797199999997</v>
      </c>
      <c r="Z42">
        <f t="shared" si="22"/>
        <v>40535.876920000002</v>
      </c>
      <c r="AA42">
        <f t="shared" si="15"/>
        <v>2442.5741814856087</v>
      </c>
      <c r="AB42">
        <f t="shared" si="16"/>
        <v>25762.385877285127</v>
      </c>
      <c r="AC42">
        <f t="shared" si="17"/>
        <v>23906.900796575126</v>
      </c>
      <c r="AD42">
        <f t="shared" si="18"/>
        <v>12463.902886385065</v>
      </c>
      <c r="AE42">
        <f t="shared" si="19"/>
        <v>127623.61710710084</v>
      </c>
    </row>
    <row r="43" spans="1:31" ht="15" thickBot="1" x14ac:dyDescent="0.4">
      <c r="A43" s="1">
        <v>42</v>
      </c>
      <c r="B43" s="62">
        <v>1220.838737866377</v>
      </c>
      <c r="C43" s="62">
        <v>2</v>
      </c>
      <c r="D43" s="62">
        <v>3553.3</v>
      </c>
      <c r="E43" s="62">
        <v>5</v>
      </c>
      <c r="F43" s="62">
        <v>2</v>
      </c>
      <c r="G43" s="56">
        <f>M22</f>
        <v>8000</v>
      </c>
      <c r="H43" s="56">
        <f>$M$28*C43</f>
        <v>71.2</v>
      </c>
      <c r="I43" s="56">
        <f t="shared" si="1"/>
        <v>2.0037711423184081E-2</v>
      </c>
      <c r="J43" s="56">
        <f t="shared" si="0"/>
        <v>1780</v>
      </c>
      <c r="K43" s="56"/>
      <c r="L43" s="66"/>
      <c r="M43" s="52"/>
      <c r="N43" s="53"/>
      <c r="O43" s="56"/>
      <c r="P43" s="1">
        <v>269.30700000000002</v>
      </c>
      <c r="Q43" s="1">
        <f t="shared" si="2"/>
        <v>-7730.6930000000002</v>
      </c>
      <c r="R43" s="1">
        <f t="shared" si="3"/>
        <v>6732.6750000000002</v>
      </c>
      <c r="S43" s="1">
        <f t="shared" si="4"/>
        <v>-1267.3249999999998</v>
      </c>
      <c r="T43" s="1">
        <f t="shared" si="5"/>
        <v>0.28215259201687687</v>
      </c>
      <c r="U43" s="1">
        <f t="shared" si="6"/>
        <v>0.50777630303879262</v>
      </c>
      <c r="V43" s="1"/>
      <c r="W43" s="1"/>
      <c r="X43" s="1">
        <f t="shared" si="20"/>
        <v>12</v>
      </c>
      <c r="Y43">
        <f t="shared" si="21"/>
        <v>4685.0797199999997</v>
      </c>
      <c r="Z43">
        <f t="shared" si="22"/>
        <v>45220.956640000004</v>
      </c>
      <c r="AA43">
        <f t="shared" si="15"/>
        <v>2302.1434321259271</v>
      </c>
      <c r="AB43">
        <f t="shared" si="16"/>
        <v>28064.529309411053</v>
      </c>
      <c r="AC43">
        <f t="shared" si="17"/>
        <v>24504.573316489503</v>
      </c>
      <c r="AD43">
        <f t="shared" si="18"/>
        <v>12040.999489674545</v>
      </c>
      <c r="AE43">
        <f t="shared" si="19"/>
        <v>139664.61659677539</v>
      </c>
    </row>
    <row r="44" spans="1:31" x14ac:dyDescent="0.35">
      <c r="A44" s="1">
        <v>43</v>
      </c>
      <c r="B44" s="62">
        <v>3438.0361146713012</v>
      </c>
      <c r="C44" s="62">
        <v>10</v>
      </c>
      <c r="D44" s="62">
        <v>17766.5</v>
      </c>
      <c r="E44" s="62">
        <v>25</v>
      </c>
      <c r="F44" s="62">
        <v>9.6999999999999993</v>
      </c>
      <c r="G44" s="56">
        <f>M27</f>
        <v>34600</v>
      </c>
      <c r="H44" s="56">
        <f>$M$28*C44</f>
        <v>356</v>
      </c>
      <c r="I44" s="56">
        <f t="shared" si="1"/>
        <v>2.0037711423184081E-2</v>
      </c>
      <c r="J44" s="56">
        <f t="shared" si="0"/>
        <v>8900</v>
      </c>
      <c r="K44" s="56"/>
      <c r="L44" s="4"/>
      <c r="M44" s="4"/>
      <c r="N44" s="4"/>
      <c r="O44" s="56"/>
      <c r="P44" s="1">
        <v>1572.32</v>
      </c>
      <c r="Q44" s="1">
        <f t="shared" si="2"/>
        <v>-33027.68</v>
      </c>
      <c r="R44" s="1">
        <f t="shared" si="3"/>
        <v>39308</v>
      </c>
      <c r="S44" s="1">
        <f t="shared" si="4"/>
        <v>4708</v>
      </c>
      <c r="T44" s="1">
        <f t="shared" si="5"/>
        <v>0.42259311044705949</v>
      </c>
      <c r="U44" s="1">
        <f t="shared" si="6"/>
        <v>0.76910545958936294</v>
      </c>
      <c r="V44" s="1"/>
      <c r="W44" s="1"/>
      <c r="X44" s="1">
        <f t="shared" si="20"/>
        <v>13</v>
      </c>
      <c r="Y44">
        <f t="shared" si="21"/>
        <v>4685.0797199999997</v>
      </c>
      <c r="Z44">
        <f t="shared" si="22"/>
        <v>49906.036360000006</v>
      </c>
      <c r="AA44">
        <f t="shared" si="15"/>
        <v>2169.7864581771223</v>
      </c>
      <c r="AB44">
        <f t="shared" si="16"/>
        <v>30234.315767588174</v>
      </c>
      <c r="AC44">
        <f t="shared" si="17"/>
        <v>25117.187649401738</v>
      </c>
      <c r="AD44">
        <f t="shared" si="18"/>
        <v>11632.445312833559</v>
      </c>
      <c r="AE44">
        <f t="shared" si="19"/>
        <v>151297.06190960895</v>
      </c>
    </row>
    <row r="45" spans="1:31" x14ac:dyDescent="0.35">
      <c r="A45" s="1">
        <v>44</v>
      </c>
      <c r="B45" s="1">
        <v>1279.200878938675</v>
      </c>
      <c r="C45" s="1">
        <v>2</v>
      </c>
      <c r="D45" s="1">
        <v>3553.3</v>
      </c>
      <c r="E45" s="1">
        <v>5</v>
      </c>
      <c r="F45" s="1">
        <v>0</v>
      </c>
      <c r="G45" s="4">
        <f>$M$11*C45*1000</f>
        <v>5000</v>
      </c>
      <c r="H45" s="4">
        <f>$M$12*C45</f>
        <v>53</v>
      </c>
      <c r="I45" s="56">
        <f t="shared" si="1"/>
        <v>1.4915712154898262E-2</v>
      </c>
      <c r="J45" s="4">
        <f t="shared" si="0"/>
        <v>1325</v>
      </c>
      <c r="K45" s="4"/>
      <c r="L45" s="1" t="s">
        <v>247</v>
      </c>
      <c r="M45" s="1">
        <v>24000</v>
      </c>
      <c r="N45" s="4" t="s">
        <v>268</v>
      </c>
      <c r="O45" s="4"/>
      <c r="P45" s="1">
        <v>242.89599999999999</v>
      </c>
      <c r="Q45" s="1">
        <f t="shared" si="2"/>
        <v>-4757.1040000000003</v>
      </c>
      <c r="R45" s="1">
        <f t="shared" si="3"/>
        <v>6072.4</v>
      </c>
      <c r="S45" s="1">
        <f>R45-G45</f>
        <v>1072.3999999999996</v>
      </c>
      <c r="T45" s="1">
        <f t="shared" si="5"/>
        <v>0.17126332205173919</v>
      </c>
      <c r="U45" s="1">
        <f t="shared" si="6"/>
        <v>0.30584449453012802</v>
      </c>
      <c r="V45" s="1"/>
      <c r="W45" s="1"/>
      <c r="X45" s="1">
        <f t="shared" si="20"/>
        <v>14</v>
      </c>
      <c r="Y45">
        <f t="shared" si="21"/>
        <v>4685.0797199999997</v>
      </c>
      <c r="Z45">
        <f t="shared" si="22"/>
        <v>54591.116080000007</v>
      </c>
      <c r="AA45">
        <f t="shared" si="15"/>
        <v>2045.0390746249975</v>
      </c>
      <c r="AB45">
        <f t="shared" si="16"/>
        <v>32279.354842213172</v>
      </c>
      <c r="AC45">
        <f t="shared" si="17"/>
        <v>25745.117340636778</v>
      </c>
      <c r="AD45">
        <f t="shared" si="18"/>
        <v>11237.753483180393</v>
      </c>
      <c r="AE45">
        <f t="shared" si="19"/>
        <v>162534.81539278934</v>
      </c>
    </row>
    <row r="46" spans="1:31" x14ac:dyDescent="0.35">
      <c r="A46" s="62">
        <v>45</v>
      </c>
      <c r="B46" s="62">
        <v>3266.9511427123548</v>
      </c>
      <c r="C46" s="62">
        <v>2</v>
      </c>
      <c r="D46" s="62">
        <v>3553.3</v>
      </c>
      <c r="E46" s="62">
        <v>5</v>
      </c>
      <c r="F46" s="62">
        <v>4.2</v>
      </c>
      <c r="G46" s="56">
        <f>M23</f>
        <v>13000</v>
      </c>
      <c r="H46" s="56">
        <f>$M$28*C46</f>
        <v>71.2</v>
      </c>
      <c r="I46" s="56">
        <f t="shared" si="1"/>
        <v>2.0037711423184081E-2</v>
      </c>
      <c r="J46" s="56">
        <f t="shared" si="0"/>
        <v>1780</v>
      </c>
      <c r="K46" s="4"/>
      <c r="L46" s="4" t="s">
        <v>247</v>
      </c>
      <c r="M46" s="4">
        <v>26000</v>
      </c>
      <c r="N46" s="4" t="s">
        <v>264</v>
      </c>
      <c r="O46" s="56"/>
      <c r="P46" s="1">
        <v>270.36200000000002</v>
      </c>
      <c r="Q46" s="1">
        <f t="shared" si="2"/>
        <v>-12729.638000000001</v>
      </c>
      <c r="R46" s="1">
        <f t="shared" si="3"/>
        <v>6759.05</v>
      </c>
      <c r="S46" s="1">
        <f t="shared" si="4"/>
        <v>-6240.95</v>
      </c>
      <c r="T46" s="1">
        <f t="shared" si="5"/>
        <v>0.17920752366845538</v>
      </c>
      <c r="U46" s="1">
        <f t="shared" si="6"/>
        <v>0.31621799648135912</v>
      </c>
      <c r="V46" s="1"/>
      <c r="W46" s="1"/>
      <c r="X46" s="1">
        <f t="shared" si="20"/>
        <v>15</v>
      </c>
      <c r="Y46">
        <f t="shared" si="21"/>
        <v>4685.0797199999997</v>
      </c>
      <c r="Z46">
        <f t="shared" si="22"/>
        <v>59276.195800000009</v>
      </c>
      <c r="AA46">
        <f t="shared" si="15"/>
        <v>1927.4637838124388</v>
      </c>
      <c r="AB46">
        <f t="shared" si="16"/>
        <v>34206.818626025612</v>
      </c>
      <c r="AC46">
        <f t="shared" si="17"/>
        <v>26388.745274152705</v>
      </c>
      <c r="AD46">
        <f t="shared" si="18"/>
        <v>10856.453647747319</v>
      </c>
      <c r="AE46">
        <f t="shared" si="19"/>
        <v>173391.26904053666</v>
      </c>
    </row>
    <row r="47" spans="1:31" x14ac:dyDescent="0.35">
      <c r="A47" s="70">
        <v>46</v>
      </c>
      <c r="B47" s="70">
        <v>1763.99702425654</v>
      </c>
      <c r="C47" s="70">
        <v>0</v>
      </c>
      <c r="D47" s="70"/>
      <c r="E47" s="70">
        <v>0</v>
      </c>
      <c r="F47" s="70">
        <v>0</v>
      </c>
      <c r="G47" s="71">
        <f t="shared" ref="G47:G78" si="23">$M$11*C47*1000</f>
        <v>0</v>
      </c>
      <c r="H47" s="71">
        <f t="shared" ref="H47:H78" si="24">$M$12*C47</f>
        <v>0</v>
      </c>
      <c r="I47" s="71">
        <f t="shared" ref="I47:J62" si="25">$M$12*D47</f>
        <v>0</v>
      </c>
      <c r="J47" s="71">
        <f t="shared" si="25"/>
        <v>0</v>
      </c>
      <c r="K47" s="71"/>
      <c r="L47" s="4" t="s">
        <v>247</v>
      </c>
      <c r="M47" s="4">
        <v>32500</v>
      </c>
      <c r="N47" s="4" t="s">
        <v>265</v>
      </c>
      <c r="O47" s="71"/>
      <c r="P47" s="70">
        <v>36.3322</v>
      </c>
      <c r="Q47" s="70">
        <f t="shared" si="2"/>
        <v>36.3322</v>
      </c>
      <c r="R47" s="70">
        <f t="shared" si="3"/>
        <v>908.30500000000006</v>
      </c>
      <c r="S47" s="70">
        <f t="shared" si="4"/>
        <v>908.30500000000006</v>
      </c>
      <c r="T47" s="70">
        <f t="shared" si="5"/>
        <v>0</v>
      </c>
      <c r="U47" s="70">
        <f t="shared" si="6"/>
        <v>0</v>
      </c>
      <c r="V47" s="4"/>
      <c r="W47" s="1"/>
      <c r="X47" s="1">
        <f t="shared" si="20"/>
        <v>16</v>
      </c>
      <c r="Y47">
        <f t="shared" si="21"/>
        <v>4685.0797199999997</v>
      </c>
      <c r="Z47">
        <f t="shared" si="22"/>
        <v>63961.27552000001</v>
      </c>
      <c r="AA47">
        <f t="shared" si="15"/>
        <v>1816.648241105032</v>
      </c>
      <c r="AB47">
        <f t="shared" si="16"/>
        <v>36023.466867130643</v>
      </c>
      <c r="AC47">
        <f t="shared" si="17"/>
        <v>27048.46390600652</v>
      </c>
      <c r="AD47">
        <f t="shared" si="18"/>
        <v>10488.091412762491</v>
      </c>
      <c r="AE47">
        <f t="shared" si="19"/>
        <v>183879.36045329916</v>
      </c>
    </row>
    <row r="48" spans="1:31" x14ac:dyDescent="0.35">
      <c r="A48" s="1">
        <v>47</v>
      </c>
      <c r="B48" s="1">
        <v>2322.9032263370332</v>
      </c>
      <c r="C48" s="1">
        <v>0</v>
      </c>
      <c r="D48" s="1"/>
      <c r="E48" s="1">
        <v>0</v>
      </c>
      <c r="F48" s="1">
        <v>0</v>
      </c>
      <c r="G48" s="4">
        <f t="shared" si="23"/>
        <v>0</v>
      </c>
      <c r="H48" s="4">
        <f t="shared" si="24"/>
        <v>0</v>
      </c>
      <c r="I48" s="4">
        <f t="shared" si="25"/>
        <v>0</v>
      </c>
      <c r="J48" s="4">
        <f t="shared" si="25"/>
        <v>0</v>
      </c>
      <c r="K48" s="4"/>
      <c r="L48" s="4" t="s">
        <v>247</v>
      </c>
      <c r="M48" s="4">
        <v>34600</v>
      </c>
      <c r="N48" s="4" t="s">
        <v>266</v>
      </c>
      <c r="O48" s="4"/>
      <c r="P48" s="1">
        <v>48.805199999999999</v>
      </c>
      <c r="Q48" s="1">
        <f>P48-G48</f>
        <v>48.805199999999999</v>
      </c>
      <c r="R48" s="1">
        <f t="shared" si="3"/>
        <v>1220.1299999999999</v>
      </c>
      <c r="S48" s="1">
        <f t="shared" si="4"/>
        <v>1220.1299999999999</v>
      </c>
      <c r="T48" s="1">
        <f t="shared" si="5"/>
        <v>0</v>
      </c>
      <c r="U48" s="1">
        <f t="shared" si="6"/>
        <v>0</v>
      </c>
      <c r="V48" s="4"/>
      <c r="W48" s="1"/>
      <c r="X48" s="1">
        <f t="shared" si="20"/>
        <v>17</v>
      </c>
      <c r="Y48">
        <f t="shared" si="21"/>
        <v>4685.0797199999997</v>
      </c>
      <c r="Z48">
        <f t="shared" si="22"/>
        <v>68646.355240000004</v>
      </c>
      <c r="AA48">
        <f t="shared" si="15"/>
        <v>1712.2038087700587</v>
      </c>
      <c r="AB48">
        <f t="shared" si="16"/>
        <v>37735.670675900699</v>
      </c>
      <c r="AC48">
        <f t="shared" si="17"/>
        <v>27724.675503656679</v>
      </c>
      <c r="AD48">
        <f t="shared" si="18"/>
        <v>10132.227802150379</v>
      </c>
      <c r="AE48">
        <f t="shared" si="19"/>
        <v>194011.58825544955</v>
      </c>
    </row>
    <row r="49" spans="1:31" x14ac:dyDescent="0.35">
      <c r="A49" s="1">
        <v>48</v>
      </c>
      <c r="B49" s="1">
        <v>1052.7350255677291</v>
      </c>
      <c r="C49" s="1">
        <v>0</v>
      </c>
      <c r="D49" s="1"/>
      <c r="E49" s="1">
        <v>0</v>
      </c>
      <c r="F49" s="1">
        <v>0</v>
      </c>
      <c r="G49" s="4">
        <f t="shared" si="23"/>
        <v>0</v>
      </c>
      <c r="H49" s="4">
        <f t="shared" si="24"/>
        <v>0</v>
      </c>
      <c r="I49" s="4">
        <f t="shared" si="25"/>
        <v>0</v>
      </c>
      <c r="J49" s="4">
        <f t="shared" si="25"/>
        <v>0</v>
      </c>
      <c r="K49" s="4"/>
      <c r="L49" s="4"/>
      <c r="M49" s="4"/>
      <c r="N49" s="4"/>
      <c r="O49" s="4"/>
      <c r="P49" s="1">
        <v>22.118400000000001</v>
      </c>
      <c r="Q49" s="1">
        <f t="shared" si="2"/>
        <v>22.118400000000001</v>
      </c>
      <c r="R49" s="1">
        <f t="shared" si="3"/>
        <v>552.96</v>
      </c>
      <c r="S49" s="1">
        <f t="shared" si="4"/>
        <v>552.96</v>
      </c>
      <c r="T49" s="1">
        <f t="shared" si="5"/>
        <v>0</v>
      </c>
      <c r="U49" s="1">
        <f t="shared" si="6"/>
        <v>0</v>
      </c>
      <c r="V49" s="4"/>
      <c r="W49" s="1"/>
      <c r="X49" s="1">
        <f>X48+1</f>
        <v>18</v>
      </c>
      <c r="Y49">
        <f t="shared" si="21"/>
        <v>4685.0797199999997</v>
      </c>
      <c r="Z49">
        <f t="shared" si="22"/>
        <v>73331.434959999999</v>
      </c>
      <c r="AA49">
        <f t="shared" si="15"/>
        <v>1613.7641929972278</v>
      </c>
      <c r="AB49">
        <f t="shared" si="16"/>
        <v>39349.43486889793</v>
      </c>
      <c r="AC49">
        <f t="shared" si="17"/>
        <v>28417.792391248095</v>
      </c>
      <c r="AD49">
        <f t="shared" si="18"/>
        <v>9788.4387344054085</v>
      </c>
      <c r="AE49">
        <f t="shared" si="19"/>
        <v>203800.02698985496</v>
      </c>
    </row>
    <row r="50" spans="1:31" x14ac:dyDescent="0.35">
      <c r="A50" s="1">
        <v>49</v>
      </c>
      <c r="B50" s="1">
        <v>2650.8063291642311</v>
      </c>
      <c r="C50" s="1">
        <v>0</v>
      </c>
      <c r="D50" s="1"/>
      <c r="E50" s="1">
        <v>0</v>
      </c>
      <c r="F50" s="1">
        <v>0</v>
      </c>
      <c r="G50" s="4">
        <f t="shared" si="23"/>
        <v>0</v>
      </c>
      <c r="H50" s="4">
        <f t="shared" si="24"/>
        <v>0</v>
      </c>
      <c r="I50" s="4">
        <f t="shared" si="25"/>
        <v>0</v>
      </c>
      <c r="J50" s="4">
        <f t="shared" si="25"/>
        <v>0</v>
      </c>
      <c r="K50" s="4"/>
      <c r="L50" s="4"/>
      <c r="M50" s="4"/>
      <c r="N50" s="4"/>
      <c r="O50" s="4"/>
      <c r="P50" s="4">
        <v>53.152200000000001</v>
      </c>
      <c r="Q50" s="1">
        <f t="shared" si="2"/>
        <v>53.152200000000001</v>
      </c>
      <c r="R50" s="1">
        <f t="shared" si="3"/>
        <v>1328.8050000000001</v>
      </c>
      <c r="S50" s="1">
        <f t="shared" si="4"/>
        <v>1328.8050000000001</v>
      </c>
      <c r="T50" s="1">
        <f t="shared" si="5"/>
        <v>0</v>
      </c>
      <c r="U50" s="1">
        <f t="shared" si="6"/>
        <v>0</v>
      </c>
      <c r="V50" s="4"/>
      <c r="W50" s="1"/>
      <c r="X50" s="1">
        <f t="shared" ref="X50:X54" si="26">X49+1</f>
        <v>19</v>
      </c>
      <c r="Y50">
        <f t="shared" si="21"/>
        <v>4685.0797199999997</v>
      </c>
      <c r="Z50">
        <f t="shared" si="22"/>
        <v>78016.514679999993</v>
      </c>
      <c r="AA50">
        <f t="shared" si="15"/>
        <v>1520.9841592810819</v>
      </c>
      <c r="AB50">
        <f t="shared" si="16"/>
        <v>40870.419028179014</v>
      </c>
      <c r="AC50">
        <f t="shared" si="17"/>
        <v>29128.2372010293</v>
      </c>
      <c r="AD50">
        <f t="shared" si="18"/>
        <v>9456.3145172154054</v>
      </c>
      <c r="AE50">
        <f t="shared" si="19"/>
        <v>213256.34150707038</v>
      </c>
    </row>
    <row r="51" spans="1:31" x14ac:dyDescent="0.35">
      <c r="A51" s="1">
        <v>50</v>
      </c>
      <c r="B51" s="1">
        <v>2336.365059758562</v>
      </c>
      <c r="C51" s="1">
        <v>0</v>
      </c>
      <c r="D51" s="1"/>
      <c r="E51" s="1">
        <v>0</v>
      </c>
      <c r="F51" s="1">
        <v>0</v>
      </c>
      <c r="G51" s="4">
        <f t="shared" si="23"/>
        <v>0</v>
      </c>
      <c r="H51" s="4">
        <f t="shared" si="24"/>
        <v>0</v>
      </c>
      <c r="I51" s="4">
        <f t="shared" si="25"/>
        <v>0</v>
      </c>
      <c r="J51" s="4">
        <f t="shared" si="25"/>
        <v>0</v>
      </c>
      <c r="K51" s="4"/>
      <c r="L51" s="4"/>
      <c r="M51" s="4"/>
      <c r="N51" s="4"/>
      <c r="O51" s="4"/>
      <c r="P51" s="4">
        <v>49.088000000000001</v>
      </c>
      <c r="Q51" s="1">
        <f t="shared" si="2"/>
        <v>49.088000000000001</v>
      </c>
      <c r="R51" s="1">
        <f t="shared" si="3"/>
        <v>1227.2</v>
      </c>
      <c r="S51" s="1">
        <f t="shared" si="4"/>
        <v>1227.2</v>
      </c>
      <c r="T51" s="1">
        <f t="shared" si="5"/>
        <v>0</v>
      </c>
      <c r="U51" s="1">
        <f t="shared" si="6"/>
        <v>0</v>
      </c>
      <c r="V51" s="4"/>
      <c r="W51" s="1"/>
      <c r="X51" s="1">
        <f t="shared" si="26"/>
        <v>20</v>
      </c>
      <c r="Y51">
        <f t="shared" si="21"/>
        <v>4685.0797199999997</v>
      </c>
      <c r="Z51">
        <f t="shared" si="22"/>
        <v>82701.594399999987</v>
      </c>
      <c r="AA51">
        <f t="shared" si="15"/>
        <v>1433.538321659832</v>
      </c>
      <c r="AB51">
        <f t="shared" si="16"/>
        <v>42303.957349838849</v>
      </c>
      <c r="AC51">
        <f t="shared" si="17"/>
        <v>29856.443131055028</v>
      </c>
      <c r="AD51">
        <f t="shared" si="18"/>
        <v>9135.4593592326</v>
      </c>
      <c r="AE51">
        <f t="shared" si="19"/>
        <v>222391.80086630298</v>
      </c>
    </row>
    <row r="52" spans="1:31" x14ac:dyDescent="0.35">
      <c r="A52" s="1">
        <v>51</v>
      </c>
      <c r="B52" s="1">
        <v>586.05584352134008</v>
      </c>
      <c r="C52" s="1">
        <v>0</v>
      </c>
      <c r="D52" s="1"/>
      <c r="E52" s="1">
        <v>0</v>
      </c>
      <c r="F52" s="1">
        <v>0</v>
      </c>
      <c r="G52" s="4">
        <f t="shared" si="23"/>
        <v>0</v>
      </c>
      <c r="H52" s="4">
        <f t="shared" si="24"/>
        <v>0</v>
      </c>
      <c r="I52" s="4">
        <f t="shared" si="25"/>
        <v>0</v>
      </c>
      <c r="J52" s="4">
        <f t="shared" si="25"/>
        <v>0</v>
      </c>
      <c r="K52" s="4"/>
      <c r="L52" s="4"/>
      <c r="M52" s="4"/>
      <c r="N52" s="4"/>
      <c r="O52" s="4"/>
      <c r="P52" s="4">
        <v>11.751200000000001</v>
      </c>
      <c r="Q52" s="1">
        <f t="shared" si="2"/>
        <v>11.751200000000001</v>
      </c>
      <c r="R52" s="1">
        <f t="shared" si="3"/>
        <v>293.78000000000003</v>
      </c>
      <c r="S52" s="1">
        <f t="shared" si="4"/>
        <v>293.78000000000003</v>
      </c>
      <c r="T52" s="1">
        <f t="shared" si="5"/>
        <v>0</v>
      </c>
      <c r="U52" s="1">
        <f t="shared" si="6"/>
        <v>0</v>
      </c>
      <c r="V52" s="4"/>
      <c r="W52" s="1"/>
      <c r="X52" s="1">
        <f t="shared" si="26"/>
        <v>21</v>
      </c>
      <c r="Y52">
        <f t="shared" si="21"/>
        <v>4685.0797199999997</v>
      </c>
      <c r="Z52">
        <f t="shared" si="22"/>
        <v>87386.674119999981</v>
      </c>
      <c r="AA52">
        <f t="shared" si="15"/>
        <v>1351.1200015644035</v>
      </c>
      <c r="AB52">
        <f t="shared" si="16"/>
        <v>43655.077351403255</v>
      </c>
      <c r="AC52">
        <f t="shared" si="17"/>
        <v>30602.854209331399</v>
      </c>
      <c r="AD52">
        <f t="shared" si="18"/>
        <v>8825.4908984103804</v>
      </c>
      <c r="AE52">
        <f t="shared" si="19"/>
        <v>231217.29176471336</v>
      </c>
    </row>
    <row r="53" spans="1:31" x14ac:dyDescent="0.35">
      <c r="A53" s="1">
        <v>52</v>
      </c>
      <c r="B53" s="1">
        <v>5329.6971333659421</v>
      </c>
      <c r="C53" s="1">
        <v>0</v>
      </c>
      <c r="D53" s="1"/>
      <c r="E53" s="1">
        <v>0</v>
      </c>
      <c r="F53" s="1">
        <v>0</v>
      </c>
      <c r="G53" s="4">
        <f t="shared" si="23"/>
        <v>0</v>
      </c>
      <c r="H53" s="4">
        <f t="shared" si="24"/>
        <v>0</v>
      </c>
      <c r="I53" s="4">
        <f t="shared" si="25"/>
        <v>0</v>
      </c>
      <c r="J53" s="4">
        <f t="shared" si="25"/>
        <v>0</v>
      </c>
      <c r="K53" s="4"/>
      <c r="L53" s="4"/>
      <c r="M53" s="4"/>
      <c r="N53" s="4"/>
      <c r="O53" s="4"/>
      <c r="P53" s="4">
        <v>110.047</v>
      </c>
      <c r="Q53" s="1">
        <f t="shared" si="2"/>
        <v>110.047</v>
      </c>
      <c r="R53" s="1">
        <f t="shared" si="3"/>
        <v>2751.1749999999997</v>
      </c>
      <c r="S53" s="1">
        <f t="shared" si="4"/>
        <v>2751.1749999999997</v>
      </c>
      <c r="T53" s="1">
        <f t="shared" si="5"/>
        <v>0</v>
      </c>
      <c r="U53" s="1">
        <f t="shared" si="6"/>
        <v>0</v>
      </c>
      <c r="V53" s="4"/>
      <c r="W53" s="1"/>
      <c r="X53" s="1">
        <f t="shared" si="26"/>
        <v>22</v>
      </c>
      <c r="Y53">
        <f t="shared" si="21"/>
        <v>4685.0797199999997</v>
      </c>
      <c r="Z53">
        <f t="shared" si="22"/>
        <v>92071.753839999976</v>
      </c>
      <c r="AA53">
        <f t="shared" si="15"/>
        <v>1273.4401522755923</v>
      </c>
      <c r="AB53">
        <f t="shared" si="16"/>
        <v>44928.51750367885</v>
      </c>
      <c r="AC53">
        <f t="shared" si="17"/>
        <v>31367.925564564684</v>
      </c>
      <c r="AD53">
        <f t="shared" si="18"/>
        <v>8526.0397463436748</v>
      </c>
      <c r="AE53">
        <f t="shared" si="19"/>
        <v>239743.33151105704</v>
      </c>
    </row>
    <row r="54" spans="1:31" x14ac:dyDescent="0.35">
      <c r="A54" s="1">
        <v>53</v>
      </c>
      <c r="B54" s="1">
        <v>5328.3833046167756</v>
      </c>
      <c r="C54" s="1">
        <v>0</v>
      </c>
      <c r="D54" s="1"/>
      <c r="E54" s="1">
        <v>0</v>
      </c>
      <c r="F54" s="1">
        <v>0</v>
      </c>
      <c r="G54" s="4">
        <f t="shared" si="23"/>
        <v>0</v>
      </c>
      <c r="H54" s="4">
        <f t="shared" si="24"/>
        <v>0</v>
      </c>
      <c r="I54" s="4">
        <f t="shared" si="25"/>
        <v>0</v>
      </c>
      <c r="J54" s="4">
        <f t="shared" si="25"/>
        <v>0</v>
      </c>
      <c r="K54" s="4"/>
      <c r="L54" s="4"/>
      <c r="M54" s="4"/>
      <c r="N54" s="4"/>
      <c r="O54" s="4"/>
      <c r="P54" s="4">
        <v>104.018</v>
      </c>
      <c r="Q54" s="1">
        <f t="shared" si="2"/>
        <v>104.018</v>
      </c>
      <c r="R54" s="1">
        <f t="shared" si="3"/>
        <v>2600.4499999999998</v>
      </c>
      <c r="S54" s="1">
        <f t="shared" si="4"/>
        <v>2600.4499999999998</v>
      </c>
      <c r="T54" s="1">
        <f t="shared" si="5"/>
        <v>0</v>
      </c>
      <c r="U54" s="1">
        <f t="shared" si="6"/>
        <v>0</v>
      </c>
      <c r="V54" s="4"/>
      <c r="W54" s="1"/>
      <c r="X54" s="1">
        <f t="shared" si="26"/>
        <v>23</v>
      </c>
      <c r="Y54">
        <f t="shared" si="21"/>
        <v>4685.0797199999997</v>
      </c>
      <c r="Z54">
        <f t="shared" si="22"/>
        <v>96756.83355999997</v>
      </c>
      <c r="AA54">
        <f t="shared" si="15"/>
        <v>1200.2263452173352</v>
      </c>
      <c r="AB54">
        <f t="shared" si="16"/>
        <v>46128.743848896185</v>
      </c>
      <c r="AC54">
        <f t="shared" si="17"/>
        <v>32152.123703678801</v>
      </c>
      <c r="AD54">
        <f t="shared" si="18"/>
        <v>8236.7490480699998</v>
      </c>
      <c r="AE54">
        <f t="shared" si="19"/>
        <v>247980.08055912703</v>
      </c>
    </row>
    <row r="55" spans="1:31" x14ac:dyDescent="0.35">
      <c r="A55" s="1">
        <v>54</v>
      </c>
      <c r="B55" s="1">
        <v>1132.850191183687</v>
      </c>
      <c r="C55" s="1">
        <v>0</v>
      </c>
      <c r="D55" s="1"/>
      <c r="E55" s="1">
        <v>0</v>
      </c>
      <c r="F55" s="1">
        <v>0</v>
      </c>
      <c r="G55" s="4">
        <f t="shared" si="23"/>
        <v>0</v>
      </c>
      <c r="H55" s="4">
        <f t="shared" si="24"/>
        <v>0</v>
      </c>
      <c r="I55" s="4">
        <f t="shared" si="25"/>
        <v>0</v>
      </c>
      <c r="J55" s="4">
        <f t="shared" si="25"/>
        <v>0</v>
      </c>
      <c r="K55" s="4"/>
      <c r="L55" s="4"/>
      <c r="M55" s="4"/>
      <c r="N55" s="4"/>
      <c r="O55" s="4"/>
      <c r="P55" s="4">
        <v>23.8017</v>
      </c>
      <c r="Q55" s="1">
        <f t="shared" si="2"/>
        <v>23.8017</v>
      </c>
      <c r="R55" s="1">
        <f t="shared" si="3"/>
        <v>595.04250000000002</v>
      </c>
      <c r="S55" s="1">
        <f t="shared" si="4"/>
        <v>595.04250000000002</v>
      </c>
      <c r="T55" s="1">
        <f t="shared" si="5"/>
        <v>0</v>
      </c>
      <c r="U55" s="1">
        <f t="shared" si="6"/>
        <v>0</v>
      </c>
      <c r="V55" s="4"/>
      <c r="W55" s="1"/>
      <c r="X55" s="1">
        <f>X54+1</f>
        <v>24</v>
      </c>
      <c r="Y55">
        <f t="shared" si="21"/>
        <v>4685.0797199999997</v>
      </c>
      <c r="Z55">
        <f t="shared" si="22"/>
        <v>101441.91327999996</v>
      </c>
      <c r="AA55">
        <f t="shared" si="15"/>
        <v>1131.2218145309473</v>
      </c>
      <c r="AB55">
        <f t="shared" si="16"/>
        <v>47259.96566342713</v>
      </c>
      <c r="AC55">
        <f t="shared" si="17"/>
        <v>32955.926796270767</v>
      </c>
      <c r="AD55">
        <f t="shared" si="18"/>
        <v>7957.2740568065492</v>
      </c>
      <c r="AE55">
        <f t="shared" si="19"/>
        <v>255937.35461593358</v>
      </c>
    </row>
    <row r="56" spans="1:31" x14ac:dyDescent="0.35">
      <c r="A56" s="1">
        <v>55</v>
      </c>
      <c r="B56" s="1">
        <v>1734.337401732017</v>
      </c>
      <c r="C56" s="1">
        <v>0</v>
      </c>
      <c r="D56" s="1"/>
      <c r="E56" s="1">
        <v>0</v>
      </c>
      <c r="F56" s="1">
        <v>0</v>
      </c>
      <c r="G56" s="4">
        <f t="shared" si="23"/>
        <v>0</v>
      </c>
      <c r="H56" s="4">
        <f t="shared" si="24"/>
        <v>0</v>
      </c>
      <c r="I56" s="4">
        <f t="shared" si="25"/>
        <v>0</v>
      </c>
      <c r="J56" s="4">
        <f t="shared" si="25"/>
        <v>0</v>
      </c>
      <c r="K56" s="4"/>
      <c r="L56" s="4"/>
      <c r="M56" s="4"/>
      <c r="N56" s="4"/>
      <c r="O56" s="4"/>
      <c r="P56" s="4">
        <v>36.4392</v>
      </c>
      <c r="Q56" s="1">
        <f t="shared" si="2"/>
        <v>36.4392</v>
      </c>
      <c r="R56" s="1">
        <f t="shared" si="3"/>
        <v>910.98</v>
      </c>
      <c r="S56" s="1">
        <f t="shared" si="4"/>
        <v>910.98</v>
      </c>
      <c r="T56" s="1">
        <f t="shared" si="5"/>
        <v>0</v>
      </c>
      <c r="U56" s="1">
        <f t="shared" si="6"/>
        <v>0</v>
      </c>
      <c r="V56" s="4"/>
      <c r="W56" s="1"/>
      <c r="X56" s="1">
        <f t="shared" ref="X56" si="27">X55+1</f>
        <v>25</v>
      </c>
      <c r="Y56">
        <f t="shared" si="21"/>
        <v>4685.0797199999997</v>
      </c>
      <c r="Z56">
        <f t="shared" si="22"/>
        <v>106126.99299999996</v>
      </c>
      <c r="AA56">
        <f t="shared" si="15"/>
        <v>1066.1845565795923</v>
      </c>
      <c r="AB56">
        <f t="shared" si="16"/>
        <v>48326.150220006726</v>
      </c>
      <c r="AC56">
        <f t="shared" si="17"/>
        <v>33779.824966177533</v>
      </c>
      <c r="AD56">
        <f t="shared" si="18"/>
        <v>7687.2817231165991</v>
      </c>
      <c r="AE56">
        <f t="shared" si="19"/>
        <v>263624.63633905019</v>
      </c>
    </row>
    <row r="57" spans="1:31" x14ac:dyDescent="0.35">
      <c r="A57" s="1">
        <v>56</v>
      </c>
      <c r="B57" s="1">
        <v>1696.5437943175671</v>
      </c>
      <c r="C57" s="1">
        <v>0</v>
      </c>
      <c r="D57" s="1"/>
      <c r="E57" s="1">
        <v>0</v>
      </c>
      <c r="F57" s="1">
        <v>0</v>
      </c>
      <c r="G57" s="4">
        <f t="shared" si="23"/>
        <v>0</v>
      </c>
      <c r="H57" s="4">
        <f t="shared" si="24"/>
        <v>0</v>
      </c>
      <c r="I57" s="4">
        <f t="shared" si="25"/>
        <v>0</v>
      </c>
      <c r="J57" s="4">
        <f t="shared" si="25"/>
        <v>0</v>
      </c>
      <c r="K57" s="4"/>
      <c r="L57" s="4"/>
      <c r="M57" s="4"/>
      <c r="N57" s="4"/>
      <c r="O57" s="4"/>
      <c r="P57" s="4">
        <v>33.6798</v>
      </c>
      <c r="Q57" s="1">
        <f t="shared" si="2"/>
        <v>33.6798</v>
      </c>
      <c r="R57" s="1">
        <f t="shared" si="3"/>
        <v>841.995</v>
      </c>
      <c r="S57" s="1">
        <f t="shared" si="4"/>
        <v>841.995</v>
      </c>
      <c r="T57" s="1">
        <f t="shared" si="5"/>
        <v>0</v>
      </c>
      <c r="U57" s="1">
        <f t="shared" si="6"/>
        <v>0</v>
      </c>
      <c r="V57" s="4"/>
    </row>
    <row r="58" spans="1:31" x14ac:dyDescent="0.35">
      <c r="A58" s="1">
        <v>57</v>
      </c>
      <c r="B58" s="1">
        <v>2227.6855671211929</v>
      </c>
      <c r="C58" s="1">
        <v>0</v>
      </c>
      <c r="D58" s="1"/>
      <c r="E58" s="1">
        <v>0</v>
      </c>
      <c r="F58" s="1">
        <v>0</v>
      </c>
      <c r="G58" s="4">
        <f t="shared" si="23"/>
        <v>0</v>
      </c>
      <c r="H58" s="4">
        <f t="shared" si="24"/>
        <v>0</v>
      </c>
      <c r="I58" s="4">
        <f t="shared" si="25"/>
        <v>0</v>
      </c>
      <c r="J58" s="4">
        <f t="shared" si="25"/>
        <v>0</v>
      </c>
      <c r="K58" s="4"/>
      <c r="L58" s="4"/>
      <c r="M58" s="4"/>
      <c r="N58" s="4"/>
      <c r="O58" s="4"/>
      <c r="P58" s="4">
        <v>43.985100000000003</v>
      </c>
      <c r="Q58" s="1">
        <f t="shared" si="2"/>
        <v>43.985100000000003</v>
      </c>
      <c r="R58" s="1">
        <f t="shared" si="3"/>
        <v>1099.6275000000001</v>
      </c>
      <c r="S58" s="1">
        <f t="shared" si="4"/>
        <v>1099.6275000000001</v>
      </c>
      <c r="T58" s="1">
        <f t="shared" si="5"/>
        <v>0</v>
      </c>
      <c r="U58" s="1">
        <f t="shared" si="6"/>
        <v>0</v>
      </c>
      <c r="V58" s="4"/>
    </row>
    <row r="59" spans="1:31" x14ac:dyDescent="0.35">
      <c r="A59" s="1">
        <v>58</v>
      </c>
      <c r="B59" s="1">
        <v>404.30530639696019</v>
      </c>
      <c r="C59" s="1">
        <v>0</v>
      </c>
      <c r="D59" s="1"/>
      <c r="E59" s="1">
        <v>0</v>
      </c>
      <c r="F59" s="1">
        <v>0</v>
      </c>
      <c r="G59" s="4">
        <f t="shared" si="23"/>
        <v>0</v>
      </c>
      <c r="H59" s="4">
        <f t="shared" si="24"/>
        <v>0</v>
      </c>
      <c r="I59" s="4">
        <f t="shared" si="25"/>
        <v>0</v>
      </c>
      <c r="J59" s="4">
        <f t="shared" si="25"/>
        <v>0</v>
      </c>
      <c r="K59" s="4"/>
      <c r="L59" s="4"/>
      <c r="M59" s="4"/>
      <c r="N59" s="4"/>
      <c r="O59" s="4"/>
      <c r="P59" s="4">
        <v>7.2637200000000002</v>
      </c>
      <c r="Q59" s="1">
        <f t="shared" si="2"/>
        <v>7.2637200000000002</v>
      </c>
      <c r="R59" s="1">
        <f t="shared" si="3"/>
        <v>181.59300000000002</v>
      </c>
      <c r="S59" s="1">
        <f t="shared" si="4"/>
        <v>181.59300000000002</v>
      </c>
      <c r="T59" s="1">
        <f t="shared" si="5"/>
        <v>0</v>
      </c>
      <c r="U59" s="1">
        <f t="shared" si="6"/>
        <v>0</v>
      </c>
      <c r="V59" s="4"/>
    </row>
    <row r="60" spans="1:31" x14ac:dyDescent="0.35">
      <c r="A60" s="1">
        <v>59</v>
      </c>
      <c r="B60" s="1">
        <v>3141.552121160008</v>
      </c>
      <c r="C60" s="1">
        <v>0</v>
      </c>
      <c r="D60" s="1"/>
      <c r="E60" s="1">
        <v>0</v>
      </c>
      <c r="F60" s="1">
        <v>0</v>
      </c>
      <c r="G60" s="4">
        <f t="shared" si="23"/>
        <v>0</v>
      </c>
      <c r="H60" s="4">
        <f t="shared" si="24"/>
        <v>0</v>
      </c>
      <c r="I60" s="4">
        <f t="shared" si="25"/>
        <v>0</v>
      </c>
      <c r="J60" s="4">
        <f t="shared" si="25"/>
        <v>0</v>
      </c>
      <c r="K60" s="4"/>
      <c r="L60" s="4"/>
      <c r="M60" s="4"/>
      <c r="N60" s="4"/>
      <c r="O60" s="4"/>
      <c r="P60" s="4">
        <v>63.6265</v>
      </c>
      <c r="Q60" s="1">
        <f t="shared" si="2"/>
        <v>63.6265</v>
      </c>
      <c r="R60" s="1">
        <f t="shared" si="3"/>
        <v>1590.6624999999999</v>
      </c>
      <c r="S60" s="1">
        <f t="shared" si="4"/>
        <v>1590.6624999999999</v>
      </c>
      <c r="T60" s="1">
        <f t="shared" si="5"/>
        <v>0</v>
      </c>
      <c r="U60" s="1">
        <f t="shared" si="6"/>
        <v>0</v>
      </c>
      <c r="V60" s="4"/>
    </row>
    <row r="61" spans="1:31" x14ac:dyDescent="0.35">
      <c r="A61" s="1">
        <v>60</v>
      </c>
      <c r="B61" s="1">
        <v>2862.8042339526478</v>
      </c>
      <c r="C61" s="1">
        <v>0</v>
      </c>
      <c r="D61" s="1"/>
      <c r="E61" s="1">
        <v>0</v>
      </c>
      <c r="F61" s="1">
        <v>0</v>
      </c>
      <c r="G61" s="4">
        <f t="shared" si="23"/>
        <v>0</v>
      </c>
      <c r="H61" s="4">
        <f t="shared" si="24"/>
        <v>0</v>
      </c>
      <c r="I61" s="4">
        <f t="shared" si="25"/>
        <v>0</v>
      </c>
      <c r="J61" s="4">
        <f t="shared" si="25"/>
        <v>0</v>
      </c>
      <c r="K61" s="4"/>
      <c r="L61" s="4"/>
      <c r="M61" s="4"/>
      <c r="N61" s="4"/>
      <c r="O61" s="4"/>
      <c r="P61" s="4">
        <v>59.825899999999997</v>
      </c>
      <c r="Q61" s="1">
        <f t="shared" si="2"/>
        <v>59.825899999999997</v>
      </c>
      <c r="R61" s="1">
        <f t="shared" si="3"/>
        <v>1495.6475</v>
      </c>
      <c r="S61" s="1">
        <f t="shared" si="4"/>
        <v>1495.6475</v>
      </c>
      <c r="T61" s="1">
        <f t="shared" si="5"/>
        <v>0</v>
      </c>
      <c r="U61" s="1">
        <f t="shared" si="6"/>
        <v>0</v>
      </c>
      <c r="V61" s="4"/>
    </row>
    <row r="62" spans="1:31" x14ac:dyDescent="0.35">
      <c r="A62" s="1">
        <v>61</v>
      </c>
      <c r="B62" s="1">
        <v>2954.0094942934988</v>
      </c>
      <c r="C62" s="1">
        <v>0</v>
      </c>
      <c r="D62" s="1"/>
      <c r="E62" s="1">
        <v>0</v>
      </c>
      <c r="F62" s="1">
        <v>0</v>
      </c>
      <c r="G62" s="4">
        <f t="shared" si="23"/>
        <v>0</v>
      </c>
      <c r="H62" s="4">
        <f t="shared" si="24"/>
        <v>0</v>
      </c>
      <c r="I62" s="4">
        <f t="shared" si="25"/>
        <v>0</v>
      </c>
      <c r="J62" s="4">
        <f t="shared" si="25"/>
        <v>0</v>
      </c>
      <c r="K62" s="4"/>
      <c r="L62" s="4"/>
      <c r="M62" s="4"/>
      <c r="N62" s="4"/>
      <c r="O62" s="4"/>
      <c r="P62" s="4">
        <v>64.215500000000006</v>
      </c>
      <c r="Q62" s="1">
        <f t="shared" si="2"/>
        <v>64.215500000000006</v>
      </c>
      <c r="R62" s="1">
        <f t="shared" si="3"/>
        <v>1605.3875</v>
      </c>
      <c r="S62" s="1">
        <f t="shared" si="4"/>
        <v>1605.3875</v>
      </c>
      <c r="T62" s="1">
        <f t="shared" si="5"/>
        <v>0</v>
      </c>
      <c r="U62" s="1">
        <f t="shared" si="6"/>
        <v>0</v>
      </c>
      <c r="V62" s="4"/>
    </row>
    <row r="63" spans="1:31" x14ac:dyDescent="0.35">
      <c r="A63" s="1">
        <v>62</v>
      </c>
      <c r="B63" s="1">
        <v>1204.0745303370161</v>
      </c>
      <c r="C63" s="1">
        <v>0</v>
      </c>
      <c r="D63" s="1"/>
      <c r="E63" s="1">
        <v>0</v>
      </c>
      <c r="F63" s="1">
        <v>0</v>
      </c>
      <c r="G63" s="4">
        <f t="shared" si="23"/>
        <v>0</v>
      </c>
      <c r="H63" s="4">
        <f t="shared" si="24"/>
        <v>0</v>
      </c>
      <c r="I63" s="4">
        <f t="shared" ref="I63:J78" si="28">$M$12*D63</f>
        <v>0</v>
      </c>
      <c r="J63" s="4">
        <f t="shared" si="28"/>
        <v>0</v>
      </c>
      <c r="K63" s="4"/>
      <c r="L63" s="4"/>
      <c r="M63" s="4"/>
      <c r="N63" s="4"/>
      <c r="O63" s="4"/>
      <c r="P63" s="4">
        <v>25.6633</v>
      </c>
      <c r="Q63" s="1">
        <f t="shared" si="2"/>
        <v>25.6633</v>
      </c>
      <c r="R63" s="1">
        <f t="shared" si="3"/>
        <v>641.58249999999998</v>
      </c>
      <c r="S63" s="1">
        <f>R63-G63</f>
        <v>641.58249999999998</v>
      </c>
      <c r="T63" s="1">
        <f t="shared" si="5"/>
        <v>0</v>
      </c>
      <c r="U63" s="1">
        <f t="shared" si="6"/>
        <v>0</v>
      </c>
      <c r="V63" s="4"/>
    </row>
    <row r="64" spans="1:31" x14ac:dyDescent="0.35">
      <c r="A64" s="1">
        <v>63</v>
      </c>
      <c r="B64" s="1">
        <v>13474.18710799874</v>
      </c>
      <c r="C64" s="1">
        <v>0</v>
      </c>
      <c r="D64" s="1"/>
      <c r="E64" s="1">
        <v>0</v>
      </c>
      <c r="F64" s="1">
        <v>0</v>
      </c>
      <c r="G64" s="4">
        <f t="shared" si="23"/>
        <v>0</v>
      </c>
      <c r="H64" s="4">
        <f t="shared" si="24"/>
        <v>0</v>
      </c>
      <c r="I64" s="4">
        <f t="shared" si="28"/>
        <v>0</v>
      </c>
      <c r="J64" s="4">
        <f t="shared" si="28"/>
        <v>0</v>
      </c>
      <c r="K64" s="4"/>
      <c r="L64" s="4"/>
      <c r="M64" s="4"/>
      <c r="N64" s="4"/>
      <c r="O64" s="4"/>
      <c r="P64" s="4">
        <v>279.54399999999998</v>
      </c>
      <c r="Q64" s="1">
        <f t="shared" si="2"/>
        <v>279.54399999999998</v>
      </c>
      <c r="R64" s="1">
        <f t="shared" si="3"/>
        <v>6988.5999999999995</v>
      </c>
      <c r="S64" s="1">
        <f t="shared" si="4"/>
        <v>6988.5999999999995</v>
      </c>
      <c r="T64" s="1">
        <f t="shared" si="5"/>
        <v>0</v>
      </c>
      <c r="U64" s="1">
        <f t="shared" si="6"/>
        <v>0</v>
      </c>
      <c r="V64" s="4"/>
    </row>
    <row r="65" spans="1:22" x14ac:dyDescent="0.35">
      <c r="A65" s="1">
        <v>64</v>
      </c>
      <c r="B65" s="1">
        <v>3713.6923624805509</v>
      </c>
      <c r="C65" s="1">
        <v>0</v>
      </c>
      <c r="D65" s="1"/>
      <c r="E65" s="1">
        <v>0</v>
      </c>
      <c r="F65" s="1">
        <v>0</v>
      </c>
      <c r="G65" s="4">
        <f t="shared" si="23"/>
        <v>0</v>
      </c>
      <c r="H65" s="4">
        <f t="shared" si="24"/>
        <v>0</v>
      </c>
      <c r="I65" s="4">
        <f t="shared" si="28"/>
        <v>0</v>
      </c>
      <c r="J65" s="4">
        <f t="shared" si="28"/>
        <v>0</v>
      </c>
      <c r="K65" s="4"/>
      <c r="L65" s="4"/>
      <c r="M65" s="4"/>
      <c r="N65" s="4"/>
      <c r="O65" s="4"/>
      <c r="P65" s="4">
        <v>78.026300000000006</v>
      </c>
      <c r="Q65" s="1">
        <f t="shared" si="2"/>
        <v>78.026300000000006</v>
      </c>
      <c r="R65" s="1">
        <f t="shared" si="3"/>
        <v>1950.6575000000003</v>
      </c>
      <c r="S65" s="1">
        <f t="shared" si="4"/>
        <v>1950.6575000000003</v>
      </c>
      <c r="T65" s="1">
        <f t="shared" si="5"/>
        <v>0</v>
      </c>
      <c r="U65" s="1">
        <f t="shared" si="6"/>
        <v>0</v>
      </c>
      <c r="V65" s="4"/>
    </row>
    <row r="66" spans="1:22" x14ac:dyDescent="0.35">
      <c r="A66" s="1">
        <v>65</v>
      </c>
      <c r="B66" s="1">
        <v>1118.1009256975681</v>
      </c>
      <c r="C66" s="1">
        <v>0</v>
      </c>
      <c r="D66" s="1"/>
      <c r="E66" s="1">
        <v>0</v>
      </c>
      <c r="F66" s="1">
        <v>0</v>
      </c>
      <c r="G66" s="4">
        <f t="shared" si="23"/>
        <v>0</v>
      </c>
      <c r="H66" s="4">
        <f t="shared" si="24"/>
        <v>0</v>
      </c>
      <c r="I66" s="4">
        <f t="shared" si="28"/>
        <v>0</v>
      </c>
      <c r="J66" s="4">
        <f t="shared" si="28"/>
        <v>0</v>
      </c>
      <c r="K66" s="4"/>
      <c r="L66" s="4"/>
      <c r="M66" s="4"/>
      <c r="N66" s="4"/>
      <c r="O66" s="4"/>
      <c r="P66" s="4">
        <v>23.491800000000001</v>
      </c>
      <c r="Q66" s="1">
        <f t="shared" si="2"/>
        <v>23.491800000000001</v>
      </c>
      <c r="R66" s="1">
        <f t="shared" si="3"/>
        <v>587.29500000000007</v>
      </c>
      <c r="S66" s="1">
        <f t="shared" si="4"/>
        <v>587.29500000000007</v>
      </c>
      <c r="T66" s="1">
        <f t="shared" si="5"/>
        <v>0</v>
      </c>
      <c r="U66" s="1">
        <f t="shared" si="6"/>
        <v>0</v>
      </c>
      <c r="V66" s="4"/>
    </row>
    <row r="67" spans="1:22" x14ac:dyDescent="0.35">
      <c r="A67" s="1">
        <v>66</v>
      </c>
      <c r="B67" s="1">
        <v>789.18834550043005</v>
      </c>
      <c r="C67" s="1">
        <v>0</v>
      </c>
      <c r="D67" s="1"/>
      <c r="E67" s="1">
        <v>0</v>
      </c>
      <c r="F67" s="1">
        <v>0</v>
      </c>
      <c r="G67" s="4">
        <f t="shared" si="23"/>
        <v>0</v>
      </c>
      <c r="H67" s="4">
        <f t="shared" si="24"/>
        <v>0</v>
      </c>
      <c r="I67" s="4">
        <f t="shared" si="28"/>
        <v>0</v>
      </c>
      <c r="J67" s="4">
        <f t="shared" si="28"/>
        <v>0</v>
      </c>
      <c r="K67" s="4"/>
      <c r="L67" s="4"/>
      <c r="M67" s="4"/>
      <c r="N67" s="4"/>
      <c r="O67" s="4"/>
      <c r="P67" s="4">
        <v>16.784199999999998</v>
      </c>
      <c r="Q67" s="1">
        <f t="shared" ref="Q67:Q100" si="29">P67-G67</f>
        <v>16.784199999999998</v>
      </c>
      <c r="R67" s="1">
        <f t="shared" ref="R67:R100" si="30">P67*$M$37</f>
        <v>419.60499999999996</v>
      </c>
      <c r="S67" s="1">
        <f t="shared" ref="S67:S80" si="31">R67-G67</f>
        <v>419.60499999999996</v>
      </c>
      <c r="T67" s="1">
        <f t="shared" ref="T67:T100" si="32">(G67/($M$37*B67))+I67</f>
        <v>0</v>
      </c>
      <c r="U67" s="1">
        <f t="shared" ref="U67:U100" si="33">(G67/($M$40*B67))+I67</f>
        <v>0</v>
      </c>
      <c r="V67" s="4"/>
    </row>
    <row r="68" spans="1:22" x14ac:dyDescent="0.35">
      <c r="A68" s="1">
        <v>67</v>
      </c>
      <c r="B68" s="1">
        <v>1631.3808757786551</v>
      </c>
      <c r="C68" s="1">
        <v>0</v>
      </c>
      <c r="D68" s="1"/>
      <c r="E68" s="1">
        <v>0</v>
      </c>
      <c r="F68" s="1">
        <v>0</v>
      </c>
      <c r="G68" s="4">
        <f t="shared" si="23"/>
        <v>0</v>
      </c>
      <c r="H68" s="4">
        <f t="shared" si="24"/>
        <v>0</v>
      </c>
      <c r="I68" s="4">
        <f t="shared" si="28"/>
        <v>0</v>
      </c>
      <c r="J68" s="4">
        <f t="shared" si="28"/>
        <v>0</v>
      </c>
      <c r="K68" s="4"/>
      <c r="L68" s="4"/>
      <c r="M68" s="4"/>
      <c r="N68" s="4"/>
      <c r="O68" s="4"/>
      <c r="P68" s="4">
        <v>31.626000000000001</v>
      </c>
      <c r="Q68" s="1">
        <f t="shared" si="29"/>
        <v>31.626000000000001</v>
      </c>
      <c r="R68" s="1">
        <f t="shared" si="30"/>
        <v>790.65</v>
      </c>
      <c r="S68" s="1">
        <f t="shared" si="31"/>
        <v>790.65</v>
      </c>
      <c r="T68" s="1">
        <f t="shared" si="32"/>
        <v>0</v>
      </c>
      <c r="U68" s="1">
        <f t="shared" si="33"/>
        <v>0</v>
      </c>
      <c r="V68" s="4"/>
    </row>
    <row r="69" spans="1:22" x14ac:dyDescent="0.35">
      <c r="A69" s="1">
        <v>68</v>
      </c>
      <c r="B69" s="1">
        <v>4258.9353884654111</v>
      </c>
      <c r="C69" s="1">
        <v>0</v>
      </c>
      <c r="D69" s="1"/>
      <c r="E69" s="1">
        <v>0</v>
      </c>
      <c r="F69" s="1">
        <v>0</v>
      </c>
      <c r="G69" s="4">
        <f t="shared" si="23"/>
        <v>0</v>
      </c>
      <c r="H69" s="4">
        <f t="shared" si="24"/>
        <v>0</v>
      </c>
      <c r="I69" s="4">
        <f t="shared" si="28"/>
        <v>0</v>
      </c>
      <c r="J69" s="4">
        <f t="shared" si="28"/>
        <v>0</v>
      </c>
      <c r="K69" s="4"/>
      <c r="L69" s="4"/>
      <c r="M69" s="4"/>
      <c r="N69" s="4"/>
      <c r="O69" s="4"/>
      <c r="P69" s="4">
        <v>86.851900000000001</v>
      </c>
      <c r="Q69" s="1">
        <f t="shared" si="29"/>
        <v>86.851900000000001</v>
      </c>
      <c r="R69" s="1">
        <f t="shared" si="30"/>
        <v>2171.2975000000001</v>
      </c>
      <c r="S69" s="1">
        <f t="shared" si="31"/>
        <v>2171.2975000000001</v>
      </c>
      <c r="T69" s="1">
        <f t="shared" si="32"/>
        <v>0</v>
      </c>
      <c r="U69" s="1">
        <f t="shared" si="33"/>
        <v>0</v>
      </c>
      <c r="V69" s="4"/>
    </row>
    <row r="70" spans="1:22" x14ac:dyDescent="0.35">
      <c r="A70" s="1">
        <v>69</v>
      </c>
      <c r="B70" s="1">
        <v>4490.8701254733214</v>
      </c>
      <c r="C70" s="1">
        <v>0</v>
      </c>
      <c r="D70" s="1"/>
      <c r="E70" s="1">
        <v>0</v>
      </c>
      <c r="F70" s="1">
        <v>0</v>
      </c>
      <c r="G70" s="4">
        <f t="shared" si="23"/>
        <v>0</v>
      </c>
      <c r="H70" s="4">
        <f t="shared" si="24"/>
        <v>0</v>
      </c>
      <c r="I70" s="4">
        <f t="shared" si="28"/>
        <v>0</v>
      </c>
      <c r="J70" s="4">
        <f t="shared" si="28"/>
        <v>0</v>
      </c>
      <c r="K70" s="4"/>
      <c r="L70" s="4"/>
      <c r="M70" s="4"/>
      <c r="N70" s="4"/>
      <c r="O70" s="4"/>
      <c r="P70" s="4">
        <v>90.9893</v>
      </c>
      <c r="Q70" s="1">
        <f t="shared" si="29"/>
        <v>90.9893</v>
      </c>
      <c r="R70" s="1">
        <f t="shared" si="30"/>
        <v>2274.7325000000001</v>
      </c>
      <c r="S70" s="1">
        <f t="shared" si="31"/>
        <v>2274.7325000000001</v>
      </c>
      <c r="T70" s="1">
        <f t="shared" si="32"/>
        <v>0</v>
      </c>
      <c r="U70" s="1">
        <f t="shared" si="33"/>
        <v>0</v>
      </c>
      <c r="V70" s="4"/>
    </row>
    <row r="71" spans="1:22" x14ac:dyDescent="0.35">
      <c r="A71" s="1">
        <v>70</v>
      </c>
      <c r="B71" s="1">
        <v>6097.7538980173758</v>
      </c>
      <c r="C71" s="1">
        <v>0</v>
      </c>
      <c r="D71" s="1"/>
      <c r="E71" s="1">
        <v>0</v>
      </c>
      <c r="F71" s="1">
        <v>0</v>
      </c>
      <c r="G71" s="4">
        <f t="shared" si="23"/>
        <v>0</v>
      </c>
      <c r="H71" s="4">
        <f t="shared" si="24"/>
        <v>0</v>
      </c>
      <c r="I71" s="4">
        <f t="shared" si="28"/>
        <v>0</v>
      </c>
      <c r="J71" s="4">
        <f t="shared" si="28"/>
        <v>0</v>
      </c>
      <c r="K71" s="4"/>
      <c r="L71" s="4"/>
      <c r="M71" s="4"/>
      <c r="N71" s="4"/>
      <c r="O71" s="4"/>
      <c r="P71" s="4">
        <v>124.14400000000001</v>
      </c>
      <c r="Q71" s="1">
        <f t="shared" si="29"/>
        <v>124.14400000000001</v>
      </c>
      <c r="R71" s="1">
        <f t="shared" si="30"/>
        <v>3103.6000000000004</v>
      </c>
      <c r="S71" s="1">
        <f t="shared" si="31"/>
        <v>3103.6000000000004</v>
      </c>
      <c r="T71" s="1">
        <f t="shared" si="32"/>
        <v>0</v>
      </c>
      <c r="U71" s="1">
        <f t="shared" si="33"/>
        <v>0</v>
      </c>
      <c r="V71" s="4"/>
    </row>
    <row r="72" spans="1:22" x14ac:dyDescent="0.35">
      <c r="A72" s="1">
        <v>71</v>
      </c>
      <c r="B72" s="1">
        <v>4593.5313049109664</v>
      </c>
      <c r="C72" s="1">
        <v>0</v>
      </c>
      <c r="D72" s="1"/>
      <c r="E72" s="1">
        <v>0</v>
      </c>
      <c r="F72" s="1">
        <v>0</v>
      </c>
      <c r="G72" s="4">
        <f t="shared" si="23"/>
        <v>0</v>
      </c>
      <c r="H72" s="4">
        <f t="shared" si="24"/>
        <v>0</v>
      </c>
      <c r="I72" s="4">
        <f t="shared" si="28"/>
        <v>0</v>
      </c>
      <c r="J72" s="4">
        <f t="shared" si="28"/>
        <v>0</v>
      </c>
      <c r="K72" s="4"/>
      <c r="L72" s="4"/>
      <c r="M72" s="4"/>
      <c r="N72" s="4"/>
      <c r="O72" s="4"/>
      <c r="P72" s="4">
        <v>96.512100000000004</v>
      </c>
      <c r="Q72" s="1">
        <f t="shared" si="29"/>
        <v>96.512100000000004</v>
      </c>
      <c r="R72" s="1">
        <f t="shared" si="30"/>
        <v>2412.8025000000002</v>
      </c>
      <c r="S72" s="1">
        <f t="shared" si="31"/>
        <v>2412.8025000000002</v>
      </c>
      <c r="T72" s="1">
        <f t="shared" si="32"/>
        <v>0</v>
      </c>
      <c r="U72" s="1">
        <f t="shared" si="33"/>
        <v>0</v>
      </c>
      <c r="V72" s="4"/>
    </row>
    <row r="73" spans="1:22" x14ac:dyDescent="0.35">
      <c r="A73" s="1">
        <v>72</v>
      </c>
      <c r="B73" s="1">
        <v>8062.2213477933838</v>
      </c>
      <c r="C73" s="1">
        <v>0</v>
      </c>
      <c r="D73" s="1"/>
      <c r="E73" s="1">
        <v>0</v>
      </c>
      <c r="F73" s="1">
        <v>0</v>
      </c>
      <c r="G73" s="4">
        <f t="shared" si="23"/>
        <v>0</v>
      </c>
      <c r="H73" s="4">
        <f t="shared" si="24"/>
        <v>0</v>
      </c>
      <c r="I73" s="4">
        <f t="shared" si="28"/>
        <v>0</v>
      </c>
      <c r="J73" s="4">
        <f t="shared" si="28"/>
        <v>0</v>
      </c>
      <c r="K73" s="4"/>
      <c r="L73" s="4"/>
      <c r="M73" s="4"/>
      <c r="N73" s="4"/>
      <c r="O73" s="4"/>
      <c r="P73" s="4">
        <v>174.48599999999999</v>
      </c>
      <c r="Q73" s="1">
        <f t="shared" si="29"/>
        <v>174.48599999999999</v>
      </c>
      <c r="R73" s="1">
        <f t="shared" si="30"/>
        <v>4362.1499999999996</v>
      </c>
      <c r="S73" s="1">
        <f t="shared" si="31"/>
        <v>4362.1499999999996</v>
      </c>
      <c r="T73" s="1">
        <f t="shared" si="32"/>
        <v>0</v>
      </c>
      <c r="U73" s="1">
        <f t="shared" si="33"/>
        <v>0</v>
      </c>
      <c r="V73" s="4"/>
    </row>
    <row r="74" spans="1:22" x14ac:dyDescent="0.35">
      <c r="A74" s="1">
        <v>73</v>
      </c>
      <c r="B74" s="1">
        <v>4657.9117518025187</v>
      </c>
      <c r="C74" s="1">
        <v>0</v>
      </c>
      <c r="D74" s="1"/>
      <c r="E74" s="1">
        <v>0</v>
      </c>
      <c r="F74" s="1">
        <v>0</v>
      </c>
      <c r="G74" s="4">
        <f t="shared" si="23"/>
        <v>0</v>
      </c>
      <c r="H74" s="4">
        <f t="shared" si="24"/>
        <v>0</v>
      </c>
      <c r="I74" s="4">
        <f t="shared" si="28"/>
        <v>0</v>
      </c>
      <c r="J74" s="4">
        <f t="shared" si="28"/>
        <v>0</v>
      </c>
      <c r="K74" s="4"/>
      <c r="L74" s="4"/>
      <c r="M74" s="4"/>
      <c r="N74" s="4"/>
      <c r="O74" s="4"/>
      <c r="P74" s="4">
        <v>98.659400000000005</v>
      </c>
      <c r="Q74" s="1">
        <f t="shared" si="29"/>
        <v>98.659400000000005</v>
      </c>
      <c r="R74" s="1">
        <f t="shared" si="30"/>
        <v>2466.4850000000001</v>
      </c>
      <c r="S74" s="1">
        <f t="shared" si="31"/>
        <v>2466.4850000000001</v>
      </c>
      <c r="T74" s="1">
        <f t="shared" si="32"/>
        <v>0</v>
      </c>
      <c r="U74" s="1">
        <f t="shared" si="33"/>
        <v>0</v>
      </c>
      <c r="V74" s="4"/>
    </row>
    <row r="75" spans="1:22" x14ac:dyDescent="0.35">
      <c r="A75" s="1">
        <v>74</v>
      </c>
      <c r="B75" s="1">
        <v>4129.0607113934348</v>
      </c>
      <c r="C75" s="1">
        <v>0</v>
      </c>
      <c r="D75" s="1"/>
      <c r="E75" s="1">
        <v>0</v>
      </c>
      <c r="F75" s="1">
        <v>0</v>
      </c>
      <c r="G75" s="4">
        <f t="shared" si="23"/>
        <v>0</v>
      </c>
      <c r="H75" s="4">
        <f t="shared" si="24"/>
        <v>0</v>
      </c>
      <c r="I75" s="4">
        <f t="shared" si="28"/>
        <v>0</v>
      </c>
      <c r="J75" s="4">
        <f t="shared" si="28"/>
        <v>0</v>
      </c>
      <c r="K75" s="4"/>
      <c r="L75" s="4"/>
      <c r="M75" s="4"/>
      <c r="N75" s="4"/>
      <c r="O75" s="4"/>
      <c r="P75" s="4">
        <v>86.753399999999999</v>
      </c>
      <c r="Q75" s="1">
        <f t="shared" si="29"/>
        <v>86.753399999999999</v>
      </c>
      <c r="R75" s="1">
        <f t="shared" si="30"/>
        <v>2168.835</v>
      </c>
      <c r="S75" s="1">
        <f t="shared" si="31"/>
        <v>2168.835</v>
      </c>
      <c r="T75" s="1">
        <f t="shared" si="32"/>
        <v>0</v>
      </c>
      <c r="U75" s="1">
        <f t="shared" si="33"/>
        <v>0</v>
      </c>
      <c r="V75" s="4"/>
    </row>
    <row r="76" spans="1:22" x14ac:dyDescent="0.35">
      <c r="A76" s="1">
        <v>75</v>
      </c>
      <c r="B76" s="1">
        <v>14350.316193396229</v>
      </c>
      <c r="C76" s="1">
        <v>0</v>
      </c>
      <c r="D76" s="1"/>
      <c r="E76" s="1">
        <v>0</v>
      </c>
      <c r="F76" s="1">
        <v>0</v>
      </c>
      <c r="G76" s="4">
        <f t="shared" si="23"/>
        <v>0</v>
      </c>
      <c r="H76" s="4">
        <f t="shared" si="24"/>
        <v>0</v>
      </c>
      <c r="I76" s="4">
        <f t="shared" si="28"/>
        <v>0</v>
      </c>
      <c r="J76" s="4">
        <f t="shared" si="28"/>
        <v>0</v>
      </c>
      <c r="K76" s="4"/>
      <c r="L76" s="4"/>
      <c r="M76" s="4"/>
      <c r="N76" s="4"/>
      <c r="O76" s="4"/>
      <c r="P76" s="4">
        <v>250.209</v>
      </c>
      <c r="Q76" s="1">
        <f t="shared" si="29"/>
        <v>250.209</v>
      </c>
      <c r="R76" s="1">
        <f t="shared" si="30"/>
        <v>6255.2250000000004</v>
      </c>
      <c r="S76" s="1">
        <f t="shared" si="31"/>
        <v>6255.2250000000004</v>
      </c>
      <c r="T76" s="1">
        <f t="shared" si="32"/>
        <v>0</v>
      </c>
      <c r="U76" s="1">
        <f t="shared" si="33"/>
        <v>0</v>
      </c>
      <c r="V76" s="4"/>
    </row>
    <row r="77" spans="1:22" x14ac:dyDescent="0.35">
      <c r="A77" s="1">
        <v>76</v>
      </c>
      <c r="B77" s="1">
        <v>5149.4780654648821</v>
      </c>
      <c r="C77" s="1">
        <v>0</v>
      </c>
      <c r="D77" s="1"/>
      <c r="E77" s="1">
        <v>0</v>
      </c>
      <c r="F77" s="1">
        <v>0</v>
      </c>
      <c r="G77" s="4">
        <f t="shared" si="23"/>
        <v>0</v>
      </c>
      <c r="H77" s="4">
        <f t="shared" si="24"/>
        <v>0</v>
      </c>
      <c r="I77" s="4">
        <f t="shared" si="28"/>
        <v>0</v>
      </c>
      <c r="J77" s="4">
        <f t="shared" si="28"/>
        <v>0</v>
      </c>
      <c r="K77" s="4"/>
      <c r="L77" s="4"/>
      <c r="M77" s="4"/>
      <c r="N77" s="4"/>
      <c r="O77" s="4"/>
      <c r="P77" s="4">
        <v>108.91500000000001</v>
      </c>
      <c r="Q77" s="1">
        <f t="shared" si="29"/>
        <v>108.91500000000001</v>
      </c>
      <c r="R77" s="1">
        <f t="shared" si="30"/>
        <v>2722.875</v>
      </c>
      <c r="S77" s="1">
        <f t="shared" si="31"/>
        <v>2722.875</v>
      </c>
      <c r="T77" s="1">
        <f t="shared" si="32"/>
        <v>0</v>
      </c>
      <c r="U77" s="1">
        <f t="shared" si="33"/>
        <v>0</v>
      </c>
      <c r="V77" s="4"/>
    </row>
    <row r="78" spans="1:22" x14ac:dyDescent="0.35">
      <c r="A78" s="1">
        <v>77</v>
      </c>
      <c r="B78" s="1">
        <v>4612.9275296437472</v>
      </c>
      <c r="C78" s="1">
        <v>0</v>
      </c>
      <c r="D78" s="1"/>
      <c r="E78" s="1">
        <v>0</v>
      </c>
      <c r="F78" s="1">
        <v>0</v>
      </c>
      <c r="G78" s="4">
        <f t="shared" si="23"/>
        <v>0</v>
      </c>
      <c r="H78" s="4">
        <f t="shared" si="24"/>
        <v>0</v>
      </c>
      <c r="I78" s="4">
        <f t="shared" si="28"/>
        <v>0</v>
      </c>
      <c r="J78" s="4">
        <f t="shared" si="28"/>
        <v>0</v>
      </c>
      <c r="K78" s="4"/>
      <c r="L78" s="4"/>
      <c r="M78" s="4"/>
      <c r="N78" s="4"/>
      <c r="O78" s="4"/>
      <c r="P78" s="4">
        <v>98.416499999999999</v>
      </c>
      <c r="Q78" s="1">
        <f t="shared" si="29"/>
        <v>98.416499999999999</v>
      </c>
      <c r="R78" s="1">
        <f t="shared" si="30"/>
        <v>2460.4124999999999</v>
      </c>
      <c r="S78" s="1">
        <f t="shared" si="31"/>
        <v>2460.4124999999999</v>
      </c>
      <c r="T78" s="1">
        <f t="shared" si="32"/>
        <v>0</v>
      </c>
      <c r="U78" s="1">
        <f t="shared" si="33"/>
        <v>0</v>
      </c>
      <c r="V78" s="4"/>
    </row>
    <row r="79" spans="1:22" x14ac:dyDescent="0.35">
      <c r="A79" s="1">
        <v>78</v>
      </c>
      <c r="B79" s="1">
        <v>4299.5858542619962</v>
      </c>
      <c r="C79" s="1">
        <v>0</v>
      </c>
      <c r="D79" s="1"/>
      <c r="E79" s="1">
        <v>0</v>
      </c>
      <c r="F79" s="1">
        <v>0</v>
      </c>
      <c r="G79" s="4">
        <f t="shared" ref="G79:G100" si="34">$M$11*C79*1000</f>
        <v>0</v>
      </c>
      <c r="H79" s="4">
        <f t="shared" ref="H79:H100" si="35">$M$12*C79</f>
        <v>0</v>
      </c>
      <c r="I79" s="4">
        <f t="shared" ref="I79:J94" si="36">$M$12*D79</f>
        <v>0</v>
      </c>
      <c r="J79" s="4">
        <f t="shared" si="36"/>
        <v>0</v>
      </c>
      <c r="K79" s="4"/>
      <c r="L79" s="4"/>
      <c r="M79" s="4"/>
      <c r="N79" s="4"/>
      <c r="O79" s="4"/>
      <c r="P79" s="4">
        <v>78.811800000000005</v>
      </c>
      <c r="Q79" s="1">
        <f t="shared" si="29"/>
        <v>78.811800000000005</v>
      </c>
      <c r="R79" s="1">
        <f t="shared" si="30"/>
        <v>1970.2950000000001</v>
      </c>
      <c r="S79" s="1">
        <f t="shared" si="31"/>
        <v>1970.2950000000001</v>
      </c>
      <c r="T79" s="1">
        <f t="shared" si="32"/>
        <v>0</v>
      </c>
      <c r="U79" s="1">
        <f t="shared" si="33"/>
        <v>0</v>
      </c>
      <c r="V79" s="4"/>
    </row>
    <row r="80" spans="1:22" x14ac:dyDescent="0.35">
      <c r="A80" s="1">
        <v>79</v>
      </c>
      <c r="B80" s="1">
        <v>3153.09355833985</v>
      </c>
      <c r="C80" s="1">
        <v>0</v>
      </c>
      <c r="D80" s="1"/>
      <c r="E80" s="1">
        <v>0</v>
      </c>
      <c r="F80" s="1">
        <v>0</v>
      </c>
      <c r="G80" s="4">
        <f t="shared" si="34"/>
        <v>0</v>
      </c>
      <c r="H80" s="4">
        <f t="shared" si="35"/>
        <v>0</v>
      </c>
      <c r="I80" s="4">
        <f t="shared" si="36"/>
        <v>0</v>
      </c>
      <c r="J80" s="4">
        <f t="shared" si="36"/>
        <v>0</v>
      </c>
      <c r="K80" s="4"/>
      <c r="L80" s="4"/>
      <c r="M80" s="4"/>
      <c r="N80" s="4"/>
      <c r="O80" s="4"/>
      <c r="P80" s="4">
        <v>66.247900000000001</v>
      </c>
      <c r="Q80" s="1">
        <f t="shared" si="29"/>
        <v>66.247900000000001</v>
      </c>
      <c r="R80" s="1">
        <f t="shared" si="30"/>
        <v>1656.1975</v>
      </c>
      <c r="S80" s="1">
        <f t="shared" si="31"/>
        <v>1656.1975</v>
      </c>
      <c r="T80" s="1">
        <f t="shared" si="32"/>
        <v>0</v>
      </c>
      <c r="U80" s="1">
        <f t="shared" si="33"/>
        <v>0</v>
      </c>
      <c r="V80" s="4"/>
    </row>
    <row r="81" spans="1:22" x14ac:dyDescent="0.35">
      <c r="A81" s="1">
        <v>80</v>
      </c>
      <c r="B81" s="1">
        <v>4296.4999200900902</v>
      </c>
      <c r="C81" s="1">
        <v>0</v>
      </c>
      <c r="D81" s="1"/>
      <c r="E81" s="1">
        <v>0</v>
      </c>
      <c r="F81" s="1">
        <v>0</v>
      </c>
      <c r="G81" s="4">
        <f t="shared" si="34"/>
        <v>0</v>
      </c>
      <c r="H81" s="4">
        <f t="shared" si="35"/>
        <v>0</v>
      </c>
      <c r="I81" s="4">
        <f t="shared" si="36"/>
        <v>0</v>
      </c>
      <c r="J81" s="4">
        <f t="shared" si="36"/>
        <v>0</v>
      </c>
      <c r="K81" s="4"/>
      <c r="L81" s="4"/>
      <c r="M81" s="4"/>
      <c r="N81" s="4"/>
      <c r="O81" s="4"/>
      <c r="P81" s="4">
        <v>89.923500000000004</v>
      </c>
      <c r="Q81" s="1">
        <f t="shared" si="29"/>
        <v>89.923500000000004</v>
      </c>
      <c r="R81" s="1">
        <f t="shared" si="30"/>
        <v>2248.0875000000001</v>
      </c>
      <c r="S81" s="1">
        <f>R81-G81</f>
        <v>2248.0875000000001</v>
      </c>
      <c r="T81" s="1">
        <f t="shared" si="32"/>
        <v>0</v>
      </c>
      <c r="U81" s="1">
        <f t="shared" si="33"/>
        <v>0</v>
      </c>
      <c r="V81" s="4"/>
    </row>
    <row r="82" spans="1:22" x14ac:dyDescent="0.35">
      <c r="A82" s="1">
        <v>81</v>
      </c>
      <c r="B82" s="1">
        <v>1722.7511821559251</v>
      </c>
      <c r="C82" s="1">
        <v>0</v>
      </c>
      <c r="D82" s="1"/>
      <c r="E82" s="1">
        <v>0</v>
      </c>
      <c r="F82" s="1">
        <v>0</v>
      </c>
      <c r="G82" s="4">
        <f t="shared" si="34"/>
        <v>0</v>
      </c>
      <c r="H82" s="4">
        <f t="shared" si="35"/>
        <v>0</v>
      </c>
      <c r="I82" s="4">
        <f t="shared" si="36"/>
        <v>0</v>
      </c>
      <c r="J82" s="4">
        <f t="shared" si="36"/>
        <v>0</v>
      </c>
      <c r="K82" s="4"/>
      <c r="L82" s="4"/>
      <c r="M82" s="4"/>
      <c r="N82" s="4"/>
      <c r="O82" s="4"/>
      <c r="P82" s="4">
        <v>30.037500000000001</v>
      </c>
      <c r="Q82" s="1">
        <f t="shared" si="29"/>
        <v>30.037500000000001</v>
      </c>
      <c r="R82" s="1">
        <f t="shared" si="30"/>
        <v>750.9375</v>
      </c>
      <c r="S82" s="1">
        <f t="shared" ref="S82:S96" si="37">R82-G82</f>
        <v>750.9375</v>
      </c>
      <c r="T82" s="1">
        <f t="shared" si="32"/>
        <v>0</v>
      </c>
      <c r="U82" s="1">
        <f t="shared" si="33"/>
        <v>0</v>
      </c>
      <c r="V82" s="4"/>
    </row>
    <row r="83" spans="1:22" x14ac:dyDescent="0.35">
      <c r="A83" s="1">
        <v>82</v>
      </c>
      <c r="B83" s="1">
        <v>8378.7212496204556</v>
      </c>
      <c r="C83" s="1">
        <v>0</v>
      </c>
      <c r="D83" s="1"/>
      <c r="E83" s="1">
        <v>0</v>
      </c>
      <c r="F83" s="1">
        <v>0</v>
      </c>
      <c r="G83" s="4">
        <f t="shared" si="34"/>
        <v>0</v>
      </c>
      <c r="H83" s="4">
        <f t="shared" si="35"/>
        <v>0</v>
      </c>
      <c r="I83" s="4">
        <f t="shared" si="36"/>
        <v>0</v>
      </c>
      <c r="J83" s="4">
        <f t="shared" si="36"/>
        <v>0</v>
      </c>
      <c r="K83" s="4"/>
      <c r="L83" s="4"/>
      <c r="M83" s="4"/>
      <c r="N83" s="4"/>
      <c r="O83" s="4"/>
      <c r="P83" s="4">
        <v>122.405</v>
      </c>
      <c r="Q83" s="1">
        <f t="shared" si="29"/>
        <v>122.405</v>
      </c>
      <c r="R83" s="1">
        <f t="shared" si="30"/>
        <v>3060.125</v>
      </c>
      <c r="S83" s="1">
        <f t="shared" si="37"/>
        <v>3060.125</v>
      </c>
      <c r="T83" s="1">
        <f t="shared" si="32"/>
        <v>0</v>
      </c>
      <c r="U83" s="1">
        <f t="shared" si="33"/>
        <v>0</v>
      </c>
      <c r="V83" s="4"/>
    </row>
    <row r="84" spans="1:22" x14ac:dyDescent="0.35">
      <c r="A84" s="1">
        <v>83</v>
      </c>
      <c r="B84" s="1">
        <v>4180.060549855245</v>
      </c>
      <c r="C84" s="1">
        <v>0</v>
      </c>
      <c r="D84" s="1"/>
      <c r="E84" s="1">
        <v>0</v>
      </c>
      <c r="F84" s="1">
        <v>0</v>
      </c>
      <c r="G84" s="4">
        <f t="shared" si="34"/>
        <v>0</v>
      </c>
      <c r="H84" s="4">
        <f t="shared" si="35"/>
        <v>0</v>
      </c>
      <c r="I84" s="4">
        <f t="shared" si="36"/>
        <v>0</v>
      </c>
      <c r="J84" s="4">
        <f t="shared" si="36"/>
        <v>0</v>
      </c>
      <c r="K84" s="4"/>
      <c r="L84" s="4"/>
      <c r="M84" s="4"/>
      <c r="N84" s="4"/>
      <c r="O84" s="4"/>
      <c r="P84" s="4">
        <v>92.304299999999998</v>
      </c>
      <c r="Q84" s="1">
        <f t="shared" si="29"/>
        <v>92.304299999999998</v>
      </c>
      <c r="R84" s="1">
        <f t="shared" si="30"/>
        <v>2307.6075000000001</v>
      </c>
      <c r="S84" s="1">
        <f t="shared" si="37"/>
        <v>2307.6075000000001</v>
      </c>
      <c r="T84" s="1">
        <f t="shared" si="32"/>
        <v>0</v>
      </c>
      <c r="U84" s="1">
        <f t="shared" si="33"/>
        <v>0</v>
      </c>
      <c r="V84" s="4"/>
    </row>
    <row r="85" spans="1:22" x14ac:dyDescent="0.35">
      <c r="A85" s="1">
        <v>84</v>
      </c>
      <c r="B85" s="1">
        <v>3330.950005722922</v>
      </c>
      <c r="C85" s="1">
        <v>0</v>
      </c>
      <c r="D85" s="1"/>
      <c r="E85" s="1">
        <v>0</v>
      </c>
      <c r="F85" s="1">
        <v>0</v>
      </c>
      <c r="G85" s="4">
        <f t="shared" si="34"/>
        <v>0</v>
      </c>
      <c r="H85" s="4">
        <f t="shared" si="35"/>
        <v>0</v>
      </c>
      <c r="I85" s="4">
        <f t="shared" si="36"/>
        <v>0</v>
      </c>
      <c r="J85" s="4">
        <f t="shared" si="36"/>
        <v>0</v>
      </c>
      <c r="K85" s="4"/>
      <c r="L85" s="4"/>
      <c r="M85" s="4"/>
      <c r="N85" s="4"/>
      <c r="O85" s="4"/>
      <c r="P85" s="4">
        <v>57.065800000000003</v>
      </c>
      <c r="Q85" s="1">
        <f t="shared" si="29"/>
        <v>57.065800000000003</v>
      </c>
      <c r="R85" s="1">
        <f t="shared" si="30"/>
        <v>1426.645</v>
      </c>
      <c r="S85" s="1">
        <f t="shared" si="37"/>
        <v>1426.645</v>
      </c>
      <c r="T85" s="1">
        <f t="shared" si="32"/>
        <v>0</v>
      </c>
      <c r="U85" s="1">
        <f t="shared" si="33"/>
        <v>0</v>
      </c>
      <c r="V85" s="4"/>
    </row>
    <row r="86" spans="1:22" x14ac:dyDescent="0.35">
      <c r="A86" s="1">
        <v>85</v>
      </c>
      <c r="B86" s="1">
        <v>2875.5642031497382</v>
      </c>
      <c r="C86" s="1">
        <v>0</v>
      </c>
      <c r="D86" s="1"/>
      <c r="E86" s="1">
        <v>0</v>
      </c>
      <c r="F86" s="1">
        <v>0</v>
      </c>
      <c r="G86" s="4">
        <f t="shared" si="34"/>
        <v>0</v>
      </c>
      <c r="H86" s="4">
        <f t="shared" si="35"/>
        <v>0</v>
      </c>
      <c r="I86" s="4">
        <f t="shared" si="36"/>
        <v>0</v>
      </c>
      <c r="J86" s="4">
        <f t="shared" si="36"/>
        <v>0</v>
      </c>
      <c r="K86" s="4"/>
      <c r="L86" s="4"/>
      <c r="M86" s="4"/>
      <c r="N86" s="4"/>
      <c r="O86" s="4"/>
      <c r="P86" s="4">
        <v>62.269399999999997</v>
      </c>
      <c r="Q86" s="1">
        <f t="shared" si="29"/>
        <v>62.269399999999997</v>
      </c>
      <c r="R86" s="1">
        <f t="shared" si="30"/>
        <v>1556.7349999999999</v>
      </c>
      <c r="S86" s="1">
        <f t="shared" si="37"/>
        <v>1556.7349999999999</v>
      </c>
      <c r="T86" s="1">
        <f t="shared" si="32"/>
        <v>0</v>
      </c>
      <c r="U86" s="1">
        <f t="shared" si="33"/>
        <v>0</v>
      </c>
      <c r="V86" s="4"/>
    </row>
    <row r="87" spans="1:22" x14ac:dyDescent="0.35">
      <c r="A87" s="1">
        <v>86</v>
      </c>
      <c r="B87" s="1">
        <v>2673.7959050516761</v>
      </c>
      <c r="C87" s="1">
        <v>0</v>
      </c>
      <c r="D87" s="1"/>
      <c r="E87" s="1">
        <v>0</v>
      </c>
      <c r="F87" s="1">
        <v>0</v>
      </c>
      <c r="G87" s="4">
        <f t="shared" si="34"/>
        <v>0</v>
      </c>
      <c r="H87" s="4">
        <f t="shared" si="35"/>
        <v>0</v>
      </c>
      <c r="I87" s="4">
        <f t="shared" si="36"/>
        <v>0</v>
      </c>
      <c r="J87" s="4">
        <f t="shared" si="36"/>
        <v>0</v>
      </c>
      <c r="K87" s="4"/>
      <c r="L87" s="4"/>
      <c r="M87" s="4"/>
      <c r="N87" s="4"/>
      <c r="O87" s="4"/>
      <c r="P87" s="4">
        <v>54.038899999999998</v>
      </c>
      <c r="Q87" s="1">
        <f t="shared" si="29"/>
        <v>54.038899999999998</v>
      </c>
      <c r="R87" s="1">
        <f t="shared" si="30"/>
        <v>1350.9724999999999</v>
      </c>
      <c r="S87" s="1">
        <f t="shared" si="37"/>
        <v>1350.9724999999999</v>
      </c>
      <c r="T87" s="1">
        <f t="shared" si="32"/>
        <v>0</v>
      </c>
      <c r="U87" s="1">
        <f t="shared" si="33"/>
        <v>0</v>
      </c>
      <c r="V87" s="4"/>
    </row>
    <row r="88" spans="1:22" x14ac:dyDescent="0.35">
      <c r="A88" s="1">
        <v>87</v>
      </c>
      <c r="B88" s="1">
        <v>19513.44492845656</v>
      </c>
      <c r="C88" s="1">
        <v>0</v>
      </c>
      <c r="D88" s="1"/>
      <c r="E88" s="1">
        <v>0</v>
      </c>
      <c r="F88" s="1">
        <v>0</v>
      </c>
      <c r="G88" s="4">
        <f t="shared" si="34"/>
        <v>0</v>
      </c>
      <c r="H88" s="4">
        <f t="shared" si="35"/>
        <v>0</v>
      </c>
      <c r="I88" s="4">
        <f t="shared" si="36"/>
        <v>0</v>
      </c>
      <c r="J88" s="4">
        <f t="shared" si="36"/>
        <v>0</v>
      </c>
      <c r="K88" s="4"/>
      <c r="L88" s="4"/>
      <c r="M88" s="4"/>
      <c r="N88" s="4"/>
      <c r="O88" s="4"/>
      <c r="P88" s="4">
        <v>382.77600000000001</v>
      </c>
      <c r="Q88" s="1">
        <f t="shared" si="29"/>
        <v>382.77600000000001</v>
      </c>
      <c r="R88" s="1">
        <f t="shared" si="30"/>
        <v>9569.4</v>
      </c>
      <c r="S88" s="1">
        <f t="shared" si="37"/>
        <v>9569.4</v>
      </c>
      <c r="T88" s="1">
        <f t="shared" si="32"/>
        <v>0</v>
      </c>
      <c r="U88" s="1">
        <f t="shared" si="33"/>
        <v>0</v>
      </c>
      <c r="V88" s="4"/>
    </row>
    <row r="89" spans="1:22" x14ac:dyDescent="0.35">
      <c r="A89" s="1">
        <v>88</v>
      </c>
      <c r="B89" s="1">
        <v>5533.3813285011611</v>
      </c>
      <c r="C89" s="1">
        <v>0</v>
      </c>
      <c r="D89" s="1"/>
      <c r="E89" s="1">
        <v>0</v>
      </c>
      <c r="F89" s="1">
        <v>0</v>
      </c>
      <c r="G89" s="4">
        <f t="shared" si="34"/>
        <v>0</v>
      </c>
      <c r="H89" s="4">
        <f t="shared" si="35"/>
        <v>0</v>
      </c>
      <c r="I89" s="4">
        <f t="shared" si="36"/>
        <v>0</v>
      </c>
      <c r="J89" s="4">
        <f t="shared" si="36"/>
        <v>0</v>
      </c>
      <c r="K89" s="4"/>
      <c r="L89" s="4"/>
      <c r="M89" s="4"/>
      <c r="N89" s="4"/>
      <c r="O89" s="4"/>
      <c r="P89" s="4">
        <v>110.304</v>
      </c>
      <c r="Q89" s="1">
        <f t="shared" si="29"/>
        <v>110.304</v>
      </c>
      <c r="R89" s="1">
        <f t="shared" si="30"/>
        <v>2757.6</v>
      </c>
      <c r="S89" s="1">
        <f t="shared" si="37"/>
        <v>2757.6</v>
      </c>
      <c r="T89" s="1">
        <f t="shared" si="32"/>
        <v>0</v>
      </c>
      <c r="U89" s="1">
        <f t="shared" si="33"/>
        <v>0</v>
      </c>
      <c r="V89" s="4"/>
    </row>
    <row r="90" spans="1:22" x14ac:dyDescent="0.35">
      <c r="A90" s="1">
        <v>89</v>
      </c>
      <c r="B90" s="1">
        <v>7532.7075080212007</v>
      </c>
      <c r="C90" s="1">
        <v>0</v>
      </c>
      <c r="D90" s="1"/>
      <c r="E90" s="1">
        <v>0</v>
      </c>
      <c r="F90" s="1">
        <v>0</v>
      </c>
      <c r="G90" s="4">
        <f t="shared" si="34"/>
        <v>0</v>
      </c>
      <c r="H90" s="4">
        <f t="shared" si="35"/>
        <v>0</v>
      </c>
      <c r="I90" s="4">
        <f t="shared" si="36"/>
        <v>0</v>
      </c>
      <c r="J90" s="4">
        <f t="shared" si="36"/>
        <v>0</v>
      </c>
      <c r="K90" s="4"/>
      <c r="L90" s="4"/>
      <c r="M90" s="4"/>
      <c r="N90" s="4"/>
      <c r="O90" s="4"/>
      <c r="P90" s="4">
        <v>158.81</v>
      </c>
      <c r="Q90" s="1">
        <f t="shared" si="29"/>
        <v>158.81</v>
      </c>
      <c r="R90" s="1">
        <f t="shared" si="30"/>
        <v>3970.25</v>
      </c>
      <c r="S90" s="1">
        <f t="shared" si="37"/>
        <v>3970.25</v>
      </c>
      <c r="T90" s="1">
        <f t="shared" si="32"/>
        <v>0</v>
      </c>
      <c r="U90" s="1">
        <f t="shared" si="33"/>
        <v>0</v>
      </c>
      <c r="V90" s="4"/>
    </row>
    <row r="91" spans="1:22" x14ac:dyDescent="0.35">
      <c r="A91" s="1">
        <v>90</v>
      </c>
      <c r="B91" s="1">
        <v>4797.2959806436729</v>
      </c>
      <c r="C91" s="1">
        <v>0</v>
      </c>
      <c r="D91" s="1"/>
      <c r="E91" s="1">
        <v>0</v>
      </c>
      <c r="F91" s="1">
        <v>0</v>
      </c>
      <c r="G91" s="4">
        <f t="shared" si="34"/>
        <v>0</v>
      </c>
      <c r="H91" s="4">
        <f t="shared" si="35"/>
        <v>0</v>
      </c>
      <c r="I91" s="4">
        <f t="shared" si="36"/>
        <v>0</v>
      </c>
      <c r="J91" s="4">
        <f t="shared" si="36"/>
        <v>0</v>
      </c>
      <c r="K91" s="4"/>
      <c r="L91" s="4"/>
      <c r="M91" s="4"/>
      <c r="N91" s="4"/>
      <c r="O91" s="4"/>
      <c r="P91" s="4">
        <v>100.91</v>
      </c>
      <c r="Q91" s="1">
        <f t="shared" si="29"/>
        <v>100.91</v>
      </c>
      <c r="R91" s="1">
        <f t="shared" si="30"/>
        <v>2522.75</v>
      </c>
      <c r="S91" s="1">
        <f t="shared" si="37"/>
        <v>2522.75</v>
      </c>
      <c r="T91" s="1">
        <f t="shared" si="32"/>
        <v>0</v>
      </c>
      <c r="U91" s="1">
        <f t="shared" si="33"/>
        <v>0</v>
      </c>
      <c r="V91" s="4"/>
    </row>
    <row r="92" spans="1:22" x14ac:dyDescent="0.35">
      <c r="A92" s="1">
        <v>91</v>
      </c>
      <c r="B92" s="1">
        <v>5147.5629031179114</v>
      </c>
      <c r="C92" s="1">
        <v>0</v>
      </c>
      <c r="D92" s="1"/>
      <c r="E92" s="1">
        <v>0</v>
      </c>
      <c r="F92" s="1">
        <v>0</v>
      </c>
      <c r="G92" s="4">
        <f t="shared" si="34"/>
        <v>0</v>
      </c>
      <c r="H92" s="4">
        <f t="shared" si="35"/>
        <v>0</v>
      </c>
      <c r="I92" s="4">
        <f t="shared" si="36"/>
        <v>0</v>
      </c>
      <c r="J92" s="4">
        <f t="shared" si="36"/>
        <v>0</v>
      </c>
      <c r="K92" s="4"/>
      <c r="L92" s="4"/>
      <c r="M92" s="4"/>
      <c r="N92" s="4" t="s">
        <v>6</v>
      </c>
      <c r="O92" s="4"/>
      <c r="P92" s="4">
        <v>83.866</v>
      </c>
      <c r="Q92" s="1">
        <f t="shared" si="29"/>
        <v>83.866</v>
      </c>
      <c r="R92" s="1">
        <f t="shared" si="30"/>
        <v>2096.65</v>
      </c>
      <c r="S92" s="1">
        <f t="shared" si="37"/>
        <v>2096.65</v>
      </c>
      <c r="T92" s="1">
        <f t="shared" si="32"/>
        <v>0</v>
      </c>
      <c r="U92" s="1">
        <f t="shared" si="33"/>
        <v>0</v>
      </c>
      <c r="V92" s="4"/>
    </row>
    <row r="93" spans="1:22" x14ac:dyDescent="0.35">
      <c r="A93" s="1">
        <v>92</v>
      </c>
      <c r="B93" s="1">
        <v>2534.563494353717</v>
      </c>
      <c r="C93" s="1">
        <v>0</v>
      </c>
      <c r="D93" s="1"/>
      <c r="E93" s="1">
        <v>0</v>
      </c>
      <c r="F93" s="1">
        <v>0</v>
      </c>
      <c r="G93" s="4">
        <f t="shared" si="34"/>
        <v>0</v>
      </c>
      <c r="H93" s="4">
        <f t="shared" si="35"/>
        <v>0</v>
      </c>
      <c r="I93" s="4">
        <f t="shared" si="36"/>
        <v>0</v>
      </c>
      <c r="J93" s="4">
        <f t="shared" si="36"/>
        <v>0</v>
      </c>
      <c r="K93" s="4"/>
      <c r="L93" s="4"/>
      <c r="M93" s="4"/>
      <c r="N93" s="4"/>
      <c r="O93" s="4"/>
      <c r="P93" s="4">
        <v>53.252299999999998</v>
      </c>
      <c r="Q93" s="1">
        <f t="shared" si="29"/>
        <v>53.252299999999998</v>
      </c>
      <c r="R93" s="1">
        <f t="shared" si="30"/>
        <v>1331.3074999999999</v>
      </c>
      <c r="S93" s="1">
        <f t="shared" si="37"/>
        <v>1331.3074999999999</v>
      </c>
      <c r="T93" s="1">
        <f t="shared" si="32"/>
        <v>0</v>
      </c>
      <c r="U93" s="1">
        <f t="shared" si="33"/>
        <v>0</v>
      </c>
      <c r="V93" s="4"/>
    </row>
    <row r="94" spans="1:22" x14ac:dyDescent="0.35">
      <c r="A94" s="1">
        <v>93</v>
      </c>
      <c r="B94" s="1">
        <v>5159.4345472126533</v>
      </c>
      <c r="C94" s="1">
        <v>0</v>
      </c>
      <c r="D94" s="1"/>
      <c r="E94" s="1">
        <v>0</v>
      </c>
      <c r="F94" s="1">
        <v>0</v>
      </c>
      <c r="G94" s="4">
        <f t="shared" si="34"/>
        <v>0</v>
      </c>
      <c r="H94" s="4">
        <f t="shared" si="35"/>
        <v>0</v>
      </c>
      <c r="I94" s="4">
        <f t="shared" si="36"/>
        <v>0</v>
      </c>
      <c r="J94" s="4">
        <f t="shared" si="36"/>
        <v>0</v>
      </c>
      <c r="K94" s="4"/>
      <c r="L94" s="4"/>
      <c r="M94" s="4"/>
      <c r="N94" s="4"/>
      <c r="O94" s="4"/>
      <c r="P94" s="4">
        <v>109.45699999999999</v>
      </c>
      <c r="Q94" s="1">
        <f t="shared" si="29"/>
        <v>109.45699999999999</v>
      </c>
      <c r="R94" s="1">
        <f t="shared" si="30"/>
        <v>2736.4249999999997</v>
      </c>
      <c r="S94" s="1">
        <f t="shared" si="37"/>
        <v>2736.4249999999997</v>
      </c>
      <c r="T94" s="1">
        <f t="shared" si="32"/>
        <v>0</v>
      </c>
      <c r="U94" s="1">
        <f t="shared" si="33"/>
        <v>0</v>
      </c>
      <c r="V94" s="4"/>
    </row>
    <row r="95" spans="1:22" x14ac:dyDescent="0.35">
      <c r="A95" s="1">
        <v>94</v>
      </c>
      <c r="B95" s="1">
        <v>4317.7330751348463</v>
      </c>
      <c r="C95" s="1">
        <v>0</v>
      </c>
      <c r="D95" s="1"/>
      <c r="E95" s="1">
        <v>0</v>
      </c>
      <c r="F95" s="1">
        <v>0</v>
      </c>
      <c r="G95" s="4">
        <f t="shared" si="34"/>
        <v>0</v>
      </c>
      <c r="H95" s="4">
        <f t="shared" si="35"/>
        <v>0</v>
      </c>
      <c r="I95" s="4">
        <f t="shared" ref="I95:J100" si="38">$M$12*D95</f>
        <v>0</v>
      </c>
      <c r="J95" s="4">
        <f t="shared" si="38"/>
        <v>0</v>
      </c>
      <c r="K95" s="4"/>
      <c r="L95" s="4"/>
      <c r="M95" s="4"/>
      <c r="N95" s="4"/>
      <c r="O95" s="4"/>
      <c r="P95" s="4">
        <v>97.187200000000004</v>
      </c>
      <c r="Q95" s="1">
        <f t="shared" si="29"/>
        <v>97.187200000000004</v>
      </c>
      <c r="R95" s="1">
        <f t="shared" si="30"/>
        <v>2429.6800000000003</v>
      </c>
      <c r="S95" s="1">
        <f t="shared" si="37"/>
        <v>2429.6800000000003</v>
      </c>
      <c r="T95" s="1">
        <f t="shared" si="32"/>
        <v>0</v>
      </c>
      <c r="U95" s="1">
        <f t="shared" si="33"/>
        <v>0</v>
      </c>
      <c r="V95" s="4"/>
    </row>
    <row r="96" spans="1:22" x14ac:dyDescent="0.35">
      <c r="A96" s="1">
        <v>95</v>
      </c>
      <c r="B96" s="1">
        <v>6988.6643510423764</v>
      </c>
      <c r="C96" s="1">
        <v>0</v>
      </c>
      <c r="D96" s="1"/>
      <c r="E96" s="1">
        <v>0</v>
      </c>
      <c r="F96" s="1">
        <v>0</v>
      </c>
      <c r="G96" s="4">
        <f t="shared" si="34"/>
        <v>0</v>
      </c>
      <c r="H96" s="4">
        <f t="shared" si="35"/>
        <v>0</v>
      </c>
      <c r="I96" s="4">
        <f t="shared" si="38"/>
        <v>0</v>
      </c>
      <c r="J96" s="4">
        <f t="shared" si="38"/>
        <v>0</v>
      </c>
      <c r="K96" s="4"/>
      <c r="L96" s="4"/>
      <c r="M96" s="4"/>
      <c r="N96" s="4"/>
      <c r="O96" s="4"/>
      <c r="P96" s="4">
        <v>114.952</v>
      </c>
      <c r="Q96" s="1">
        <f t="shared" si="29"/>
        <v>114.952</v>
      </c>
      <c r="R96" s="1">
        <f t="shared" si="30"/>
        <v>2873.8</v>
      </c>
      <c r="S96" s="1">
        <f t="shared" si="37"/>
        <v>2873.8</v>
      </c>
      <c r="T96" s="1">
        <f t="shared" si="32"/>
        <v>0</v>
      </c>
      <c r="U96" s="1">
        <f t="shared" si="33"/>
        <v>0</v>
      </c>
      <c r="V96" s="4"/>
    </row>
    <row r="97" spans="1:22" x14ac:dyDescent="0.35">
      <c r="A97" s="1">
        <v>96</v>
      </c>
      <c r="B97" s="1">
        <v>2938.8092172996649</v>
      </c>
      <c r="C97" s="1">
        <v>0</v>
      </c>
      <c r="D97" s="1"/>
      <c r="E97" s="1">
        <v>0</v>
      </c>
      <c r="F97" s="1">
        <v>0</v>
      </c>
      <c r="G97" s="4">
        <f t="shared" si="34"/>
        <v>0</v>
      </c>
      <c r="H97" s="4">
        <f t="shared" si="35"/>
        <v>0</v>
      </c>
      <c r="I97" s="4">
        <f t="shared" si="38"/>
        <v>0</v>
      </c>
      <c r="J97" s="4">
        <f t="shared" si="38"/>
        <v>0</v>
      </c>
      <c r="K97" s="4"/>
      <c r="L97" s="4"/>
      <c r="M97" s="4"/>
      <c r="N97" s="4"/>
      <c r="O97" s="4"/>
      <c r="P97" s="4">
        <v>61.982599999999998</v>
      </c>
      <c r="Q97" s="1">
        <f t="shared" si="29"/>
        <v>61.982599999999998</v>
      </c>
      <c r="R97" s="1">
        <f t="shared" si="30"/>
        <v>1549.5650000000001</v>
      </c>
      <c r="S97" s="1">
        <f>R97-G97</f>
        <v>1549.5650000000001</v>
      </c>
      <c r="T97" s="1">
        <f t="shared" si="32"/>
        <v>0</v>
      </c>
      <c r="U97" s="1">
        <f t="shared" si="33"/>
        <v>0</v>
      </c>
      <c r="V97" s="4"/>
    </row>
    <row r="98" spans="1:22" x14ac:dyDescent="0.35">
      <c r="A98" s="1">
        <v>97</v>
      </c>
      <c r="B98" s="1">
        <v>6184.3427862351964</v>
      </c>
      <c r="C98" s="1">
        <v>0</v>
      </c>
      <c r="D98" s="1"/>
      <c r="E98" s="1">
        <v>0</v>
      </c>
      <c r="F98" s="1">
        <v>0</v>
      </c>
      <c r="G98" s="4">
        <f t="shared" si="34"/>
        <v>0</v>
      </c>
      <c r="H98" s="4">
        <f t="shared" si="35"/>
        <v>0</v>
      </c>
      <c r="I98" s="4">
        <f t="shared" si="38"/>
        <v>0</v>
      </c>
      <c r="J98" s="4">
        <f t="shared" si="38"/>
        <v>0</v>
      </c>
      <c r="K98" s="4"/>
      <c r="L98" s="4"/>
      <c r="M98" s="4"/>
      <c r="N98" s="4"/>
      <c r="O98" s="4"/>
      <c r="P98" s="4">
        <v>129.93600000000001</v>
      </c>
      <c r="Q98" s="1">
        <f t="shared" si="29"/>
        <v>129.93600000000001</v>
      </c>
      <c r="R98" s="1">
        <f t="shared" si="30"/>
        <v>3248.4</v>
      </c>
      <c r="S98" s="1">
        <f t="shared" ref="S98:S100" si="39">R98-G98</f>
        <v>3248.4</v>
      </c>
      <c r="T98" s="1">
        <f t="shared" si="32"/>
        <v>0</v>
      </c>
      <c r="U98" s="1">
        <f t="shared" si="33"/>
        <v>0</v>
      </c>
      <c r="V98" s="4"/>
    </row>
    <row r="99" spans="1:22" x14ac:dyDescent="0.35">
      <c r="A99" s="1">
        <v>98</v>
      </c>
      <c r="B99" s="1">
        <v>3973.5840486666689</v>
      </c>
      <c r="C99" s="1">
        <v>0</v>
      </c>
      <c r="D99" s="1"/>
      <c r="E99" s="1">
        <v>0</v>
      </c>
      <c r="F99" s="1">
        <v>0</v>
      </c>
      <c r="G99" s="4">
        <f t="shared" si="34"/>
        <v>0</v>
      </c>
      <c r="H99" s="4">
        <f t="shared" si="35"/>
        <v>0</v>
      </c>
      <c r="I99" s="4">
        <f t="shared" si="38"/>
        <v>0</v>
      </c>
      <c r="J99" s="4">
        <f t="shared" si="38"/>
        <v>0</v>
      </c>
      <c r="K99" s="4"/>
      <c r="L99" s="4"/>
      <c r="M99" s="4"/>
      <c r="N99" s="4"/>
      <c r="O99" s="4"/>
      <c r="P99" s="4">
        <v>82.931700000000006</v>
      </c>
      <c r="Q99" s="1">
        <f t="shared" si="29"/>
        <v>82.931700000000006</v>
      </c>
      <c r="R99" s="1">
        <f t="shared" si="30"/>
        <v>2073.2925</v>
      </c>
      <c r="S99" s="1">
        <f t="shared" si="39"/>
        <v>2073.2925</v>
      </c>
      <c r="T99" s="1">
        <f t="shared" si="32"/>
        <v>0</v>
      </c>
      <c r="U99" s="1">
        <f t="shared" si="33"/>
        <v>0</v>
      </c>
      <c r="V99" s="4"/>
    </row>
    <row r="100" spans="1:22" x14ac:dyDescent="0.35">
      <c r="A100" s="1">
        <v>99</v>
      </c>
      <c r="B100" s="1">
        <v>6386.1720264839241</v>
      </c>
      <c r="C100" s="1">
        <v>0</v>
      </c>
      <c r="D100" s="1"/>
      <c r="E100" s="1">
        <v>0</v>
      </c>
      <c r="F100" s="1">
        <v>0</v>
      </c>
      <c r="G100" s="4">
        <f t="shared" si="34"/>
        <v>0</v>
      </c>
      <c r="H100" s="4">
        <f t="shared" si="35"/>
        <v>0</v>
      </c>
      <c r="I100" s="4">
        <f t="shared" si="38"/>
        <v>0</v>
      </c>
      <c r="J100" s="4">
        <f t="shared" si="38"/>
        <v>0</v>
      </c>
      <c r="K100" s="4"/>
      <c r="L100" s="4"/>
      <c r="M100" s="4"/>
      <c r="N100" s="4"/>
      <c r="O100" s="4"/>
      <c r="P100" s="4">
        <v>106.389</v>
      </c>
      <c r="Q100" s="1">
        <f t="shared" si="29"/>
        <v>106.389</v>
      </c>
      <c r="R100" s="1">
        <f t="shared" si="30"/>
        <v>2659.7249999999999</v>
      </c>
      <c r="S100" s="1">
        <f t="shared" si="39"/>
        <v>2659.7249999999999</v>
      </c>
      <c r="T100" s="1">
        <f t="shared" si="32"/>
        <v>0</v>
      </c>
      <c r="U100" s="1">
        <f t="shared" si="33"/>
        <v>0</v>
      </c>
      <c r="V100" s="4"/>
    </row>
    <row r="101" spans="1:22" x14ac:dyDescent="0.35">
      <c r="C101" s="4"/>
      <c r="D101" s="4"/>
      <c r="E101" s="4"/>
      <c r="F101" s="4"/>
      <c r="G101" s="4"/>
      <c r="H101" s="4"/>
      <c r="I101" s="4"/>
      <c r="J101" s="4"/>
      <c r="K101" s="4"/>
      <c r="L101" s="4"/>
      <c r="M101" s="4"/>
      <c r="N101" s="4"/>
      <c r="O101" s="4"/>
      <c r="P101" s="4"/>
      <c r="Q101" s="4"/>
      <c r="R101" s="4"/>
      <c r="S101" s="4"/>
      <c r="T101" s="4"/>
      <c r="U101" s="4"/>
      <c r="V101" s="4"/>
    </row>
    <row r="102" spans="1:22" x14ac:dyDescent="0.35">
      <c r="A102" s="1" t="s">
        <v>57</v>
      </c>
      <c r="B102" s="1">
        <f>SUM(B2:B100)</f>
        <v>404431.86611276446</v>
      </c>
      <c r="C102" s="1">
        <f t="shared" ref="C102:S102" si="40">SUM(C2:C100)</f>
        <v>162</v>
      </c>
      <c r="D102" s="1"/>
      <c r="E102" s="1">
        <f t="shared" si="40"/>
        <v>405</v>
      </c>
      <c r="F102" s="1">
        <f t="shared" si="40"/>
        <v>125.40000000000002</v>
      </c>
      <c r="G102" s="1">
        <f t="shared" si="40"/>
        <v>584400</v>
      </c>
      <c r="H102" s="1">
        <f t="shared" si="40"/>
        <v>5293.9999999999991</v>
      </c>
      <c r="I102" s="1"/>
      <c r="J102" s="1">
        <f t="shared" si="40"/>
        <v>132350</v>
      </c>
      <c r="K102" s="1">
        <f t="shared" si="40"/>
        <v>0</v>
      </c>
      <c r="L102" s="1">
        <f t="shared" si="40"/>
        <v>0</v>
      </c>
      <c r="M102" s="1">
        <f t="shared" si="40"/>
        <v>245688.31721330382</v>
      </c>
      <c r="N102" s="1">
        <f t="shared" si="40"/>
        <v>0</v>
      </c>
      <c r="O102" s="1">
        <f t="shared" si="40"/>
        <v>0</v>
      </c>
      <c r="P102" s="1">
        <f t="shared" si="40"/>
        <v>22905.599420000006</v>
      </c>
      <c r="Q102" s="1">
        <f t="shared" si="40"/>
        <v>-561494.40057999943</v>
      </c>
      <c r="R102" s="1">
        <f t="shared" si="40"/>
        <v>572639.98549999995</v>
      </c>
      <c r="S102" s="1">
        <f t="shared" si="40"/>
        <v>-11760.014499999977</v>
      </c>
      <c r="T102" s="1"/>
      <c r="U102" s="1"/>
      <c r="V102" s="4"/>
    </row>
    <row r="103" spans="1:22" x14ac:dyDescent="0.35">
      <c r="C103" s="4"/>
      <c r="D103" s="4"/>
      <c r="E103" s="4"/>
      <c r="F103" s="4"/>
      <c r="G103" s="4"/>
      <c r="H103" s="4"/>
      <c r="I103" s="4"/>
      <c r="J103" s="4"/>
      <c r="K103" s="4"/>
      <c r="L103" s="4"/>
      <c r="M103" s="4"/>
      <c r="N103" s="4"/>
      <c r="O103" s="4"/>
      <c r="P103" s="4"/>
      <c r="Q103" s="4"/>
      <c r="R103" s="4"/>
      <c r="S103" s="4"/>
      <c r="T103" s="4"/>
      <c r="U103" s="4"/>
      <c r="V103" s="4"/>
    </row>
    <row r="104" spans="1:22" x14ac:dyDescent="0.35">
      <c r="C104" s="4"/>
      <c r="D104" s="4"/>
      <c r="E104" s="4"/>
      <c r="F104" s="4"/>
      <c r="G104" s="4"/>
      <c r="H104" s="4"/>
      <c r="I104" s="4"/>
      <c r="J104" s="4"/>
      <c r="K104" s="4"/>
      <c r="L104" s="4"/>
      <c r="M104" s="4"/>
      <c r="N104" s="4"/>
      <c r="O104" s="4"/>
      <c r="P104" s="4"/>
      <c r="Q104" s="4"/>
      <c r="R104" s="4"/>
      <c r="S104" s="4"/>
      <c r="T104" s="4"/>
      <c r="U104" s="4"/>
      <c r="V104" s="4"/>
    </row>
  </sheetData>
  <mergeCells count="2">
    <mergeCell ref="L9:M9"/>
    <mergeCell ref="L20:M20"/>
  </mergeCells>
  <phoneticPr fontId="2" type="noConversion"/>
  <pageMargins left="0.7" right="0.7" top="0.75" bottom="0.75" header="0.3" footer="0.3"/>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3F1A0-A2AF-4487-8B25-4505C037293C}">
  <dimension ref="A1:V44"/>
  <sheetViews>
    <sheetView topLeftCell="A9" zoomScale="110" zoomScaleNormal="110" workbookViewId="0">
      <selection activeCell="T32" sqref="T32"/>
    </sheetView>
  </sheetViews>
  <sheetFormatPr defaultRowHeight="14.5" x14ac:dyDescent="0.35"/>
  <cols>
    <col min="1" max="1" width="25.1796875" bestFit="1" customWidth="1"/>
    <col min="6" max="6" width="5.08984375" customWidth="1"/>
    <col min="7" max="7" width="27.54296875" bestFit="1" customWidth="1"/>
    <col min="9" max="9" width="12.54296875" bestFit="1" customWidth="1"/>
    <col min="10" max="10" width="16.26953125" customWidth="1"/>
    <col min="11" max="11" width="14" customWidth="1"/>
    <col min="12" max="12" width="14.08984375" customWidth="1"/>
    <col min="16" max="16" width="5.1796875" customWidth="1"/>
    <col min="20" max="20" width="25" bestFit="1" customWidth="1"/>
    <col min="21" max="21" width="10" bestFit="1" customWidth="1"/>
  </cols>
  <sheetData>
    <row r="1" spans="1:19" ht="29" x14ac:dyDescent="0.35">
      <c r="A1" s="111" t="s">
        <v>164</v>
      </c>
      <c r="B1" s="111"/>
      <c r="C1" s="111"/>
      <c r="D1" s="111"/>
      <c r="E1" s="111"/>
      <c r="G1" s="21" t="s">
        <v>167</v>
      </c>
      <c r="H1" s="21" t="s">
        <v>168</v>
      </c>
      <c r="I1" s="21" t="s">
        <v>180</v>
      </c>
      <c r="J1" s="25" t="s">
        <v>169</v>
      </c>
      <c r="K1" s="25" t="s">
        <v>171</v>
      </c>
      <c r="L1" s="25" t="s">
        <v>170</v>
      </c>
    </row>
    <row r="2" spans="1:19" x14ac:dyDescent="0.35">
      <c r="A2" s="111"/>
      <c r="B2" s="111"/>
      <c r="C2" s="111"/>
      <c r="D2" s="111"/>
      <c r="E2" s="111"/>
      <c r="G2" s="22" t="s">
        <v>165</v>
      </c>
      <c r="H2" s="22" t="s">
        <v>172</v>
      </c>
      <c r="I2" s="22">
        <v>44</v>
      </c>
      <c r="J2" s="22">
        <v>5</v>
      </c>
      <c r="K2" s="22">
        <v>2</v>
      </c>
      <c r="L2" s="22">
        <v>0</v>
      </c>
    </row>
    <row r="3" spans="1:19" x14ac:dyDescent="0.35">
      <c r="A3" s="111"/>
      <c r="B3" s="111"/>
      <c r="C3" s="111"/>
      <c r="D3" s="111"/>
      <c r="E3" s="111"/>
      <c r="G3" s="22" t="s">
        <v>165</v>
      </c>
      <c r="H3" s="22" t="s">
        <v>173</v>
      </c>
      <c r="I3" s="22">
        <v>16</v>
      </c>
      <c r="J3" s="22">
        <v>14.98</v>
      </c>
      <c r="K3" s="22">
        <v>4</v>
      </c>
      <c r="L3" s="22">
        <v>0</v>
      </c>
    </row>
    <row r="4" spans="1:19" x14ac:dyDescent="0.35">
      <c r="G4" s="22" t="s">
        <v>165</v>
      </c>
      <c r="H4" s="22" t="s">
        <v>174</v>
      </c>
      <c r="I4" s="22">
        <v>32</v>
      </c>
      <c r="J4" s="22">
        <v>40</v>
      </c>
      <c r="K4" s="22">
        <v>10</v>
      </c>
      <c r="L4" s="22">
        <v>14.9</v>
      </c>
    </row>
    <row r="5" spans="1:19" x14ac:dyDescent="0.35">
      <c r="G5" s="22" t="s">
        <v>165</v>
      </c>
      <c r="H5" s="22" t="s">
        <v>175</v>
      </c>
      <c r="I5" s="22">
        <v>2</v>
      </c>
      <c r="J5" s="22">
        <v>11.52</v>
      </c>
      <c r="K5" s="22">
        <v>4</v>
      </c>
      <c r="L5" s="22">
        <v>3.3</v>
      </c>
    </row>
    <row r="6" spans="1:19" x14ac:dyDescent="0.35">
      <c r="G6" s="22" t="s">
        <v>166</v>
      </c>
      <c r="H6" s="22" t="s">
        <v>176</v>
      </c>
      <c r="I6" s="22">
        <v>60</v>
      </c>
      <c r="J6" s="22">
        <v>8.0299999999999994</v>
      </c>
      <c r="K6" s="22">
        <v>0</v>
      </c>
      <c r="L6" s="22">
        <v>0</v>
      </c>
    </row>
    <row r="7" spans="1:19" x14ac:dyDescent="0.35">
      <c r="G7" s="22" t="s">
        <v>166</v>
      </c>
      <c r="H7" s="22" t="s">
        <v>177</v>
      </c>
      <c r="I7" s="22">
        <v>75</v>
      </c>
      <c r="J7" s="22">
        <v>39.24</v>
      </c>
      <c r="K7" s="22">
        <v>0</v>
      </c>
      <c r="L7" s="22">
        <v>0</v>
      </c>
    </row>
    <row r="8" spans="1:19" x14ac:dyDescent="0.35">
      <c r="G8" s="22" t="s">
        <v>166</v>
      </c>
      <c r="H8" s="22" t="s">
        <v>178</v>
      </c>
      <c r="I8" s="22">
        <v>81</v>
      </c>
      <c r="J8" s="22">
        <v>4.71</v>
      </c>
      <c r="K8" s="22">
        <v>0</v>
      </c>
      <c r="L8" s="22">
        <v>0</v>
      </c>
    </row>
    <row r="9" spans="1:19" x14ac:dyDescent="0.35">
      <c r="B9">
        <f>B18+B19+B20</f>
        <v>3553.2919999999999</v>
      </c>
      <c r="C9">
        <f>C18+C19+C20</f>
        <v>6995.57</v>
      </c>
      <c r="D9">
        <f>D18+D19+D20</f>
        <v>17323.120000000003</v>
      </c>
      <c r="E9">
        <f>E18+E19+E20</f>
        <v>7095.85</v>
      </c>
      <c r="G9" s="22" t="s">
        <v>166</v>
      </c>
      <c r="H9" s="22" t="s">
        <v>179</v>
      </c>
      <c r="I9" s="22">
        <v>95</v>
      </c>
      <c r="J9" s="22">
        <v>22.47</v>
      </c>
      <c r="K9" s="22">
        <v>0</v>
      </c>
      <c r="L9" s="22">
        <v>0</v>
      </c>
    </row>
    <row r="10" spans="1:19" x14ac:dyDescent="0.35">
      <c r="D10">
        <f>D9-D16</f>
        <v>-2.9799999999959255</v>
      </c>
      <c r="E10">
        <f>E9-E16</f>
        <v>106.43000000000029</v>
      </c>
    </row>
    <row r="11" spans="1:19" x14ac:dyDescent="0.35">
      <c r="H11" s="2"/>
      <c r="J11" t="s">
        <v>6</v>
      </c>
      <c r="K11" t="s">
        <v>6</v>
      </c>
      <c r="L11">
        <f>M16*0.155</f>
        <v>497.00749999999999</v>
      </c>
      <c r="M11">
        <f>9932.32+N16</f>
        <v>14696.92</v>
      </c>
      <c r="N11">
        <f>O13+O16</f>
        <v>5457.4800000000005</v>
      </c>
      <c r="O11" t="s">
        <v>6</v>
      </c>
    </row>
    <row r="12" spans="1:19" x14ac:dyDescent="0.35">
      <c r="A12" s="112" t="s">
        <v>181</v>
      </c>
      <c r="B12" s="112"/>
      <c r="C12" s="112"/>
    </row>
    <row r="13" spans="1:19" x14ac:dyDescent="0.35">
      <c r="A13" s="112"/>
      <c r="B13" s="112"/>
      <c r="C13" s="112"/>
      <c r="H13">
        <f>H17+H18</f>
        <v>2862.8020000000001</v>
      </c>
      <c r="I13">
        <f t="shared" ref="I13:K13" si="0">I17+I18</f>
        <v>14350.32</v>
      </c>
      <c r="J13">
        <f t="shared" si="0"/>
        <v>1722.7549999999999</v>
      </c>
      <c r="K13">
        <f t="shared" si="0"/>
        <v>6988.66</v>
      </c>
      <c r="L13">
        <f>L16+B18</f>
        <v>1279.201</v>
      </c>
      <c r="M13">
        <f>M16+C18</f>
        <v>5476.9</v>
      </c>
      <c r="N13">
        <f t="shared" ref="N13:O13" si="1">N16+D18</f>
        <v>9932.32</v>
      </c>
      <c r="O13">
        <f t="shared" si="1"/>
        <v>3449.9700000000003</v>
      </c>
    </row>
    <row r="14" spans="1:19" x14ac:dyDescent="0.35">
      <c r="A14" s="110"/>
      <c r="B14" s="110"/>
      <c r="C14" s="110"/>
      <c r="D14" s="110"/>
      <c r="E14" s="110"/>
      <c r="F14" s="110"/>
      <c r="G14" s="113"/>
      <c r="H14" s="113"/>
      <c r="I14" s="113"/>
      <c r="J14" s="113"/>
      <c r="K14" s="113"/>
      <c r="L14" s="113"/>
      <c r="M14" s="113"/>
      <c r="N14" s="113"/>
      <c r="O14" s="113"/>
      <c r="P14" s="113"/>
      <c r="S14" t="s">
        <v>6</v>
      </c>
    </row>
    <row r="15" spans="1:19" x14ac:dyDescent="0.35">
      <c r="A15" s="23" t="s">
        <v>186</v>
      </c>
      <c r="B15" s="23" t="s">
        <v>199</v>
      </c>
      <c r="C15" s="23" t="s">
        <v>200</v>
      </c>
      <c r="D15" s="23" t="s">
        <v>201</v>
      </c>
      <c r="E15" s="23" t="s">
        <v>202</v>
      </c>
      <c r="F15" s="110"/>
      <c r="G15" s="2" t="s">
        <v>192</v>
      </c>
      <c r="H15" s="2" t="s">
        <v>203</v>
      </c>
      <c r="I15" s="2" t="s">
        <v>204</v>
      </c>
      <c r="J15" s="2" t="s">
        <v>205</v>
      </c>
      <c r="K15" s="2" t="s">
        <v>206</v>
      </c>
      <c r="L15" s="26" t="s">
        <v>199</v>
      </c>
      <c r="M15" s="23" t="s">
        <v>200</v>
      </c>
      <c r="N15" s="23" t="s">
        <v>201</v>
      </c>
      <c r="O15" s="23" t="s">
        <v>202</v>
      </c>
      <c r="P15" s="107"/>
    </row>
    <row r="16" spans="1:19" x14ac:dyDescent="0.35">
      <c r="A16" s="15" t="s">
        <v>182</v>
      </c>
      <c r="B16">
        <v>3553.3</v>
      </c>
      <c r="C16">
        <v>6995.57</v>
      </c>
      <c r="D16">
        <v>17326.099999999999</v>
      </c>
      <c r="E16">
        <v>6989.42</v>
      </c>
      <c r="F16" s="110"/>
      <c r="G16" s="2" t="s">
        <v>193</v>
      </c>
      <c r="H16" s="1">
        <v>2862.8</v>
      </c>
      <c r="I16" s="1">
        <v>14350.3</v>
      </c>
      <c r="J16" s="1">
        <v>1722.75</v>
      </c>
      <c r="K16" s="1">
        <v>6988.66</v>
      </c>
      <c r="L16" s="27">
        <v>725.43899999999996</v>
      </c>
      <c r="M16" s="1">
        <v>3206.5</v>
      </c>
      <c r="N16" s="1">
        <v>4764.6000000000004</v>
      </c>
      <c r="O16" s="1">
        <v>2007.51</v>
      </c>
      <c r="P16" s="107"/>
      <c r="R16">
        <f>D17-D18</f>
        <v>9459.7799999999988</v>
      </c>
      <c r="S16">
        <f>E17-E18</f>
        <v>2443.86</v>
      </c>
    </row>
    <row r="17" spans="1:22" x14ac:dyDescent="0.35">
      <c r="A17" s="24" t="s">
        <v>193</v>
      </c>
      <c r="B17">
        <v>1279.2</v>
      </c>
      <c r="C17">
        <v>5476.9</v>
      </c>
      <c r="D17">
        <v>14627.5</v>
      </c>
      <c r="E17">
        <v>3886.32</v>
      </c>
      <c r="F17" s="110"/>
      <c r="G17" s="2" t="s">
        <v>207</v>
      </c>
      <c r="H17" s="1">
        <v>1907.14</v>
      </c>
      <c r="I17" s="1">
        <v>10308.700000000001</v>
      </c>
      <c r="J17" s="1">
        <v>1237.56</v>
      </c>
      <c r="K17" s="1">
        <v>5118.96</v>
      </c>
      <c r="L17" s="27">
        <v>724.80899999999997</v>
      </c>
      <c r="M17" s="1">
        <v>3188.67</v>
      </c>
      <c r="N17" s="1">
        <v>4731.99</v>
      </c>
      <c r="O17" s="1">
        <v>2004.13</v>
      </c>
      <c r="P17" s="107"/>
      <c r="R17">
        <f>R16*0.155</f>
        <v>1466.2658999999999</v>
      </c>
      <c r="S17">
        <f>S16*0.155</f>
        <v>378.79830000000004</v>
      </c>
    </row>
    <row r="18" spans="1:22" ht="15" thickBot="1" x14ac:dyDescent="0.4">
      <c r="A18" s="15" t="s">
        <v>183</v>
      </c>
      <c r="B18">
        <v>553.76199999999994</v>
      </c>
      <c r="C18">
        <v>2270.4</v>
      </c>
      <c r="D18">
        <v>5167.72</v>
      </c>
      <c r="E18">
        <v>1442.46</v>
      </c>
      <c r="F18" s="110"/>
      <c r="G18" s="2" t="s">
        <v>194</v>
      </c>
      <c r="H18" s="1">
        <v>955.66200000000003</v>
      </c>
      <c r="I18" s="1">
        <v>4041.62</v>
      </c>
      <c r="J18" s="1">
        <v>485.19499999999999</v>
      </c>
      <c r="K18" s="1">
        <v>1869.7</v>
      </c>
      <c r="L18" s="27">
        <v>0.629</v>
      </c>
      <c r="M18" s="1">
        <v>17.8308</v>
      </c>
      <c r="N18" s="1">
        <v>32.615000000000002</v>
      </c>
      <c r="O18" s="1">
        <v>3.379</v>
      </c>
      <c r="P18" s="107"/>
    </row>
    <row r="19" spans="1:22" x14ac:dyDescent="0.35">
      <c r="A19" s="15" t="s">
        <v>184</v>
      </c>
      <c r="B19">
        <v>1135.29</v>
      </c>
      <c r="C19">
        <v>1485.71</v>
      </c>
      <c r="D19">
        <v>6319.47</v>
      </c>
      <c r="E19">
        <v>2567.4899999999998</v>
      </c>
      <c r="F19" s="110"/>
      <c r="P19" s="107"/>
      <c r="T19" s="33" t="s">
        <v>210</v>
      </c>
      <c r="U19" s="34">
        <v>12181.643</v>
      </c>
    </row>
    <row r="20" spans="1:22" x14ac:dyDescent="0.35">
      <c r="A20" s="15" t="s">
        <v>185</v>
      </c>
      <c r="B20">
        <v>1864.24</v>
      </c>
      <c r="C20">
        <v>3239.46</v>
      </c>
      <c r="D20">
        <v>5835.93</v>
      </c>
      <c r="E20">
        <v>3085.9</v>
      </c>
      <c r="F20" s="110"/>
      <c r="G20" s="114"/>
      <c r="H20" s="114"/>
      <c r="I20" s="114"/>
      <c r="J20" s="114"/>
      <c r="K20" s="114"/>
      <c r="L20" s="114"/>
      <c r="M20" s="114"/>
      <c r="N20" s="114"/>
      <c r="O20" s="114"/>
      <c r="P20" s="114"/>
      <c r="T20" s="35" t="s">
        <v>217</v>
      </c>
      <c r="U20" s="36">
        <v>78629.760999999999</v>
      </c>
    </row>
    <row r="21" spans="1:22" x14ac:dyDescent="0.35">
      <c r="A21" s="115"/>
      <c r="B21" s="115"/>
      <c r="C21" s="115"/>
      <c r="D21" s="115"/>
      <c r="E21" s="115"/>
      <c r="F21" s="110"/>
      <c r="H21" s="2" t="s">
        <v>203</v>
      </c>
      <c r="I21" s="2" t="s">
        <v>204</v>
      </c>
      <c r="J21" s="2" t="s">
        <v>205</v>
      </c>
      <c r="K21" s="2" t="s">
        <v>206</v>
      </c>
      <c r="L21" s="26" t="s">
        <v>199</v>
      </c>
      <c r="M21" s="23" t="s">
        <v>200</v>
      </c>
      <c r="N21" s="23" t="s">
        <v>201</v>
      </c>
      <c r="O21" s="23" t="s">
        <v>202</v>
      </c>
      <c r="P21" s="116"/>
      <c r="T21" s="35" t="s">
        <v>211</v>
      </c>
      <c r="U21" s="36">
        <v>78285.445999999996</v>
      </c>
    </row>
    <row r="22" spans="1:22" x14ac:dyDescent="0.35">
      <c r="A22" s="15"/>
      <c r="B22" s="23" t="s">
        <v>199</v>
      </c>
      <c r="C22" s="23" t="s">
        <v>200</v>
      </c>
      <c r="D22" s="23" t="s">
        <v>201</v>
      </c>
      <c r="E22" s="23" t="s">
        <v>202</v>
      </c>
      <c r="F22" s="110"/>
      <c r="G22" s="2" t="s">
        <v>195</v>
      </c>
      <c r="H22" s="1">
        <v>383.90899999999999</v>
      </c>
      <c r="I22" s="1">
        <v>1974.09</v>
      </c>
      <c r="J22" s="1">
        <v>236.989</v>
      </c>
      <c r="K22" s="1">
        <v>968.29100000000005</v>
      </c>
      <c r="L22" s="1">
        <v>112.43</v>
      </c>
      <c r="M22" s="1">
        <v>496.70499999999998</v>
      </c>
      <c r="N22" s="1">
        <v>738.07299999999998</v>
      </c>
      <c r="O22" s="1">
        <v>311.14499999999998</v>
      </c>
      <c r="P22" s="116"/>
      <c r="T22" s="35" t="s">
        <v>218</v>
      </c>
      <c r="U22" s="36">
        <v>344.31</v>
      </c>
      <c r="V22" t="s">
        <v>6</v>
      </c>
    </row>
    <row r="23" spans="1:22" x14ac:dyDescent="0.35">
      <c r="A23" s="15" t="s">
        <v>187</v>
      </c>
      <c r="B23">
        <v>269.49299999999999</v>
      </c>
      <c r="C23">
        <v>415.81700000000001</v>
      </c>
      <c r="D23">
        <v>1113.77</v>
      </c>
      <c r="E23">
        <v>522.29200000000003</v>
      </c>
      <c r="F23" s="110"/>
      <c r="G23" s="2" t="s">
        <v>208</v>
      </c>
      <c r="H23" s="1">
        <v>295.60700000000003</v>
      </c>
      <c r="I23" s="1">
        <v>1597.85</v>
      </c>
      <c r="J23" s="1">
        <v>191.821</v>
      </c>
      <c r="K23" s="1">
        <v>793.43899999999996</v>
      </c>
      <c r="L23" s="1">
        <v>112.345</v>
      </c>
      <c r="M23" s="1">
        <v>494.24299999999999</v>
      </c>
      <c r="N23" s="1">
        <v>733.45799999999997</v>
      </c>
      <c r="O23" s="1">
        <v>310.63900000000001</v>
      </c>
      <c r="P23" s="116"/>
      <c r="T23" s="35" t="s">
        <v>212</v>
      </c>
      <c r="U23" s="36">
        <f>U20*0.155</f>
        <v>12187.612955000001</v>
      </c>
    </row>
    <row r="24" spans="1:22" x14ac:dyDescent="0.35">
      <c r="A24" s="15" t="s">
        <v>188</v>
      </c>
      <c r="B24">
        <v>162.18899999999999</v>
      </c>
      <c r="C24">
        <v>281.83300000000003</v>
      </c>
      <c r="D24">
        <v>507.726</v>
      </c>
      <c r="E24">
        <v>268.47300000000001</v>
      </c>
      <c r="F24" s="110"/>
      <c r="G24" s="2" t="s">
        <v>196</v>
      </c>
      <c r="H24" s="1">
        <v>88.301699999999997</v>
      </c>
      <c r="I24" s="1">
        <v>376.24200000000002</v>
      </c>
      <c r="J24" s="1">
        <v>45.167700000000004</v>
      </c>
      <c r="K24" s="1">
        <v>174.852</v>
      </c>
      <c r="L24" s="1">
        <v>8.4796099999999999E-2</v>
      </c>
      <c r="M24" s="1">
        <v>2.4611800000000001</v>
      </c>
      <c r="N24" s="1">
        <v>4.6143299999999998</v>
      </c>
      <c r="O24" s="1">
        <v>0.50558400000000003</v>
      </c>
      <c r="P24" s="116"/>
      <c r="T24" s="35" t="s">
        <v>213</v>
      </c>
      <c r="U24" s="36">
        <f>U23-U19</f>
        <v>5.969955000000482</v>
      </c>
    </row>
    <row r="25" spans="1:22" x14ac:dyDescent="0.35">
      <c r="A25" s="15" t="s">
        <v>189</v>
      </c>
      <c r="B25">
        <v>107.304</v>
      </c>
      <c r="C25">
        <v>133.98400000000001</v>
      </c>
      <c r="D25">
        <v>606.04600000000005</v>
      </c>
      <c r="E25">
        <v>253.81899999999999</v>
      </c>
      <c r="F25" s="110"/>
      <c r="G25" s="2" t="s">
        <v>190</v>
      </c>
      <c r="H25" s="1">
        <v>443.73500000000001</v>
      </c>
      <c r="I25" s="1">
        <v>2224.3000000000002</v>
      </c>
      <c r="J25" s="1">
        <v>267.02600000000001</v>
      </c>
      <c r="K25" s="1">
        <v>1083.24</v>
      </c>
      <c r="L25" s="1">
        <v>112.443</v>
      </c>
      <c r="M25" s="1">
        <v>497.00700000000001</v>
      </c>
      <c r="N25" s="1">
        <v>738.51400000000001</v>
      </c>
      <c r="O25" s="1">
        <v>311.16300000000001</v>
      </c>
      <c r="P25" s="116"/>
      <c r="T25" s="35" t="s">
        <v>214</v>
      </c>
      <c r="U25" s="36">
        <v>30402.157999999999</v>
      </c>
    </row>
    <row r="26" spans="1:22" x14ac:dyDescent="0.35">
      <c r="A26" s="15" t="s">
        <v>190</v>
      </c>
      <c r="B26">
        <v>83.832999999999998</v>
      </c>
      <c r="C26">
        <v>351.91300000000001</v>
      </c>
      <c r="D26">
        <v>800.99</v>
      </c>
      <c r="E26">
        <v>223.58</v>
      </c>
      <c r="F26" s="110"/>
      <c r="G26" s="2" t="s">
        <v>191</v>
      </c>
      <c r="H26" s="1">
        <v>59.825899999999997</v>
      </c>
      <c r="I26" s="1">
        <v>250.209</v>
      </c>
      <c r="J26" s="1">
        <v>30.037500000000001</v>
      </c>
      <c r="K26" s="1">
        <v>114.952</v>
      </c>
      <c r="L26" s="1">
        <v>1.2805800000000001E-2</v>
      </c>
      <c r="M26" s="1">
        <v>0.30259399999999997</v>
      </c>
      <c r="N26" s="1">
        <v>0.44113599999999997</v>
      </c>
      <c r="O26" s="1">
        <v>1.8287899999999999E-2</v>
      </c>
      <c r="P26" s="116"/>
      <c r="T26" s="35" t="s">
        <v>215</v>
      </c>
      <c r="U26" s="36">
        <f>U25+U24</f>
        <v>30408.127955</v>
      </c>
    </row>
    <row r="27" spans="1:22" ht="15" thickBot="1" x14ac:dyDescent="0.4">
      <c r="A27" s="15" t="s">
        <v>191</v>
      </c>
      <c r="B27">
        <v>355.32600000000002</v>
      </c>
      <c r="C27">
        <v>767.72900000000004</v>
      </c>
      <c r="D27">
        <v>1914.77</v>
      </c>
      <c r="E27">
        <v>745.87300000000005</v>
      </c>
      <c r="F27" s="110"/>
      <c r="G27" s="113"/>
      <c r="H27" s="113"/>
      <c r="I27" s="113"/>
      <c r="J27" s="113"/>
      <c r="K27" s="113"/>
      <c r="L27" s="113"/>
      <c r="M27" s="113"/>
      <c r="N27" s="113"/>
      <c r="O27" s="113"/>
      <c r="P27" s="113"/>
      <c r="T27" s="37" t="s">
        <v>216</v>
      </c>
      <c r="U27" s="38">
        <f>U26-U19</f>
        <v>18226.484955</v>
      </c>
    </row>
    <row r="28" spans="1:22" x14ac:dyDescent="0.35">
      <c r="A28" s="110"/>
      <c r="B28" s="110"/>
      <c r="C28" s="110"/>
      <c r="D28" s="110"/>
      <c r="E28" s="110"/>
      <c r="F28" s="110"/>
      <c r="P28" s="1"/>
    </row>
    <row r="29" spans="1:22" x14ac:dyDescent="0.35">
      <c r="A29" s="15" t="s">
        <v>209</v>
      </c>
      <c r="B29">
        <f>B27-L22</f>
        <v>242.89600000000002</v>
      </c>
      <c r="C29">
        <f>C27-M22</f>
        <v>271.02400000000006</v>
      </c>
      <c r="D29">
        <f>D27-R17</f>
        <v>448.50410000000011</v>
      </c>
      <c r="E29">
        <f>E27-S17</f>
        <v>367.07470000000001</v>
      </c>
      <c r="H29">
        <f>H23+H24</f>
        <v>383.90870000000001</v>
      </c>
      <c r="I29">
        <f t="shared" ref="I29:O29" si="2">I23+I24</f>
        <v>1974.0919999999999</v>
      </c>
      <c r="J29">
        <f t="shared" si="2"/>
        <v>236.98869999999999</v>
      </c>
      <c r="K29">
        <f t="shared" si="2"/>
        <v>968.29099999999994</v>
      </c>
      <c r="L29">
        <f t="shared" si="2"/>
        <v>112.4297961</v>
      </c>
      <c r="M29">
        <f t="shared" si="2"/>
        <v>496.70418000000001</v>
      </c>
      <c r="N29">
        <f t="shared" si="2"/>
        <v>738.07232999999997</v>
      </c>
      <c r="O29">
        <f t="shared" si="2"/>
        <v>311.14458400000001</v>
      </c>
    </row>
    <row r="30" spans="1:22" x14ac:dyDescent="0.35">
      <c r="A30" s="15"/>
      <c r="G30" t="s">
        <v>6</v>
      </c>
    </row>
    <row r="31" spans="1:22" x14ac:dyDescent="0.35">
      <c r="H31">
        <f t="shared" ref="H31:O31" si="3">H17+H18</f>
        <v>2862.8020000000001</v>
      </c>
      <c r="I31">
        <f t="shared" si="3"/>
        <v>14350.32</v>
      </c>
      <c r="J31">
        <f t="shared" si="3"/>
        <v>1722.7549999999999</v>
      </c>
      <c r="K31">
        <f t="shared" si="3"/>
        <v>6988.66</v>
      </c>
      <c r="L31">
        <f t="shared" si="3"/>
        <v>725.43799999999999</v>
      </c>
      <c r="M31">
        <f t="shared" si="3"/>
        <v>3206.5008000000003</v>
      </c>
      <c r="N31">
        <f t="shared" si="3"/>
        <v>4764.6049999999996</v>
      </c>
      <c r="O31">
        <f t="shared" si="3"/>
        <v>2007.509</v>
      </c>
    </row>
    <row r="32" spans="1:22" x14ac:dyDescent="0.35">
      <c r="B32">
        <f>B24+B25</f>
        <v>269.49299999999999</v>
      </c>
      <c r="C32">
        <f>C24+C25</f>
        <v>415.81700000000001</v>
      </c>
      <c r="D32">
        <f>D24+D25</f>
        <v>1113.7719999999999</v>
      </c>
      <c r="E32">
        <f>E24+E25</f>
        <v>522.29200000000003</v>
      </c>
      <c r="G32" t="s">
        <v>6</v>
      </c>
    </row>
    <row r="33" spans="1:10" x14ac:dyDescent="0.35">
      <c r="G33" s="2" t="s">
        <v>197</v>
      </c>
      <c r="J33" t="s">
        <v>6</v>
      </c>
    </row>
    <row r="34" spans="1:10" x14ac:dyDescent="0.35">
      <c r="G34" s="2"/>
    </row>
    <row r="37" spans="1:10" x14ac:dyDescent="0.35">
      <c r="H37" s="23"/>
      <c r="I37" s="23"/>
    </row>
    <row r="39" spans="1:10" x14ac:dyDescent="0.35">
      <c r="D39" s="23"/>
      <c r="E39" s="23"/>
    </row>
    <row r="40" spans="1:10" x14ac:dyDescent="0.35">
      <c r="A40" s="15"/>
    </row>
    <row r="41" spans="1:10" x14ac:dyDescent="0.35">
      <c r="A41" s="2"/>
    </row>
    <row r="42" spans="1:10" x14ac:dyDescent="0.35">
      <c r="A42" s="15"/>
    </row>
    <row r="43" spans="1:10" x14ac:dyDescent="0.35">
      <c r="A43" s="15"/>
    </row>
    <row r="44" spans="1:10" x14ac:dyDescent="0.35">
      <c r="A44" s="15"/>
    </row>
  </sheetData>
  <mergeCells count="11">
    <mergeCell ref="G14:P14"/>
    <mergeCell ref="G20:P20"/>
    <mergeCell ref="G27:P27"/>
    <mergeCell ref="P15:P19"/>
    <mergeCell ref="P21:P26"/>
    <mergeCell ref="A1:E3"/>
    <mergeCell ref="A12:C13"/>
    <mergeCell ref="A21:E21"/>
    <mergeCell ref="F15:F27"/>
    <mergeCell ref="A28:F28"/>
    <mergeCell ref="A14:F14"/>
  </mergeCells>
  <phoneticPr fontId="2" type="noConversion"/>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70"/>
  <sheetViews>
    <sheetView topLeftCell="Y1" zoomScale="90" zoomScaleNormal="90" workbookViewId="0">
      <selection activeCell="AC15" sqref="AC15"/>
    </sheetView>
  </sheetViews>
  <sheetFormatPr defaultRowHeight="14.5" x14ac:dyDescent="0.35"/>
  <cols>
    <col min="1" max="1" width="29.81640625" customWidth="1"/>
    <col min="2" max="2" width="24.453125" bestFit="1" customWidth="1"/>
    <col min="3" max="3" width="27" bestFit="1" customWidth="1"/>
    <col min="4" max="4" width="27.1796875" bestFit="1" customWidth="1"/>
    <col min="5" max="6" width="27.1796875" customWidth="1"/>
    <col min="7" max="7" width="29.7265625" bestFit="1" customWidth="1"/>
    <col min="8" max="8" width="38.54296875" bestFit="1" customWidth="1"/>
    <col min="9" max="10" width="38.54296875" customWidth="1"/>
    <col min="11" max="11" width="39.1796875" bestFit="1" customWidth="1"/>
    <col min="12" max="12" width="18" bestFit="1" customWidth="1"/>
    <col min="13" max="13" width="39.54296875" bestFit="1" customWidth="1"/>
    <col min="14" max="15" width="39.54296875" customWidth="1"/>
    <col min="16" max="16" width="39.54296875" bestFit="1" customWidth="1"/>
    <col min="17" max="17" width="39.54296875" customWidth="1"/>
    <col min="18" max="18" width="41" bestFit="1" customWidth="1"/>
    <col min="19" max="19" width="38.453125" bestFit="1" customWidth="1"/>
    <col min="20" max="20" width="38.54296875" bestFit="1" customWidth="1"/>
    <col min="21" max="21" width="51" bestFit="1" customWidth="1"/>
    <col min="22" max="25" width="51" customWidth="1"/>
    <col min="26" max="26" width="45.54296875" bestFit="1" customWidth="1"/>
    <col min="27" max="27" width="25.54296875" bestFit="1" customWidth="1"/>
    <col min="28" max="28" width="25.54296875" customWidth="1"/>
    <col min="30" max="30" width="57.26953125" style="4" bestFit="1" customWidth="1"/>
  </cols>
  <sheetData>
    <row r="1" spans="1:30" x14ac:dyDescent="0.35">
      <c r="A1" s="13" t="s">
        <v>58</v>
      </c>
      <c r="B1" s="13" t="s">
        <v>59</v>
      </c>
      <c r="C1" s="13" t="s">
        <v>60</v>
      </c>
      <c r="D1" s="13" t="s">
        <v>61</v>
      </c>
      <c r="E1" s="13" t="s">
        <v>62</v>
      </c>
      <c r="F1" s="13" t="s">
        <v>63</v>
      </c>
      <c r="G1" s="13" t="s">
        <v>64</v>
      </c>
      <c r="H1" s="13" t="s">
        <v>65</v>
      </c>
      <c r="I1" s="13" t="s">
        <v>66</v>
      </c>
      <c r="J1" s="13" t="s">
        <v>67</v>
      </c>
      <c r="K1" s="13" t="s">
        <v>68</v>
      </c>
      <c r="L1" s="13" t="s">
        <v>69</v>
      </c>
      <c r="M1" s="13" t="s">
        <v>70</v>
      </c>
      <c r="N1" s="13" t="s">
        <v>71</v>
      </c>
      <c r="O1" s="13" t="s">
        <v>72</v>
      </c>
      <c r="P1" s="13" t="s">
        <v>73</v>
      </c>
      <c r="Q1" s="13" t="s">
        <v>74</v>
      </c>
      <c r="R1" s="13" t="s">
        <v>75</v>
      </c>
      <c r="S1" s="13" t="s">
        <v>76</v>
      </c>
      <c r="T1" s="13" t="s">
        <v>77</v>
      </c>
      <c r="U1" s="13" t="s">
        <v>78</v>
      </c>
      <c r="V1" s="13" t="s">
        <v>79</v>
      </c>
      <c r="W1" s="13" t="s">
        <v>80</v>
      </c>
      <c r="X1" s="13" t="s">
        <v>81</v>
      </c>
      <c r="Y1" s="13" t="s">
        <v>82</v>
      </c>
      <c r="Z1" s="13" t="s">
        <v>83</v>
      </c>
      <c r="AA1" s="13" t="s">
        <v>84</v>
      </c>
      <c r="AB1" s="13" t="s">
        <v>85</v>
      </c>
      <c r="AD1" s="13" t="s">
        <v>86</v>
      </c>
    </row>
    <row r="2" spans="1:30" x14ac:dyDescent="0.35">
      <c r="A2" s="1" t="s">
        <v>87</v>
      </c>
      <c r="B2" s="1">
        <v>0.39425256613112558</v>
      </c>
      <c r="C2" s="1">
        <v>69357.89134090225</v>
      </c>
      <c r="D2" s="1">
        <v>69357.891340902206</v>
      </c>
      <c r="E2" s="1">
        <v>60327.014865401987</v>
      </c>
      <c r="F2" s="1">
        <v>9030.8764755002776</v>
      </c>
      <c r="G2" s="1">
        <v>18241.674564097739</v>
      </c>
      <c r="H2" s="1">
        <v>2827.4595574351501</v>
      </c>
      <c r="I2" s="1">
        <v>10886.76574949805</v>
      </c>
      <c r="J2" s="1">
        <v>785.68625336852415</v>
      </c>
      <c r="K2" s="1">
        <v>11672.452002866579</v>
      </c>
      <c r="L2" s="1">
        <v>14499.911560301731</v>
      </c>
      <c r="M2" s="1">
        <v>60327.014887298661</v>
      </c>
      <c r="N2" s="1">
        <v>60327.014865401987</v>
      </c>
      <c r="O2" s="1">
        <v>-2.189667429775E-5</v>
      </c>
      <c r="P2" s="1">
        <v>325863.17666136788</v>
      </c>
      <c r="Q2" s="1">
        <v>325863.17668326461</v>
      </c>
      <c r="R2" s="1">
        <v>386190.19154866663</v>
      </c>
      <c r="S2" s="1">
        <v>10886.765760445929</v>
      </c>
      <c r="T2" s="1">
        <v>50508.792382512023</v>
      </c>
      <c r="U2" s="1">
        <v>61395.558142957947</v>
      </c>
      <c r="V2" s="1">
        <v>10886.76574949805</v>
      </c>
      <c r="W2" s="1">
        <v>50508.792391144838</v>
      </c>
      <c r="X2" s="1">
        <v>61395.558142957947</v>
      </c>
      <c r="Y2" s="1">
        <v>-8.6328200316253992E-6</v>
      </c>
      <c r="Z2" s="1">
        <v>59859.479690043321</v>
      </c>
      <c r="AA2" s="1">
        <v>-1536.078452914626</v>
      </c>
      <c r="AB2" s="1">
        <v>-1536.078452914626</v>
      </c>
    </row>
    <row r="3" spans="1:30" x14ac:dyDescent="0.35">
      <c r="A3" s="1" t="s">
        <v>88</v>
      </c>
      <c r="B3" s="1">
        <v>0.3942525306956341</v>
      </c>
      <c r="C3" s="1">
        <v>69357.89134090225</v>
      </c>
      <c r="D3" s="1">
        <v>69435.213343561394</v>
      </c>
      <c r="E3" s="1">
        <v>61813.36642439523</v>
      </c>
      <c r="F3" s="1">
        <v>7621.8469191661716</v>
      </c>
      <c r="G3" s="1">
        <v>18348.26171426912</v>
      </c>
      <c r="H3" s="1">
        <v>2843.980565711714</v>
      </c>
      <c r="I3" s="1">
        <v>11298.917944566951</v>
      </c>
      <c r="J3" s="1">
        <v>663.10068196745669</v>
      </c>
      <c r="K3" s="1">
        <v>11962.0186265344</v>
      </c>
      <c r="L3" s="1">
        <v>14805.999192246119</v>
      </c>
      <c r="M3" s="1">
        <v>60327.014887288802</v>
      </c>
      <c r="N3" s="1">
        <v>61813.36642439523</v>
      </c>
      <c r="O3" s="1">
        <v>1486.3515371064279</v>
      </c>
      <c r="P3" s="1">
        <v>325756.58951120632</v>
      </c>
      <c r="Q3" s="1">
        <v>324270.23797409987</v>
      </c>
      <c r="R3" s="1">
        <v>386083.60439849523</v>
      </c>
      <c r="S3" s="1">
        <v>10886.765073078919</v>
      </c>
      <c r="T3" s="1">
        <v>50492.271374236967</v>
      </c>
      <c r="U3" s="1">
        <v>61379.036447315913</v>
      </c>
      <c r="V3" s="1">
        <v>11298.917944566951</v>
      </c>
      <c r="W3" s="1">
        <v>49906.27351922942</v>
      </c>
      <c r="X3" s="1">
        <v>61379.036447315892</v>
      </c>
      <c r="Y3" s="1">
        <v>585.99785500755479</v>
      </c>
      <c r="Z3" s="1">
        <v>59842.958681766751</v>
      </c>
      <c r="AA3" s="1">
        <v>-1536.0777655491549</v>
      </c>
      <c r="AB3" s="1">
        <v>-1536.0777655491399</v>
      </c>
    </row>
    <row r="4" spans="1:30" x14ac:dyDescent="0.35">
      <c r="A4" s="1" t="s">
        <v>89</v>
      </c>
      <c r="B4" s="1">
        <v>0.3942524849773491</v>
      </c>
      <c r="C4" s="1">
        <v>69357.89134090225</v>
      </c>
      <c r="D4" s="1">
        <v>69494.806184101923</v>
      </c>
      <c r="E4" s="1">
        <v>62771.60721399037</v>
      </c>
      <c r="F4" s="1">
        <v>6723.1989701115644</v>
      </c>
      <c r="G4" s="1">
        <v>18377.600932779071</v>
      </c>
      <c r="H4" s="1">
        <v>2848.5281445807559</v>
      </c>
      <c r="I4" s="1">
        <v>11565.4564530219</v>
      </c>
      <c r="J4" s="1">
        <v>584.91831039970589</v>
      </c>
      <c r="K4" s="1">
        <v>12150.374763421611</v>
      </c>
      <c r="L4" s="1">
        <v>14998.902908002359</v>
      </c>
      <c r="M4" s="1">
        <v>60327.014887286168</v>
      </c>
      <c r="N4" s="1">
        <v>62771.60721399037</v>
      </c>
      <c r="O4" s="1">
        <v>2444.5923267042022</v>
      </c>
      <c r="P4" s="1">
        <v>325727.25029269903</v>
      </c>
      <c r="Q4" s="1">
        <v>323282.65796599479</v>
      </c>
      <c r="R4" s="1">
        <v>386054.2651799852</v>
      </c>
      <c r="S4" s="1">
        <v>10886.763067991629</v>
      </c>
      <c r="T4" s="1">
        <v>50487.723795368343</v>
      </c>
      <c r="U4" s="1">
        <v>61374.486863359984</v>
      </c>
      <c r="V4" s="1">
        <v>11565.4564530219</v>
      </c>
      <c r="W4" s="1">
        <v>49523.937195808663</v>
      </c>
      <c r="X4" s="1">
        <v>61374.486863359984</v>
      </c>
      <c r="Y4" s="1">
        <v>963.78659955969113</v>
      </c>
      <c r="Z4" s="1">
        <v>59838.411102897713</v>
      </c>
      <c r="AA4" s="1">
        <v>-1536.07576046227</v>
      </c>
      <c r="AB4" s="1">
        <v>-1536.07576046227</v>
      </c>
    </row>
    <row r="5" spans="1:30" x14ac:dyDescent="0.35">
      <c r="A5" s="1" t="s">
        <v>90</v>
      </c>
      <c r="B5" s="1">
        <v>0.39425236006150077</v>
      </c>
      <c r="C5" s="1">
        <v>69357.89134090225</v>
      </c>
      <c r="D5" s="1">
        <v>69490.822344704648</v>
      </c>
      <c r="E5" s="1">
        <v>63803.08128150292</v>
      </c>
      <c r="F5" s="1">
        <v>5687.7410632017336</v>
      </c>
      <c r="G5" s="1">
        <v>18512.639372827001</v>
      </c>
      <c r="H5" s="1">
        <v>2869.4591027881852</v>
      </c>
      <c r="I5" s="1">
        <v>11842.63439356786</v>
      </c>
      <c r="J5" s="1">
        <v>494.83347249855069</v>
      </c>
      <c r="K5" s="1">
        <v>12337.46786606641</v>
      </c>
      <c r="L5" s="1">
        <v>15206.926968854599</v>
      </c>
      <c r="M5" s="1">
        <v>60327.014887273966</v>
      </c>
      <c r="N5" s="1">
        <v>63803.08128150292</v>
      </c>
      <c r="O5" s="1">
        <v>3476.0663942289539</v>
      </c>
      <c r="P5" s="1">
        <v>325592.21185266337</v>
      </c>
      <c r="Q5" s="1">
        <v>322116.14545843442</v>
      </c>
      <c r="R5" s="1">
        <v>385919.22673993732</v>
      </c>
      <c r="S5" s="1">
        <v>10886.75935347345</v>
      </c>
      <c r="T5" s="1">
        <v>50466.792837162808</v>
      </c>
      <c r="U5" s="1">
        <v>61353.55219063627</v>
      </c>
      <c r="V5" s="1">
        <v>11842.63439356786</v>
      </c>
      <c r="W5" s="1">
        <v>49096.345457507567</v>
      </c>
      <c r="X5" s="1">
        <v>61353.552190636263</v>
      </c>
      <c r="Y5" s="1">
        <v>1370.4473796552361</v>
      </c>
      <c r="Z5" s="1">
        <v>59817.480144690278</v>
      </c>
      <c r="AA5" s="1">
        <v>-1536.0720459459919</v>
      </c>
      <c r="AB5" s="1">
        <v>-1536.072045945984</v>
      </c>
    </row>
    <row r="6" spans="1:30" x14ac:dyDescent="0.35">
      <c r="A6" s="1" t="s">
        <v>91</v>
      </c>
      <c r="B6" s="1">
        <v>0.3721590193006733</v>
      </c>
      <c r="C6" s="1">
        <v>101712.88931352569</v>
      </c>
      <c r="D6" s="1">
        <v>101712.88931352569</v>
      </c>
      <c r="E6" s="1">
        <v>73441.212753919739</v>
      </c>
      <c r="F6" s="1">
        <v>28271.676559605949</v>
      </c>
      <c r="G6" s="1">
        <v>28089.359721474291</v>
      </c>
      <c r="H6" s="1">
        <v>4353.8507568285149</v>
      </c>
      <c r="I6" s="1">
        <v>10595.52019160372</v>
      </c>
      <c r="J6" s="1">
        <v>2459.635860685717</v>
      </c>
      <c r="K6" s="1">
        <v>13055.156052289431</v>
      </c>
      <c r="L6" s="1">
        <v>17409.006809117949</v>
      </c>
      <c r="M6" s="1">
        <v>73441.212775750377</v>
      </c>
      <c r="N6" s="1">
        <v>73441.212753919739</v>
      </c>
      <c r="O6" s="1">
        <v>-2.1830637706443671E-5</v>
      </c>
      <c r="P6" s="1">
        <v>302901.29361553967</v>
      </c>
      <c r="Q6" s="1">
        <v>302901.29363737028</v>
      </c>
      <c r="R6" s="1">
        <v>376342.50639128999</v>
      </c>
      <c r="S6" s="1">
        <v>10595.52020251857</v>
      </c>
      <c r="T6" s="1">
        <v>46949.700510408627</v>
      </c>
      <c r="U6" s="1">
        <v>57545.220712927206</v>
      </c>
      <c r="V6" s="1">
        <v>10595.52019160372</v>
      </c>
      <c r="W6" s="1">
        <v>46949.7005185331</v>
      </c>
      <c r="X6" s="1">
        <v>57545.220712927199</v>
      </c>
      <c r="Y6" s="1">
        <v>-8.1244687195383754E-6</v>
      </c>
      <c r="Z6" s="1">
        <v>58333.088490649949</v>
      </c>
      <c r="AA6" s="1">
        <v>787.8677777227349</v>
      </c>
      <c r="AB6" s="1">
        <v>787.86777772274945</v>
      </c>
    </row>
    <row r="7" spans="1:30" x14ac:dyDescent="0.35">
      <c r="A7" s="1" t="s">
        <v>92</v>
      </c>
      <c r="B7" s="1">
        <v>0.37215843199067572</v>
      </c>
      <c r="C7" s="1">
        <v>101712.88931352569</v>
      </c>
      <c r="D7" s="1">
        <v>102136.7176790067</v>
      </c>
      <c r="E7" s="1">
        <v>77475.567513421251</v>
      </c>
      <c r="F7" s="1">
        <v>24661.150165585481</v>
      </c>
      <c r="G7" s="1">
        <v>28858.982691252451</v>
      </c>
      <c r="H7" s="1">
        <v>4473.1423171441302</v>
      </c>
      <c r="I7" s="1">
        <v>11857.7496289672</v>
      </c>
      <c r="J7" s="1">
        <v>2145.5200644059369</v>
      </c>
      <c r="K7" s="1">
        <v>14003.26969337314</v>
      </c>
      <c r="L7" s="1">
        <v>18476.41201051727</v>
      </c>
      <c r="M7" s="1">
        <v>73441.21277568028</v>
      </c>
      <c r="N7" s="1">
        <v>77475.567513421251</v>
      </c>
      <c r="O7" s="1">
        <v>4034.35473774097</v>
      </c>
      <c r="P7" s="1">
        <v>302131.67064583162</v>
      </c>
      <c r="Q7" s="1">
        <v>298097.31590809068</v>
      </c>
      <c r="R7" s="1">
        <v>375572.88342151191</v>
      </c>
      <c r="S7" s="1">
        <v>10595.492940216271</v>
      </c>
      <c r="T7" s="1">
        <v>46830.408950103883</v>
      </c>
      <c r="U7" s="1">
        <v>57425.901890320158</v>
      </c>
      <c r="V7" s="1">
        <v>11857.7496289672</v>
      </c>
      <c r="W7" s="1">
        <v>45328.989816812042</v>
      </c>
      <c r="X7" s="1">
        <v>57425.901890320143</v>
      </c>
      <c r="Y7" s="1">
        <v>1501.4191332918331</v>
      </c>
      <c r="Z7" s="1">
        <v>58213.796930334327</v>
      </c>
      <c r="AA7" s="1">
        <v>787.89504001417663</v>
      </c>
      <c r="AB7" s="1">
        <v>787.89504001419118</v>
      </c>
    </row>
    <row r="8" spans="1:30" x14ac:dyDescent="0.35">
      <c r="A8" s="1" t="s">
        <v>93</v>
      </c>
      <c r="B8" s="1">
        <v>0.37215736272933841</v>
      </c>
      <c r="C8" s="1">
        <v>101712.88931352569</v>
      </c>
      <c r="D8" s="1">
        <v>102307.5738861787</v>
      </c>
      <c r="E8" s="1">
        <v>79230.680588677307</v>
      </c>
      <c r="F8" s="1">
        <v>23076.893297501349</v>
      </c>
      <c r="G8" s="1">
        <v>29231.531831379871</v>
      </c>
      <c r="H8" s="1">
        <v>4530.8874338638798</v>
      </c>
      <c r="I8" s="1">
        <v>12396.752585887491</v>
      </c>
      <c r="J8" s="1">
        <v>2007.6897168826169</v>
      </c>
      <c r="K8" s="1">
        <v>14404.44230277011</v>
      </c>
      <c r="L8" s="1">
        <v>18935.329736633979</v>
      </c>
      <c r="M8" s="1">
        <v>73441.21277564668</v>
      </c>
      <c r="N8" s="1">
        <v>79230.680588677307</v>
      </c>
      <c r="O8" s="1">
        <v>5789.4678130306274</v>
      </c>
      <c r="P8" s="1">
        <v>301759.12150573771</v>
      </c>
      <c r="Q8" s="1">
        <v>295969.65369270713</v>
      </c>
      <c r="R8" s="1">
        <v>375200.33428138442</v>
      </c>
      <c r="S8" s="1">
        <v>10595.4244702579</v>
      </c>
      <c r="T8" s="1">
        <v>46772.66383338935</v>
      </c>
      <c r="U8" s="1">
        <v>57368.088303647251</v>
      </c>
      <c r="V8" s="1">
        <v>12396.752585887491</v>
      </c>
      <c r="W8" s="1">
        <v>44618.070760485483</v>
      </c>
      <c r="X8" s="1">
        <v>57368.088303647251</v>
      </c>
      <c r="Y8" s="1">
        <v>2154.5930729038691</v>
      </c>
      <c r="Z8" s="1">
        <v>58156.051813614577</v>
      </c>
      <c r="AA8" s="1">
        <v>787.96350996733236</v>
      </c>
      <c r="AB8" s="1">
        <v>787.96350996733236</v>
      </c>
    </row>
    <row r="9" spans="1:30" x14ac:dyDescent="0.35">
      <c r="A9" s="1" t="s">
        <v>94</v>
      </c>
      <c r="B9" s="1">
        <v>0.37215432481162258</v>
      </c>
      <c r="C9" s="1">
        <v>101712.88931352569</v>
      </c>
      <c r="D9" s="1">
        <v>102454.30719532679</v>
      </c>
      <c r="E9" s="1">
        <v>81581.328239460272</v>
      </c>
      <c r="F9" s="1">
        <v>20872.978955866551</v>
      </c>
      <c r="G9" s="1">
        <v>30503.50961486252</v>
      </c>
      <c r="H9" s="1">
        <v>4728.0439903036904</v>
      </c>
      <c r="I9" s="1">
        <v>13064.34980221463</v>
      </c>
      <c r="J9" s="1">
        <v>1815.9491691603889</v>
      </c>
      <c r="K9" s="1">
        <v>14880.29897137501</v>
      </c>
      <c r="L9" s="1">
        <v>19608.3429616787</v>
      </c>
      <c r="M9" s="1">
        <v>73441.212775534514</v>
      </c>
      <c r="N9" s="1">
        <v>81581.328239460272</v>
      </c>
      <c r="O9" s="1">
        <v>8140.1154639257584</v>
      </c>
      <c r="P9" s="1">
        <v>300487.14372236718</v>
      </c>
      <c r="Q9" s="1">
        <v>292347.02825844148</v>
      </c>
      <c r="R9" s="1">
        <v>373928.35649790178</v>
      </c>
      <c r="S9" s="1">
        <v>10595.23108658921</v>
      </c>
      <c r="T9" s="1">
        <v>46575.507276966928</v>
      </c>
      <c r="U9" s="1">
        <v>57170.738363556142</v>
      </c>
      <c r="V9" s="1">
        <v>13064.34980221463</v>
      </c>
      <c r="W9" s="1">
        <v>43546.128102600989</v>
      </c>
      <c r="X9" s="1">
        <v>57170.738363556142</v>
      </c>
      <c r="Y9" s="1">
        <v>3029.379174365939</v>
      </c>
      <c r="Z9" s="1">
        <v>57958.89525717478</v>
      </c>
      <c r="AA9" s="1">
        <v>788.1568936186377</v>
      </c>
      <c r="AB9" s="1">
        <v>788.1568936186377</v>
      </c>
    </row>
    <row r="10" spans="1:30" x14ac:dyDescent="0.35">
      <c r="A10" s="1" t="s">
        <v>95</v>
      </c>
      <c r="B10" s="1">
        <v>0.36488542902286381</v>
      </c>
      <c r="C10" s="1">
        <v>119454.094173843</v>
      </c>
      <c r="D10" s="1">
        <v>119454.094173843</v>
      </c>
      <c r="E10" s="1">
        <v>76403.513756967848</v>
      </c>
      <c r="F10" s="1">
        <v>43050.580416875127</v>
      </c>
      <c r="G10" s="1">
        <v>34265.536111157031</v>
      </c>
      <c r="H10" s="1">
        <v>5311.1580972293395</v>
      </c>
      <c r="I10" s="1">
        <v>10052.041461812731</v>
      </c>
      <c r="J10" s="1">
        <v>3745.4004962681352</v>
      </c>
      <c r="K10" s="1">
        <v>13797.44195808087</v>
      </c>
      <c r="L10" s="1">
        <v>19108.600055310209</v>
      </c>
      <c r="M10" s="1">
        <v>76403.51377882158</v>
      </c>
      <c r="N10" s="1">
        <v>76403.513756967848</v>
      </c>
      <c r="O10" s="1">
        <v>-2.1853731595911089E-5</v>
      </c>
      <c r="P10" s="1">
        <v>293762.81622278568</v>
      </c>
      <c r="Q10" s="1">
        <v>293762.81624463951</v>
      </c>
      <c r="R10" s="1">
        <v>370166.33000160719</v>
      </c>
      <c r="S10" s="1">
        <v>10052.041472739131</v>
      </c>
      <c r="T10" s="1">
        <v>45533.236514531767</v>
      </c>
      <c r="U10" s="1">
        <v>55585.277987270907</v>
      </c>
      <c r="V10" s="1">
        <v>10052.041461812731</v>
      </c>
      <c r="W10" s="1">
        <v>45533.236522505882</v>
      </c>
      <c r="X10" s="1">
        <v>55585.277987270907</v>
      </c>
      <c r="Y10" s="1">
        <v>-7.9741082291245305E-6</v>
      </c>
      <c r="Z10" s="1">
        <v>57375.781150249117</v>
      </c>
      <c r="AA10" s="1">
        <v>1790.50316297821</v>
      </c>
      <c r="AB10" s="1">
        <v>1790.503162978217</v>
      </c>
    </row>
    <row r="11" spans="1:30" x14ac:dyDescent="0.35">
      <c r="A11" s="1" t="s">
        <v>96</v>
      </c>
      <c r="B11" s="1">
        <v>0.36488348458908998</v>
      </c>
      <c r="C11" s="1">
        <v>119454.094173843</v>
      </c>
      <c r="D11" s="1">
        <v>119968.8318621775</v>
      </c>
      <c r="E11" s="1">
        <v>81011.491051730467</v>
      </c>
      <c r="F11" s="1">
        <v>38957.340810447073</v>
      </c>
      <c r="G11" s="1">
        <v>36249.272616543982</v>
      </c>
      <c r="H11" s="1">
        <v>5618.6372555643165</v>
      </c>
      <c r="I11" s="1">
        <v>11563.11308749501</v>
      </c>
      <c r="J11" s="1">
        <v>3389.2886505088941</v>
      </c>
      <c r="K11" s="1">
        <v>14952.4017380039</v>
      </c>
      <c r="L11" s="1">
        <v>20571.038993568221</v>
      </c>
      <c r="M11" s="1">
        <v>76403.513778641267</v>
      </c>
      <c r="N11" s="1">
        <v>81011.491051730467</v>
      </c>
      <c r="O11" s="1">
        <v>4607.9772730892</v>
      </c>
      <c r="P11" s="1">
        <v>291779.07971757912</v>
      </c>
      <c r="Q11" s="1">
        <v>287171.10244448978</v>
      </c>
      <c r="R11" s="1">
        <v>368182.5934962203</v>
      </c>
      <c r="S11" s="1">
        <v>10051.974186045991</v>
      </c>
      <c r="T11" s="1">
        <v>45225.757356224742</v>
      </c>
      <c r="U11" s="1">
        <v>55277.73154227074</v>
      </c>
      <c r="V11" s="1">
        <v>11563.11308749501</v>
      </c>
      <c r="W11" s="1">
        <v>43544.382551912619</v>
      </c>
      <c r="X11" s="1">
        <v>55277.731542270732</v>
      </c>
      <c r="Y11" s="1">
        <v>1681.37480431212</v>
      </c>
      <c r="Z11" s="1">
        <v>57068.301991914137</v>
      </c>
      <c r="AA11" s="1">
        <v>1790.570449643405</v>
      </c>
      <c r="AB11" s="1">
        <v>1790.5704496434189</v>
      </c>
    </row>
    <row r="12" spans="1:30" x14ac:dyDescent="0.35">
      <c r="A12" s="1" t="s">
        <v>97</v>
      </c>
      <c r="B12" s="1">
        <v>0.3648806798296978</v>
      </c>
      <c r="C12" s="1">
        <v>119454.094173843</v>
      </c>
      <c r="D12" s="1">
        <v>120226.2584051868</v>
      </c>
      <c r="E12" s="1">
        <v>83071.425131920245</v>
      </c>
      <c r="F12" s="1">
        <v>37154.833273266602</v>
      </c>
      <c r="G12" s="1">
        <v>37079.967963071278</v>
      </c>
      <c r="H12" s="1">
        <v>5747.3950342760481</v>
      </c>
      <c r="I12" s="1">
        <v>12225.47078829668</v>
      </c>
      <c r="J12" s="1">
        <v>3232.4704947741939</v>
      </c>
      <c r="K12" s="1">
        <v>15457.94128307087</v>
      </c>
      <c r="L12" s="1">
        <v>21205.336317346919</v>
      </c>
      <c r="M12" s="1">
        <v>76403.467140401292</v>
      </c>
      <c r="N12" s="1">
        <v>83071.425131920245</v>
      </c>
      <c r="O12" s="1">
        <v>6667.9579915189533</v>
      </c>
      <c r="P12" s="1">
        <v>290948.43100929167</v>
      </c>
      <c r="Q12" s="1">
        <v>284280.47301777278</v>
      </c>
      <c r="R12" s="1">
        <v>367351.89814969298</v>
      </c>
      <c r="S12" s="1">
        <v>10051.79189797115</v>
      </c>
      <c r="T12" s="1">
        <v>45097.006806440208</v>
      </c>
      <c r="U12" s="1">
        <v>55148.798704411347</v>
      </c>
      <c r="V12" s="1">
        <v>12225.47078829668</v>
      </c>
      <c r="W12" s="1">
        <v>42663.997761418912</v>
      </c>
      <c r="X12" s="1">
        <v>55148.798704411362</v>
      </c>
      <c r="Y12" s="1">
        <v>2433.009045021302</v>
      </c>
      <c r="Z12" s="1">
        <v>56939.544213202411</v>
      </c>
      <c r="AA12" s="1">
        <v>1790.7455087910639</v>
      </c>
      <c r="AB12" s="1">
        <v>1790.7455087910489</v>
      </c>
    </row>
    <row r="13" spans="1:30" x14ac:dyDescent="0.35">
      <c r="A13" s="1" t="s">
        <v>98</v>
      </c>
      <c r="B13" s="1">
        <v>0.36487555426564378</v>
      </c>
      <c r="C13" s="1">
        <v>119454.094173843</v>
      </c>
      <c r="D13" s="1">
        <v>120497.18389223549</v>
      </c>
      <c r="E13" s="1">
        <v>85987.604052523879</v>
      </c>
      <c r="F13" s="1">
        <v>34509.579839711623</v>
      </c>
      <c r="G13" s="1">
        <v>39628.846845185231</v>
      </c>
      <c r="H13" s="1">
        <v>6142.4712610037104</v>
      </c>
      <c r="I13" s="1">
        <v>13089.45284491133</v>
      </c>
      <c r="J13" s="1">
        <v>3002.3334460549099</v>
      </c>
      <c r="K13" s="1">
        <v>16091.78629096624</v>
      </c>
      <c r="L13" s="1">
        <v>22234.257551969949</v>
      </c>
      <c r="M13" s="1">
        <v>76403.467140173932</v>
      </c>
      <c r="N13" s="1">
        <v>85987.604052523879</v>
      </c>
      <c r="O13" s="1">
        <v>9584.1369123499462</v>
      </c>
      <c r="P13" s="1">
        <v>288399.55212740513</v>
      </c>
      <c r="Q13" s="1">
        <v>278815.41521505523</v>
      </c>
      <c r="R13" s="1">
        <v>364803.01926757907</v>
      </c>
      <c r="S13" s="1">
        <v>10051.485142035081</v>
      </c>
      <c r="T13" s="1">
        <v>44701.930579747779</v>
      </c>
      <c r="U13" s="1">
        <v>54753.415721782869</v>
      </c>
      <c r="V13" s="1">
        <v>13089.45284491133</v>
      </c>
      <c r="W13" s="1">
        <v>41204.913311696277</v>
      </c>
      <c r="X13" s="1">
        <v>54753.415721782847</v>
      </c>
      <c r="Y13" s="1">
        <v>3497.017268051502</v>
      </c>
      <c r="Z13" s="1">
        <v>56544.46798647476</v>
      </c>
      <c r="AA13" s="1">
        <v>1791.052264691891</v>
      </c>
      <c r="AB13" s="1">
        <v>1791.0522646919051</v>
      </c>
    </row>
    <row r="14" spans="1:30" x14ac:dyDescent="0.35">
      <c r="A14" s="1" t="s">
        <v>99</v>
      </c>
      <c r="B14" s="1">
        <v>0.35756952344491721</v>
      </c>
      <c r="C14" s="1">
        <v>141135.2426493543</v>
      </c>
      <c r="D14" s="1">
        <v>141135.2426493543</v>
      </c>
      <c r="E14" s="1">
        <v>77036.755172212535</v>
      </c>
      <c r="F14" s="1">
        <v>64098.487477141731</v>
      </c>
      <c r="G14" s="1">
        <v>44238.572390645721</v>
      </c>
      <c r="H14" s="1">
        <v>6856.978720550087</v>
      </c>
      <c r="I14" s="1">
        <v>9276.4872822411926</v>
      </c>
      <c r="J14" s="1">
        <v>5576.5684105113314</v>
      </c>
      <c r="K14" s="1">
        <v>14853.055692752519</v>
      </c>
      <c r="L14" s="1">
        <v>21710.034413302608</v>
      </c>
      <c r="M14" s="1">
        <v>77036.75519406228</v>
      </c>
      <c r="N14" s="1">
        <v>77036.755172212535</v>
      </c>
      <c r="O14" s="1">
        <v>-2.184974437113851E-5</v>
      </c>
      <c r="P14" s="1">
        <v>283156.53852805629</v>
      </c>
      <c r="Q14" s="1">
        <v>283156.53854990611</v>
      </c>
      <c r="R14" s="1">
        <v>360193.29372211848</v>
      </c>
      <c r="S14" s="1">
        <v>9276.4872931656046</v>
      </c>
      <c r="T14" s="1">
        <v>43889.26347184871</v>
      </c>
      <c r="U14" s="1">
        <v>53165.750765014338</v>
      </c>
      <c r="V14" s="1">
        <v>9276.4872822411926</v>
      </c>
      <c r="W14" s="1">
        <v>43889.263479661509</v>
      </c>
      <c r="X14" s="1">
        <v>53165.750765014309</v>
      </c>
      <c r="Y14" s="1">
        <v>-7.8128026821812584E-6</v>
      </c>
      <c r="Z14" s="1">
        <v>55829.960526928371</v>
      </c>
      <c r="AA14" s="1">
        <v>2664.2097619140332</v>
      </c>
      <c r="AB14" s="1">
        <v>2664.2097619140618</v>
      </c>
    </row>
    <row r="15" spans="1:30" x14ac:dyDescent="0.35">
      <c r="A15" s="1" t="s">
        <v>100</v>
      </c>
      <c r="B15" s="1">
        <v>0.35755699800898599</v>
      </c>
      <c r="C15" s="1">
        <v>141135.2426493543</v>
      </c>
      <c r="D15" s="1">
        <v>141814.0047574768</v>
      </c>
      <c r="E15" s="1">
        <v>82571.170628872133</v>
      </c>
      <c r="F15" s="1">
        <v>59242.834128604642</v>
      </c>
      <c r="G15" s="1">
        <v>49382.092674675157</v>
      </c>
      <c r="H15" s="1">
        <v>7654.2243645746503</v>
      </c>
      <c r="I15" s="1">
        <v>11216.5222315963</v>
      </c>
      <c r="J15" s="1">
        <v>5154.1265691886038</v>
      </c>
      <c r="K15" s="1">
        <v>16370.6488007849</v>
      </c>
      <c r="L15" s="1">
        <v>24024.87316535955</v>
      </c>
      <c r="M15" s="1">
        <v>77036.755193598467</v>
      </c>
      <c r="N15" s="1">
        <v>82571.170628872133</v>
      </c>
      <c r="O15" s="1">
        <v>5534.4154352736659</v>
      </c>
      <c r="P15" s="1">
        <v>278013.01824449073</v>
      </c>
      <c r="Q15" s="1">
        <v>272478.602809217</v>
      </c>
      <c r="R15" s="1">
        <v>355049.77343808912</v>
      </c>
      <c r="S15" s="1">
        <v>9275.6705152037357</v>
      </c>
      <c r="T15" s="1">
        <v>43092.017827896052</v>
      </c>
      <c r="U15" s="1">
        <v>52367.688343099791</v>
      </c>
      <c r="V15" s="1">
        <v>11216.5222315963</v>
      </c>
      <c r="W15" s="1">
        <v>41113.148859125002</v>
      </c>
      <c r="X15" s="1">
        <v>52367.688343099777</v>
      </c>
      <c r="Y15" s="1">
        <v>1978.868968771048</v>
      </c>
      <c r="Z15" s="1">
        <v>55032.714882903812</v>
      </c>
      <c r="AA15" s="1">
        <v>2665.026539804021</v>
      </c>
      <c r="AB15" s="1">
        <v>2665.0265398040278</v>
      </c>
    </row>
    <row r="16" spans="1:30" x14ac:dyDescent="0.35">
      <c r="A16" s="1" t="s">
        <v>101</v>
      </c>
      <c r="B16" s="1">
        <v>0.35754528665835322</v>
      </c>
      <c r="C16" s="1">
        <v>141135.2426493543</v>
      </c>
      <c r="D16" s="1">
        <v>142133.31753634871</v>
      </c>
      <c r="E16" s="1">
        <v>85089.075387441349</v>
      </c>
      <c r="F16" s="1">
        <v>57044.242148907288</v>
      </c>
      <c r="G16" s="1">
        <v>51679.804724634268</v>
      </c>
      <c r="H16" s="1">
        <v>8010.3697323183114</v>
      </c>
      <c r="I16" s="1">
        <v>12070.61263568566</v>
      </c>
      <c r="J16" s="1">
        <v>4962.8490669549356</v>
      </c>
      <c r="K16" s="1">
        <v>17033.461702640601</v>
      </c>
      <c r="L16" s="1">
        <v>25043.831434958909</v>
      </c>
      <c r="M16" s="1">
        <v>77036.646072665273</v>
      </c>
      <c r="N16" s="1">
        <v>85089.075387441349</v>
      </c>
      <c r="O16" s="1">
        <v>8052.4293147760764</v>
      </c>
      <c r="P16" s="1">
        <v>275715.41531546472</v>
      </c>
      <c r="Q16" s="1">
        <v>267662.98600068857</v>
      </c>
      <c r="R16" s="1">
        <v>352752.06138813001</v>
      </c>
      <c r="S16" s="1">
        <v>9274.8083916097403</v>
      </c>
      <c r="T16" s="1">
        <v>42735.889373897029</v>
      </c>
      <c r="U16" s="1">
        <v>52010.697765506768</v>
      </c>
      <c r="V16" s="1">
        <v>12070.61263568566</v>
      </c>
      <c r="W16" s="1">
        <v>39856.781226249288</v>
      </c>
      <c r="X16" s="1">
        <v>52010.697765506768</v>
      </c>
      <c r="Y16" s="1">
        <v>2879.1081476477389</v>
      </c>
      <c r="Z16" s="1">
        <v>54676.569515160147</v>
      </c>
      <c r="AA16" s="1">
        <v>2665.8717496533791</v>
      </c>
      <c r="AB16" s="1">
        <v>2665.8717496533859</v>
      </c>
    </row>
    <row r="17" spans="1:28" x14ac:dyDescent="0.35">
      <c r="A17" s="1" t="s">
        <v>102</v>
      </c>
      <c r="B17" s="1">
        <v>0.35753214012223961</v>
      </c>
      <c r="C17" s="1">
        <v>141135.2426493543</v>
      </c>
      <c r="D17" s="1">
        <v>142506.30352592861</v>
      </c>
      <c r="E17" s="1">
        <v>88232.612825375865</v>
      </c>
      <c r="F17" s="1">
        <v>54273.690700552797</v>
      </c>
      <c r="G17" s="1">
        <v>56218.972370122727</v>
      </c>
      <c r="H17" s="1">
        <v>8713.9407173690233</v>
      </c>
      <c r="I17" s="1">
        <v>13075.74000558654</v>
      </c>
      <c r="J17" s="1">
        <v>4721.8110909480929</v>
      </c>
      <c r="K17" s="1">
        <v>17797.551096534629</v>
      </c>
      <c r="L17" s="1">
        <v>26511.491813903649</v>
      </c>
      <c r="M17" s="1">
        <v>77036.646072258154</v>
      </c>
      <c r="N17" s="1">
        <v>88232.612825375865</v>
      </c>
      <c r="O17" s="1">
        <v>11195.966753117709</v>
      </c>
      <c r="P17" s="1">
        <v>271176.24767038343</v>
      </c>
      <c r="Q17" s="1">
        <v>259980.28091726571</v>
      </c>
      <c r="R17" s="1">
        <v>348212.89374264161</v>
      </c>
      <c r="S17" s="1">
        <v>9274.0536535843676</v>
      </c>
      <c r="T17" s="1">
        <v>42032.318388909429</v>
      </c>
      <c r="U17" s="1">
        <v>51306.372042493793</v>
      </c>
      <c r="V17" s="1">
        <v>13075.74000558654</v>
      </c>
      <c r="W17" s="1">
        <v>38029.400434929812</v>
      </c>
      <c r="X17" s="1">
        <v>51306.372042493793</v>
      </c>
      <c r="Y17" s="1">
        <v>4002.9179539796169</v>
      </c>
      <c r="Z17" s="1">
        <v>53972.998530109442</v>
      </c>
      <c r="AA17" s="1">
        <v>2666.6264876156488</v>
      </c>
      <c r="AB17" s="1">
        <v>2666.6264876156488</v>
      </c>
    </row>
    <row r="18" spans="1:28" x14ac:dyDescent="0.35">
      <c r="A18" s="1" t="s">
        <v>103</v>
      </c>
      <c r="B18" s="1">
        <v>0.35076679172009623</v>
      </c>
      <c r="C18" s="1">
        <v>169277.1019045061</v>
      </c>
      <c r="D18" s="1">
        <v>169277.1019045061</v>
      </c>
      <c r="E18" s="1">
        <v>76680.790848185556</v>
      </c>
      <c r="F18" s="1">
        <v>92596.311056320512</v>
      </c>
      <c r="G18" s="1">
        <v>54834.1672354939</v>
      </c>
      <c r="H18" s="1">
        <v>8499.2959215015544</v>
      </c>
      <c r="I18" s="1">
        <v>8598.8049704282821</v>
      </c>
      <c r="J18" s="1">
        <v>8055.8790618998837</v>
      </c>
      <c r="K18" s="1">
        <v>16654.684032328161</v>
      </c>
      <c r="L18" s="1">
        <v>25153.979953829719</v>
      </c>
      <c r="M18" s="1">
        <v>76680.790870030512</v>
      </c>
      <c r="N18" s="1">
        <v>76680.790848185556</v>
      </c>
      <c r="O18" s="1">
        <v>-2.184495679102838E-5</v>
      </c>
      <c r="P18" s="1">
        <v>272916.90800723992</v>
      </c>
      <c r="Q18" s="1">
        <v>272916.90802908479</v>
      </c>
      <c r="R18" s="1">
        <v>349597.69887727039</v>
      </c>
      <c r="S18" s="1">
        <v>8598.8049813502803</v>
      </c>
      <c r="T18" s="1">
        <v>42302.120741122177</v>
      </c>
      <c r="U18" s="1">
        <v>50900.925722472457</v>
      </c>
      <c r="V18" s="1">
        <v>8598.8049704282821</v>
      </c>
      <c r="W18" s="1">
        <v>42302.12074878467</v>
      </c>
      <c r="X18" s="1">
        <v>50900.925722472457</v>
      </c>
      <c r="Y18" s="1">
        <v>-7.6624854088531531E-6</v>
      </c>
      <c r="Z18" s="1">
        <v>54187.643325976911</v>
      </c>
      <c r="AA18" s="1">
        <v>3286.7176035044472</v>
      </c>
      <c r="AB18" s="1">
        <v>3286.7176035044472</v>
      </c>
    </row>
    <row r="19" spans="1:28" x14ac:dyDescent="0.35">
      <c r="A19" s="1" t="s">
        <v>104</v>
      </c>
      <c r="B19" s="1">
        <v>0.35074538040684522</v>
      </c>
      <c r="C19" s="1">
        <v>169277.1019045061</v>
      </c>
      <c r="D19" s="1">
        <v>170017.58463185889</v>
      </c>
      <c r="E19" s="1">
        <v>82339.14318975003</v>
      </c>
      <c r="F19" s="1">
        <v>87678.441442108815</v>
      </c>
      <c r="G19" s="1">
        <v>62547.064987046622</v>
      </c>
      <c r="H19" s="1">
        <v>9694.7950729922268</v>
      </c>
      <c r="I19" s="1">
        <v>10748.620035377849</v>
      </c>
      <c r="J19" s="1">
        <v>7628.0244054634659</v>
      </c>
      <c r="K19" s="1">
        <v>18376.644440841319</v>
      </c>
      <c r="L19" s="1">
        <v>28071.439513833539</v>
      </c>
      <c r="M19" s="1">
        <v>76680.647719660788</v>
      </c>
      <c r="N19" s="1">
        <v>82339.14318975003</v>
      </c>
      <c r="O19" s="1">
        <v>5658.4954700892413</v>
      </c>
      <c r="P19" s="1">
        <v>265204.15340605692</v>
      </c>
      <c r="Q19" s="1">
        <v>259545.65793596761</v>
      </c>
      <c r="R19" s="1">
        <v>341884.8011257177</v>
      </c>
      <c r="S19" s="1">
        <v>8597.4637268007373</v>
      </c>
      <c r="T19" s="1">
        <v>41106.643777938807</v>
      </c>
      <c r="U19" s="1">
        <v>49704.107504739557</v>
      </c>
      <c r="V19" s="1">
        <v>10748.620035377849</v>
      </c>
      <c r="W19" s="1">
        <v>39121.952631751963</v>
      </c>
      <c r="X19" s="1">
        <v>49704.107504739557</v>
      </c>
      <c r="Y19" s="1">
        <v>1984.691146186861</v>
      </c>
      <c r="Z19" s="1">
        <v>52992.144174486253</v>
      </c>
      <c r="AA19" s="1">
        <v>3288.0366697466889</v>
      </c>
      <c r="AB19" s="1">
        <v>3288.0366697466889</v>
      </c>
    </row>
    <row r="20" spans="1:28" x14ac:dyDescent="0.35">
      <c r="A20" s="1" t="s">
        <v>105</v>
      </c>
      <c r="B20" s="1">
        <v>0.35070754713923241</v>
      </c>
      <c r="C20" s="1">
        <v>169277.1019045061</v>
      </c>
      <c r="D20" s="1">
        <v>170251.84445950569</v>
      </c>
      <c r="E20" s="1">
        <v>86761.233709770415</v>
      </c>
      <c r="F20" s="1">
        <v>83490.610749735322</v>
      </c>
      <c r="G20" s="1">
        <v>71323.057150813926</v>
      </c>
      <c r="H20" s="1">
        <v>11055.073858376159</v>
      </c>
      <c r="I20" s="1">
        <v>12259.106621674649</v>
      </c>
      <c r="J20" s="1">
        <v>7263.6831352269728</v>
      </c>
      <c r="K20" s="1">
        <v>19522.78975690162</v>
      </c>
      <c r="L20" s="1">
        <v>30577.86361527778</v>
      </c>
      <c r="M20" s="1">
        <v>76680.339965000647</v>
      </c>
      <c r="N20" s="1">
        <v>86761.233709770415</v>
      </c>
      <c r="O20" s="1">
        <v>10080.89374476977</v>
      </c>
      <c r="P20" s="1">
        <v>256428.4689969497</v>
      </c>
      <c r="Q20" s="1">
        <v>246347.57525217999</v>
      </c>
      <c r="R20" s="1">
        <v>333108.80896195042</v>
      </c>
      <c r="S20" s="1">
        <v>8594.9571381228579</v>
      </c>
      <c r="T20" s="1">
        <v>39746.412694527193</v>
      </c>
      <c r="U20" s="1">
        <v>48341.369832650053</v>
      </c>
      <c r="V20" s="1">
        <v>12259.106621674649</v>
      </c>
      <c r="W20" s="1">
        <v>36210.967176327758</v>
      </c>
      <c r="X20" s="1">
        <v>48341.369832650053</v>
      </c>
      <c r="Y20" s="1">
        <v>3535.4455181994358</v>
      </c>
      <c r="Z20" s="1">
        <v>51631.865389102313</v>
      </c>
      <c r="AA20" s="1">
        <v>3290.4955564522611</v>
      </c>
      <c r="AB20" s="1">
        <v>3290.4955564522611</v>
      </c>
    </row>
    <row r="21" spans="1:28" x14ac:dyDescent="0.35">
      <c r="A21" s="1" t="s">
        <v>106</v>
      </c>
      <c r="B21" s="1">
        <v>0.35068296800191873</v>
      </c>
      <c r="C21" s="1">
        <v>169277.1019045061</v>
      </c>
      <c r="D21" s="1">
        <v>170639.3200438685</v>
      </c>
      <c r="E21" s="1">
        <v>90409.620178469748</v>
      </c>
      <c r="F21" s="1">
        <v>80229.69986539871</v>
      </c>
      <c r="G21" s="1">
        <v>78686.5084179119</v>
      </c>
      <c r="H21" s="1">
        <v>12196.408804776351</v>
      </c>
      <c r="I21" s="1">
        <v>13519.622746889119</v>
      </c>
      <c r="J21" s="1">
        <v>6979.9838882896865</v>
      </c>
      <c r="K21" s="1">
        <v>20499.606635178799</v>
      </c>
      <c r="L21" s="1">
        <v>32696.01543995515</v>
      </c>
      <c r="M21" s="1">
        <v>76680.093697281656</v>
      </c>
      <c r="N21" s="1">
        <v>90409.620178469748</v>
      </c>
      <c r="O21" s="1">
        <v>13729.52648118809</v>
      </c>
      <c r="P21" s="1">
        <v>249065.26399757079</v>
      </c>
      <c r="Q21" s="1">
        <v>235335.73751638271</v>
      </c>
      <c r="R21" s="1">
        <v>325745.3576948524</v>
      </c>
      <c r="S21" s="1">
        <v>8593.5566920482906</v>
      </c>
      <c r="T21" s="1">
        <v>38605.115919623473</v>
      </c>
      <c r="U21" s="1">
        <v>47198.672611671747</v>
      </c>
      <c r="V21" s="1">
        <v>13519.622746889119</v>
      </c>
      <c r="W21" s="1">
        <v>33790.404823939483</v>
      </c>
      <c r="X21" s="1">
        <v>47198.672611671747</v>
      </c>
      <c r="Y21" s="1">
        <v>4814.7110956839797</v>
      </c>
      <c r="Z21" s="1">
        <v>50490.530442702118</v>
      </c>
      <c r="AA21" s="1">
        <v>3291.857831030371</v>
      </c>
      <c r="AB21" s="1">
        <v>3291.8578310303642</v>
      </c>
    </row>
    <row r="22" spans="1:28" x14ac:dyDescent="0.35">
      <c r="A22" s="1" t="s">
        <v>107</v>
      </c>
      <c r="B22" s="1">
        <v>0.34703527884405899</v>
      </c>
      <c r="C22" s="1">
        <v>189946.7868918821</v>
      </c>
      <c r="D22" s="1">
        <v>189946.7868918821</v>
      </c>
      <c r="E22" s="1">
        <v>74837.332128866474</v>
      </c>
      <c r="F22" s="1">
        <v>115109.4547630156</v>
      </c>
      <c r="G22" s="1">
        <v>62375.349938117943</v>
      </c>
      <c r="H22" s="1">
        <v>9668.1792404082807</v>
      </c>
      <c r="I22" s="1">
        <v>8124.4083064366441</v>
      </c>
      <c r="J22" s="1">
        <v>10014.522564382351</v>
      </c>
      <c r="K22" s="1">
        <v>18138.930870819</v>
      </c>
      <c r="L22" s="1">
        <v>27807.110111227281</v>
      </c>
      <c r="M22" s="1">
        <v>74837.332150680755</v>
      </c>
      <c r="N22" s="1">
        <v>74837.332128866474</v>
      </c>
      <c r="O22" s="1">
        <v>-2.181428135372698E-5</v>
      </c>
      <c r="P22" s="1">
        <v>267219.18402396562</v>
      </c>
      <c r="Q22" s="1">
        <v>267219.18404577993</v>
      </c>
      <c r="R22" s="1">
        <v>342056.51617464633</v>
      </c>
      <c r="S22" s="1">
        <v>8124.4083173433364</v>
      </c>
      <c r="T22" s="1">
        <v>41418.973523714652</v>
      </c>
      <c r="U22" s="1">
        <v>49543.381841057999</v>
      </c>
      <c r="V22" s="1">
        <v>8124.4083064366441</v>
      </c>
      <c r="W22" s="1">
        <v>41418.973531284981</v>
      </c>
      <c r="X22" s="1">
        <v>49543.381841057992</v>
      </c>
      <c r="Y22" s="1">
        <v>-7.5703252123734007E-6</v>
      </c>
      <c r="Z22" s="1">
        <v>53018.760007070181</v>
      </c>
      <c r="AA22" s="1">
        <v>3475.3781660121822</v>
      </c>
      <c r="AB22" s="1">
        <v>3475.378166012189</v>
      </c>
    </row>
    <row r="23" spans="1:28" x14ac:dyDescent="0.35">
      <c r="A23" s="1" t="s">
        <v>108</v>
      </c>
      <c r="B23" s="1">
        <v>0.34698591321324301</v>
      </c>
      <c r="C23" s="1">
        <v>189946.7868918821</v>
      </c>
      <c r="D23" s="1">
        <v>190750.14389435819</v>
      </c>
      <c r="E23" s="1">
        <v>80879.315732832445</v>
      </c>
      <c r="F23" s="1">
        <v>109870.8281615257</v>
      </c>
      <c r="G23" s="1">
        <v>73635.025318191707</v>
      </c>
      <c r="H23" s="1">
        <v>11413.428924319711</v>
      </c>
      <c r="I23" s="1">
        <v>10447.041523298511</v>
      </c>
      <c r="J23" s="1">
        <v>9558.7620500527391</v>
      </c>
      <c r="K23" s="1">
        <v>20005.803573351241</v>
      </c>
      <c r="L23" s="1">
        <v>31419.232497670961</v>
      </c>
      <c r="M23" s="1">
        <v>74836.844926627091</v>
      </c>
      <c r="N23" s="1">
        <v>80879.315732832445</v>
      </c>
      <c r="O23" s="1">
        <v>6042.4708062053542</v>
      </c>
      <c r="P23" s="1">
        <v>255959.99586794549</v>
      </c>
      <c r="Q23" s="1">
        <v>249917.5250617401</v>
      </c>
      <c r="R23" s="1">
        <v>330796.84079457249</v>
      </c>
      <c r="S23" s="1">
        <v>8121.1662794138801</v>
      </c>
      <c r="T23" s="1">
        <v>39673.799359531542</v>
      </c>
      <c r="U23" s="1">
        <v>47794.965638945418</v>
      </c>
      <c r="V23" s="1">
        <v>10447.041523298511</v>
      </c>
      <c r="W23" s="1">
        <v>37577.147108776007</v>
      </c>
      <c r="X23" s="1">
        <v>47794.965638945418</v>
      </c>
      <c r="Y23" s="1">
        <v>2096.652250755526</v>
      </c>
      <c r="Z23" s="1">
        <v>51273.510323158742</v>
      </c>
      <c r="AA23" s="1">
        <v>3478.5446842133169</v>
      </c>
      <c r="AB23" s="1">
        <v>3478.5446842133242</v>
      </c>
    </row>
    <row r="24" spans="1:28" x14ac:dyDescent="0.35">
      <c r="A24" s="1" t="s">
        <v>109</v>
      </c>
      <c r="B24" s="1">
        <v>0.34692198387171702</v>
      </c>
      <c r="C24" s="1">
        <v>189946.7868918821</v>
      </c>
      <c r="D24" s="1">
        <v>191069.7159864374</v>
      </c>
      <c r="E24" s="1">
        <v>85062.285597337352</v>
      </c>
      <c r="F24" s="1">
        <v>106007.4303891001</v>
      </c>
      <c r="G24" s="1">
        <v>83943.428546436466</v>
      </c>
      <c r="H24" s="1">
        <v>13011.231424697649</v>
      </c>
      <c r="I24" s="1">
        <v>11925.9322488088</v>
      </c>
      <c r="J24" s="1">
        <v>9222.646443851705</v>
      </c>
      <c r="K24" s="1">
        <v>21148.578692660511</v>
      </c>
      <c r="L24" s="1">
        <v>34159.81011735816</v>
      </c>
      <c r="M24" s="1">
        <v>74836.003591702611</v>
      </c>
      <c r="N24" s="1">
        <v>85062.285597337352</v>
      </c>
      <c r="O24" s="1">
        <v>10226.282005634739</v>
      </c>
      <c r="P24" s="1">
        <v>245652.43397462519</v>
      </c>
      <c r="Q24" s="1">
        <v>235426.15196899051</v>
      </c>
      <c r="R24" s="1">
        <v>320488.4375663278</v>
      </c>
      <c r="S24" s="1">
        <v>8116.7458886770601</v>
      </c>
      <c r="T24" s="1">
        <v>38076.127266066913</v>
      </c>
      <c r="U24" s="1">
        <v>46192.873154743967</v>
      </c>
      <c r="V24" s="1">
        <v>11925.9322488088</v>
      </c>
      <c r="W24" s="1">
        <v>34528.405225040457</v>
      </c>
      <c r="X24" s="1">
        <v>46192.873154743967</v>
      </c>
      <c r="Y24" s="1">
        <v>3547.7220410264449</v>
      </c>
      <c r="Z24" s="1">
        <v>49675.707822780809</v>
      </c>
      <c r="AA24" s="1">
        <v>3482.8346680368409</v>
      </c>
      <c r="AB24" s="1">
        <v>3482.8346680368409</v>
      </c>
    </row>
    <row r="25" spans="1:28" x14ac:dyDescent="0.35">
      <c r="A25" s="1" t="s">
        <v>110</v>
      </c>
      <c r="B25" s="1">
        <v>0.34687229169618528</v>
      </c>
      <c r="C25" s="1">
        <v>189946.7868918821</v>
      </c>
      <c r="D25" s="1">
        <v>191404.65330139009</v>
      </c>
      <c r="E25" s="1">
        <v>88743.031635996987</v>
      </c>
      <c r="F25" s="1">
        <v>102661.62166539321</v>
      </c>
      <c r="G25" s="1">
        <v>93563.184248209494</v>
      </c>
      <c r="H25" s="1">
        <v>14502.293558472469</v>
      </c>
      <c r="I25" s="1">
        <v>13212.92541099208</v>
      </c>
      <c r="J25" s="1">
        <v>8931.5610848892029</v>
      </c>
      <c r="K25" s="1">
        <v>22144.48649588128</v>
      </c>
      <c r="L25" s="1">
        <v>36646.780054353752</v>
      </c>
      <c r="M25" s="1">
        <v>74835.098148598627</v>
      </c>
      <c r="N25" s="1">
        <v>88743.031635996987</v>
      </c>
      <c r="O25" s="1">
        <v>13907.933487398361</v>
      </c>
      <c r="P25" s="1">
        <v>236033.58371595619</v>
      </c>
      <c r="Q25" s="1">
        <v>222125.65022855779</v>
      </c>
      <c r="R25" s="1">
        <v>310868.68186455482</v>
      </c>
      <c r="S25" s="1">
        <v>8113.3186632767756</v>
      </c>
      <c r="T25" s="1">
        <v>36585.205475973213</v>
      </c>
      <c r="U25" s="1">
        <v>44698.524139249967</v>
      </c>
      <c r="V25" s="1">
        <v>13212.92541099208</v>
      </c>
      <c r="W25" s="1">
        <v>31760.928714441219</v>
      </c>
      <c r="X25" s="1">
        <v>44698.524139249981</v>
      </c>
      <c r="Y25" s="1">
        <v>4824.2767615319881</v>
      </c>
      <c r="Z25" s="1">
        <v>48184.645689006</v>
      </c>
      <c r="AA25" s="1">
        <v>3486.1215497560261</v>
      </c>
      <c r="AB25" s="1">
        <v>3486.1215497560188</v>
      </c>
    </row>
    <row r="26" spans="1:28" x14ac:dyDescent="0.35">
      <c r="A26" s="1" t="s">
        <v>111</v>
      </c>
      <c r="B26" s="1">
        <v>0.34268842821725448</v>
      </c>
      <c r="C26" s="1">
        <v>216962.10069611139</v>
      </c>
      <c r="D26" s="1">
        <v>216962.10069611139</v>
      </c>
      <c r="E26" s="1">
        <v>75436.775486876053</v>
      </c>
      <c r="F26" s="1">
        <v>141525.32520923531</v>
      </c>
      <c r="G26" s="1">
        <v>66729.763163888667</v>
      </c>
      <c r="H26" s="1">
        <v>10343.11329040274</v>
      </c>
      <c r="I26" s="1">
        <v>8107.3233245848414</v>
      </c>
      <c r="J26" s="1">
        <v>12312.703293203471</v>
      </c>
      <c r="K26" s="1">
        <v>20420.02661778831</v>
      </c>
      <c r="L26" s="1">
        <v>30763.13990819106</v>
      </c>
      <c r="M26" s="1">
        <v>75436.775508661798</v>
      </c>
      <c r="N26" s="1">
        <v>75436.775486876053</v>
      </c>
      <c r="O26" s="1">
        <v>-2.1785745047964159E-5</v>
      </c>
      <c r="P26" s="1">
        <v>262265.32744021382</v>
      </c>
      <c r="Q26" s="1">
        <v>262265.32746199949</v>
      </c>
      <c r="R26" s="1">
        <v>337702.10294887569</v>
      </c>
      <c r="S26" s="1">
        <v>8107.3233354772592</v>
      </c>
      <c r="T26" s="1">
        <v>40651.125753233136</v>
      </c>
      <c r="U26" s="1">
        <v>48758.449088710411</v>
      </c>
      <c r="V26" s="1">
        <v>8107.3233245848414</v>
      </c>
      <c r="W26" s="1">
        <v>40651.125760698873</v>
      </c>
      <c r="X26" s="1">
        <v>48758.449088710397</v>
      </c>
      <c r="Y26" s="1">
        <v>-7.4657227280286727E-6</v>
      </c>
      <c r="Z26" s="1">
        <v>52343.825957075729</v>
      </c>
      <c r="AA26" s="1">
        <v>3585.3768683653179</v>
      </c>
      <c r="AB26" s="1">
        <v>3585.3768683653252</v>
      </c>
    </row>
    <row r="27" spans="1:28" x14ac:dyDescent="0.35">
      <c r="A27" s="1" t="s">
        <v>112</v>
      </c>
      <c r="B27" s="1">
        <v>0.34259262963452691</v>
      </c>
      <c r="C27" s="1">
        <v>216962.10069611139</v>
      </c>
      <c r="D27" s="1">
        <v>217709.738901812</v>
      </c>
      <c r="E27" s="1">
        <v>81517.98855950321</v>
      </c>
      <c r="F27" s="1">
        <v>136191.75034230881</v>
      </c>
      <c r="G27" s="1">
        <v>81494.763094867289</v>
      </c>
      <c r="H27" s="1">
        <v>12631.688279704431</v>
      </c>
      <c r="I27" s="1">
        <v>10320.167020189871</v>
      </c>
      <c r="J27" s="1">
        <v>11848.68227978086</v>
      </c>
      <c r="K27" s="1">
        <v>22168.84929997073</v>
      </c>
      <c r="L27" s="1">
        <v>34800.537579675161</v>
      </c>
      <c r="M27" s="1">
        <v>75432.901415382963</v>
      </c>
      <c r="N27" s="1">
        <v>81517.98855950321</v>
      </c>
      <c r="O27" s="1">
        <v>6085.0871441202471</v>
      </c>
      <c r="P27" s="1">
        <v>247504.20160251399</v>
      </c>
      <c r="Q27" s="1">
        <v>241419.1144583938</v>
      </c>
      <c r="R27" s="1">
        <v>322937.103017897</v>
      </c>
      <c r="S27" s="1">
        <v>8100.4873058715129</v>
      </c>
      <c r="T27" s="1">
        <v>38363.151248389673</v>
      </c>
      <c r="U27" s="1">
        <v>46463.63855426119</v>
      </c>
      <c r="V27" s="1">
        <v>10320.167020189871</v>
      </c>
      <c r="W27" s="1">
        <v>36278.445242130263</v>
      </c>
      <c r="X27" s="1">
        <v>46463.638554261182</v>
      </c>
      <c r="Y27" s="1">
        <v>2084.7060062594092</v>
      </c>
      <c r="Z27" s="1">
        <v>50055.250967774031</v>
      </c>
      <c r="AA27" s="1">
        <v>3591.6124135128412</v>
      </c>
      <c r="AB27" s="1">
        <v>3591.612413512848</v>
      </c>
    </row>
    <row r="28" spans="1:28" x14ac:dyDescent="0.35">
      <c r="A28" s="1" t="s">
        <v>113</v>
      </c>
      <c r="B28" s="1">
        <v>0.34246173912149053</v>
      </c>
      <c r="C28" s="1">
        <v>216962.10069611139</v>
      </c>
      <c r="D28" s="1">
        <v>218068.64772506119</v>
      </c>
      <c r="E28" s="1">
        <v>85454.976488659173</v>
      </c>
      <c r="F28" s="1">
        <v>132613.67123640201</v>
      </c>
      <c r="G28" s="1">
        <v>93740.424022901905</v>
      </c>
      <c r="H28" s="1">
        <v>14529.765723549801</v>
      </c>
      <c r="I28" s="1">
        <v>11680.714408385589</v>
      </c>
      <c r="J28" s="1">
        <v>11537.38939756698</v>
      </c>
      <c r="K28" s="1">
        <v>23218.103805952571</v>
      </c>
      <c r="L28" s="1">
        <v>37747.869529502357</v>
      </c>
      <c r="M28" s="1">
        <v>75430.554588686267</v>
      </c>
      <c r="N28" s="1">
        <v>85454.976488659173</v>
      </c>
      <c r="O28" s="1">
        <v>10024.421899972909</v>
      </c>
      <c r="P28" s="1">
        <v>235260.8875011761</v>
      </c>
      <c r="Q28" s="1">
        <v>225236.46560120321</v>
      </c>
      <c r="R28" s="1">
        <v>310691.44208986242</v>
      </c>
      <c r="S28" s="1">
        <v>8089.9804313718532</v>
      </c>
      <c r="T28" s="1">
        <v>36465.437562682288</v>
      </c>
      <c r="U28" s="1">
        <v>44555.417994054158</v>
      </c>
      <c r="V28" s="1">
        <v>11680.714408385589</v>
      </c>
      <c r="W28" s="1">
        <v>33032.456605130021</v>
      </c>
      <c r="X28" s="1">
        <v>44555.417994054151</v>
      </c>
      <c r="Y28" s="1">
        <v>3432.9809575522781</v>
      </c>
      <c r="Z28" s="1">
        <v>48157.173523928657</v>
      </c>
      <c r="AA28" s="1">
        <v>3601.755529874506</v>
      </c>
      <c r="AB28" s="1">
        <v>3601.7555298745142</v>
      </c>
    </row>
    <row r="29" spans="1:28" x14ac:dyDescent="0.35">
      <c r="A29" s="1" t="s">
        <v>114</v>
      </c>
      <c r="B29" s="1">
        <v>0.34238472434809641</v>
      </c>
      <c r="C29" s="1">
        <v>216962.10069611139</v>
      </c>
      <c r="D29" s="1">
        <v>218670.1774121398</v>
      </c>
      <c r="E29" s="1">
        <v>90633.567688758034</v>
      </c>
      <c r="F29" s="1">
        <v>128036.6097233818</v>
      </c>
      <c r="G29" s="1">
        <v>105060.2679111524</v>
      </c>
      <c r="H29" s="1">
        <v>16284.341526228631</v>
      </c>
      <c r="I29" s="1">
        <v>13505.498525380601</v>
      </c>
      <c r="J29" s="1">
        <v>11139.185045934209</v>
      </c>
      <c r="K29" s="1">
        <v>24644.683571314821</v>
      </c>
      <c r="L29" s="1">
        <v>40929.025097543446</v>
      </c>
      <c r="M29" s="1">
        <v>75428.454855158881</v>
      </c>
      <c r="N29" s="1">
        <v>90633.567688758034</v>
      </c>
      <c r="O29" s="1">
        <v>15205.112833599151</v>
      </c>
      <c r="P29" s="1">
        <v>223943.14334645309</v>
      </c>
      <c r="Q29" s="1">
        <v>208738.0305128539</v>
      </c>
      <c r="R29" s="1">
        <v>299371.59820161189</v>
      </c>
      <c r="S29" s="1">
        <v>8084.894678761143</v>
      </c>
      <c r="T29" s="1">
        <v>34711.187218700223</v>
      </c>
      <c r="U29" s="1">
        <v>42796.081897461358</v>
      </c>
      <c r="V29" s="1">
        <v>13505.498525380601</v>
      </c>
      <c r="W29" s="1">
        <v>29505.18885248667</v>
      </c>
      <c r="X29" s="1">
        <v>42796.081897461358</v>
      </c>
      <c r="Y29" s="1">
        <v>5205.9983662135483</v>
      </c>
      <c r="Z29" s="1">
        <v>46402.59772124984</v>
      </c>
      <c r="AA29" s="1">
        <v>3606.515823788483</v>
      </c>
      <c r="AB29" s="1">
        <v>3606.515823788483</v>
      </c>
    </row>
    <row r="30" spans="1:28" x14ac:dyDescent="0.35">
      <c r="A30" s="1" t="s">
        <v>115</v>
      </c>
      <c r="B30" s="1">
        <v>0.3411591002895471</v>
      </c>
      <c r="C30" s="1">
        <v>230122.94492519111</v>
      </c>
      <c r="D30" s="1">
        <v>230122.94492519111</v>
      </c>
      <c r="E30" s="1">
        <v>73402.433411370803</v>
      </c>
      <c r="F30" s="1">
        <v>156720.5115138203</v>
      </c>
      <c r="G30" s="1">
        <v>70989.660659808898</v>
      </c>
      <c r="H30" s="1">
        <v>11003.397402270381</v>
      </c>
      <c r="I30" s="1">
        <v>7812.2573403365086</v>
      </c>
      <c r="J30" s="1">
        <v>13634.684501702361</v>
      </c>
      <c r="K30" s="1">
        <v>21446.941842038868</v>
      </c>
      <c r="L30" s="1">
        <v>32450.339244309249</v>
      </c>
      <c r="M30" s="1">
        <v>73402.433433158993</v>
      </c>
      <c r="N30" s="1">
        <v>73402.433411370803</v>
      </c>
      <c r="O30" s="1">
        <v>-2.1788189769722521E-5</v>
      </c>
      <c r="P30" s="1">
        <v>260039.77201979639</v>
      </c>
      <c r="Q30" s="1">
        <v>260039.7720415846</v>
      </c>
      <c r="R30" s="1">
        <v>333442.20545295539</v>
      </c>
      <c r="S30" s="1">
        <v>7812.2573512301642</v>
      </c>
      <c r="T30" s="1">
        <v>40306.164663068434</v>
      </c>
      <c r="U30" s="1">
        <v>48118.422014298601</v>
      </c>
      <c r="V30" s="1">
        <v>7812.2573403365086</v>
      </c>
      <c r="W30" s="1">
        <v>40306.164670501668</v>
      </c>
      <c r="X30" s="1">
        <v>48118.422014298587</v>
      </c>
      <c r="Y30" s="1">
        <v>-7.4332392187764497E-6</v>
      </c>
      <c r="Z30" s="1">
        <v>51683.541845208078</v>
      </c>
      <c r="AA30" s="1">
        <v>3565.119830909483</v>
      </c>
      <c r="AB30" s="1">
        <v>3565.1198309094912</v>
      </c>
    </row>
    <row r="31" spans="1:28" x14ac:dyDescent="0.35">
      <c r="A31" s="1" t="s">
        <v>116</v>
      </c>
      <c r="B31" s="1">
        <v>0.34104799905578692</v>
      </c>
      <c r="C31" s="1">
        <v>230122.94492519111</v>
      </c>
      <c r="D31" s="1">
        <v>230924.23165208599</v>
      </c>
      <c r="E31" s="1">
        <v>79538.874500620892</v>
      </c>
      <c r="F31" s="1">
        <v>151385.35715146511</v>
      </c>
      <c r="G31" s="1">
        <v>87707.772240221078</v>
      </c>
      <c r="H31" s="1">
        <v>13594.70469723427</v>
      </c>
      <c r="I31" s="1">
        <v>10070.216476619409</v>
      </c>
      <c r="J31" s="1">
        <v>13170.526072177459</v>
      </c>
      <c r="K31" s="1">
        <v>23240.742548796879</v>
      </c>
      <c r="L31" s="1">
        <v>36835.447246031137</v>
      </c>
      <c r="M31" s="1">
        <v>73397.162704258037</v>
      </c>
      <c r="N31" s="1">
        <v>79538.874500620892</v>
      </c>
      <c r="O31" s="1">
        <v>6141.7117963628552</v>
      </c>
      <c r="P31" s="1">
        <v>243326.93116828511</v>
      </c>
      <c r="Q31" s="1">
        <v>237185.21937192231</v>
      </c>
      <c r="R31" s="1">
        <v>316724.09387254319</v>
      </c>
      <c r="S31" s="1">
        <v>7804.2915863016005</v>
      </c>
      <c r="T31" s="1">
        <v>37715.674331084192</v>
      </c>
      <c r="U31" s="1">
        <v>45519.965917385787</v>
      </c>
      <c r="V31" s="1">
        <v>10070.216476619409</v>
      </c>
      <c r="W31" s="1">
        <v>35621.055812157319</v>
      </c>
      <c r="X31" s="1">
        <v>45519.965917385787</v>
      </c>
      <c r="Y31" s="1">
        <v>2094.618518926874</v>
      </c>
      <c r="Z31" s="1">
        <v>49092.234550244197</v>
      </c>
      <c r="AA31" s="1">
        <v>3572.2686328584018</v>
      </c>
      <c r="AB31" s="1">
        <v>3572.2686328584018</v>
      </c>
    </row>
    <row r="32" spans="1:28" x14ac:dyDescent="0.35">
      <c r="A32" s="1" t="s">
        <v>117</v>
      </c>
      <c r="B32" s="1">
        <v>0.34089056837270448</v>
      </c>
      <c r="C32" s="1">
        <v>230122.94492519111</v>
      </c>
      <c r="D32" s="1">
        <v>231264.08666633299</v>
      </c>
      <c r="E32" s="1">
        <v>83518.660655098924</v>
      </c>
      <c r="F32" s="1">
        <v>147745.42601123411</v>
      </c>
      <c r="G32" s="1">
        <v>101765.04880576429</v>
      </c>
      <c r="H32" s="1">
        <v>15773.582564893461</v>
      </c>
      <c r="I32" s="1">
        <v>11452.28084120257</v>
      </c>
      <c r="J32" s="1">
        <v>12853.852062977359</v>
      </c>
      <c r="K32" s="1">
        <v>24306.132904179929</v>
      </c>
      <c r="L32" s="1">
        <v>40079.715469073388</v>
      </c>
      <c r="M32" s="1">
        <v>73392.420066901206</v>
      </c>
      <c r="N32" s="1">
        <v>83518.660655098924</v>
      </c>
      <c r="O32" s="1">
        <v>10126.240588197719</v>
      </c>
      <c r="P32" s="1">
        <v>229274.3972400988</v>
      </c>
      <c r="Q32" s="1">
        <v>219148.15665190111</v>
      </c>
      <c r="R32" s="1">
        <v>302666.81730699999</v>
      </c>
      <c r="S32" s="1">
        <v>7791.5615089491494</v>
      </c>
      <c r="T32" s="1">
        <v>35537.53157221531</v>
      </c>
      <c r="U32" s="1">
        <v>43329.093081164458</v>
      </c>
      <c r="V32" s="1">
        <v>11452.28084120257</v>
      </c>
      <c r="W32" s="1">
        <v>32085.59166262584</v>
      </c>
      <c r="X32" s="1">
        <v>43329.093081164458</v>
      </c>
      <c r="Y32" s="1">
        <v>3451.9399095894701</v>
      </c>
      <c r="Z32" s="1">
        <v>46913.356682584999</v>
      </c>
      <c r="AA32" s="1">
        <v>3584.263601420535</v>
      </c>
      <c r="AB32" s="1">
        <v>3584.2636014205418</v>
      </c>
    </row>
    <row r="33" spans="1:28" x14ac:dyDescent="0.35">
      <c r="A33" s="1" t="s">
        <v>118</v>
      </c>
      <c r="B33" s="1">
        <v>0.34079733231892789</v>
      </c>
      <c r="C33" s="1">
        <v>230122.94492519111</v>
      </c>
      <c r="D33" s="1">
        <v>231850.19700195239</v>
      </c>
      <c r="E33" s="1">
        <v>88701.111737108324</v>
      </c>
      <c r="F33" s="1">
        <v>143149.08526484409</v>
      </c>
      <c r="G33" s="1">
        <v>114850.12056858921</v>
      </c>
      <c r="H33" s="1">
        <v>17801.76868813132</v>
      </c>
      <c r="I33" s="1">
        <v>13297.297544831161</v>
      </c>
      <c r="J33" s="1">
        <v>12453.970418041439</v>
      </c>
      <c r="K33" s="1">
        <v>25751.2679628726</v>
      </c>
      <c r="L33" s="1">
        <v>43553.036651003917</v>
      </c>
      <c r="M33" s="1">
        <v>73388.741471983725</v>
      </c>
      <c r="N33" s="1">
        <v>88701.111737108324</v>
      </c>
      <c r="O33" s="1">
        <v>15312.3702651246</v>
      </c>
      <c r="P33" s="1">
        <v>216193.0040721914</v>
      </c>
      <c r="Q33" s="1">
        <v>200880.6338070668</v>
      </c>
      <c r="R33" s="1">
        <v>289581.74554417509</v>
      </c>
      <c r="S33" s="1">
        <v>7785.2052284320143</v>
      </c>
      <c r="T33" s="1">
        <v>33509.915631189673</v>
      </c>
      <c r="U33" s="1">
        <v>41295.120859621682</v>
      </c>
      <c r="V33" s="1">
        <v>13297.297544831161</v>
      </c>
      <c r="W33" s="1">
        <v>28291.500693355531</v>
      </c>
      <c r="X33" s="1">
        <v>41295.120859621682</v>
      </c>
      <c r="Y33" s="1">
        <v>5218.414937834139</v>
      </c>
      <c r="Z33" s="1">
        <v>44885.170559347142</v>
      </c>
      <c r="AA33" s="1">
        <v>3590.04969972546</v>
      </c>
      <c r="AB33" s="1">
        <v>3590.04969972546</v>
      </c>
    </row>
    <row r="34" spans="1:28" x14ac:dyDescent="0.35">
      <c r="A34" s="1" t="s">
        <v>119</v>
      </c>
      <c r="B34" s="1">
        <v>0.33779098287005749</v>
      </c>
      <c r="C34" s="1">
        <v>265066.50983855402</v>
      </c>
      <c r="D34" s="1">
        <v>265066.50983855402</v>
      </c>
      <c r="E34" s="1">
        <v>67792.757898517084</v>
      </c>
      <c r="F34" s="1">
        <v>197273.75194003689</v>
      </c>
      <c r="G34" s="1">
        <v>81225.051576446014</v>
      </c>
      <c r="H34" s="1">
        <v>12589.882994349129</v>
      </c>
      <c r="I34" s="1">
        <v>7082.7219056534777</v>
      </c>
      <c r="J34" s="1">
        <v>17162.816418783212</v>
      </c>
      <c r="K34" s="1">
        <v>24245.538324436689</v>
      </c>
      <c r="L34" s="1">
        <v>36835.421318785833</v>
      </c>
      <c r="M34" s="1">
        <v>67792.757920192715</v>
      </c>
      <c r="N34" s="1">
        <v>67792.757898517084</v>
      </c>
      <c r="O34" s="1">
        <v>-2.16756307054311E-5</v>
      </c>
      <c r="P34" s="1">
        <v>255414.05661612551</v>
      </c>
      <c r="Q34" s="1">
        <v>255414.0566378012</v>
      </c>
      <c r="R34" s="1">
        <v>323206.81453631818</v>
      </c>
      <c r="S34" s="1">
        <v>7082.7219164908338</v>
      </c>
      <c r="T34" s="1">
        <v>39589.178775499458</v>
      </c>
      <c r="U34" s="1">
        <v>46671.900691990297</v>
      </c>
      <c r="V34" s="1">
        <v>7082.7219056534777</v>
      </c>
      <c r="W34" s="1">
        <v>39589.178782821291</v>
      </c>
      <c r="X34" s="1">
        <v>46671.900691990289</v>
      </c>
      <c r="Y34" s="1">
        <v>-7.32183260031597E-6</v>
      </c>
      <c r="Z34" s="1">
        <v>50097.056253129333</v>
      </c>
      <c r="AA34" s="1">
        <v>3425.1555611390208</v>
      </c>
      <c r="AB34" s="1">
        <v>3425.1555611390359</v>
      </c>
    </row>
    <row r="35" spans="1:28" x14ac:dyDescent="0.35">
      <c r="A35" s="1" t="s">
        <v>120</v>
      </c>
      <c r="B35" s="1">
        <v>0.33758306450440101</v>
      </c>
      <c r="C35" s="1">
        <v>265066.50983855402</v>
      </c>
      <c r="D35" s="1">
        <v>265649.80461228482</v>
      </c>
      <c r="E35" s="1">
        <v>73911.887437917641</v>
      </c>
      <c r="F35" s="1">
        <v>191737.91717436709</v>
      </c>
      <c r="G35" s="1">
        <v>104402.5975475399</v>
      </c>
      <c r="H35" s="1">
        <v>16182.402619868681</v>
      </c>
      <c r="I35" s="1">
        <v>9317.6223922007594</v>
      </c>
      <c r="J35" s="1">
        <v>16681.198794169941</v>
      </c>
      <c r="K35" s="1">
        <v>25998.8211863707</v>
      </c>
      <c r="L35" s="1">
        <v>42181.223806239374</v>
      </c>
      <c r="M35" s="1">
        <v>67782.544674056902</v>
      </c>
      <c r="N35" s="1">
        <v>73911.887437917641</v>
      </c>
      <c r="O35" s="1">
        <v>6129.3427638607391</v>
      </c>
      <c r="P35" s="1">
        <v>232246.72389116761</v>
      </c>
      <c r="Q35" s="1">
        <v>226117.38112730681</v>
      </c>
      <c r="R35" s="1">
        <v>300029.26856522443</v>
      </c>
      <c r="S35" s="1">
        <v>7068.0850793856007</v>
      </c>
      <c r="T35" s="1">
        <v>35998.242203130962</v>
      </c>
      <c r="U35" s="1">
        <v>43066.327282516562</v>
      </c>
      <c r="V35" s="1">
        <v>9317.6223922007594</v>
      </c>
      <c r="W35" s="1">
        <v>33929.079889508983</v>
      </c>
      <c r="X35" s="1">
        <v>43066.327282516562</v>
      </c>
      <c r="Y35" s="1">
        <v>2069.1623136219828</v>
      </c>
      <c r="Z35" s="1">
        <v>46504.536627609777</v>
      </c>
      <c r="AA35" s="1">
        <v>3438.209345093223</v>
      </c>
      <c r="AB35" s="1">
        <v>3438.209345093223</v>
      </c>
    </row>
    <row r="36" spans="1:28" x14ac:dyDescent="0.35">
      <c r="A36" s="1" t="s">
        <v>121</v>
      </c>
      <c r="B36" s="1">
        <v>0.33735308053529539</v>
      </c>
      <c r="C36" s="1">
        <v>265066.50983855402</v>
      </c>
      <c r="D36" s="1">
        <v>265987.61221008672</v>
      </c>
      <c r="E36" s="1">
        <v>77482.163038807223</v>
      </c>
      <c r="F36" s="1">
        <v>188505.4491712795</v>
      </c>
      <c r="G36" s="1">
        <v>122307.98116633861</v>
      </c>
      <c r="H36" s="1">
        <v>18957.737080782481</v>
      </c>
      <c r="I36" s="1">
        <v>10582.78725430337</v>
      </c>
      <c r="J36" s="1">
        <v>16399.974077901319</v>
      </c>
      <c r="K36" s="1">
        <v>26982.761332204678</v>
      </c>
      <c r="L36" s="1">
        <v>45940.498412987159</v>
      </c>
      <c r="M36" s="1">
        <v>67771.547598333578</v>
      </c>
      <c r="N36" s="1">
        <v>77482.163038807223</v>
      </c>
      <c r="O36" s="1">
        <v>9710.6154404736444</v>
      </c>
      <c r="P36" s="1">
        <v>214352.33734809209</v>
      </c>
      <c r="Q36" s="1">
        <v>204641.72190761851</v>
      </c>
      <c r="R36" s="1">
        <v>282123.88494642568</v>
      </c>
      <c r="S36" s="1">
        <v>7049.9619696164355</v>
      </c>
      <c r="T36" s="1">
        <v>33224.612288954268</v>
      </c>
      <c r="U36" s="1">
        <v>40274.574258570719</v>
      </c>
      <c r="V36" s="1">
        <v>10582.78725430337</v>
      </c>
      <c r="W36" s="1">
        <v>29948.70625621689</v>
      </c>
      <c r="X36" s="1">
        <v>40274.574258570712</v>
      </c>
      <c r="Y36" s="1">
        <v>3275.9060327373891</v>
      </c>
      <c r="Z36" s="1">
        <v>43729.202166695992</v>
      </c>
      <c r="AA36" s="1">
        <v>3454.6279081252719</v>
      </c>
      <c r="AB36" s="1">
        <v>3454.6279081252801</v>
      </c>
    </row>
    <row r="37" spans="1:28" x14ac:dyDescent="0.35">
      <c r="A37" s="1" t="s">
        <v>122</v>
      </c>
      <c r="B37" s="1">
        <v>0.33717358558928961</v>
      </c>
      <c r="C37" s="1">
        <v>265066.50983855402</v>
      </c>
      <c r="D37" s="1">
        <v>266521.43115586077</v>
      </c>
      <c r="E37" s="1">
        <v>82475.753885333179</v>
      </c>
      <c r="F37" s="1">
        <v>184045.6772705277</v>
      </c>
      <c r="G37" s="1">
        <v>141204.1680854155</v>
      </c>
      <c r="H37" s="1">
        <v>21886.646053239401</v>
      </c>
      <c r="I37" s="1">
        <v>12357.339353667459</v>
      </c>
      <c r="J37" s="1">
        <v>16011.973922535901</v>
      </c>
      <c r="K37" s="1">
        <v>28369.313276203371</v>
      </c>
      <c r="L37" s="1">
        <v>50255.959329442761</v>
      </c>
      <c r="M37" s="1">
        <v>67762.531793574992</v>
      </c>
      <c r="N37" s="1">
        <v>82475.753885333179</v>
      </c>
      <c r="O37" s="1">
        <v>14713.222091758191</v>
      </c>
      <c r="P37" s="1">
        <v>195465.1662337739</v>
      </c>
      <c r="Q37" s="1">
        <v>180751.94414201571</v>
      </c>
      <c r="R37" s="1">
        <v>263227.6980273489</v>
      </c>
      <c r="S37" s="1">
        <v>7038.1027767729593</v>
      </c>
      <c r="T37" s="1">
        <v>30297.10076623494</v>
      </c>
      <c r="U37" s="1">
        <v>37335.203543007912</v>
      </c>
      <c r="V37" s="1">
        <v>12357.339353667459</v>
      </c>
      <c r="W37" s="1">
        <v>25336.190917985288</v>
      </c>
      <c r="X37" s="1">
        <v>37335.203543007898</v>
      </c>
      <c r="Y37" s="1">
        <v>4960.9098482496547</v>
      </c>
      <c r="Z37" s="1">
        <v>40800.293194239079</v>
      </c>
      <c r="AA37" s="1">
        <v>3465.089651231166</v>
      </c>
      <c r="AB37" s="1">
        <v>3465.0896512311811</v>
      </c>
    </row>
    <row r="38" spans="1:28" x14ac:dyDescent="0.35">
      <c r="A38" s="1" t="s">
        <v>123</v>
      </c>
      <c r="B38" s="1">
        <v>0.33297473391336158</v>
      </c>
      <c r="C38" s="1">
        <v>318990.49486043182</v>
      </c>
      <c r="D38" s="1">
        <v>318990.49486043182</v>
      </c>
      <c r="E38" s="1">
        <v>56778.876134341452</v>
      </c>
      <c r="F38" s="1">
        <v>262211.61872609041</v>
      </c>
      <c r="G38" s="1">
        <v>98154.963299568233</v>
      </c>
      <c r="H38" s="1">
        <v>15214.01931143308</v>
      </c>
      <c r="I38" s="1">
        <v>5863.4034631841923</v>
      </c>
      <c r="J38" s="1">
        <v>22812.410829169861</v>
      </c>
      <c r="K38" s="1">
        <v>28675.814292354051</v>
      </c>
      <c r="L38" s="1">
        <v>43889.83360378712</v>
      </c>
      <c r="M38" s="1">
        <v>56778.876156014179</v>
      </c>
      <c r="N38" s="1">
        <v>56778.876134341452</v>
      </c>
      <c r="O38" s="1">
        <v>-2.1672727598343041E-5</v>
      </c>
      <c r="P38" s="1">
        <v>249498.02665718191</v>
      </c>
      <c r="Q38" s="1">
        <v>249498.0266788546</v>
      </c>
      <c r="R38" s="1">
        <v>306276.90281319601</v>
      </c>
      <c r="S38" s="1">
        <v>5863.403474020085</v>
      </c>
      <c r="T38" s="1">
        <v>38672.194131863187</v>
      </c>
      <c r="U38" s="1">
        <v>44535.597605883268</v>
      </c>
      <c r="V38" s="1">
        <v>5863.4034631841923</v>
      </c>
      <c r="W38" s="1">
        <v>38672.194139079656</v>
      </c>
      <c r="X38" s="1">
        <v>44535.597605883268</v>
      </c>
      <c r="Y38" s="1">
        <v>-7.2164707052350434E-6</v>
      </c>
      <c r="Z38" s="1">
        <v>47472.919936045379</v>
      </c>
      <c r="AA38" s="1">
        <v>2937.3223301621042</v>
      </c>
      <c r="AB38" s="1">
        <v>2937.3223301621042</v>
      </c>
    </row>
    <row r="39" spans="1:28" x14ac:dyDescent="0.35">
      <c r="A39" s="1" t="s">
        <v>124</v>
      </c>
      <c r="B39" s="1">
        <v>0.3324929860862601</v>
      </c>
      <c r="C39" s="1">
        <v>318990.49486043182</v>
      </c>
      <c r="D39" s="1">
        <v>319467.02240187261</v>
      </c>
      <c r="E39" s="1">
        <v>61842.953721940037</v>
      </c>
      <c r="F39" s="1">
        <v>257624.06867993259</v>
      </c>
      <c r="G39" s="1">
        <v>133555.25103813011</v>
      </c>
      <c r="H39" s="1">
        <v>20701.063910910168</v>
      </c>
      <c r="I39" s="1">
        <v>7679.0824506109002</v>
      </c>
      <c r="J39" s="1">
        <v>22413.293975154131</v>
      </c>
      <c r="K39" s="1">
        <v>30092.376425765029</v>
      </c>
      <c r="L39" s="1">
        <v>50793.440336675187</v>
      </c>
      <c r="M39" s="1">
        <v>56736.875162441429</v>
      </c>
      <c r="N39" s="1">
        <v>61842.953721940037</v>
      </c>
      <c r="O39" s="1">
        <v>5106.0785594986164</v>
      </c>
      <c r="P39" s="1">
        <v>214139.7399121928</v>
      </c>
      <c r="Q39" s="1">
        <v>209033.66135269421</v>
      </c>
      <c r="R39" s="1">
        <v>270876.6150746342</v>
      </c>
      <c r="S39" s="1">
        <v>5828.5467375016033</v>
      </c>
      <c r="T39" s="1">
        <v>33191.659686389867</v>
      </c>
      <c r="U39" s="1">
        <v>39020.206423891483</v>
      </c>
      <c r="V39" s="1">
        <v>7679.0824506109002</v>
      </c>
      <c r="W39" s="1">
        <v>31493.924378951149</v>
      </c>
      <c r="X39" s="1">
        <v>39020.206423891483</v>
      </c>
      <c r="Y39" s="1">
        <v>1697.735307438724</v>
      </c>
      <c r="Z39" s="1">
        <v>41985.875336568301</v>
      </c>
      <c r="AA39" s="1">
        <v>2965.6689126768179</v>
      </c>
      <c r="AB39" s="1">
        <v>2965.6689126768251</v>
      </c>
    </row>
    <row r="40" spans="1:28" x14ac:dyDescent="0.35">
      <c r="A40" s="1" t="s">
        <v>125</v>
      </c>
      <c r="B40" s="1">
        <v>0.33209187910192361</v>
      </c>
      <c r="C40" s="1">
        <v>318990.49486043182</v>
      </c>
      <c r="D40" s="1">
        <v>319805.32923091348</v>
      </c>
      <c r="E40" s="1">
        <v>64782.170186918243</v>
      </c>
      <c r="F40" s="1">
        <v>255023.15904399531</v>
      </c>
      <c r="G40" s="1">
        <v>156348.9415184884</v>
      </c>
      <c r="H40" s="1">
        <v>24234.085935365711</v>
      </c>
      <c r="I40" s="1">
        <v>8719.5565442674815</v>
      </c>
      <c r="J40" s="1">
        <v>22187.014836827591</v>
      </c>
      <c r="K40" s="1">
        <v>30906.571381095069</v>
      </c>
      <c r="L40" s="1">
        <v>55140.657316460783</v>
      </c>
      <c r="M40" s="1">
        <v>56703.547811622899</v>
      </c>
      <c r="N40" s="1">
        <v>64782.170186918243</v>
      </c>
      <c r="O40" s="1">
        <v>8078.6223752953374</v>
      </c>
      <c r="P40" s="1">
        <v>191379.37678265301</v>
      </c>
      <c r="Q40" s="1">
        <v>183300.75440735769</v>
      </c>
      <c r="R40" s="1">
        <v>248082.92459427589</v>
      </c>
      <c r="S40" s="1">
        <v>5796.5811421849967</v>
      </c>
      <c r="T40" s="1">
        <v>29663.803401311208</v>
      </c>
      <c r="U40" s="1">
        <v>35460.384543496213</v>
      </c>
      <c r="V40" s="1">
        <v>8719.5565442674815</v>
      </c>
      <c r="W40" s="1">
        <v>26980.958516144539</v>
      </c>
      <c r="X40" s="1">
        <v>35460.384543496213</v>
      </c>
      <c r="Y40" s="1">
        <v>2682.844885166674</v>
      </c>
      <c r="Z40" s="1">
        <v>38452.853312112769</v>
      </c>
      <c r="AA40" s="1">
        <v>2992.4687686165562</v>
      </c>
      <c r="AB40" s="1">
        <v>2992.468768616563</v>
      </c>
    </row>
    <row r="41" spans="1:28" x14ac:dyDescent="0.35">
      <c r="A41" s="1" t="s">
        <v>126</v>
      </c>
      <c r="B41" s="1">
        <v>0.33172108705514919</v>
      </c>
      <c r="C41" s="1">
        <v>318990.49486043182</v>
      </c>
      <c r="D41" s="1">
        <v>320374.97123898292</v>
      </c>
      <c r="E41" s="1">
        <v>69232.838171779367</v>
      </c>
      <c r="F41" s="1">
        <v>251142.1330672036</v>
      </c>
      <c r="G41" s="1">
        <v>182219.60572071909</v>
      </c>
      <c r="H41" s="1">
        <v>28244.03888671146</v>
      </c>
      <c r="I41" s="1">
        <v>10302.958859642369</v>
      </c>
      <c r="J41" s="1">
        <v>21849.3655768467</v>
      </c>
      <c r="K41" s="1">
        <v>32152.324436489071</v>
      </c>
      <c r="L41" s="1">
        <v>60396.363323200538</v>
      </c>
      <c r="M41" s="1">
        <v>56677.554134080841</v>
      </c>
      <c r="N41" s="1">
        <v>69232.838171779367</v>
      </c>
      <c r="O41" s="1">
        <v>12555.28403769853</v>
      </c>
      <c r="P41" s="1">
        <v>165534.70625796431</v>
      </c>
      <c r="Q41" s="1">
        <v>152979.42222026581</v>
      </c>
      <c r="R41" s="1">
        <v>222212.26039204519</v>
      </c>
      <c r="S41" s="1">
        <v>5771.3549234366619</v>
      </c>
      <c r="T41" s="1">
        <v>25657.879469984469</v>
      </c>
      <c r="U41" s="1">
        <v>31429.234393421139</v>
      </c>
      <c r="V41" s="1">
        <v>10302.958859642369</v>
      </c>
      <c r="W41" s="1">
        <v>21493.027000712951</v>
      </c>
      <c r="X41" s="1">
        <v>31429.234393421131</v>
      </c>
      <c r="Y41" s="1">
        <v>4164.8524692715173</v>
      </c>
      <c r="Z41" s="1">
        <v>34442.900360767009</v>
      </c>
      <c r="AA41" s="1">
        <v>3013.6659673458712</v>
      </c>
      <c r="AB41" s="1">
        <v>3013.6659673458739</v>
      </c>
    </row>
    <row r="43" spans="1:28" x14ac:dyDescent="0.35">
      <c r="A43" s="121" t="s">
        <v>127</v>
      </c>
      <c r="B43" s="13" t="s">
        <v>128</v>
      </c>
      <c r="C43" s="13" t="s">
        <v>129</v>
      </c>
      <c r="D43" s="13" t="s">
        <v>129</v>
      </c>
      <c r="E43" s="13" t="s">
        <v>129</v>
      </c>
      <c r="F43" s="13" t="s">
        <v>129</v>
      </c>
      <c r="G43" s="13" t="s">
        <v>130</v>
      </c>
      <c r="H43" s="13" t="s">
        <v>131</v>
      </c>
      <c r="I43" s="13" t="s">
        <v>129</v>
      </c>
      <c r="J43" s="13" t="s">
        <v>129</v>
      </c>
      <c r="K43" s="13" t="s">
        <v>132</v>
      </c>
      <c r="L43" s="13" t="s">
        <v>133</v>
      </c>
      <c r="M43" s="13" t="s">
        <v>134</v>
      </c>
      <c r="N43" s="13" t="s">
        <v>129</v>
      </c>
      <c r="O43" s="13" t="s">
        <v>129</v>
      </c>
      <c r="P43" s="13" t="s">
        <v>134</v>
      </c>
      <c r="Q43" s="13" t="s">
        <v>129</v>
      </c>
      <c r="R43" s="13" t="s">
        <v>134</v>
      </c>
      <c r="S43" s="13" t="s">
        <v>135</v>
      </c>
      <c r="T43" s="13" t="s">
        <v>136</v>
      </c>
      <c r="U43" s="13" t="s">
        <v>137</v>
      </c>
      <c r="V43" s="13" t="s">
        <v>129</v>
      </c>
      <c r="W43" s="13" t="s">
        <v>129</v>
      </c>
      <c r="X43" s="13" t="s">
        <v>129</v>
      </c>
      <c r="Y43" s="13" t="s">
        <v>129</v>
      </c>
      <c r="Z43" s="13" t="s">
        <v>138</v>
      </c>
      <c r="AA43" s="13" t="s">
        <v>139</v>
      </c>
      <c r="AB43" s="13" t="s">
        <v>139</v>
      </c>
    </row>
    <row r="44" spans="1:28" x14ac:dyDescent="0.35">
      <c r="A44" s="97"/>
      <c r="B44" s="1">
        <f t="shared" ref="B44:AA44" si="0">MIN(B2:B41)</f>
        <v>0.33172108705514919</v>
      </c>
      <c r="C44" s="1">
        <f t="shared" si="0"/>
        <v>69357.89134090225</v>
      </c>
      <c r="D44" s="1">
        <f t="shared" si="0"/>
        <v>69357.891340902206</v>
      </c>
      <c r="E44" s="1">
        <f t="shared" si="0"/>
        <v>56778.876134341452</v>
      </c>
      <c r="F44" s="1">
        <f t="shared" si="0"/>
        <v>5687.7410632017336</v>
      </c>
      <c r="G44" s="1">
        <f t="shared" si="0"/>
        <v>18241.674564097739</v>
      </c>
      <c r="H44" s="1">
        <f t="shared" si="0"/>
        <v>2827.4595574351501</v>
      </c>
      <c r="I44" s="1">
        <f t="shared" si="0"/>
        <v>5863.4034631841923</v>
      </c>
      <c r="J44" s="1">
        <f t="shared" si="0"/>
        <v>494.83347249855069</v>
      </c>
      <c r="K44" s="1">
        <f t="shared" si="0"/>
        <v>11672.452002866579</v>
      </c>
      <c r="L44" s="1">
        <f t="shared" si="0"/>
        <v>14499.911560301731</v>
      </c>
      <c r="M44" s="1">
        <f t="shared" si="0"/>
        <v>56677.554134080841</v>
      </c>
      <c r="N44" s="1">
        <f t="shared" si="0"/>
        <v>56778.876134341452</v>
      </c>
      <c r="O44" s="1">
        <f t="shared" si="0"/>
        <v>-2.189667429775E-5</v>
      </c>
      <c r="P44" s="1">
        <f t="shared" si="0"/>
        <v>165534.70625796431</v>
      </c>
      <c r="Q44" s="1">
        <f t="shared" si="0"/>
        <v>152979.42222026581</v>
      </c>
      <c r="R44" s="1">
        <f t="shared" si="0"/>
        <v>222212.26039204519</v>
      </c>
      <c r="S44" s="1">
        <f t="shared" si="0"/>
        <v>5771.3549234366619</v>
      </c>
      <c r="T44" s="1">
        <f t="shared" si="0"/>
        <v>25657.879469984469</v>
      </c>
      <c r="U44" s="1">
        <f t="shared" si="0"/>
        <v>31429.234393421139</v>
      </c>
      <c r="V44" s="1">
        <f t="shared" si="0"/>
        <v>5863.4034631841923</v>
      </c>
      <c r="W44" s="1">
        <f t="shared" si="0"/>
        <v>21493.027000712951</v>
      </c>
      <c r="X44" s="1">
        <f t="shared" si="0"/>
        <v>31429.234393421131</v>
      </c>
      <c r="Y44" s="1">
        <f t="shared" si="0"/>
        <v>-8.6328200316253992E-6</v>
      </c>
      <c r="Z44" s="1">
        <f t="shared" si="0"/>
        <v>34442.900360767009</v>
      </c>
      <c r="AA44" s="1">
        <f t="shared" si="0"/>
        <v>-1536.078452914626</v>
      </c>
      <c r="AB44" s="1">
        <f t="shared" ref="AB44" si="1">MIN(AB2:AB41)</f>
        <v>-1536.078452914626</v>
      </c>
    </row>
    <row r="45" spans="1:28" x14ac:dyDescent="0.35">
      <c r="A45" s="97"/>
      <c r="B45" s="13" t="s">
        <v>140</v>
      </c>
      <c r="C45" s="13" t="s">
        <v>140</v>
      </c>
      <c r="D45" s="13" t="s">
        <v>140</v>
      </c>
      <c r="E45" s="13" t="s">
        <v>140</v>
      </c>
      <c r="F45" s="13" t="s">
        <v>140</v>
      </c>
      <c r="G45" s="13" t="s">
        <v>140</v>
      </c>
      <c r="H45" s="13" t="s">
        <v>140</v>
      </c>
      <c r="I45" s="13" t="s">
        <v>140</v>
      </c>
      <c r="J45" s="13" t="s">
        <v>140</v>
      </c>
      <c r="K45" s="13" t="s">
        <v>140</v>
      </c>
      <c r="L45" s="13" t="s">
        <v>140</v>
      </c>
      <c r="M45" s="13" t="s">
        <v>140</v>
      </c>
      <c r="N45" s="13" t="s">
        <v>140</v>
      </c>
      <c r="O45" s="13" t="s">
        <v>140</v>
      </c>
      <c r="P45" s="13" t="s">
        <v>140</v>
      </c>
      <c r="Q45" s="13" t="s">
        <v>140</v>
      </c>
      <c r="R45" s="13" t="s">
        <v>140</v>
      </c>
      <c r="S45" s="13" t="s">
        <v>140</v>
      </c>
      <c r="T45" s="13" t="s">
        <v>140</v>
      </c>
      <c r="U45" s="13" t="s">
        <v>140</v>
      </c>
      <c r="V45" s="13" t="s">
        <v>140</v>
      </c>
      <c r="W45" s="13" t="s">
        <v>140</v>
      </c>
      <c r="X45" s="13" t="s">
        <v>140</v>
      </c>
      <c r="Y45" s="13" t="s">
        <v>140</v>
      </c>
      <c r="Z45" s="13" t="s">
        <v>140</v>
      </c>
      <c r="AA45" s="13" t="s">
        <v>140</v>
      </c>
      <c r="AB45" s="13" t="s">
        <v>140</v>
      </c>
    </row>
    <row r="46" spans="1:28" x14ac:dyDescent="0.35">
      <c r="A46" s="97"/>
      <c r="B46" s="1">
        <f t="shared" ref="B46:AA46" si="2">MATCH(B44,B2:B41,0)</f>
        <v>40</v>
      </c>
      <c r="C46" s="1">
        <f t="shared" si="2"/>
        <v>1</v>
      </c>
      <c r="D46" s="1">
        <f t="shared" si="2"/>
        <v>1</v>
      </c>
      <c r="E46" s="1">
        <f t="shared" si="2"/>
        <v>37</v>
      </c>
      <c r="F46" s="1">
        <f t="shared" si="2"/>
        <v>4</v>
      </c>
      <c r="G46" s="1">
        <f t="shared" si="2"/>
        <v>1</v>
      </c>
      <c r="H46" s="1">
        <f t="shared" si="2"/>
        <v>1</v>
      </c>
      <c r="I46" s="1">
        <f t="shared" si="2"/>
        <v>37</v>
      </c>
      <c r="J46" s="1">
        <f t="shared" si="2"/>
        <v>4</v>
      </c>
      <c r="K46" s="1">
        <f t="shared" si="2"/>
        <v>1</v>
      </c>
      <c r="L46" s="1">
        <f t="shared" si="2"/>
        <v>1</v>
      </c>
      <c r="M46" s="1">
        <f t="shared" si="2"/>
        <v>40</v>
      </c>
      <c r="N46" s="1">
        <f t="shared" si="2"/>
        <v>37</v>
      </c>
      <c r="O46" s="1">
        <f t="shared" si="2"/>
        <v>1</v>
      </c>
      <c r="P46" s="1">
        <f t="shared" si="2"/>
        <v>40</v>
      </c>
      <c r="Q46" s="1">
        <f t="shared" si="2"/>
        <v>40</v>
      </c>
      <c r="R46" s="1">
        <f t="shared" si="2"/>
        <v>40</v>
      </c>
      <c r="S46" s="1">
        <f t="shared" si="2"/>
        <v>40</v>
      </c>
      <c r="T46" s="1">
        <f t="shared" si="2"/>
        <v>40</v>
      </c>
      <c r="U46" s="1">
        <f t="shared" si="2"/>
        <v>40</v>
      </c>
      <c r="V46" s="1">
        <f t="shared" si="2"/>
        <v>37</v>
      </c>
      <c r="W46" s="1">
        <f t="shared" si="2"/>
        <v>40</v>
      </c>
      <c r="X46" s="1">
        <f t="shared" si="2"/>
        <v>40</v>
      </c>
      <c r="Y46" s="1">
        <f t="shared" si="2"/>
        <v>1</v>
      </c>
      <c r="Z46" s="1">
        <f t="shared" si="2"/>
        <v>40</v>
      </c>
      <c r="AA46" s="1">
        <f t="shared" si="2"/>
        <v>1</v>
      </c>
      <c r="AB46" s="1">
        <f t="shared" ref="AB46" si="3">MATCH(AB44,AB2:AB41,0)</f>
        <v>1</v>
      </c>
    </row>
    <row r="47" spans="1:28" x14ac:dyDescent="0.35">
      <c r="A47" s="4">
        <v>404431.86611276452</v>
      </c>
      <c r="B47" s="13" t="s">
        <v>141</v>
      </c>
      <c r="C47" s="13" t="s">
        <v>142</v>
      </c>
      <c r="D47" s="13" t="s">
        <v>142</v>
      </c>
      <c r="E47" s="13" t="s">
        <v>142</v>
      </c>
      <c r="F47" s="13" t="s">
        <v>142</v>
      </c>
      <c r="G47" s="13" t="s">
        <v>143</v>
      </c>
      <c r="H47" s="13" t="s">
        <v>144</v>
      </c>
      <c r="I47" s="13" t="s">
        <v>142</v>
      </c>
      <c r="J47" s="13" t="s">
        <v>142</v>
      </c>
      <c r="K47" s="13" t="s">
        <v>145</v>
      </c>
      <c r="L47" s="13" t="s">
        <v>146</v>
      </c>
      <c r="M47" s="13" t="s">
        <v>147</v>
      </c>
      <c r="N47" s="13" t="s">
        <v>142</v>
      </c>
      <c r="O47" s="13" t="s">
        <v>142</v>
      </c>
      <c r="P47" s="13" t="s">
        <v>147</v>
      </c>
      <c r="Q47" s="13" t="s">
        <v>142</v>
      </c>
      <c r="R47" s="13" t="s">
        <v>147</v>
      </c>
      <c r="S47" s="13" t="s">
        <v>148</v>
      </c>
      <c r="T47" s="13" t="s">
        <v>149</v>
      </c>
      <c r="U47" s="13" t="s">
        <v>150</v>
      </c>
      <c r="V47" s="13" t="s">
        <v>142</v>
      </c>
      <c r="W47" s="13" t="s">
        <v>142</v>
      </c>
      <c r="X47" s="13" t="s">
        <v>142</v>
      </c>
      <c r="Y47" s="13" t="s">
        <v>142</v>
      </c>
      <c r="Z47" s="13" t="s">
        <v>151</v>
      </c>
      <c r="AA47" s="13" t="s">
        <v>152</v>
      </c>
      <c r="AB47" s="13" t="s">
        <v>152</v>
      </c>
    </row>
    <row r="48" spans="1:28" x14ac:dyDescent="0.35">
      <c r="A48" s="15" t="s">
        <v>153</v>
      </c>
      <c r="B48" s="1">
        <f t="shared" ref="B48:AA48" si="4">MAX(B2:B41)</f>
        <v>0.39425256613112558</v>
      </c>
      <c r="C48" s="1">
        <f t="shared" si="4"/>
        <v>318990.49486043182</v>
      </c>
      <c r="D48" s="1">
        <f t="shared" si="4"/>
        <v>320374.97123898292</v>
      </c>
      <c r="E48" s="1">
        <f t="shared" si="4"/>
        <v>90633.567688758034</v>
      </c>
      <c r="F48" s="1">
        <f t="shared" si="4"/>
        <v>262211.61872609041</v>
      </c>
      <c r="G48" s="1">
        <f t="shared" si="4"/>
        <v>182219.60572071909</v>
      </c>
      <c r="H48" s="1">
        <f t="shared" si="4"/>
        <v>28244.03888671146</v>
      </c>
      <c r="I48" s="1">
        <f t="shared" si="4"/>
        <v>13519.622746889119</v>
      </c>
      <c r="J48" s="1">
        <f t="shared" si="4"/>
        <v>22812.410829169861</v>
      </c>
      <c r="K48" s="1">
        <f t="shared" si="4"/>
        <v>32152.324436489071</v>
      </c>
      <c r="L48" s="14">
        <f t="shared" si="4"/>
        <v>60396.363323200538</v>
      </c>
      <c r="M48" s="1">
        <f t="shared" si="4"/>
        <v>77036.75519406228</v>
      </c>
      <c r="N48" s="1">
        <f t="shared" si="4"/>
        <v>90633.567688758034</v>
      </c>
      <c r="O48" s="1">
        <f t="shared" si="4"/>
        <v>15312.3702651246</v>
      </c>
      <c r="P48" s="1">
        <f t="shared" si="4"/>
        <v>325863.17666136788</v>
      </c>
      <c r="Q48" s="1">
        <f t="shared" si="4"/>
        <v>325863.17668326461</v>
      </c>
      <c r="R48" s="1">
        <f t="shared" si="4"/>
        <v>386190.19154866663</v>
      </c>
      <c r="S48" s="1">
        <f t="shared" si="4"/>
        <v>10886.765760445929</v>
      </c>
      <c r="T48" s="1">
        <f t="shared" si="4"/>
        <v>50508.792382512023</v>
      </c>
      <c r="U48" s="1">
        <f t="shared" si="4"/>
        <v>61395.558142957947</v>
      </c>
      <c r="V48" s="1">
        <f t="shared" si="4"/>
        <v>13519.622746889119</v>
      </c>
      <c r="W48" s="1">
        <f t="shared" si="4"/>
        <v>50508.792391144838</v>
      </c>
      <c r="X48" s="1">
        <f t="shared" si="4"/>
        <v>61395.558142957947</v>
      </c>
      <c r="Y48" s="1">
        <f t="shared" si="4"/>
        <v>5218.414937834139</v>
      </c>
      <c r="Z48" s="1">
        <f t="shared" si="4"/>
        <v>59859.479690043321</v>
      </c>
      <c r="AA48" s="14">
        <f t="shared" si="4"/>
        <v>3606.515823788483</v>
      </c>
      <c r="AB48" s="14">
        <f t="shared" ref="AB48" si="5">MAX(AB2:AB41)</f>
        <v>3606.515823788483</v>
      </c>
    </row>
    <row r="49" spans="1:28" x14ac:dyDescent="0.35">
      <c r="A49" s="4">
        <v>0.155</v>
      </c>
      <c r="B49" s="13" t="s">
        <v>140</v>
      </c>
      <c r="C49" s="13" t="s">
        <v>140</v>
      </c>
      <c r="D49" s="13" t="s">
        <v>140</v>
      </c>
      <c r="E49" s="13" t="s">
        <v>140</v>
      </c>
      <c r="F49" s="13" t="s">
        <v>140</v>
      </c>
      <c r="G49" s="13" t="s">
        <v>140</v>
      </c>
      <c r="H49" s="13" t="s">
        <v>140</v>
      </c>
      <c r="I49" s="13" t="s">
        <v>140</v>
      </c>
      <c r="J49" s="13" t="s">
        <v>140</v>
      </c>
      <c r="K49" s="13" t="s">
        <v>140</v>
      </c>
      <c r="L49" s="13" t="s">
        <v>140</v>
      </c>
      <c r="M49" s="13" t="s">
        <v>140</v>
      </c>
      <c r="N49" s="13" t="s">
        <v>140</v>
      </c>
      <c r="O49" s="13" t="s">
        <v>140</v>
      </c>
      <c r="P49" s="13" t="s">
        <v>140</v>
      </c>
      <c r="Q49" s="13" t="s">
        <v>140</v>
      </c>
      <c r="R49" s="13" t="s">
        <v>140</v>
      </c>
      <c r="S49" s="13" t="s">
        <v>140</v>
      </c>
      <c r="T49" s="13" t="s">
        <v>140</v>
      </c>
      <c r="U49" s="13" t="s">
        <v>140</v>
      </c>
      <c r="V49" s="13" t="s">
        <v>140</v>
      </c>
      <c r="W49" s="13" t="s">
        <v>140</v>
      </c>
      <c r="X49" s="13" t="s">
        <v>140</v>
      </c>
      <c r="Y49" s="13" t="s">
        <v>140</v>
      </c>
      <c r="Z49" s="13" t="s">
        <v>140</v>
      </c>
      <c r="AA49" s="13" t="s">
        <v>140</v>
      </c>
      <c r="AB49" s="13" t="s">
        <v>140</v>
      </c>
    </row>
    <row r="50" spans="1:28" x14ac:dyDescent="0.35">
      <c r="A50" s="15" t="s">
        <v>154</v>
      </c>
      <c r="B50" s="1">
        <f t="shared" ref="B50:AA50" si="6">MATCH(B48,B2:B41,0)</f>
        <v>1</v>
      </c>
      <c r="C50" s="1">
        <f t="shared" si="6"/>
        <v>37</v>
      </c>
      <c r="D50" s="1">
        <f t="shared" si="6"/>
        <v>40</v>
      </c>
      <c r="E50" s="1">
        <f t="shared" si="6"/>
        <v>28</v>
      </c>
      <c r="F50" s="1">
        <f t="shared" si="6"/>
        <v>37</v>
      </c>
      <c r="G50" s="1">
        <f t="shared" si="6"/>
        <v>40</v>
      </c>
      <c r="H50" s="1">
        <f t="shared" si="6"/>
        <v>40</v>
      </c>
      <c r="I50" s="1">
        <f t="shared" si="6"/>
        <v>20</v>
      </c>
      <c r="J50" s="1">
        <f t="shared" si="6"/>
        <v>37</v>
      </c>
      <c r="K50" s="1">
        <f t="shared" si="6"/>
        <v>40</v>
      </c>
      <c r="L50" s="1">
        <f t="shared" si="6"/>
        <v>40</v>
      </c>
      <c r="M50" s="1">
        <f t="shared" si="6"/>
        <v>13</v>
      </c>
      <c r="N50" s="1">
        <f t="shared" si="6"/>
        <v>28</v>
      </c>
      <c r="O50" s="1">
        <f t="shared" si="6"/>
        <v>32</v>
      </c>
      <c r="P50" s="1">
        <f t="shared" si="6"/>
        <v>1</v>
      </c>
      <c r="Q50" s="1">
        <f t="shared" si="6"/>
        <v>1</v>
      </c>
      <c r="R50" s="1">
        <f t="shared" si="6"/>
        <v>1</v>
      </c>
      <c r="S50" s="1">
        <f t="shared" si="6"/>
        <v>1</v>
      </c>
      <c r="T50" s="1">
        <f t="shared" si="6"/>
        <v>1</v>
      </c>
      <c r="U50" s="1">
        <f t="shared" si="6"/>
        <v>1</v>
      </c>
      <c r="V50" s="1">
        <f t="shared" si="6"/>
        <v>20</v>
      </c>
      <c r="W50" s="1">
        <f t="shared" si="6"/>
        <v>1</v>
      </c>
      <c r="X50" s="1">
        <f t="shared" si="6"/>
        <v>1</v>
      </c>
      <c r="Y50" s="1">
        <f t="shared" si="6"/>
        <v>32</v>
      </c>
      <c r="Z50" s="1">
        <f t="shared" si="6"/>
        <v>1</v>
      </c>
      <c r="AA50" s="1">
        <f t="shared" si="6"/>
        <v>28</v>
      </c>
      <c r="AB50" s="1">
        <f t="shared" ref="AB50" si="7">MATCH(AB48,AB2:AB41,0)</f>
        <v>28</v>
      </c>
    </row>
    <row r="51" spans="1:28" x14ac:dyDescent="0.35">
      <c r="A51" s="4">
        <f>A47*A49</f>
        <v>62686.939247478498</v>
      </c>
      <c r="AA51" s="1" t="s">
        <v>155</v>
      </c>
      <c r="AB51" s="1"/>
    </row>
    <row r="52" spans="1:28" ht="15" customHeight="1" thickBot="1" x14ac:dyDescent="0.4">
      <c r="AA52" s="1" t="s">
        <v>156</v>
      </c>
      <c r="AB52" s="1"/>
    </row>
    <row r="53" spans="1:28" ht="15" customHeight="1" thickBot="1" x14ac:dyDescent="0.4">
      <c r="B53" s="120" t="s">
        <v>157</v>
      </c>
      <c r="C53" s="16"/>
      <c r="D53" s="16"/>
      <c r="E53" s="16"/>
      <c r="F53" s="16"/>
      <c r="K53" s="120" t="s">
        <v>158</v>
      </c>
      <c r="AA53" s="13" t="s">
        <v>159</v>
      </c>
      <c r="AB53" s="13"/>
    </row>
    <row r="54" spans="1:28" x14ac:dyDescent="0.35">
      <c r="B54" s="118"/>
      <c r="K54" s="118"/>
      <c r="AA54" s="4">
        <f>L10</f>
        <v>19108.600055310209</v>
      </c>
      <c r="AB54" s="4"/>
    </row>
    <row r="55" spans="1:28" ht="15" customHeight="1" thickBot="1" x14ac:dyDescent="0.4">
      <c r="B55" s="118"/>
      <c r="K55" s="118"/>
    </row>
    <row r="56" spans="1:28" ht="14.5" customHeight="1" x14ac:dyDescent="0.35">
      <c r="B56" s="118"/>
      <c r="H56" t="s">
        <v>6</v>
      </c>
      <c r="K56" s="118"/>
      <c r="AA56" s="117" t="s">
        <v>160</v>
      </c>
      <c r="AB56" s="17"/>
    </row>
    <row r="57" spans="1:28" x14ac:dyDescent="0.35">
      <c r="B57" s="118"/>
      <c r="K57" s="118"/>
      <c r="AA57" s="118"/>
      <c r="AB57" s="17"/>
    </row>
    <row r="58" spans="1:28" ht="15" customHeight="1" thickBot="1" x14ac:dyDescent="0.4">
      <c r="B58" s="119"/>
      <c r="K58" s="118"/>
      <c r="AA58" s="118"/>
      <c r="AB58" s="17"/>
    </row>
    <row r="59" spans="1:28" x14ac:dyDescent="0.35">
      <c r="K59" s="118"/>
      <c r="AA59" s="118"/>
      <c r="AB59" s="17"/>
    </row>
    <row r="60" spans="1:28" ht="15" customHeight="1" thickBot="1" x14ac:dyDescent="0.4">
      <c r="K60" s="119"/>
      <c r="AA60" s="118"/>
      <c r="AB60" s="17"/>
    </row>
    <row r="61" spans="1:28" x14ac:dyDescent="0.35">
      <c r="AA61" s="118"/>
      <c r="AB61" s="17"/>
    </row>
    <row r="62" spans="1:28" x14ac:dyDescent="0.35">
      <c r="AA62" s="118"/>
      <c r="AB62" s="17"/>
    </row>
    <row r="63" spans="1:28" x14ac:dyDescent="0.35">
      <c r="AA63" s="118"/>
      <c r="AB63" s="17"/>
    </row>
    <row r="64" spans="1:28" x14ac:dyDescent="0.35">
      <c r="AA64" s="118"/>
      <c r="AB64" s="17"/>
    </row>
    <row r="65" spans="2:28" x14ac:dyDescent="0.35">
      <c r="AA65" s="118"/>
      <c r="AB65" s="17"/>
    </row>
    <row r="66" spans="2:28" x14ac:dyDescent="0.35">
      <c r="AA66" s="118"/>
      <c r="AB66" s="17"/>
    </row>
    <row r="67" spans="2:28" x14ac:dyDescent="0.35">
      <c r="AA67" s="118"/>
      <c r="AB67" s="17"/>
    </row>
    <row r="68" spans="2:28" x14ac:dyDescent="0.35">
      <c r="AA68" s="118"/>
      <c r="AB68" s="17"/>
    </row>
    <row r="69" spans="2:28" x14ac:dyDescent="0.35">
      <c r="B69" s="4"/>
      <c r="C69" s="4"/>
      <c r="D69" s="4"/>
      <c r="E69" s="4"/>
      <c r="F69" s="4"/>
      <c r="AA69" s="118"/>
      <c r="AB69" s="17"/>
    </row>
    <row r="70" spans="2:28" ht="15" customHeight="1" thickBot="1" x14ac:dyDescent="0.4">
      <c r="AA70" s="119"/>
      <c r="AB70" s="17"/>
    </row>
  </sheetData>
  <mergeCells count="4">
    <mergeCell ref="A43:A46"/>
    <mergeCell ref="B53:B58"/>
    <mergeCell ref="K53:K60"/>
    <mergeCell ref="AA56:AA70"/>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DF22A-41F1-4861-9F7B-C2F6D033BD21}">
  <dimension ref="A1:D69"/>
  <sheetViews>
    <sheetView zoomScale="90" zoomScaleNormal="90" workbookViewId="0">
      <selection activeCell="R12" sqref="R12"/>
    </sheetView>
  </sheetViews>
  <sheetFormatPr defaultRowHeight="14.5" x14ac:dyDescent="0.35"/>
  <cols>
    <col min="2" max="2" width="29.81640625" customWidth="1"/>
    <col min="3" max="3" width="24.453125" bestFit="1" customWidth="1"/>
    <col min="4" max="4" width="27.08984375" customWidth="1"/>
  </cols>
  <sheetData>
    <row r="1" spans="1:4" x14ac:dyDescent="0.35">
      <c r="A1" s="13" t="s">
        <v>161</v>
      </c>
      <c r="B1" s="13" t="s">
        <v>58</v>
      </c>
      <c r="C1" s="13" t="s">
        <v>162</v>
      </c>
      <c r="D1" s="13" t="s">
        <v>163</v>
      </c>
    </row>
    <row r="2" spans="1:4" x14ac:dyDescent="0.35">
      <c r="A2">
        <v>1</v>
      </c>
      <c r="B2" s="1" t="s">
        <v>87</v>
      </c>
      <c r="C2" s="1">
        <v>0.39425256613112558</v>
      </c>
      <c r="D2" s="1">
        <v>0.13909681322019149</v>
      </c>
    </row>
    <row r="3" spans="1:4" x14ac:dyDescent="0.35">
      <c r="A3">
        <f>1+A2</f>
        <v>2</v>
      </c>
      <c r="B3" s="1" t="s">
        <v>88</v>
      </c>
      <c r="C3" s="1">
        <v>0.3942525306956341</v>
      </c>
      <c r="D3" s="1">
        <v>0.13909681322019149</v>
      </c>
    </row>
    <row r="4" spans="1:4" x14ac:dyDescent="0.35">
      <c r="A4">
        <f t="shared" ref="A4:A41" si="0">1+A3</f>
        <v>3</v>
      </c>
      <c r="B4" s="1" t="s">
        <v>89</v>
      </c>
      <c r="C4" s="1">
        <v>0.3942524849773491</v>
      </c>
      <c r="D4" s="1">
        <v>0.13909681322019149</v>
      </c>
    </row>
    <row r="5" spans="1:4" x14ac:dyDescent="0.35">
      <c r="A5">
        <f t="shared" si="0"/>
        <v>4</v>
      </c>
      <c r="B5" s="1" t="s">
        <v>90</v>
      </c>
      <c r="C5" s="1">
        <v>0.39425236006150077</v>
      </c>
      <c r="D5" s="1">
        <v>0.13909681322019149</v>
      </c>
    </row>
    <row r="6" spans="1:4" x14ac:dyDescent="0.35">
      <c r="A6">
        <f t="shared" si="0"/>
        <v>5</v>
      </c>
      <c r="B6" s="1" t="s">
        <v>91</v>
      </c>
      <c r="C6" s="1">
        <v>0.3721590193006733</v>
      </c>
      <c r="D6" s="1">
        <v>0.13545294261574559</v>
      </c>
    </row>
    <row r="7" spans="1:4" x14ac:dyDescent="0.35">
      <c r="A7">
        <f t="shared" si="0"/>
        <v>6</v>
      </c>
      <c r="B7" s="1" t="s">
        <v>92</v>
      </c>
      <c r="C7" s="1">
        <v>0.37215843199067572</v>
      </c>
      <c r="D7" s="1">
        <v>0.1354529360724312</v>
      </c>
    </row>
    <row r="8" spans="1:4" x14ac:dyDescent="0.35">
      <c r="A8">
        <f t="shared" si="0"/>
        <v>7</v>
      </c>
      <c r="B8" s="1" t="s">
        <v>93</v>
      </c>
      <c r="C8" s="1">
        <v>0.37215736272933841</v>
      </c>
      <c r="D8" s="1">
        <v>0.13545290628161349</v>
      </c>
    </row>
    <row r="9" spans="1:4" x14ac:dyDescent="0.35">
      <c r="A9">
        <f t="shared" si="0"/>
        <v>8</v>
      </c>
      <c r="B9" s="1" t="s">
        <v>94</v>
      </c>
      <c r="C9" s="1">
        <v>0.37215432481162258</v>
      </c>
      <c r="D9" s="1">
        <v>0.13545280638019319</v>
      </c>
    </row>
    <row r="10" spans="1:4" x14ac:dyDescent="0.35">
      <c r="A10">
        <f t="shared" si="0"/>
        <v>9</v>
      </c>
      <c r="B10" s="1" t="s">
        <v>95</v>
      </c>
      <c r="C10" s="1">
        <v>0.36488542902286381</v>
      </c>
      <c r="D10" s="1">
        <v>0.1341569356159763</v>
      </c>
    </row>
    <row r="11" spans="1:4" x14ac:dyDescent="0.35">
      <c r="A11">
        <f t="shared" si="0"/>
        <v>10</v>
      </c>
      <c r="B11" s="1" t="s">
        <v>96</v>
      </c>
      <c r="C11" s="1">
        <v>0.36488348458908998</v>
      </c>
      <c r="D11" s="1">
        <v>0.13415688728197719</v>
      </c>
    </row>
    <row r="12" spans="1:4" x14ac:dyDescent="0.35">
      <c r="A12">
        <f t="shared" si="0"/>
        <v>11</v>
      </c>
      <c r="B12" s="1" t="s">
        <v>97</v>
      </c>
      <c r="C12" s="1">
        <v>0.3648806798296978</v>
      </c>
      <c r="D12" s="1">
        <v>0.13415681806947849</v>
      </c>
    </row>
    <row r="13" spans="1:4" x14ac:dyDescent="0.35">
      <c r="A13">
        <f t="shared" si="0"/>
        <v>12</v>
      </c>
      <c r="B13" s="1" t="s">
        <v>98</v>
      </c>
      <c r="C13" s="1">
        <v>0.36487555426564378</v>
      </c>
      <c r="D13" s="1">
        <v>0.13415661704547041</v>
      </c>
    </row>
    <row r="14" spans="1:4" x14ac:dyDescent="0.35">
      <c r="A14">
        <f t="shared" si="0"/>
        <v>13</v>
      </c>
      <c r="B14" s="1" t="s">
        <v>99</v>
      </c>
      <c r="C14" s="1">
        <v>0.35756952344491721</v>
      </c>
      <c r="D14" s="1">
        <v>0.1327786776220268</v>
      </c>
    </row>
    <row r="15" spans="1:4" x14ac:dyDescent="0.35">
      <c r="A15">
        <f t="shared" si="0"/>
        <v>14</v>
      </c>
      <c r="B15" s="1" t="s">
        <v>100</v>
      </c>
      <c r="C15" s="1">
        <v>0.35755699800898599</v>
      </c>
      <c r="D15" s="1">
        <v>0.1327781100413655</v>
      </c>
    </row>
    <row r="16" spans="1:4" x14ac:dyDescent="0.35">
      <c r="A16">
        <f t="shared" si="0"/>
        <v>15</v>
      </c>
      <c r="B16" s="1" t="s">
        <v>101</v>
      </c>
      <c r="C16" s="1">
        <v>0.35754528665835322</v>
      </c>
      <c r="D16" s="1">
        <v>0.132777569148225</v>
      </c>
    </row>
    <row r="17" spans="1:4" x14ac:dyDescent="0.35">
      <c r="A17">
        <f t="shared" si="0"/>
        <v>16</v>
      </c>
      <c r="B17" s="1" t="s">
        <v>102</v>
      </c>
      <c r="C17" s="1">
        <v>0.35753214012223961</v>
      </c>
      <c r="D17" s="1">
        <v>0.13277698895248821</v>
      </c>
    </row>
    <row r="18" spans="1:4" x14ac:dyDescent="0.35">
      <c r="A18">
        <f t="shared" si="0"/>
        <v>17</v>
      </c>
      <c r="B18" s="1" t="s">
        <v>103</v>
      </c>
      <c r="C18" s="1">
        <v>0.35076679172009623</v>
      </c>
      <c r="D18" s="1">
        <v>0.1314710368951435</v>
      </c>
    </row>
    <row r="19" spans="1:4" x14ac:dyDescent="0.35">
      <c r="A19">
        <f t="shared" si="0"/>
        <v>18</v>
      </c>
      <c r="B19" s="1" t="s">
        <v>104</v>
      </c>
      <c r="C19" s="1">
        <v>0.35074538040684522</v>
      </c>
      <c r="D19" s="1">
        <v>0.13146957989715879</v>
      </c>
    </row>
    <row r="20" spans="1:4" x14ac:dyDescent="0.35">
      <c r="A20">
        <f t="shared" si="0"/>
        <v>19</v>
      </c>
      <c r="B20" s="1" t="s">
        <v>105</v>
      </c>
      <c r="C20" s="1">
        <v>0.35070754713923241</v>
      </c>
      <c r="D20" s="1">
        <v>0.13146716323753921</v>
      </c>
    </row>
    <row r="21" spans="1:4" x14ac:dyDescent="0.35">
      <c r="A21">
        <f t="shared" si="0"/>
        <v>20</v>
      </c>
      <c r="B21" s="1" t="s">
        <v>106</v>
      </c>
      <c r="C21" s="1">
        <v>0.35068296800191873</v>
      </c>
      <c r="D21" s="1">
        <v>0.1314655058398122</v>
      </c>
    </row>
    <row r="22" spans="1:4" x14ac:dyDescent="0.35">
      <c r="A22">
        <f t="shared" si="0"/>
        <v>21</v>
      </c>
      <c r="B22" s="1" t="s">
        <v>107</v>
      </c>
      <c r="C22" s="1">
        <v>0.34703527884405899</v>
      </c>
      <c r="D22" s="1">
        <v>0.13074254963600479</v>
      </c>
    </row>
    <row r="23" spans="1:4" x14ac:dyDescent="0.35">
      <c r="A23">
        <f t="shared" si="0"/>
        <v>22</v>
      </c>
      <c r="B23" s="1" t="s">
        <v>108</v>
      </c>
      <c r="C23" s="1">
        <v>0.34698591321324301</v>
      </c>
      <c r="D23" s="1">
        <v>0.13073874432056939</v>
      </c>
    </row>
    <row r="24" spans="1:4" x14ac:dyDescent="0.35">
      <c r="A24">
        <f t="shared" si="0"/>
        <v>23</v>
      </c>
      <c r="B24" s="1" t="s">
        <v>109</v>
      </c>
      <c r="C24" s="1">
        <v>0.34692198387171702</v>
      </c>
      <c r="D24" s="1">
        <v>0.1307333992723701</v>
      </c>
    </row>
    <row r="25" spans="1:4" x14ac:dyDescent="0.35">
      <c r="A25">
        <f t="shared" si="0"/>
        <v>24</v>
      </c>
      <c r="B25" s="1" t="s">
        <v>110</v>
      </c>
      <c r="C25" s="1">
        <v>0.34687229169618528</v>
      </c>
      <c r="D25" s="1">
        <v>0.13072990038694191</v>
      </c>
    </row>
    <row r="26" spans="1:4" x14ac:dyDescent="0.35">
      <c r="A26">
        <f t="shared" si="0"/>
        <v>25</v>
      </c>
      <c r="B26" s="1" t="s">
        <v>111</v>
      </c>
      <c r="C26" s="1">
        <v>0.34268842821725448</v>
      </c>
      <c r="D26" s="1">
        <v>0.12993010840679961</v>
      </c>
    </row>
    <row r="27" spans="1:4" x14ac:dyDescent="0.35">
      <c r="A27">
        <f t="shared" si="0"/>
        <v>26</v>
      </c>
      <c r="B27" s="1" t="s">
        <v>112</v>
      </c>
      <c r="C27" s="1">
        <v>0.34259262963452691</v>
      </c>
      <c r="D27" s="1">
        <v>0.12992173542965149</v>
      </c>
    </row>
    <row r="28" spans="1:4" x14ac:dyDescent="0.35">
      <c r="A28">
        <f t="shared" si="0"/>
        <v>27</v>
      </c>
      <c r="B28" s="1" t="s">
        <v>113</v>
      </c>
      <c r="C28" s="1">
        <v>0.34246173912149053</v>
      </c>
      <c r="D28" s="1">
        <v>0.12990980359833171</v>
      </c>
    </row>
    <row r="29" spans="1:4" x14ac:dyDescent="0.35">
      <c r="A29">
        <f t="shared" si="0"/>
        <v>28</v>
      </c>
      <c r="B29" s="1" t="s">
        <v>114</v>
      </c>
      <c r="C29" s="1">
        <v>0.34238472434809641</v>
      </c>
      <c r="D29" s="1">
        <v>0.12990310355608739</v>
      </c>
    </row>
    <row r="30" spans="1:4" x14ac:dyDescent="0.35">
      <c r="A30">
        <f t="shared" si="0"/>
        <v>29</v>
      </c>
      <c r="B30" s="1" t="s">
        <v>115</v>
      </c>
      <c r="C30" s="1">
        <v>0.3411591002895471</v>
      </c>
      <c r="D30" s="1">
        <v>0.12960634607001931</v>
      </c>
    </row>
    <row r="31" spans="1:4" x14ac:dyDescent="0.35">
      <c r="A31">
        <f t="shared" si="0"/>
        <v>30</v>
      </c>
      <c r="B31" s="1" t="s">
        <v>116</v>
      </c>
      <c r="C31" s="1">
        <v>0.34104799905578692</v>
      </c>
      <c r="D31" s="1">
        <v>0.1295957588848167</v>
      </c>
    </row>
    <row r="32" spans="1:4" x14ac:dyDescent="0.35">
      <c r="A32">
        <f t="shared" si="0"/>
        <v>31</v>
      </c>
      <c r="B32" s="1" t="s">
        <v>117</v>
      </c>
      <c r="C32" s="1">
        <v>0.34089056837270448</v>
      </c>
      <c r="D32" s="1">
        <v>0.12957998639122001</v>
      </c>
    </row>
    <row r="33" spans="1:4" x14ac:dyDescent="0.35">
      <c r="A33">
        <f>1+A32</f>
        <v>32</v>
      </c>
      <c r="B33" s="1" t="s">
        <v>118</v>
      </c>
      <c r="C33" s="1">
        <v>0.34079733231892789</v>
      </c>
      <c r="D33" s="1">
        <v>0.1295710965852816</v>
      </c>
    </row>
    <row r="34" spans="1:4" x14ac:dyDescent="0.35">
      <c r="A34">
        <f t="shared" si="0"/>
        <v>33</v>
      </c>
      <c r="B34" s="1" t="s">
        <v>119</v>
      </c>
      <c r="C34" s="1">
        <v>0.33779098287005749</v>
      </c>
      <c r="D34" s="1">
        <v>0.12889070142435069</v>
      </c>
    </row>
    <row r="35" spans="1:4" x14ac:dyDescent="0.35">
      <c r="A35">
        <f t="shared" si="0"/>
        <v>34</v>
      </c>
      <c r="B35" s="1" t="s">
        <v>120</v>
      </c>
      <c r="C35" s="1">
        <v>0.33758306450440101</v>
      </c>
      <c r="D35" s="1">
        <v>0.12886660145467649</v>
      </c>
    </row>
    <row r="36" spans="1:4" x14ac:dyDescent="0.35">
      <c r="A36">
        <f t="shared" si="0"/>
        <v>35</v>
      </c>
      <c r="B36" s="1" t="s">
        <v>121</v>
      </c>
      <c r="C36" s="1">
        <v>0.33735308053529539</v>
      </c>
      <c r="D36" s="1">
        <v>0.12883963127559231</v>
      </c>
    </row>
    <row r="37" spans="1:4" x14ac:dyDescent="0.35">
      <c r="A37">
        <f t="shared" si="0"/>
        <v>36</v>
      </c>
      <c r="B37" s="1" t="s">
        <v>122</v>
      </c>
      <c r="C37" s="1">
        <v>0.33717358558928961</v>
      </c>
      <c r="D37" s="1">
        <v>0.1288196406482629</v>
      </c>
    </row>
    <row r="38" spans="1:4" x14ac:dyDescent="0.35">
      <c r="A38">
        <f t="shared" si="0"/>
        <v>37</v>
      </c>
      <c r="B38" s="1" t="s">
        <v>123</v>
      </c>
      <c r="C38" s="1">
        <v>0.33297473391336158</v>
      </c>
      <c r="D38" s="1">
        <v>0.12790596528840839</v>
      </c>
    </row>
    <row r="39" spans="1:4" x14ac:dyDescent="0.35">
      <c r="A39">
        <f t="shared" si="0"/>
        <v>38</v>
      </c>
      <c r="B39" s="1" t="s">
        <v>124</v>
      </c>
      <c r="C39" s="1">
        <v>0.3324929860862601</v>
      </c>
      <c r="D39" s="1">
        <v>0.12784358626401421</v>
      </c>
    </row>
    <row r="40" spans="1:4" x14ac:dyDescent="0.35">
      <c r="A40">
        <f t="shared" si="0"/>
        <v>39</v>
      </c>
      <c r="B40" s="1" t="s">
        <v>125</v>
      </c>
      <c r="C40" s="1">
        <v>0.33209187910192361</v>
      </c>
      <c r="D40" s="1">
        <v>0.1277899190961112</v>
      </c>
    </row>
    <row r="41" spans="1:4" x14ac:dyDescent="0.35">
      <c r="A41">
        <f t="shared" si="0"/>
        <v>40</v>
      </c>
      <c r="B41" s="1" t="s">
        <v>126</v>
      </c>
      <c r="C41" s="1">
        <v>0.33172108705514919</v>
      </c>
      <c r="D41" s="1">
        <v>0.12774421107114789</v>
      </c>
    </row>
    <row r="43" spans="1:4" x14ac:dyDescent="0.35">
      <c r="D43" s="13" t="s">
        <v>128</v>
      </c>
    </row>
    <row r="44" spans="1:4" x14ac:dyDescent="0.35">
      <c r="D44" s="1">
        <f t="shared" ref="D44" si="1">MIN(D2:D41)</f>
        <v>0.12774421107114789</v>
      </c>
    </row>
    <row r="45" spans="1:4" x14ac:dyDescent="0.35">
      <c r="D45" s="13" t="s">
        <v>140</v>
      </c>
    </row>
    <row r="46" spans="1:4" x14ac:dyDescent="0.35">
      <c r="D46" s="1">
        <f t="shared" ref="D46" si="2">MATCH(D44,D2:D41,0)</f>
        <v>40</v>
      </c>
    </row>
    <row r="47" spans="1:4" x14ac:dyDescent="0.35">
      <c r="D47" s="13" t="s">
        <v>141</v>
      </c>
    </row>
    <row r="48" spans="1:4" x14ac:dyDescent="0.35">
      <c r="D48" s="1">
        <f t="shared" ref="D48" si="3">MAX(D2:D41)</f>
        <v>0.13909681322019149</v>
      </c>
    </row>
    <row r="49" spans="4:4" x14ac:dyDescent="0.35">
      <c r="D49" s="13" t="s">
        <v>140</v>
      </c>
    </row>
    <row r="50" spans="4:4" x14ac:dyDescent="0.35">
      <c r="D50" s="1">
        <f t="shared" ref="D50" si="4">MATCH(D48,D2:D41,0)</f>
        <v>1</v>
      </c>
    </row>
    <row r="52" spans="4:4" ht="15" thickBot="1" x14ac:dyDescent="0.4"/>
    <row r="53" spans="4:4" ht="15" thickBot="1" x14ac:dyDescent="0.4">
      <c r="D53" s="120" t="s">
        <v>157</v>
      </c>
    </row>
    <row r="54" spans="4:4" x14ac:dyDescent="0.35">
      <c r="D54" s="118"/>
    </row>
    <row r="55" spans="4:4" x14ac:dyDescent="0.35">
      <c r="D55" s="118"/>
    </row>
    <row r="56" spans="4:4" x14ac:dyDescent="0.35">
      <c r="D56" s="118"/>
    </row>
    <row r="57" spans="4:4" x14ac:dyDescent="0.35">
      <c r="D57" s="118"/>
    </row>
    <row r="58" spans="4:4" ht="15" thickBot="1" x14ac:dyDescent="0.4">
      <c r="D58" s="119"/>
    </row>
    <row r="69" spans="3:4" x14ac:dyDescent="0.35">
      <c r="C69" s="4"/>
      <c r="D69" s="4"/>
    </row>
  </sheetData>
  <mergeCells count="1">
    <mergeCell ref="D53:D58"/>
  </mergeCell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EB8A4-6F59-4663-9A75-3D6A32891847}">
  <dimension ref="A1:G11"/>
  <sheetViews>
    <sheetView workbookViewId="0">
      <selection activeCell="M4" sqref="M4"/>
    </sheetView>
  </sheetViews>
  <sheetFormatPr defaultRowHeight="14.5" x14ac:dyDescent="0.35"/>
  <sheetData>
    <row r="1" spans="1:7" x14ac:dyDescent="0.35">
      <c r="B1" t="s">
        <v>404</v>
      </c>
      <c r="D1" t="s">
        <v>405</v>
      </c>
      <c r="F1" t="s">
        <v>407</v>
      </c>
    </row>
    <row r="2" spans="1:7" x14ac:dyDescent="0.35">
      <c r="A2" t="s">
        <v>399</v>
      </c>
      <c r="B2">
        <v>2.44</v>
      </c>
      <c r="C2">
        <v>55</v>
      </c>
      <c r="D2">
        <f>B2*C2</f>
        <v>134.19999999999999</v>
      </c>
      <c r="F2">
        <f>D2/100</f>
        <v>1.3419999999999999</v>
      </c>
    </row>
    <row r="3" spans="1:7" x14ac:dyDescent="0.35">
      <c r="A3" t="s">
        <v>400</v>
      </c>
      <c r="B3">
        <v>1.54</v>
      </c>
      <c r="C3">
        <v>45</v>
      </c>
      <c r="D3">
        <f>B3*C3</f>
        <v>69.3</v>
      </c>
      <c r="F3">
        <f>D3/100</f>
        <v>0.69299999999999995</v>
      </c>
    </row>
    <row r="4" spans="1:7" x14ac:dyDescent="0.35">
      <c r="A4" t="s">
        <v>401</v>
      </c>
      <c r="B4">
        <v>9.8000000000000007</v>
      </c>
      <c r="C4">
        <v>1</v>
      </c>
      <c r="D4">
        <f>B4*C4</f>
        <v>9.8000000000000007</v>
      </c>
      <c r="F4">
        <f t="shared" ref="F4:F6" si="0">D4/100</f>
        <v>9.8000000000000004E-2</v>
      </c>
    </row>
    <row r="5" spans="1:7" x14ac:dyDescent="0.35">
      <c r="A5" t="s">
        <v>402</v>
      </c>
      <c r="B5">
        <v>1.1000000000000001</v>
      </c>
      <c r="C5">
        <v>1</v>
      </c>
      <c r="D5">
        <f>B5*C5</f>
        <v>1.1000000000000001</v>
      </c>
      <c r="F5">
        <f t="shared" si="0"/>
        <v>1.1000000000000001E-2</v>
      </c>
    </row>
    <row r="6" spans="1:7" x14ac:dyDescent="0.35">
      <c r="A6" t="s">
        <v>403</v>
      </c>
      <c r="B6">
        <v>0.5</v>
      </c>
      <c r="C6">
        <v>45</v>
      </c>
      <c r="D6">
        <f>B6*C6</f>
        <v>22.5</v>
      </c>
      <c r="F6">
        <f t="shared" si="0"/>
        <v>0.22500000000000001</v>
      </c>
    </row>
    <row r="7" spans="1:7" x14ac:dyDescent="0.35">
      <c r="C7" t="s">
        <v>365</v>
      </c>
      <c r="D7">
        <f>SUM(D2:D6)</f>
        <v>236.9</v>
      </c>
      <c r="E7">
        <f t="shared" ref="E7:F7" si="1">SUM(E2:E6)</f>
        <v>0</v>
      </c>
      <c r="F7">
        <f t="shared" si="1"/>
        <v>2.3689999999999998</v>
      </c>
    </row>
    <row r="9" spans="1:7" x14ac:dyDescent="0.35">
      <c r="C9" t="s">
        <v>406</v>
      </c>
      <c r="D9">
        <f>D7*24*365</f>
        <v>2075244.0000000002</v>
      </c>
      <c r="E9">
        <f t="shared" ref="E9:F9" si="2">E7*24*365</f>
        <v>0</v>
      </c>
      <c r="F9">
        <f t="shared" si="2"/>
        <v>20752.439999999999</v>
      </c>
      <c r="G9" t="s">
        <v>6</v>
      </c>
    </row>
    <row r="11" spans="1:7" x14ac:dyDescent="0.35">
      <c r="F11">
        <f>F9/99</f>
        <v>209.62060606060604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25A18-5AD3-4FF5-B7C4-25921D3911F8}">
  <dimension ref="A1:L26"/>
  <sheetViews>
    <sheetView workbookViewId="0">
      <selection activeCell="F7" sqref="F7"/>
    </sheetView>
  </sheetViews>
  <sheetFormatPr defaultRowHeight="14.5" x14ac:dyDescent="0.35"/>
  <cols>
    <col min="1" max="1" width="20.81640625" bestFit="1" customWidth="1"/>
  </cols>
  <sheetData>
    <row r="1" spans="1:12" x14ac:dyDescent="0.35">
      <c r="A1" s="2" t="s">
        <v>245</v>
      </c>
      <c r="B1" s="2" t="s">
        <v>246</v>
      </c>
      <c r="C1" s="1"/>
      <c r="D1" s="1"/>
      <c r="E1" s="1"/>
      <c r="F1" s="1"/>
      <c r="G1" s="1"/>
      <c r="H1" s="1"/>
      <c r="I1" s="1"/>
      <c r="J1" s="1"/>
      <c r="K1" s="1"/>
      <c r="L1" s="1"/>
    </row>
    <row r="2" spans="1:12" x14ac:dyDescent="0.35">
      <c r="A2" s="1" t="s">
        <v>247</v>
      </c>
      <c r="B2" s="1">
        <v>2.5</v>
      </c>
      <c r="C2" s="1"/>
      <c r="D2" s="1"/>
      <c r="E2" s="1"/>
      <c r="F2" s="1"/>
      <c r="G2" s="1"/>
      <c r="H2" s="1"/>
      <c r="I2" s="1"/>
      <c r="J2" s="1"/>
      <c r="K2" s="1"/>
      <c r="L2" s="1"/>
    </row>
    <row r="3" spans="1:12" x14ac:dyDescent="0.35">
      <c r="A3" s="1" t="s">
        <v>248</v>
      </c>
      <c r="B3" s="1">
        <v>26.5</v>
      </c>
      <c r="C3" s="1"/>
      <c r="D3" s="1"/>
      <c r="E3" s="1"/>
      <c r="F3" s="1"/>
      <c r="G3" s="1"/>
      <c r="H3" s="1"/>
      <c r="I3" s="1"/>
      <c r="J3" s="1"/>
      <c r="K3" s="1"/>
      <c r="L3" s="1"/>
    </row>
    <row r="4" spans="1:12" x14ac:dyDescent="0.35">
      <c r="A4" s="1" t="s">
        <v>250</v>
      </c>
      <c r="B4" s="1">
        <v>6.0999999999999999E-2</v>
      </c>
      <c r="C4" s="1"/>
      <c r="D4" s="1"/>
      <c r="E4" s="1"/>
      <c r="F4" s="1"/>
      <c r="G4" s="1"/>
      <c r="H4" s="1"/>
      <c r="I4" s="1"/>
      <c r="J4" s="1"/>
      <c r="K4" s="1"/>
      <c r="L4" s="1"/>
    </row>
    <row r="5" spans="1:12" x14ac:dyDescent="0.35">
      <c r="A5" s="1" t="s">
        <v>251</v>
      </c>
      <c r="B5" s="1" t="s">
        <v>252</v>
      </c>
      <c r="C5" s="1"/>
      <c r="D5" s="1"/>
      <c r="E5" s="1"/>
      <c r="F5" s="1"/>
      <c r="G5" s="1"/>
      <c r="H5" s="1"/>
      <c r="I5" s="1"/>
      <c r="J5" s="1"/>
      <c r="K5" s="1"/>
      <c r="L5" s="1"/>
    </row>
    <row r="6" spans="1:12" x14ac:dyDescent="0.35">
      <c r="A6" s="1"/>
      <c r="B6" s="1"/>
      <c r="C6" s="1"/>
      <c r="D6" s="1"/>
      <c r="E6" s="1"/>
      <c r="F6" s="1"/>
      <c r="G6" s="1"/>
      <c r="H6" s="1"/>
      <c r="I6" s="1"/>
      <c r="J6" s="1"/>
      <c r="K6" s="1"/>
      <c r="L6" s="1"/>
    </row>
    <row r="7" spans="1:12" x14ac:dyDescent="0.35">
      <c r="A7" s="1"/>
      <c r="B7" s="1"/>
      <c r="C7" s="1"/>
      <c r="D7" s="1"/>
      <c r="E7" s="1"/>
      <c r="F7" s="1"/>
      <c r="G7" s="1"/>
      <c r="H7" s="1"/>
      <c r="I7" s="1"/>
      <c r="J7" s="1"/>
      <c r="K7" s="1"/>
      <c r="L7" s="1"/>
    </row>
    <row r="8" spans="1:12" x14ac:dyDescent="0.35">
      <c r="A8" s="1"/>
      <c r="B8" s="1"/>
      <c r="C8" s="1"/>
      <c r="D8" s="1"/>
      <c r="E8" s="1"/>
      <c r="F8" s="1"/>
      <c r="G8" s="1"/>
      <c r="H8" s="1"/>
      <c r="I8" s="1"/>
      <c r="J8" s="1"/>
      <c r="K8" s="1"/>
      <c r="L8" s="1"/>
    </row>
    <row r="9" spans="1:12" x14ac:dyDescent="0.35">
      <c r="A9" s="1"/>
      <c r="B9" s="1"/>
      <c r="C9" s="1"/>
      <c r="D9" s="1"/>
      <c r="E9" s="1"/>
      <c r="F9" s="1"/>
      <c r="G9" s="1"/>
      <c r="H9" s="1"/>
      <c r="I9" s="1"/>
      <c r="J9" s="1"/>
      <c r="K9" s="1"/>
      <c r="L9" s="1"/>
    </row>
    <row r="10" spans="1:12" x14ac:dyDescent="0.35">
      <c r="A10" s="1"/>
      <c r="B10" s="1"/>
      <c r="C10" s="1"/>
      <c r="D10" s="1"/>
      <c r="E10" s="1"/>
      <c r="F10" s="1"/>
      <c r="G10" s="1"/>
      <c r="H10" s="1"/>
      <c r="I10" s="1"/>
      <c r="J10" s="1"/>
      <c r="K10" s="1"/>
      <c r="L10" s="1"/>
    </row>
    <row r="11" spans="1:12" x14ac:dyDescent="0.35">
      <c r="A11" s="1"/>
      <c r="B11" s="1"/>
      <c r="C11" s="1"/>
      <c r="D11" s="1"/>
      <c r="E11" s="1"/>
      <c r="F11" s="1"/>
      <c r="G11" s="1"/>
      <c r="H11" s="1"/>
      <c r="I11" s="1"/>
      <c r="J11" s="1"/>
      <c r="K11" s="1"/>
      <c r="L11" s="1"/>
    </row>
    <row r="12" spans="1:12" x14ac:dyDescent="0.35">
      <c r="A12" s="1"/>
      <c r="B12" s="1"/>
      <c r="C12" s="1"/>
      <c r="D12" s="1"/>
      <c r="E12" s="1"/>
      <c r="F12" s="1"/>
      <c r="G12" s="1"/>
      <c r="H12" s="1"/>
      <c r="I12" s="1"/>
      <c r="J12" s="1"/>
      <c r="K12" s="1"/>
      <c r="L12" s="1"/>
    </row>
    <row r="13" spans="1:12" x14ac:dyDescent="0.35">
      <c r="A13" s="1"/>
      <c r="B13" s="1"/>
      <c r="C13" s="1"/>
      <c r="D13" s="1"/>
      <c r="E13" s="1"/>
      <c r="F13" s="1"/>
      <c r="G13" s="1"/>
      <c r="H13" s="1"/>
      <c r="I13" s="1"/>
      <c r="J13" s="1"/>
      <c r="K13" s="1"/>
      <c r="L13" s="1"/>
    </row>
    <row r="14" spans="1:12" x14ac:dyDescent="0.35">
      <c r="A14" s="1"/>
      <c r="B14" s="1"/>
      <c r="C14" s="1"/>
      <c r="D14" s="1"/>
      <c r="E14" s="1"/>
      <c r="F14" s="1"/>
      <c r="G14" s="1"/>
      <c r="H14" s="1"/>
      <c r="I14" s="1"/>
      <c r="J14" s="1"/>
      <c r="K14" s="1"/>
      <c r="L14" s="1"/>
    </row>
    <row r="15" spans="1:12" x14ac:dyDescent="0.35">
      <c r="A15" s="1"/>
      <c r="B15" s="1"/>
      <c r="C15" s="1"/>
      <c r="D15" s="1"/>
      <c r="E15" s="1"/>
      <c r="F15" s="1"/>
      <c r="G15" s="1"/>
      <c r="H15" s="1"/>
      <c r="I15" s="1"/>
      <c r="J15" s="1"/>
      <c r="K15" s="1"/>
      <c r="L15" s="1"/>
    </row>
    <row r="16" spans="1:12" x14ac:dyDescent="0.35">
      <c r="A16" s="1"/>
      <c r="B16" s="1"/>
      <c r="C16" s="1"/>
      <c r="D16" s="1"/>
      <c r="E16" s="1"/>
      <c r="F16" s="1"/>
      <c r="G16" s="1"/>
      <c r="H16" s="1"/>
      <c r="I16" s="1"/>
      <c r="J16" s="1"/>
      <c r="K16" s="1"/>
      <c r="L16" s="1"/>
    </row>
    <row r="17" spans="1:12" x14ac:dyDescent="0.35">
      <c r="A17" s="1"/>
      <c r="B17" s="1"/>
      <c r="C17" s="1"/>
      <c r="D17" s="1"/>
      <c r="E17" s="1"/>
      <c r="F17" s="1"/>
      <c r="G17" s="1"/>
      <c r="H17" s="1"/>
      <c r="I17" s="1"/>
      <c r="J17" s="1"/>
      <c r="K17" s="1"/>
      <c r="L17" s="1"/>
    </row>
    <row r="18" spans="1:12" x14ac:dyDescent="0.35">
      <c r="A18" s="1"/>
      <c r="B18" s="1"/>
      <c r="C18" s="1"/>
      <c r="D18" s="1"/>
      <c r="E18" s="1"/>
      <c r="F18" s="1"/>
      <c r="G18" s="1"/>
      <c r="H18" s="1"/>
      <c r="I18" s="1"/>
      <c r="J18" s="1"/>
      <c r="K18" s="1"/>
      <c r="L18" s="1"/>
    </row>
    <row r="19" spans="1:12" x14ac:dyDescent="0.35">
      <c r="A19" s="1"/>
      <c r="B19" s="1"/>
      <c r="C19" s="1"/>
      <c r="D19" s="1"/>
      <c r="E19" s="1"/>
      <c r="F19" s="1"/>
      <c r="G19" s="1"/>
      <c r="H19" s="1"/>
      <c r="I19" s="1"/>
      <c r="J19" s="1"/>
      <c r="K19" s="1"/>
      <c r="L19" s="1"/>
    </row>
    <row r="20" spans="1:12" x14ac:dyDescent="0.35">
      <c r="A20" s="1"/>
      <c r="B20" s="1"/>
      <c r="C20" s="1"/>
      <c r="D20" s="1"/>
      <c r="E20" s="1"/>
      <c r="F20" s="1"/>
      <c r="G20" s="1"/>
      <c r="H20" s="1"/>
      <c r="I20" s="1"/>
      <c r="J20" s="1"/>
      <c r="K20" s="1"/>
      <c r="L20" s="1"/>
    </row>
    <row r="21" spans="1:12" x14ac:dyDescent="0.35">
      <c r="A21" s="1"/>
      <c r="B21" s="1"/>
      <c r="C21" s="1"/>
      <c r="D21" s="1"/>
      <c r="E21" s="1"/>
      <c r="F21" s="1"/>
      <c r="G21" s="1"/>
      <c r="H21" s="1"/>
      <c r="I21" s="1"/>
      <c r="J21" s="1"/>
      <c r="K21" s="1"/>
      <c r="L21" s="1"/>
    </row>
    <row r="22" spans="1:12" x14ac:dyDescent="0.35">
      <c r="A22" s="1"/>
      <c r="B22" s="1"/>
      <c r="C22" s="1"/>
      <c r="D22" s="1"/>
      <c r="E22" s="1"/>
      <c r="F22" s="1"/>
      <c r="G22" s="1"/>
      <c r="H22" s="1"/>
      <c r="I22" s="1"/>
      <c r="J22" s="1"/>
      <c r="K22" s="1"/>
      <c r="L22" s="1"/>
    </row>
    <row r="23" spans="1:12" x14ac:dyDescent="0.35">
      <c r="A23" s="1"/>
      <c r="B23" s="1"/>
      <c r="C23" s="1"/>
      <c r="D23" s="1"/>
      <c r="E23" s="1"/>
      <c r="F23" s="1"/>
      <c r="G23" s="1"/>
      <c r="H23" s="1"/>
      <c r="I23" s="1"/>
      <c r="J23" s="1"/>
      <c r="K23" s="1"/>
      <c r="L23" s="1"/>
    </row>
    <row r="24" spans="1:12" x14ac:dyDescent="0.35">
      <c r="A24" s="1"/>
      <c r="B24" s="1"/>
      <c r="C24" s="1"/>
      <c r="D24" s="1"/>
      <c r="E24" s="1"/>
      <c r="F24" s="1"/>
      <c r="G24" s="1"/>
      <c r="H24" s="1"/>
      <c r="I24" s="1"/>
      <c r="J24" s="1"/>
      <c r="K24" s="1"/>
      <c r="L24" s="1"/>
    </row>
    <row r="25" spans="1:12" x14ac:dyDescent="0.35">
      <c r="A25" s="1"/>
      <c r="B25" s="1"/>
      <c r="C25" s="1"/>
      <c r="D25" s="1"/>
      <c r="E25" s="1"/>
      <c r="F25" s="1"/>
      <c r="G25" s="1"/>
      <c r="H25" s="1"/>
      <c r="I25" s="1"/>
      <c r="J25" s="1"/>
      <c r="K25" s="1"/>
      <c r="L25" s="1"/>
    </row>
    <row r="26" spans="1:12" x14ac:dyDescent="0.35">
      <c r="A26" s="1"/>
      <c r="B26" s="1"/>
      <c r="C26" s="1"/>
      <c r="D26" s="1"/>
      <c r="E26" s="1"/>
      <c r="F26" s="1"/>
      <c r="G26" s="1"/>
      <c r="H26" s="1"/>
      <c r="I26" s="1"/>
      <c r="J26" s="1"/>
      <c r="K26" s="1"/>
      <c r="L26" s="1"/>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77"/>
  <sheetViews>
    <sheetView topLeftCell="H39" zoomScale="80" zoomScaleNormal="80" workbookViewId="0">
      <selection activeCell="N49" sqref="N49"/>
    </sheetView>
  </sheetViews>
  <sheetFormatPr defaultRowHeight="14.5" x14ac:dyDescent="0.35"/>
  <cols>
    <col min="1" max="1" width="15.1796875" style="1" customWidth="1"/>
    <col min="2" max="2" width="12.81640625" style="1" customWidth="1"/>
    <col min="3" max="3" width="15.1796875" style="1" customWidth="1"/>
    <col min="4" max="4" width="16" style="1" customWidth="1"/>
    <col min="5" max="5" width="28.453125" style="1" customWidth="1"/>
    <col min="6" max="6" width="21.1796875" style="1" customWidth="1"/>
    <col min="7" max="7" width="41.1796875" style="1" bestFit="1" customWidth="1"/>
    <col min="8" max="8" width="16.54296875" style="4" customWidth="1"/>
    <col min="9" max="9" width="14.81640625" style="4" customWidth="1"/>
    <col min="10" max="10" width="15" style="4" customWidth="1"/>
    <col min="11" max="11" width="13.81640625" customWidth="1"/>
    <col min="12" max="12" width="11" customWidth="1"/>
    <col min="13" max="13" width="13.26953125" customWidth="1"/>
    <col min="15" max="15" width="14.453125" customWidth="1"/>
    <col min="16" max="16" width="8.7265625" style="4" customWidth="1"/>
    <col min="17" max="17" width="21" style="4" bestFit="1" customWidth="1"/>
    <col min="18" max="20" width="16.453125" style="4" customWidth="1"/>
    <col min="21" max="21" width="18.81640625" style="4" customWidth="1"/>
    <col min="22" max="22" width="18.54296875" style="4" customWidth="1"/>
    <col min="23" max="23" width="16.453125" style="4" customWidth="1"/>
  </cols>
  <sheetData>
    <row r="1" spans="1:30" ht="60.65" customHeight="1" x14ac:dyDescent="0.35">
      <c r="A1" s="6" t="s">
        <v>7</v>
      </c>
      <c r="B1" s="6" t="s">
        <v>8</v>
      </c>
      <c r="C1" s="6" t="s">
        <v>23</v>
      </c>
      <c r="D1" s="6" t="s">
        <v>24</v>
      </c>
      <c r="E1" s="6" t="s">
        <v>25</v>
      </c>
      <c r="F1" s="6" t="s">
        <v>26</v>
      </c>
      <c r="G1" s="13" t="s">
        <v>27</v>
      </c>
      <c r="H1" s="6" t="s">
        <v>28</v>
      </c>
      <c r="I1" s="6" t="s">
        <v>29</v>
      </c>
      <c r="J1" s="6" t="s">
        <v>30</v>
      </c>
      <c r="K1" s="6" t="s">
        <v>29</v>
      </c>
      <c r="L1" s="6" t="s">
        <v>31</v>
      </c>
      <c r="M1" s="6" t="s">
        <v>32</v>
      </c>
      <c r="O1" s="6" t="s">
        <v>33</v>
      </c>
      <c r="P1" s="6" t="s">
        <v>34</v>
      </c>
      <c r="Q1" s="6" t="s">
        <v>35</v>
      </c>
      <c r="R1" s="6" t="s">
        <v>36</v>
      </c>
      <c r="S1" s="6" t="s">
        <v>37</v>
      </c>
      <c r="T1" s="6" t="s">
        <v>38</v>
      </c>
      <c r="U1" s="12" t="s">
        <v>39</v>
      </c>
      <c r="V1" s="12" t="s">
        <v>40</v>
      </c>
      <c r="W1" s="12" t="s">
        <v>41</v>
      </c>
    </row>
    <row r="2" spans="1:30" x14ac:dyDescent="0.35">
      <c r="A2" s="57">
        <v>1</v>
      </c>
      <c r="B2" s="1">
        <v>1079.529030351737</v>
      </c>
      <c r="C2" s="1">
        <f t="shared" ref="C2:C33" si="0">B2/$G$5</f>
        <v>1.6266958248787162E-3</v>
      </c>
      <c r="D2" s="1">
        <f t="shared" ref="D2:D33" si="1">C2*$G$11</f>
        <v>655.07040867865896</v>
      </c>
      <c r="E2" s="1">
        <f t="shared" ref="E2:E33" si="2">_xlfn.CEILING.MATH(D2/$G$20)</f>
        <v>7</v>
      </c>
      <c r="F2" s="1">
        <f t="shared" ref="F2:F33" si="3">E2*$G$20</f>
        <v>700</v>
      </c>
      <c r="G2" s="1">
        <v>662805</v>
      </c>
      <c r="H2" s="4">
        <f t="shared" ref="H2:H33" si="4">B2*$G$17</f>
        <v>167.32699970451924</v>
      </c>
      <c r="I2" s="4">
        <f t="shared" ref="I2:I33" si="5">H2-F2</f>
        <v>-532.67300029548073</v>
      </c>
      <c r="J2" s="4">
        <f t="shared" ref="J2:J33" si="6">H2*$G$23</f>
        <v>4183.1749926129805</v>
      </c>
      <c r="K2">
        <f t="shared" ref="K2:K33" si="7">J2-F2</f>
        <v>3483.1749926129805</v>
      </c>
      <c r="L2">
        <f t="shared" ref="L2:L33" si="8">F2/($G$23*B2)</f>
        <v>2.5937236714122375E-2</v>
      </c>
      <c r="M2">
        <f t="shared" ref="M2:M33" si="9">F2/($G$36*B2)</f>
        <v>4.8263537257758837E-2</v>
      </c>
      <c r="P2" s="4">
        <v>0</v>
      </c>
      <c r="Q2" s="4">
        <f>-F77</f>
        <v>-200800</v>
      </c>
      <c r="R2" s="4">
        <f>Q2</f>
        <v>-200800</v>
      </c>
      <c r="T2" s="4">
        <f>Q2</f>
        <v>-200800</v>
      </c>
      <c r="U2" s="4">
        <f>Q2</f>
        <v>-200800</v>
      </c>
      <c r="W2" s="4">
        <f>Q2</f>
        <v>-200800</v>
      </c>
    </row>
    <row r="3" spans="1:30" x14ac:dyDescent="0.35">
      <c r="A3" s="57">
        <v>2</v>
      </c>
      <c r="B3" s="1">
        <v>3886.3217817133332</v>
      </c>
      <c r="C3" s="1">
        <f t="shared" si="0"/>
        <v>5.856130996670348E-3</v>
      </c>
      <c r="D3" s="1">
        <f t="shared" si="1"/>
        <v>2358.2639523591492</v>
      </c>
      <c r="E3" s="1">
        <f t="shared" si="2"/>
        <v>24</v>
      </c>
      <c r="F3" s="1">
        <f t="shared" si="3"/>
        <v>2400</v>
      </c>
      <c r="H3" s="4">
        <f t="shared" si="4"/>
        <v>602.37987616556666</v>
      </c>
      <c r="I3" s="4">
        <f t="shared" si="5"/>
        <v>-1797.6201238344333</v>
      </c>
      <c r="J3" s="4">
        <f t="shared" si="6"/>
        <v>15059.496904139167</v>
      </c>
      <c r="K3">
        <f t="shared" si="7"/>
        <v>12659.496904139167</v>
      </c>
      <c r="L3">
        <f t="shared" si="8"/>
        <v>2.4702020417279293E-2</v>
      </c>
      <c r="M3">
        <f t="shared" si="9"/>
        <v>4.5965069289826958E-2</v>
      </c>
      <c r="P3" s="4">
        <v>1</v>
      </c>
      <c r="Q3" s="4">
        <f>H77</f>
        <v>51289.40533285743</v>
      </c>
      <c r="R3" s="4">
        <f t="shared" ref="R3:R27" si="10">R2+Q3</f>
        <v>-149510.59466714258</v>
      </c>
      <c r="S3" s="8">
        <f t="shared" ref="S3:S27" si="11">Q3/(1+$G$26)^P3</f>
        <v>48340.627080921236</v>
      </c>
      <c r="T3" s="8">
        <f t="shared" ref="T3:T27" si="12">S3+T2</f>
        <v>-152459.37291907877</v>
      </c>
      <c r="U3" s="8">
        <f t="shared" ref="U3:U27" si="13">$H$77*((1+$G$29)^P3)</f>
        <v>52571.640466178862</v>
      </c>
      <c r="V3" s="8">
        <f t="shared" ref="V3:V27" si="14">U3/(1+$G$26)^P3</f>
        <v>49549.142757944268</v>
      </c>
      <c r="W3" s="8">
        <f t="shared" ref="W3:W27" si="15">V3+W2</f>
        <v>-151250.85724205573</v>
      </c>
    </row>
    <row r="4" spans="1:30" x14ac:dyDescent="0.35">
      <c r="A4" s="57">
        <v>3</v>
      </c>
      <c r="B4" s="1">
        <v>3457.332910813851</v>
      </c>
      <c r="C4" s="1">
        <f t="shared" si="0"/>
        <v>5.2097061339834681E-3</v>
      </c>
      <c r="D4" s="1">
        <f t="shared" si="1"/>
        <v>2097.9486601551425</v>
      </c>
      <c r="E4" s="1">
        <f t="shared" si="2"/>
        <v>21</v>
      </c>
      <c r="F4" s="1">
        <f t="shared" si="3"/>
        <v>2100</v>
      </c>
      <c r="G4" s="13" t="s">
        <v>42</v>
      </c>
      <c r="H4" s="4">
        <f t="shared" si="4"/>
        <v>535.88660117614688</v>
      </c>
      <c r="I4" s="4">
        <f t="shared" si="5"/>
        <v>-1564.113398823853</v>
      </c>
      <c r="J4" s="4">
        <f t="shared" si="6"/>
        <v>13397.165029403672</v>
      </c>
      <c r="K4">
        <f t="shared" si="7"/>
        <v>11297.165029403672</v>
      </c>
      <c r="L4">
        <f t="shared" si="8"/>
        <v>2.4296184997766538E-2</v>
      </c>
      <c r="M4">
        <f t="shared" si="9"/>
        <v>4.5209898139327832E-2</v>
      </c>
      <c r="P4" s="4">
        <v>2</v>
      </c>
      <c r="Q4" s="4">
        <f t="shared" ref="Q4:Q27" si="16">Q3</f>
        <v>51289.40533285743</v>
      </c>
      <c r="R4" s="4">
        <f t="shared" si="10"/>
        <v>-98221.189334285154</v>
      </c>
      <c r="S4" s="8">
        <f t="shared" si="11"/>
        <v>45561.382734138773</v>
      </c>
      <c r="T4" s="8">
        <f t="shared" si="12"/>
        <v>-106897.99018493999</v>
      </c>
      <c r="U4" s="8">
        <f t="shared" si="13"/>
        <v>53885.931477833336</v>
      </c>
      <c r="V4" s="8">
        <f t="shared" si="14"/>
        <v>47867.927735054545</v>
      </c>
      <c r="W4" s="8">
        <f t="shared" si="15"/>
        <v>-103382.92950700119</v>
      </c>
      <c r="Y4" t="s">
        <v>6</v>
      </c>
    </row>
    <row r="5" spans="1:30" x14ac:dyDescent="0.35">
      <c r="A5" s="57">
        <v>4</v>
      </c>
      <c r="B5" s="1">
        <v>1453.8912212817379</v>
      </c>
      <c r="C5" s="1">
        <f t="shared" si="0"/>
        <v>2.1908060950581692E-3</v>
      </c>
      <c r="D5" s="1">
        <f t="shared" si="1"/>
        <v>882.23761447992479</v>
      </c>
      <c r="E5" s="1">
        <f t="shared" si="2"/>
        <v>9</v>
      </c>
      <c r="F5" s="1">
        <f t="shared" si="3"/>
        <v>900</v>
      </c>
      <c r="G5" s="1">
        <v>663633</v>
      </c>
      <c r="H5" s="4">
        <f t="shared" si="4"/>
        <v>225.35313929866936</v>
      </c>
      <c r="I5" s="4">
        <f t="shared" si="5"/>
        <v>-674.64686070133064</v>
      </c>
      <c r="J5" s="4">
        <f t="shared" si="6"/>
        <v>5633.8284824667344</v>
      </c>
      <c r="K5">
        <f t="shared" si="7"/>
        <v>4733.8284824667344</v>
      </c>
      <c r="L5">
        <f t="shared" si="8"/>
        <v>2.476113719722629E-2</v>
      </c>
      <c r="M5">
        <f t="shared" si="9"/>
        <v>4.6075072716289772E-2</v>
      </c>
      <c r="P5" s="4">
        <v>3</v>
      </c>
      <c r="Q5" s="4">
        <f t="shared" si="16"/>
        <v>51289.40533285743</v>
      </c>
      <c r="R5" s="4">
        <f t="shared" si="10"/>
        <v>-46931.784001427724</v>
      </c>
      <c r="S5" s="8">
        <f t="shared" si="11"/>
        <v>42941.925291365485</v>
      </c>
      <c r="T5" s="8">
        <f t="shared" si="12"/>
        <v>-63956.064893574505</v>
      </c>
      <c r="U5" s="8">
        <f t="shared" si="13"/>
        <v>55233.079764779162</v>
      </c>
      <c r="V5" s="8">
        <f t="shared" si="14"/>
        <v>46243.756765721875</v>
      </c>
      <c r="W5" s="8">
        <f t="shared" si="15"/>
        <v>-57139.172741279312</v>
      </c>
    </row>
    <row r="6" spans="1:30" x14ac:dyDescent="0.35">
      <c r="A6" s="57">
        <v>5</v>
      </c>
      <c r="B6" s="1">
        <v>3955.020115733626</v>
      </c>
      <c r="C6" s="1">
        <f t="shared" si="0"/>
        <v>5.9596495589182971E-3</v>
      </c>
      <c r="D6" s="1">
        <f t="shared" si="1"/>
        <v>2399.9508773763982</v>
      </c>
      <c r="E6" s="1">
        <f t="shared" si="2"/>
        <v>24</v>
      </c>
      <c r="F6" s="1">
        <f t="shared" si="3"/>
        <v>2400</v>
      </c>
      <c r="H6" s="4">
        <f t="shared" si="4"/>
        <v>613.02811793871206</v>
      </c>
      <c r="I6" s="4">
        <f t="shared" si="5"/>
        <v>-1786.9718820612879</v>
      </c>
      <c r="J6" s="4">
        <f t="shared" si="6"/>
        <v>15325.702948467802</v>
      </c>
      <c r="K6">
        <f t="shared" si="7"/>
        <v>12925.702948467802</v>
      </c>
      <c r="L6">
        <f t="shared" si="8"/>
        <v>2.4272948604761455E-2</v>
      </c>
      <c r="M6">
        <f t="shared" si="9"/>
        <v>4.5166660282809135E-2</v>
      </c>
      <c r="P6" s="4">
        <v>4</v>
      </c>
      <c r="Q6" s="4">
        <f t="shared" si="16"/>
        <v>51289.40533285743</v>
      </c>
      <c r="R6" s="7">
        <f t="shared" si="10"/>
        <v>4357.6213314297056</v>
      </c>
      <c r="S6" s="8">
        <f t="shared" si="11"/>
        <v>40473.06813512298</v>
      </c>
      <c r="T6" s="8">
        <f t="shared" si="12"/>
        <v>-23482.996758451525</v>
      </c>
      <c r="U6" s="8">
        <f t="shared" si="13"/>
        <v>56613.906758898636</v>
      </c>
      <c r="V6" s="8">
        <f t="shared" si="14"/>
        <v>44674.694330692662</v>
      </c>
      <c r="W6" s="8">
        <f t="shared" si="15"/>
        <v>-12464.478410586649</v>
      </c>
    </row>
    <row r="7" spans="1:30" x14ac:dyDescent="0.35">
      <c r="A7" s="57">
        <v>6</v>
      </c>
      <c r="B7" s="1">
        <v>2105.0165005377999</v>
      </c>
      <c r="C7" s="1">
        <f t="shared" si="0"/>
        <v>3.1719587490944539E-3</v>
      </c>
      <c r="D7" s="1">
        <f t="shared" si="1"/>
        <v>1277.3477882603365</v>
      </c>
      <c r="E7" s="1">
        <f t="shared" si="2"/>
        <v>13</v>
      </c>
      <c r="F7" s="1">
        <f t="shared" si="3"/>
        <v>1300</v>
      </c>
      <c r="G7" s="13" t="s">
        <v>43</v>
      </c>
      <c r="H7" s="4">
        <f t="shared" si="4"/>
        <v>326.277557583359</v>
      </c>
      <c r="I7" s="4">
        <f t="shared" si="5"/>
        <v>-973.722442416641</v>
      </c>
      <c r="J7" s="4">
        <f t="shared" si="6"/>
        <v>8156.9389395839753</v>
      </c>
      <c r="K7">
        <f t="shared" si="7"/>
        <v>6856.9389395839753</v>
      </c>
      <c r="L7">
        <f t="shared" si="8"/>
        <v>2.4702894246536686E-2</v>
      </c>
      <c r="M7">
        <f t="shared" si="9"/>
        <v>4.5966695295379743E-2</v>
      </c>
      <c r="P7" s="4">
        <v>5</v>
      </c>
      <c r="Q7" s="4">
        <f t="shared" si="16"/>
        <v>51289.40533285743</v>
      </c>
      <c r="R7" s="4">
        <f t="shared" si="10"/>
        <v>55647.026664287136</v>
      </c>
      <c r="S7" s="8">
        <f t="shared" si="11"/>
        <v>38146.15281349951</v>
      </c>
      <c r="T7" s="8">
        <f t="shared" si="12"/>
        <v>14663.156055047984</v>
      </c>
      <c r="U7" s="8">
        <f t="shared" si="13"/>
        <v>58029.254427871099</v>
      </c>
      <c r="V7" s="8">
        <f t="shared" si="14"/>
        <v>43158.870583374155</v>
      </c>
      <c r="W7" s="8">
        <f t="shared" si="15"/>
        <v>30694.392172787506</v>
      </c>
    </row>
    <row r="8" spans="1:30" x14ac:dyDescent="0.35">
      <c r="A8" s="57">
        <v>7</v>
      </c>
      <c r="B8" s="1">
        <v>1617.7934488334181</v>
      </c>
      <c r="C8" s="1">
        <f t="shared" si="0"/>
        <v>2.4377833061849218E-3</v>
      </c>
      <c r="D8" s="1">
        <f t="shared" si="1"/>
        <v>981.695337400668</v>
      </c>
      <c r="E8" s="1">
        <f t="shared" si="2"/>
        <v>10</v>
      </c>
      <c r="F8" s="1">
        <f t="shared" si="3"/>
        <v>1000</v>
      </c>
      <c r="G8" s="1">
        <v>651687</v>
      </c>
      <c r="H8" s="4">
        <f t="shared" si="4"/>
        <v>250.7579845691798</v>
      </c>
      <c r="I8" s="4">
        <f t="shared" si="5"/>
        <v>-749.24201543082017</v>
      </c>
      <c r="J8" s="4">
        <f t="shared" si="6"/>
        <v>6268.9496142294947</v>
      </c>
      <c r="K8">
        <f t="shared" si="7"/>
        <v>5268.9496142294947</v>
      </c>
      <c r="L8">
        <f t="shared" si="8"/>
        <v>2.4725035219325297E-2</v>
      </c>
      <c r="M8">
        <f t="shared" si="9"/>
        <v>4.6007894813928474E-2</v>
      </c>
      <c r="P8" s="4">
        <v>6</v>
      </c>
      <c r="Q8" s="4">
        <f t="shared" si="16"/>
        <v>51289.40533285743</v>
      </c>
      <c r="R8" s="4">
        <f t="shared" si="10"/>
        <v>106936.43199714457</v>
      </c>
      <c r="S8" s="8">
        <f t="shared" si="11"/>
        <v>35953.018674363346</v>
      </c>
      <c r="T8" s="8">
        <f t="shared" si="12"/>
        <v>50616.17472941133</v>
      </c>
      <c r="U8" s="8">
        <f t="shared" si="13"/>
        <v>59479.985788567872</v>
      </c>
      <c r="V8" s="8">
        <f t="shared" si="14"/>
        <v>41694.479121544297</v>
      </c>
      <c r="W8" s="8">
        <f t="shared" si="15"/>
        <v>72388.871294331795</v>
      </c>
    </row>
    <row r="9" spans="1:30" x14ac:dyDescent="0.35">
      <c r="A9" s="57">
        <v>8</v>
      </c>
      <c r="B9" s="28">
        <v>10161.74794678937</v>
      </c>
      <c r="C9" s="28">
        <f t="shared" si="0"/>
        <v>1.5312300543808657E-2</v>
      </c>
      <c r="D9" s="28">
        <f t="shared" si="1"/>
        <v>6166.263428991746</v>
      </c>
      <c r="E9" s="28">
        <f t="shared" si="2"/>
        <v>62</v>
      </c>
      <c r="F9" s="28">
        <f t="shared" si="3"/>
        <v>6200</v>
      </c>
      <c r="H9" s="4">
        <f t="shared" si="4"/>
        <v>1575.0709317523524</v>
      </c>
      <c r="I9" s="4">
        <f t="shared" si="5"/>
        <v>-4624.9290682476476</v>
      </c>
      <c r="J9" s="4">
        <f t="shared" si="6"/>
        <v>39376.773293808808</v>
      </c>
      <c r="K9">
        <f t="shared" si="7"/>
        <v>33176.773293808808</v>
      </c>
      <c r="L9">
        <f t="shared" si="8"/>
        <v>2.4405250090694903E-2</v>
      </c>
      <c r="M9">
        <f t="shared" si="9"/>
        <v>4.5412844476059339E-2</v>
      </c>
      <c r="P9" s="4">
        <v>7</v>
      </c>
      <c r="Q9" s="4">
        <f t="shared" si="16"/>
        <v>51289.40533285743</v>
      </c>
      <c r="R9" s="4">
        <f t="shared" si="10"/>
        <v>158225.83733000199</v>
      </c>
      <c r="S9" s="8">
        <f t="shared" si="11"/>
        <v>33885.974245394296</v>
      </c>
      <c r="T9" s="8">
        <f t="shared" si="12"/>
        <v>84502.148974805634</v>
      </c>
      <c r="U9" s="8">
        <f t="shared" si="13"/>
        <v>60966.985433282069</v>
      </c>
      <c r="V9" s="8">
        <f t="shared" si="14"/>
        <v>40279.774834668155</v>
      </c>
      <c r="W9" s="8">
        <f t="shared" si="15"/>
        <v>112668.64612899994</v>
      </c>
    </row>
    <row r="10" spans="1:30" x14ac:dyDescent="0.35">
      <c r="A10" s="57">
        <v>9</v>
      </c>
      <c r="B10" s="1">
        <v>5057.043251595851</v>
      </c>
      <c r="C10" s="1">
        <f t="shared" si="0"/>
        <v>7.6202407830771694E-3</v>
      </c>
      <c r="D10" s="1">
        <f t="shared" si="1"/>
        <v>3068.670963345176</v>
      </c>
      <c r="E10" s="1">
        <f t="shared" si="2"/>
        <v>31</v>
      </c>
      <c r="F10" s="1">
        <f t="shared" si="3"/>
        <v>3100</v>
      </c>
      <c r="G10" s="13" t="s">
        <v>44</v>
      </c>
      <c r="H10" s="4">
        <f t="shared" si="4"/>
        <v>783.84170399735694</v>
      </c>
      <c r="I10" s="4">
        <f t="shared" si="5"/>
        <v>-2316.1582960026431</v>
      </c>
      <c r="J10" s="4">
        <f t="shared" si="6"/>
        <v>19596.042599933924</v>
      </c>
      <c r="K10">
        <f t="shared" si="7"/>
        <v>16496.042599933924</v>
      </c>
      <c r="L10">
        <f t="shared" si="8"/>
        <v>2.4520256962577751E-2</v>
      </c>
      <c r="M10">
        <f t="shared" si="9"/>
        <v>4.5626847166754372E-2</v>
      </c>
      <c r="P10" s="4">
        <v>8</v>
      </c>
      <c r="Q10" s="4">
        <f t="shared" si="16"/>
        <v>51289.40533285743</v>
      </c>
      <c r="R10" s="4">
        <f t="shared" si="10"/>
        <v>209515.24266285941</v>
      </c>
      <c r="S10" s="8">
        <f t="shared" si="11"/>
        <v>31937.770259561072</v>
      </c>
      <c r="T10" s="8">
        <f t="shared" si="12"/>
        <v>116439.91923436671</v>
      </c>
      <c r="U10" s="8">
        <f t="shared" si="13"/>
        <v>62491.160069114121</v>
      </c>
      <c r="V10" s="8">
        <f t="shared" si="14"/>
        <v>38913.07182425529</v>
      </c>
      <c r="W10" s="8">
        <f t="shared" si="15"/>
        <v>151581.71795325523</v>
      </c>
    </row>
    <row r="11" spans="1:30" x14ac:dyDescent="0.35">
      <c r="A11" s="57">
        <v>10</v>
      </c>
      <c r="B11" s="1">
        <v>507.10444675644749</v>
      </c>
      <c r="C11" s="1">
        <f t="shared" si="0"/>
        <v>7.6413386127038212E-4</v>
      </c>
      <c r="D11" s="1">
        <f t="shared" si="1"/>
        <v>307.71670593358289</v>
      </c>
      <c r="E11" s="1">
        <f t="shared" si="2"/>
        <v>4</v>
      </c>
      <c r="F11" s="1">
        <f t="shared" si="3"/>
        <v>400</v>
      </c>
      <c r="G11" s="1">
        <v>402700</v>
      </c>
      <c r="H11" s="4">
        <f t="shared" si="4"/>
        <v>78.601189247249366</v>
      </c>
      <c r="I11" s="4">
        <f t="shared" si="5"/>
        <v>-321.39881075275065</v>
      </c>
      <c r="J11" s="4">
        <f t="shared" si="6"/>
        <v>1965.0297311812342</v>
      </c>
      <c r="K11">
        <f t="shared" si="7"/>
        <v>1565.0297311812342</v>
      </c>
      <c r="L11">
        <f t="shared" si="8"/>
        <v>3.1551685461130442E-2</v>
      </c>
      <c r="M11">
        <f t="shared" si="9"/>
        <v>5.8710801138242341E-2</v>
      </c>
      <c r="P11" s="4">
        <v>9</v>
      </c>
      <c r="Q11" s="4">
        <f t="shared" si="16"/>
        <v>51289.40533285743</v>
      </c>
      <c r="R11" s="4">
        <f t="shared" si="10"/>
        <v>260804.64799571683</v>
      </c>
      <c r="S11" s="8">
        <f t="shared" si="11"/>
        <v>30101.57423144305</v>
      </c>
      <c r="T11" s="8">
        <f t="shared" si="12"/>
        <v>146541.49346580976</v>
      </c>
      <c r="U11" s="8">
        <f t="shared" si="13"/>
        <v>64053.43907084196</v>
      </c>
      <c r="V11" s="8">
        <f t="shared" si="14"/>
        <v>37592.741394780081</v>
      </c>
      <c r="W11" s="8">
        <f t="shared" si="15"/>
        <v>189174.45934803531</v>
      </c>
      <c r="X11" t="s">
        <v>6</v>
      </c>
    </row>
    <row r="12" spans="1:30" x14ac:dyDescent="0.35">
      <c r="A12" s="57">
        <v>11</v>
      </c>
      <c r="B12" s="1">
        <v>480.82648360578531</v>
      </c>
      <c r="C12" s="1">
        <f t="shared" si="0"/>
        <v>7.2453672979762209E-4</v>
      </c>
      <c r="D12" s="1">
        <f t="shared" si="1"/>
        <v>291.7709410895024</v>
      </c>
      <c r="E12" s="1">
        <f t="shared" si="2"/>
        <v>3</v>
      </c>
      <c r="F12" s="1">
        <f t="shared" si="3"/>
        <v>300</v>
      </c>
      <c r="H12" s="4">
        <f t="shared" si="4"/>
        <v>74.528104958896719</v>
      </c>
      <c r="I12" s="4">
        <f t="shared" si="5"/>
        <v>-225.47189504110327</v>
      </c>
      <c r="J12" s="4">
        <f t="shared" si="6"/>
        <v>1863.202623972418</v>
      </c>
      <c r="K12">
        <f t="shared" si="7"/>
        <v>1563.202623972418</v>
      </c>
      <c r="L12">
        <f t="shared" si="8"/>
        <v>2.4957027969862048E-2</v>
      </c>
      <c r="M12">
        <f t="shared" si="9"/>
        <v>4.6439582695042038E-2</v>
      </c>
      <c r="P12" s="4">
        <v>10</v>
      </c>
      <c r="Q12" s="4">
        <f t="shared" si="16"/>
        <v>51289.40533285743</v>
      </c>
      <c r="R12" s="4">
        <f t="shared" si="10"/>
        <v>312094.05332857429</v>
      </c>
      <c r="S12" s="8">
        <f t="shared" si="11"/>
        <v>28370.946495233784</v>
      </c>
      <c r="T12" s="8">
        <f t="shared" si="12"/>
        <v>174912.43996104354</v>
      </c>
      <c r="U12" s="8">
        <f t="shared" si="13"/>
        <v>65654.775047613017</v>
      </c>
      <c r="V12" s="8">
        <f t="shared" si="14"/>
        <v>36317.210112770576</v>
      </c>
      <c r="W12" s="8">
        <f t="shared" si="15"/>
        <v>225491.66946080589</v>
      </c>
    </row>
    <row r="13" spans="1:30" x14ac:dyDescent="0.35">
      <c r="A13" s="58">
        <v>13</v>
      </c>
      <c r="B13" s="1">
        <v>4563.0069277860366</v>
      </c>
      <c r="C13" s="1">
        <f t="shared" si="0"/>
        <v>6.8757987137258647E-3</v>
      </c>
      <c r="D13" s="1">
        <f t="shared" si="1"/>
        <v>2768.8841420174058</v>
      </c>
      <c r="E13" s="1">
        <f t="shared" si="2"/>
        <v>28</v>
      </c>
      <c r="F13" s="1">
        <f t="shared" si="3"/>
        <v>2800</v>
      </c>
      <c r="G13" s="13" t="s">
        <v>45</v>
      </c>
      <c r="H13" s="4">
        <f t="shared" si="4"/>
        <v>707.26607380683572</v>
      </c>
      <c r="I13" s="4">
        <f t="shared" si="5"/>
        <v>-2092.7339261931643</v>
      </c>
      <c r="J13" s="4">
        <f t="shared" si="6"/>
        <v>17681.651845170894</v>
      </c>
      <c r="K13">
        <f t="shared" si="7"/>
        <v>14881.651845170894</v>
      </c>
      <c r="L13">
        <f t="shared" si="8"/>
        <v>2.4545218048648069E-2</v>
      </c>
      <c r="M13">
        <f t="shared" si="9"/>
        <v>4.5673294300688762E-2</v>
      </c>
      <c r="P13" s="4">
        <v>11</v>
      </c>
      <c r="Q13" s="4">
        <f t="shared" si="16"/>
        <v>51289.40533285743</v>
      </c>
      <c r="R13" s="4">
        <f t="shared" si="10"/>
        <v>363383.45866143174</v>
      </c>
      <c r="S13" s="8">
        <f t="shared" si="11"/>
        <v>26739.81762039</v>
      </c>
      <c r="T13" s="8">
        <f t="shared" si="12"/>
        <v>201652.25758143354</v>
      </c>
      <c r="U13" s="8">
        <f t="shared" si="13"/>
        <v>67296.144423803329</v>
      </c>
      <c r="V13" s="8">
        <f t="shared" si="14"/>
        <v>35084.957931752913</v>
      </c>
      <c r="W13" s="8">
        <f t="shared" si="15"/>
        <v>260576.62739255879</v>
      </c>
    </row>
    <row r="14" spans="1:30" x14ac:dyDescent="0.35">
      <c r="A14" s="58">
        <v>14</v>
      </c>
      <c r="B14" s="1">
        <v>2172.7675547581462</v>
      </c>
      <c r="C14" s="1">
        <f t="shared" si="0"/>
        <v>3.2740498961898309E-3</v>
      </c>
      <c r="D14" s="1">
        <f t="shared" si="1"/>
        <v>1318.459893195645</v>
      </c>
      <c r="E14" s="1">
        <f t="shared" si="2"/>
        <v>14</v>
      </c>
      <c r="F14" s="1">
        <f t="shared" si="3"/>
        <v>1400</v>
      </c>
      <c r="G14" s="1">
        <v>326430</v>
      </c>
      <c r="H14" s="4">
        <f t="shared" si="4"/>
        <v>336.77897098751265</v>
      </c>
      <c r="I14" s="4">
        <f t="shared" si="5"/>
        <v>-1063.2210290124874</v>
      </c>
      <c r="J14" s="4">
        <f t="shared" si="6"/>
        <v>8419.4742746878164</v>
      </c>
      <c r="K14">
        <f t="shared" si="7"/>
        <v>7019.4742746878164</v>
      </c>
      <c r="L14">
        <f t="shared" si="8"/>
        <v>2.5773580739166291E-2</v>
      </c>
      <c r="M14">
        <f t="shared" si="9"/>
        <v>4.7959009202908374E-2</v>
      </c>
      <c r="P14" s="4">
        <v>12</v>
      </c>
      <c r="Q14" s="4">
        <f t="shared" si="16"/>
        <v>51289.40533285743</v>
      </c>
      <c r="R14" s="4">
        <f t="shared" si="10"/>
        <v>414672.86399428919</v>
      </c>
      <c r="S14" s="8">
        <f t="shared" si="11"/>
        <v>25202.467125721018</v>
      </c>
      <c r="T14" s="8">
        <f t="shared" si="12"/>
        <v>226854.72470715456</v>
      </c>
      <c r="U14" s="8">
        <f t="shared" si="13"/>
        <v>68978.548034398409</v>
      </c>
      <c r="V14" s="8">
        <f t="shared" si="14"/>
        <v>33894.516380816909</v>
      </c>
      <c r="W14" s="8">
        <f t="shared" si="15"/>
        <v>294471.14377337572</v>
      </c>
      <c r="Y14" s="96" t="s">
        <v>46</v>
      </c>
      <c r="Z14" s="97"/>
      <c r="AA14" s="97"/>
      <c r="AB14" s="97"/>
      <c r="AC14" s="97"/>
      <c r="AD14" s="97"/>
    </row>
    <row r="15" spans="1:30" x14ac:dyDescent="0.35">
      <c r="A15" s="58">
        <v>15</v>
      </c>
      <c r="B15" s="1">
        <v>4548.2349752288228</v>
      </c>
      <c r="C15" s="1">
        <f t="shared" si="0"/>
        <v>6.8535394943121013E-3</v>
      </c>
      <c r="D15" s="1">
        <f t="shared" si="1"/>
        <v>2759.9203543594831</v>
      </c>
      <c r="E15" s="1">
        <f t="shared" si="2"/>
        <v>28</v>
      </c>
      <c r="F15" s="1">
        <f t="shared" si="3"/>
        <v>2800</v>
      </c>
      <c r="H15" s="4">
        <f t="shared" si="4"/>
        <v>704.97642116046757</v>
      </c>
      <c r="I15" s="4">
        <f t="shared" si="5"/>
        <v>-2095.0235788395325</v>
      </c>
      <c r="J15" s="4">
        <f t="shared" si="6"/>
        <v>17624.41052901169</v>
      </c>
      <c r="K15">
        <f t="shared" si="7"/>
        <v>14824.41052901169</v>
      </c>
      <c r="L15">
        <f t="shared" si="8"/>
        <v>2.4624937060197784E-2</v>
      </c>
      <c r="M15">
        <f t="shared" si="9"/>
        <v>4.5821633984151906E-2</v>
      </c>
      <c r="P15" s="4">
        <v>13</v>
      </c>
      <c r="Q15" s="4">
        <f t="shared" si="16"/>
        <v>51289.40533285743</v>
      </c>
      <c r="R15" s="4">
        <f t="shared" si="10"/>
        <v>465962.26932714664</v>
      </c>
      <c r="S15" s="8">
        <f t="shared" si="11"/>
        <v>23753.503417267686</v>
      </c>
      <c r="T15" s="8">
        <f t="shared" si="12"/>
        <v>250608.22812442225</v>
      </c>
      <c r="U15" s="8">
        <f t="shared" si="13"/>
        <v>70703.011735258362</v>
      </c>
      <c r="V15" s="8">
        <f t="shared" si="14"/>
        <v>32744.466814644034</v>
      </c>
      <c r="W15" s="8">
        <f t="shared" si="15"/>
        <v>327215.61058801977</v>
      </c>
      <c r="Y15" s="97"/>
      <c r="Z15" s="97"/>
      <c r="AA15" s="97"/>
      <c r="AB15" s="97"/>
      <c r="AC15" s="97"/>
      <c r="AD15" s="97"/>
    </row>
    <row r="16" spans="1:30" x14ac:dyDescent="0.35">
      <c r="A16" s="58">
        <v>16</v>
      </c>
      <c r="B16" s="1">
        <v>5476.90270703035</v>
      </c>
      <c r="C16" s="1">
        <f t="shared" si="0"/>
        <v>8.252908922597807E-3</v>
      </c>
      <c r="D16" s="1">
        <f t="shared" si="1"/>
        <v>3323.4464231301367</v>
      </c>
      <c r="E16" s="1">
        <f t="shared" si="2"/>
        <v>34</v>
      </c>
      <c r="F16" s="1">
        <f t="shared" si="3"/>
        <v>3400</v>
      </c>
      <c r="G16" s="13" t="s">
        <v>47</v>
      </c>
      <c r="H16" s="4">
        <f t="shared" si="4"/>
        <v>848.91991958970425</v>
      </c>
      <c r="I16" s="4">
        <f t="shared" si="5"/>
        <v>-2551.0800804102955</v>
      </c>
      <c r="J16" s="4">
        <f t="shared" si="6"/>
        <v>21222.997989742606</v>
      </c>
      <c r="K16">
        <f t="shared" si="7"/>
        <v>17822.997989742606</v>
      </c>
      <c r="L16">
        <f t="shared" si="8"/>
        <v>2.4831553028215287E-2</v>
      </c>
      <c r="M16">
        <f t="shared" si="9"/>
        <v>4.6206101210956793E-2</v>
      </c>
      <c r="P16" s="4">
        <v>14</v>
      </c>
      <c r="Q16" s="4">
        <f t="shared" si="16"/>
        <v>51289.40533285743</v>
      </c>
      <c r="R16" s="4">
        <f t="shared" si="10"/>
        <v>517251.67466000409</v>
      </c>
      <c r="S16" s="8">
        <f t="shared" si="11"/>
        <v>22387.844879611392</v>
      </c>
      <c r="T16" s="8">
        <f t="shared" si="12"/>
        <v>272996.07300403365</v>
      </c>
      <c r="U16" s="8">
        <f t="shared" si="13"/>
        <v>72470.587028639813</v>
      </c>
      <c r="V16" s="8">
        <f t="shared" si="14"/>
        <v>31633.438722912473</v>
      </c>
      <c r="W16" s="8">
        <f t="shared" si="15"/>
        <v>358849.04931093223</v>
      </c>
      <c r="Y16" s="97"/>
      <c r="Z16" s="97"/>
      <c r="AA16" s="97"/>
      <c r="AB16" s="97"/>
      <c r="AC16" s="97"/>
      <c r="AD16" s="97"/>
    </row>
    <row r="17" spans="1:23" x14ac:dyDescent="0.35">
      <c r="A17" s="58">
        <v>17</v>
      </c>
      <c r="B17" s="1">
        <v>2180.0429312531028</v>
      </c>
      <c r="C17" s="1">
        <f t="shared" si="0"/>
        <v>3.2850128478437673E-3</v>
      </c>
      <c r="D17" s="1">
        <f t="shared" si="1"/>
        <v>1322.874673826685</v>
      </c>
      <c r="E17" s="1">
        <f t="shared" si="2"/>
        <v>14</v>
      </c>
      <c r="F17" s="1">
        <f t="shared" si="3"/>
        <v>1400</v>
      </c>
      <c r="G17" s="1">
        <v>0.155</v>
      </c>
      <c r="H17" s="4">
        <f t="shared" si="4"/>
        <v>337.9066543442309</v>
      </c>
      <c r="I17" s="4">
        <f t="shared" si="5"/>
        <v>-1062.0933456557691</v>
      </c>
      <c r="J17" s="4">
        <f t="shared" si="6"/>
        <v>8447.666358605773</v>
      </c>
      <c r="K17">
        <f t="shared" si="7"/>
        <v>7047.666358605773</v>
      </c>
      <c r="L17">
        <f t="shared" si="8"/>
        <v>2.5687567523182141E-2</v>
      </c>
      <c r="M17">
        <f t="shared" si="9"/>
        <v>4.7798957378573113E-2</v>
      </c>
      <c r="P17" s="4">
        <v>15</v>
      </c>
      <c r="Q17" s="4">
        <f t="shared" si="16"/>
        <v>51289.40533285743</v>
      </c>
      <c r="R17" s="4">
        <f t="shared" si="10"/>
        <v>568541.07999286149</v>
      </c>
      <c r="S17" s="8">
        <f t="shared" si="11"/>
        <v>21100.702054299145</v>
      </c>
      <c r="T17" s="8">
        <f t="shared" si="12"/>
        <v>294096.77505833277</v>
      </c>
      <c r="U17" s="8">
        <f t="shared" si="13"/>
        <v>74282.351704355824</v>
      </c>
      <c r="V17" s="8">
        <f t="shared" si="14"/>
        <v>30560.108097064367</v>
      </c>
      <c r="W17" s="8">
        <f t="shared" si="15"/>
        <v>389409.15740799659</v>
      </c>
    </row>
    <row r="18" spans="1:23" x14ac:dyDescent="0.35">
      <c r="A18" s="58">
        <v>18</v>
      </c>
      <c r="B18" s="1">
        <v>5524.0028847571884</v>
      </c>
      <c r="C18" s="1">
        <f t="shared" si="0"/>
        <v>8.3238821528724295E-3</v>
      </c>
      <c r="D18" s="1">
        <f t="shared" si="1"/>
        <v>3352.0273429617273</v>
      </c>
      <c r="E18" s="1">
        <f t="shared" si="2"/>
        <v>34</v>
      </c>
      <c r="F18" s="1">
        <f t="shared" si="3"/>
        <v>3400</v>
      </c>
      <c r="H18" s="4">
        <f t="shared" si="4"/>
        <v>856.2204471373642</v>
      </c>
      <c r="I18" s="4">
        <f t="shared" si="5"/>
        <v>-2543.7795528626357</v>
      </c>
      <c r="J18" s="4">
        <f t="shared" si="6"/>
        <v>21405.511178434106</v>
      </c>
      <c r="K18">
        <f t="shared" si="7"/>
        <v>18005.511178434106</v>
      </c>
      <c r="L18">
        <f t="shared" si="8"/>
        <v>2.4619827838119963E-2</v>
      </c>
      <c r="M18">
        <f t="shared" si="9"/>
        <v>4.5812126836847468E-2</v>
      </c>
      <c r="P18" s="4">
        <v>16</v>
      </c>
      <c r="Q18" s="4">
        <f t="shared" si="16"/>
        <v>51289.40533285743</v>
      </c>
      <c r="R18" s="4">
        <f t="shared" si="10"/>
        <v>619830.48532571888</v>
      </c>
      <c r="S18" s="8">
        <f t="shared" si="11"/>
        <v>19887.560842883267</v>
      </c>
      <c r="T18" s="8">
        <f t="shared" si="12"/>
        <v>313984.33590121602</v>
      </c>
      <c r="U18" s="8">
        <f t="shared" si="13"/>
        <v>76139.410496964716</v>
      </c>
      <c r="V18" s="8">
        <f t="shared" si="14"/>
        <v>29523.195852489138</v>
      </c>
      <c r="W18" s="8">
        <f t="shared" si="15"/>
        <v>418932.35326048575</v>
      </c>
    </row>
    <row r="19" spans="1:23" x14ac:dyDescent="0.35">
      <c r="A19" s="58">
        <v>19</v>
      </c>
      <c r="B19" s="1">
        <v>6393.5501464958952</v>
      </c>
      <c r="C19" s="1">
        <f t="shared" si="0"/>
        <v>9.6341654898052017E-3</v>
      </c>
      <c r="D19" s="1">
        <f t="shared" si="1"/>
        <v>3879.6784427445546</v>
      </c>
      <c r="E19" s="1">
        <f t="shared" si="2"/>
        <v>39</v>
      </c>
      <c r="F19" s="1">
        <f t="shared" si="3"/>
        <v>3900</v>
      </c>
      <c r="G19" s="13" t="s">
        <v>48</v>
      </c>
      <c r="H19" s="4">
        <f t="shared" si="4"/>
        <v>991.00027270686371</v>
      </c>
      <c r="I19" s="4">
        <f t="shared" si="5"/>
        <v>-2908.9997272931364</v>
      </c>
      <c r="J19" s="4">
        <f t="shared" si="6"/>
        <v>24775.006817671594</v>
      </c>
      <c r="K19">
        <f t="shared" si="7"/>
        <v>20875.006817671594</v>
      </c>
      <c r="L19">
        <f t="shared" si="8"/>
        <v>2.4399589652940895E-2</v>
      </c>
      <c r="M19">
        <f t="shared" si="9"/>
        <v>4.5402311636672979E-2</v>
      </c>
      <c r="P19" s="4">
        <v>17</v>
      </c>
      <c r="Q19" s="4">
        <f t="shared" si="16"/>
        <v>51289.40533285743</v>
      </c>
      <c r="R19" s="4">
        <f t="shared" si="10"/>
        <v>671119.89065857627</v>
      </c>
      <c r="S19" s="8">
        <f t="shared" si="11"/>
        <v>18744.166675667551</v>
      </c>
      <c r="T19" s="8">
        <f t="shared" si="12"/>
        <v>332728.50257688359</v>
      </c>
      <c r="U19" s="8">
        <f t="shared" si="13"/>
        <v>78042.895759388819</v>
      </c>
      <c r="V19" s="8">
        <f t="shared" si="14"/>
        <v>28521.466304242567</v>
      </c>
      <c r="W19" s="8">
        <f t="shared" si="15"/>
        <v>447453.8195647283</v>
      </c>
    </row>
    <row r="20" spans="1:23" x14ac:dyDescent="0.35">
      <c r="A20" s="58">
        <v>20</v>
      </c>
      <c r="B20" s="1">
        <v>6287.6864400653858</v>
      </c>
      <c r="C20" s="1">
        <f t="shared" si="0"/>
        <v>9.474644027746339E-3</v>
      </c>
      <c r="D20" s="1">
        <f t="shared" si="1"/>
        <v>3815.4391499734506</v>
      </c>
      <c r="E20" s="1">
        <f t="shared" si="2"/>
        <v>39</v>
      </c>
      <c r="F20" s="1">
        <f t="shared" si="3"/>
        <v>3900</v>
      </c>
      <c r="G20" s="1">
        <v>100</v>
      </c>
      <c r="H20" s="4">
        <f t="shared" si="4"/>
        <v>974.5913982101348</v>
      </c>
      <c r="I20" s="4">
        <f t="shared" si="5"/>
        <v>-2925.4086017898653</v>
      </c>
      <c r="J20" s="4">
        <f t="shared" si="6"/>
        <v>24364.78495525337</v>
      </c>
      <c r="K20">
        <f t="shared" si="7"/>
        <v>20464.78495525337</v>
      </c>
      <c r="L20">
        <f t="shared" si="8"/>
        <v>2.481039751059497E-2</v>
      </c>
      <c r="M20">
        <f t="shared" si="9"/>
        <v>4.6166735409420991E-2</v>
      </c>
      <c r="P20" s="4">
        <v>18</v>
      </c>
      <c r="Q20" s="4">
        <f t="shared" si="16"/>
        <v>51289.40533285743</v>
      </c>
      <c r="R20" s="4">
        <f t="shared" si="10"/>
        <v>722409.29599143367</v>
      </c>
      <c r="S20" s="8">
        <f t="shared" si="11"/>
        <v>17666.509590638594</v>
      </c>
      <c r="T20" s="8">
        <f t="shared" si="12"/>
        <v>350395.01216752216</v>
      </c>
      <c r="U20" s="8">
        <f t="shared" si="13"/>
        <v>79993.968153373542</v>
      </c>
      <c r="V20" s="8">
        <f t="shared" si="14"/>
        <v>27553.725694485045</v>
      </c>
      <c r="W20" s="8">
        <f t="shared" si="15"/>
        <v>475007.54525921337</v>
      </c>
    </row>
    <row r="21" spans="1:23" x14ac:dyDescent="0.35">
      <c r="A21" s="58">
        <v>21</v>
      </c>
      <c r="B21" s="1">
        <v>1195.617299383852</v>
      </c>
      <c r="C21" s="1">
        <f t="shared" si="0"/>
        <v>1.8016242401807203E-3</v>
      </c>
      <c r="D21" s="1">
        <f t="shared" si="1"/>
        <v>725.51408152077602</v>
      </c>
      <c r="E21" s="1">
        <f t="shared" si="2"/>
        <v>8</v>
      </c>
      <c r="F21" s="1">
        <f t="shared" si="3"/>
        <v>800</v>
      </c>
      <c r="H21" s="4">
        <f t="shared" si="4"/>
        <v>185.32068140449707</v>
      </c>
      <c r="I21" s="4">
        <f t="shared" si="5"/>
        <v>-614.67931859550299</v>
      </c>
      <c r="J21" s="4">
        <f t="shared" si="6"/>
        <v>4633.017035112427</v>
      </c>
      <c r="K21">
        <f t="shared" si="7"/>
        <v>3833.017035112427</v>
      </c>
      <c r="L21">
        <f t="shared" si="8"/>
        <v>2.6764417022479385E-2</v>
      </c>
      <c r="M21">
        <f t="shared" si="9"/>
        <v>4.9802739296561059E-2</v>
      </c>
      <c r="P21" s="4">
        <v>19</v>
      </c>
      <c r="Q21" s="4">
        <f t="shared" si="16"/>
        <v>51289.40533285743</v>
      </c>
      <c r="R21" s="4">
        <f t="shared" si="10"/>
        <v>773698.70132429106</v>
      </c>
      <c r="S21" s="8">
        <f t="shared" si="11"/>
        <v>16650.810170253157</v>
      </c>
      <c r="T21" s="8">
        <f t="shared" si="12"/>
        <v>367045.82233777532</v>
      </c>
      <c r="U21" s="8">
        <f t="shared" si="13"/>
        <v>81993.817357207881</v>
      </c>
      <c r="V21" s="8">
        <f t="shared" si="14"/>
        <v>26618.820769884238</v>
      </c>
      <c r="W21" s="8">
        <f t="shared" si="15"/>
        <v>501626.36602909758</v>
      </c>
    </row>
    <row r="22" spans="1:23" x14ac:dyDescent="0.35">
      <c r="A22" s="58">
        <v>22</v>
      </c>
      <c r="B22" s="1">
        <v>4102.942217502793</v>
      </c>
      <c r="C22" s="1">
        <f t="shared" si="0"/>
        <v>6.1825470064068438E-3</v>
      </c>
      <c r="D22" s="1">
        <f t="shared" si="1"/>
        <v>2489.7116794800359</v>
      </c>
      <c r="E22" s="1">
        <f t="shared" si="2"/>
        <v>25</v>
      </c>
      <c r="F22" s="1">
        <f t="shared" si="3"/>
        <v>2500</v>
      </c>
      <c r="G22" s="13" t="s">
        <v>49</v>
      </c>
      <c r="H22" s="4">
        <f t="shared" si="4"/>
        <v>635.95604371293291</v>
      </c>
      <c r="I22" s="4">
        <f t="shared" si="5"/>
        <v>-1864.043956287067</v>
      </c>
      <c r="J22" s="4">
        <f t="shared" si="6"/>
        <v>15898.901092823322</v>
      </c>
      <c r="K22">
        <f t="shared" si="7"/>
        <v>13398.901092823322</v>
      </c>
      <c r="L22">
        <f t="shared" si="8"/>
        <v>2.4372753672573973E-2</v>
      </c>
      <c r="M22">
        <f t="shared" si="9"/>
        <v>4.5352375733609639E-2</v>
      </c>
      <c r="P22" s="4">
        <v>20</v>
      </c>
      <c r="Q22" s="4">
        <f t="shared" si="16"/>
        <v>51289.40533285743</v>
      </c>
      <c r="R22" s="4">
        <f t="shared" si="10"/>
        <v>824988.10665714846</v>
      </c>
      <c r="S22" s="8">
        <f t="shared" si="11"/>
        <v>15693.506286760748</v>
      </c>
      <c r="T22" s="8">
        <f t="shared" si="12"/>
        <v>382739.32862453605</v>
      </c>
      <c r="U22" s="8">
        <f t="shared" si="13"/>
        <v>84043.662791138078</v>
      </c>
      <c r="V22" s="8">
        <f t="shared" si="14"/>
        <v>25715.637407286842</v>
      </c>
      <c r="W22" s="8">
        <f t="shared" si="15"/>
        <v>527342.00343638437</v>
      </c>
    </row>
    <row r="23" spans="1:23" x14ac:dyDescent="0.35">
      <c r="A23" s="58">
        <v>23</v>
      </c>
      <c r="B23" s="1">
        <v>2916.9354826987528</v>
      </c>
      <c r="C23" s="1">
        <f t="shared" si="0"/>
        <v>4.3954045122812655E-3</v>
      </c>
      <c r="D23" s="1">
        <f t="shared" si="1"/>
        <v>1770.0293970956657</v>
      </c>
      <c r="E23" s="1">
        <f t="shared" si="2"/>
        <v>18</v>
      </c>
      <c r="F23" s="1">
        <f t="shared" si="3"/>
        <v>1800</v>
      </c>
      <c r="G23" s="1">
        <v>25</v>
      </c>
      <c r="H23" s="4">
        <f t="shared" si="4"/>
        <v>452.12499981830666</v>
      </c>
      <c r="I23" s="4">
        <f t="shared" si="5"/>
        <v>-1347.8750001816934</v>
      </c>
      <c r="J23" s="4">
        <f t="shared" si="6"/>
        <v>11303.124995457667</v>
      </c>
      <c r="K23">
        <f t="shared" si="7"/>
        <v>9503.124995457667</v>
      </c>
      <c r="L23">
        <f t="shared" si="8"/>
        <v>2.4683439324268322E-2</v>
      </c>
      <c r="M23">
        <f t="shared" si="9"/>
        <v>4.5930493930674055E-2</v>
      </c>
      <c r="P23" s="4">
        <v>21</v>
      </c>
      <c r="Q23" s="4">
        <f t="shared" si="16"/>
        <v>51289.40533285743</v>
      </c>
      <c r="R23" s="4">
        <f t="shared" si="10"/>
        <v>876277.51199000585</v>
      </c>
      <c r="S23" s="8">
        <f t="shared" si="11"/>
        <v>14791.240609576578</v>
      </c>
      <c r="T23" s="8">
        <f t="shared" si="12"/>
        <v>397530.56923411263</v>
      </c>
      <c r="U23" s="8">
        <f t="shared" si="13"/>
        <v>86144.754360916515</v>
      </c>
      <c r="V23" s="8">
        <f t="shared" si="14"/>
        <v>24843.099286021687</v>
      </c>
      <c r="W23" s="8">
        <f t="shared" si="15"/>
        <v>552185.10272240604</v>
      </c>
    </row>
    <row r="24" spans="1:23" x14ac:dyDescent="0.35">
      <c r="A24" s="58">
        <v>24</v>
      </c>
      <c r="B24" s="1">
        <v>4395.7178346280416</v>
      </c>
      <c r="C24" s="1">
        <f t="shared" si="0"/>
        <v>6.6237179806128412E-3</v>
      </c>
      <c r="D24" s="1">
        <f t="shared" si="1"/>
        <v>2667.3712307927913</v>
      </c>
      <c r="E24" s="1">
        <f t="shared" si="2"/>
        <v>27</v>
      </c>
      <c r="F24" s="1">
        <f t="shared" si="3"/>
        <v>2700</v>
      </c>
      <c r="H24" s="4">
        <f t="shared" si="4"/>
        <v>681.33626436734642</v>
      </c>
      <c r="I24" s="4">
        <f t="shared" si="5"/>
        <v>-2018.6637356326537</v>
      </c>
      <c r="J24" s="4">
        <f t="shared" si="6"/>
        <v>17033.406609183661</v>
      </c>
      <c r="K24">
        <f t="shared" si="7"/>
        <v>14333.406609183661</v>
      </c>
      <c r="L24">
        <f t="shared" si="8"/>
        <v>2.4569365929089208E-2</v>
      </c>
      <c r="M24">
        <f t="shared" si="9"/>
        <v>4.5718228236412625E-2</v>
      </c>
      <c r="P24" s="4">
        <v>22</v>
      </c>
      <c r="Q24" s="4">
        <f t="shared" si="16"/>
        <v>51289.40533285743</v>
      </c>
      <c r="R24" s="4">
        <f t="shared" si="10"/>
        <v>927566.91732286324</v>
      </c>
      <c r="S24" s="8">
        <f t="shared" si="11"/>
        <v>13940.848830892155</v>
      </c>
      <c r="T24" s="8">
        <f t="shared" si="12"/>
        <v>411471.41806500481</v>
      </c>
      <c r="U24" s="8">
        <f t="shared" si="13"/>
        <v>88298.373219939429</v>
      </c>
      <c r="V24" s="8">
        <f t="shared" si="14"/>
        <v>24000.166605251863</v>
      </c>
      <c r="W24" s="8">
        <f t="shared" si="15"/>
        <v>576185.26932765788</v>
      </c>
    </row>
    <row r="25" spans="1:23" x14ac:dyDescent="0.35">
      <c r="A25" s="58">
        <v>25</v>
      </c>
      <c r="B25" s="1">
        <v>3480.4540913845358</v>
      </c>
      <c r="C25" s="1">
        <f t="shared" si="0"/>
        <v>5.244546445677861E-3</v>
      </c>
      <c r="D25" s="1">
        <f t="shared" si="1"/>
        <v>2111.9788536744745</v>
      </c>
      <c r="E25" s="1">
        <f t="shared" si="2"/>
        <v>22</v>
      </c>
      <c r="F25" s="1">
        <f t="shared" si="3"/>
        <v>2200</v>
      </c>
      <c r="G25" s="13" t="s">
        <v>249</v>
      </c>
      <c r="H25" s="4">
        <f t="shared" si="4"/>
        <v>539.47038416460305</v>
      </c>
      <c r="I25" s="4">
        <f t="shared" si="5"/>
        <v>-1660.529615835397</v>
      </c>
      <c r="J25" s="4">
        <f t="shared" si="6"/>
        <v>13486.759604115075</v>
      </c>
      <c r="K25">
        <f t="shared" si="7"/>
        <v>11286.759604115075</v>
      </c>
      <c r="L25">
        <f t="shared" si="8"/>
        <v>2.528405710560409E-2</v>
      </c>
      <c r="M25">
        <f t="shared" si="9"/>
        <v>4.7048112549290727E-2</v>
      </c>
      <c r="P25" s="4">
        <v>23</v>
      </c>
      <c r="Q25" s="4">
        <f t="shared" si="16"/>
        <v>51289.40533285743</v>
      </c>
      <c r="R25" s="4">
        <f t="shared" si="10"/>
        <v>978856.32265572064</v>
      </c>
      <c r="S25" s="8">
        <f t="shared" si="11"/>
        <v>13139.34856823012</v>
      </c>
      <c r="T25" s="8">
        <f t="shared" si="12"/>
        <v>424610.76663323492</v>
      </c>
      <c r="U25" s="8">
        <f t="shared" si="13"/>
        <v>90505.832550437917</v>
      </c>
      <c r="V25" s="8">
        <f t="shared" si="14"/>
        <v>23185.834844847472</v>
      </c>
      <c r="W25" s="8">
        <f t="shared" si="15"/>
        <v>599371.10417250532</v>
      </c>
    </row>
    <row r="26" spans="1:23" x14ac:dyDescent="0.35">
      <c r="A26" s="58">
        <v>26</v>
      </c>
      <c r="B26" s="1">
        <v>5233.1130996820621</v>
      </c>
      <c r="C26" s="1">
        <f t="shared" si="0"/>
        <v>7.885552857802524E-3</v>
      </c>
      <c r="D26" s="1">
        <f t="shared" si="1"/>
        <v>3175.5121358370766</v>
      </c>
      <c r="E26" s="1">
        <f t="shared" si="2"/>
        <v>32</v>
      </c>
      <c r="F26" s="1">
        <f t="shared" si="3"/>
        <v>3200</v>
      </c>
      <c r="G26" s="1">
        <v>6.0999999999999999E-2</v>
      </c>
      <c r="H26" s="4">
        <f t="shared" si="4"/>
        <v>811.13253045071963</v>
      </c>
      <c r="I26" s="4">
        <f t="shared" si="5"/>
        <v>-2388.8674695492805</v>
      </c>
      <c r="J26" s="4">
        <f t="shared" si="6"/>
        <v>20278.313261267991</v>
      </c>
      <c r="K26">
        <f t="shared" si="7"/>
        <v>17078.313261267991</v>
      </c>
      <c r="L26">
        <f t="shared" si="8"/>
        <v>2.4459628057298559E-2</v>
      </c>
      <c r="M26">
        <f t="shared" si="9"/>
        <v>4.5514030005038522E-2</v>
      </c>
      <c r="P26" s="4">
        <v>24</v>
      </c>
      <c r="Q26" s="4">
        <f t="shared" si="16"/>
        <v>51289.40533285743</v>
      </c>
      <c r="R26" s="4">
        <f t="shared" si="10"/>
        <v>1030145.727988578</v>
      </c>
      <c r="S26" s="8">
        <f t="shared" si="11"/>
        <v>12383.928905023677</v>
      </c>
      <c r="T26" s="8">
        <f t="shared" si="12"/>
        <v>436994.69553825859</v>
      </c>
      <c r="U26" s="8">
        <f t="shared" si="13"/>
        <v>92768.478364198862</v>
      </c>
      <c r="V26" s="8">
        <f t="shared" si="14"/>
        <v>22399.133568302223</v>
      </c>
      <c r="W26" s="8">
        <f t="shared" si="15"/>
        <v>621770.23774080758</v>
      </c>
    </row>
    <row r="27" spans="1:23" x14ac:dyDescent="0.35">
      <c r="A27" s="58">
        <v>27</v>
      </c>
      <c r="B27" s="1">
        <v>6696.2920887280334</v>
      </c>
      <c r="C27" s="1">
        <f t="shared" si="0"/>
        <v>1.0090354290290015E-2</v>
      </c>
      <c r="D27" s="1">
        <f t="shared" si="1"/>
        <v>4063.3856726997892</v>
      </c>
      <c r="E27" s="1">
        <f t="shared" si="2"/>
        <v>41</v>
      </c>
      <c r="F27" s="1">
        <f t="shared" si="3"/>
        <v>4100</v>
      </c>
      <c r="H27" s="4">
        <f t="shared" si="4"/>
        <v>1037.9252737528452</v>
      </c>
      <c r="I27" s="4">
        <f t="shared" si="5"/>
        <v>-3062.074726247155</v>
      </c>
      <c r="J27" s="4">
        <f t="shared" si="6"/>
        <v>25948.131843821131</v>
      </c>
      <c r="K27">
        <f t="shared" si="7"/>
        <v>21848.131843821131</v>
      </c>
      <c r="L27">
        <f t="shared" si="8"/>
        <v>2.4491165831320827E-2</v>
      </c>
      <c r="M27">
        <f t="shared" si="9"/>
        <v>4.5572714920024925E-2</v>
      </c>
      <c r="P27" s="4">
        <v>25</v>
      </c>
      <c r="Q27" s="4">
        <f t="shared" si="16"/>
        <v>51289.40533285743</v>
      </c>
      <c r="R27" s="4">
        <f t="shared" si="10"/>
        <v>1081435.1333214354</v>
      </c>
      <c r="S27" s="8">
        <f t="shared" si="11"/>
        <v>11671.940532538809</v>
      </c>
      <c r="T27" s="8">
        <f t="shared" si="12"/>
        <v>448666.63607079739</v>
      </c>
      <c r="U27" s="8">
        <f t="shared" si="13"/>
        <v>95087.690323303817</v>
      </c>
      <c r="V27" s="8">
        <f t="shared" si="14"/>
        <v>21639.12526626746</v>
      </c>
      <c r="W27" s="8">
        <f t="shared" si="15"/>
        <v>643409.36300707504</v>
      </c>
    </row>
    <row r="28" spans="1:23" x14ac:dyDescent="0.35">
      <c r="A28" s="58">
        <v>28</v>
      </c>
      <c r="B28" s="1">
        <v>8230.4847304692612</v>
      </c>
      <c r="C28" s="1">
        <f t="shared" si="0"/>
        <v>1.2402163139068221E-2</v>
      </c>
      <c r="D28" s="1">
        <f t="shared" si="1"/>
        <v>4994.3510961027723</v>
      </c>
      <c r="E28" s="1">
        <f t="shared" si="2"/>
        <v>50</v>
      </c>
      <c r="F28" s="1">
        <f t="shared" si="3"/>
        <v>5000</v>
      </c>
      <c r="G28" s="13" t="s">
        <v>50</v>
      </c>
      <c r="H28" s="4">
        <f t="shared" si="4"/>
        <v>1275.7251332227354</v>
      </c>
      <c r="I28" s="4">
        <f t="shared" si="5"/>
        <v>-3724.2748667772648</v>
      </c>
      <c r="J28" s="4">
        <f t="shared" si="6"/>
        <v>31893.128330568386</v>
      </c>
      <c r="K28">
        <f t="shared" si="7"/>
        <v>26893.128330568386</v>
      </c>
      <c r="L28">
        <f t="shared" si="8"/>
        <v>2.4299905357894638E-2</v>
      </c>
      <c r="M28">
        <f t="shared" si="9"/>
        <v>4.5216820917634321E-2</v>
      </c>
    </row>
    <row r="29" spans="1:23" x14ac:dyDescent="0.35">
      <c r="A29" s="58">
        <v>29</v>
      </c>
      <c r="B29" s="1">
        <v>3184.1460343074909</v>
      </c>
      <c r="C29" s="1">
        <f t="shared" si="0"/>
        <v>4.7980525897709896E-3</v>
      </c>
      <c r="D29" s="1">
        <f t="shared" si="1"/>
        <v>1932.1757779007776</v>
      </c>
      <c r="E29" s="1">
        <f t="shared" si="2"/>
        <v>20</v>
      </c>
      <c r="F29" s="1">
        <f t="shared" si="3"/>
        <v>2000</v>
      </c>
      <c r="G29" s="1">
        <v>2.5000000000000001E-2</v>
      </c>
      <c r="H29" s="4">
        <f t="shared" si="4"/>
        <v>493.54263531766111</v>
      </c>
      <c r="I29" s="4">
        <f t="shared" si="5"/>
        <v>-1506.4573646823389</v>
      </c>
      <c r="J29" s="4">
        <f t="shared" si="6"/>
        <v>12338.565882941528</v>
      </c>
      <c r="K29">
        <f t="shared" si="7"/>
        <v>10338.565882941528</v>
      </c>
      <c r="L29">
        <f t="shared" si="8"/>
        <v>2.5124475805456872E-2</v>
      </c>
      <c r="M29">
        <f t="shared" si="9"/>
        <v>4.6751166575045779E-2</v>
      </c>
      <c r="Q29" s="10" t="s">
        <v>51</v>
      </c>
      <c r="R29" s="4">
        <f>P5-(R5/Q6)</f>
        <v>3.9150385678455488</v>
      </c>
      <c r="T29" s="10">
        <f>P6-(T6/S7)</f>
        <v>4.6156059006333434</v>
      </c>
      <c r="U29" s="10"/>
      <c r="V29" s="10"/>
      <c r="W29" s="10">
        <f>P6-(W6/V7)</f>
        <v>4.2888045549409783</v>
      </c>
    </row>
    <row r="30" spans="1:23" ht="15" customHeight="1" thickBot="1" x14ac:dyDescent="0.4">
      <c r="A30" s="58">
        <v>30</v>
      </c>
      <c r="B30" s="1">
        <v>2455.556329062375</v>
      </c>
      <c r="C30" s="1">
        <f t="shared" si="0"/>
        <v>3.7001721268568244E-3</v>
      </c>
      <c r="D30" s="1">
        <f t="shared" si="1"/>
        <v>1490.0593154852431</v>
      </c>
      <c r="E30" s="1">
        <f t="shared" si="2"/>
        <v>15</v>
      </c>
      <c r="F30" s="1">
        <f t="shared" si="3"/>
        <v>1500</v>
      </c>
      <c r="H30" s="4">
        <f t="shared" si="4"/>
        <v>380.61123100466813</v>
      </c>
      <c r="I30" s="4">
        <f t="shared" si="5"/>
        <v>-1119.3887689953319</v>
      </c>
      <c r="J30" s="4">
        <f t="shared" si="6"/>
        <v>9515.2807751167038</v>
      </c>
      <c r="K30">
        <f t="shared" si="7"/>
        <v>8015.2807751167038</v>
      </c>
      <c r="L30">
        <f t="shared" si="8"/>
        <v>2.4434381443373482E-2</v>
      </c>
      <c r="M30">
        <f t="shared" si="9"/>
        <v>4.5467051566076985E-2</v>
      </c>
    </row>
    <row r="31" spans="1:23" x14ac:dyDescent="0.35">
      <c r="A31" s="58">
        <v>31</v>
      </c>
      <c r="B31" s="1">
        <v>1553.515228702383</v>
      </c>
      <c r="C31" s="1">
        <f t="shared" si="0"/>
        <v>2.3409252232821196E-3</v>
      </c>
      <c r="D31" s="1">
        <f t="shared" si="1"/>
        <v>942.6905874157095</v>
      </c>
      <c r="E31" s="1">
        <f t="shared" si="2"/>
        <v>10</v>
      </c>
      <c r="F31" s="1">
        <f t="shared" si="3"/>
        <v>1000</v>
      </c>
      <c r="G31" s="2" t="s">
        <v>52</v>
      </c>
      <c r="H31" s="4">
        <f t="shared" si="4"/>
        <v>240.79486044886934</v>
      </c>
      <c r="I31" s="4">
        <f t="shared" si="5"/>
        <v>-759.20513955113063</v>
      </c>
      <c r="J31" s="4">
        <f t="shared" si="6"/>
        <v>6019.8715112217333</v>
      </c>
      <c r="K31">
        <f t="shared" si="7"/>
        <v>5019.8715112217333</v>
      </c>
      <c r="L31">
        <f t="shared" si="8"/>
        <v>2.5748057863205578E-2</v>
      </c>
      <c r="M31">
        <f t="shared" si="9"/>
        <v>4.7911516700587013E-2</v>
      </c>
      <c r="Q31" s="4" t="s">
        <v>53</v>
      </c>
      <c r="R31" s="9">
        <f>IRR(Q2:Q27)</f>
        <v>0.25454404080714776</v>
      </c>
      <c r="T31" s="100" t="s">
        <v>54</v>
      </c>
      <c r="U31" s="101"/>
      <c r="V31" s="101"/>
      <c r="W31" s="102"/>
    </row>
    <row r="32" spans="1:23" ht="15" customHeight="1" thickBot="1" x14ac:dyDescent="0.4">
      <c r="A32" s="58">
        <v>32</v>
      </c>
      <c r="B32" s="1">
        <v>14627.53150971361</v>
      </c>
      <c r="C32" s="1">
        <f t="shared" si="0"/>
        <v>2.2041597554240989E-2</v>
      </c>
      <c r="D32" s="1">
        <f t="shared" si="1"/>
        <v>8876.1513350928471</v>
      </c>
      <c r="E32" s="1">
        <f t="shared" si="2"/>
        <v>89</v>
      </c>
      <c r="F32" s="1">
        <f t="shared" si="3"/>
        <v>8900</v>
      </c>
      <c r="H32" s="4">
        <f t="shared" si="4"/>
        <v>2267.2673840056095</v>
      </c>
      <c r="I32" s="4">
        <f t="shared" si="5"/>
        <v>-6632.7326159943905</v>
      </c>
      <c r="J32" s="4">
        <f t="shared" si="6"/>
        <v>56681.684600140237</v>
      </c>
      <c r="K32">
        <f t="shared" si="7"/>
        <v>47781.684600140237</v>
      </c>
      <c r="L32">
        <f t="shared" si="8"/>
        <v>2.4337667621060561E-2</v>
      </c>
      <c r="M32">
        <f t="shared" si="9"/>
        <v>4.5287088248550621E-2</v>
      </c>
      <c r="R32" s="8"/>
      <c r="T32" s="103"/>
      <c r="U32" s="104"/>
      <c r="V32" s="104"/>
      <c r="W32" s="105"/>
    </row>
    <row r="33" spans="1:23" x14ac:dyDescent="0.35">
      <c r="A33" s="58">
        <v>33</v>
      </c>
      <c r="B33" s="1">
        <v>4264.5516094210579</v>
      </c>
      <c r="C33" s="1">
        <f t="shared" si="0"/>
        <v>6.4260692422183014E-3</v>
      </c>
      <c r="D33" s="1">
        <f t="shared" si="1"/>
        <v>2587.77808384131</v>
      </c>
      <c r="E33" s="1">
        <f t="shared" si="2"/>
        <v>26</v>
      </c>
      <c r="F33" s="1">
        <f t="shared" si="3"/>
        <v>2600</v>
      </c>
      <c r="H33" s="4">
        <f t="shared" si="4"/>
        <v>661.00549946026399</v>
      </c>
      <c r="I33" s="4">
        <f t="shared" si="5"/>
        <v>-1938.994500539736</v>
      </c>
      <c r="J33" s="4">
        <f t="shared" si="6"/>
        <v>16525.137486506599</v>
      </c>
      <c r="K33">
        <f t="shared" si="7"/>
        <v>13925.137486506599</v>
      </c>
      <c r="L33">
        <f t="shared" si="8"/>
        <v>2.4387089083468427E-2</v>
      </c>
      <c r="M33">
        <f t="shared" si="9"/>
        <v>4.5379050804876309E-2</v>
      </c>
      <c r="R33" s="8"/>
    </row>
    <row r="34" spans="1:23" x14ac:dyDescent="0.35">
      <c r="A34" s="58">
        <v>34</v>
      </c>
      <c r="B34" s="1">
        <v>5041.8344142687847</v>
      </c>
      <c r="C34" s="1">
        <f t="shared" ref="C34:C65" si="17">B34/$G$5</f>
        <v>7.5973232408104848E-3</v>
      </c>
      <c r="D34" s="1">
        <f t="shared" ref="D34:D65" si="18">C34*$G$11</f>
        <v>3059.4420690743823</v>
      </c>
      <c r="E34" s="1">
        <f t="shared" ref="E34:E65" si="19">_xlfn.CEILING.MATH(D34/$G$20)</f>
        <v>31</v>
      </c>
      <c r="F34" s="1">
        <f t="shared" ref="F34:F65" si="20">E34*$G$20</f>
        <v>3100</v>
      </c>
      <c r="H34" s="4">
        <f t="shared" ref="H34:H65" si="21">B34*$G$17</f>
        <v>781.48433421166158</v>
      </c>
      <c r="I34" s="4">
        <f t="shared" ref="I34:I65" si="22">H34-F34</f>
        <v>-2318.5156657883385</v>
      </c>
      <c r="J34" s="4">
        <f t="shared" ref="J34:J65" si="23">H34*$G$23</f>
        <v>19537.108355291541</v>
      </c>
      <c r="K34">
        <f t="shared" ref="K34:K65" si="24">J34-F34</f>
        <v>16437.108355291541</v>
      </c>
      <c r="L34">
        <f t="shared" ref="L34:L65" si="25">F34/($G$23*B34)</f>
        <v>2.4594223017136447E-2</v>
      </c>
      <c r="M34">
        <f t="shared" ref="M34:M65" si="26">F34/($G$36*B34)</f>
        <v>4.5764481852721486E-2</v>
      </c>
    </row>
    <row r="35" spans="1:23" x14ac:dyDescent="0.35">
      <c r="A35" s="58">
        <v>35</v>
      </c>
      <c r="B35" s="1">
        <v>1680.154057549307</v>
      </c>
      <c r="C35" s="1">
        <f t="shared" si="17"/>
        <v>2.5317518229944968E-3</v>
      </c>
      <c r="D35" s="1">
        <f t="shared" si="18"/>
        <v>1019.5364591198838</v>
      </c>
      <c r="E35" s="1">
        <f t="shared" si="19"/>
        <v>11</v>
      </c>
      <c r="F35" s="1">
        <f t="shared" si="20"/>
        <v>1100</v>
      </c>
      <c r="G35" s="2" t="s">
        <v>55</v>
      </c>
      <c r="H35" s="4">
        <f t="shared" si="21"/>
        <v>260.42387892014261</v>
      </c>
      <c r="I35" s="4">
        <f t="shared" si="22"/>
        <v>-839.57612107985733</v>
      </c>
      <c r="J35" s="4">
        <f t="shared" si="23"/>
        <v>6510.5969730035649</v>
      </c>
      <c r="K35">
        <f t="shared" si="24"/>
        <v>5410.5969730035649</v>
      </c>
      <c r="L35">
        <f t="shared" si="25"/>
        <v>2.6188074719873566E-2</v>
      </c>
      <c r="M35">
        <f t="shared" si="26"/>
        <v>4.8730292046238015E-2</v>
      </c>
      <c r="Q35" s="98" t="s">
        <v>56</v>
      </c>
      <c r="R35" s="99"/>
      <c r="S35" s="99"/>
      <c r="T35" s="99"/>
      <c r="U35" s="11"/>
      <c r="V35" s="11"/>
      <c r="W35" s="11"/>
    </row>
    <row r="36" spans="1:23" x14ac:dyDescent="0.35">
      <c r="A36" s="58">
        <v>36</v>
      </c>
      <c r="B36" s="1">
        <v>5659.8657296841702</v>
      </c>
      <c r="C36" s="1">
        <f t="shared" si="17"/>
        <v>8.5286080253455902E-3</v>
      </c>
      <c r="D36" s="1">
        <f t="shared" si="18"/>
        <v>3434.4704518066692</v>
      </c>
      <c r="E36" s="1">
        <f t="shared" si="19"/>
        <v>35</v>
      </c>
      <c r="F36" s="1">
        <f t="shared" si="20"/>
        <v>3500</v>
      </c>
      <c r="G36" s="1">
        <f>1+((1-(1+$G$26)^(1-$G$23))/$G$26)</f>
        <v>13.43521330378282</v>
      </c>
      <c r="H36" s="4">
        <f t="shared" si="21"/>
        <v>877.27918810104643</v>
      </c>
      <c r="I36" s="4">
        <f t="shared" si="22"/>
        <v>-2622.7208118989538</v>
      </c>
      <c r="J36" s="4">
        <f t="shared" si="23"/>
        <v>21931.979702526161</v>
      </c>
      <c r="K36">
        <f t="shared" si="24"/>
        <v>18431.979702526161</v>
      </c>
      <c r="L36">
        <f t="shared" si="25"/>
        <v>2.4735569125914975E-2</v>
      </c>
      <c r="M36">
        <f t="shared" si="26"/>
        <v>4.6027496115283908E-2</v>
      </c>
      <c r="Q36" s="99"/>
      <c r="R36" s="99"/>
      <c r="S36" s="99"/>
      <c r="T36" s="99"/>
      <c r="U36" s="11"/>
      <c r="V36" s="11"/>
      <c r="W36" s="11"/>
    </row>
    <row r="37" spans="1:23" x14ac:dyDescent="0.35">
      <c r="A37" s="58">
        <v>37</v>
      </c>
      <c r="B37" s="1">
        <v>7074.8321611913698</v>
      </c>
      <c r="C37" s="1">
        <f t="shared" si="17"/>
        <v>1.0660760030304958E-2</v>
      </c>
      <c r="D37" s="1">
        <f t="shared" si="18"/>
        <v>4293.0880642038064</v>
      </c>
      <c r="E37" s="1">
        <f t="shared" si="19"/>
        <v>43</v>
      </c>
      <c r="F37" s="1">
        <f t="shared" si="20"/>
        <v>4300</v>
      </c>
      <c r="H37" s="4">
        <f t="shared" si="21"/>
        <v>1096.5989849846624</v>
      </c>
      <c r="I37" s="4">
        <f t="shared" si="22"/>
        <v>-3203.4010150153376</v>
      </c>
      <c r="J37" s="4">
        <f t="shared" si="23"/>
        <v>27414.97462461656</v>
      </c>
      <c r="K37">
        <f t="shared" si="24"/>
        <v>23114.97462461656</v>
      </c>
      <c r="L37">
        <f t="shared" si="25"/>
        <v>2.4311530801182424E-2</v>
      </c>
      <c r="M37">
        <f t="shared" si="26"/>
        <v>4.5238453330579555E-2</v>
      </c>
      <c r="Q37" s="99"/>
      <c r="R37" s="99"/>
      <c r="S37" s="99"/>
      <c r="T37" s="99"/>
      <c r="U37" s="11"/>
      <c r="V37" s="11"/>
      <c r="W37" s="11"/>
    </row>
    <row r="38" spans="1:23" x14ac:dyDescent="0.35">
      <c r="A38" s="58">
        <v>38</v>
      </c>
      <c r="B38" s="1">
        <v>1036.155497852058</v>
      </c>
      <c r="C38" s="1">
        <f t="shared" si="17"/>
        <v>1.5613381158743735E-3</v>
      </c>
      <c r="D38" s="1">
        <f t="shared" si="18"/>
        <v>628.75085926261022</v>
      </c>
      <c r="E38" s="1">
        <f t="shared" si="19"/>
        <v>7</v>
      </c>
      <c r="F38" s="1">
        <f t="shared" si="20"/>
        <v>700</v>
      </c>
      <c r="G38" s="1" t="s">
        <v>6</v>
      </c>
      <c r="H38" s="4">
        <f t="shared" si="21"/>
        <v>160.60410216706899</v>
      </c>
      <c r="I38" s="4">
        <f t="shared" si="22"/>
        <v>-539.39589783293104</v>
      </c>
      <c r="J38" s="4">
        <f t="shared" si="23"/>
        <v>4015.1025541767249</v>
      </c>
      <c r="K38">
        <f t="shared" si="24"/>
        <v>3315.1025541767249</v>
      </c>
      <c r="L38">
        <f t="shared" si="25"/>
        <v>2.7022971029004597E-2</v>
      </c>
      <c r="M38">
        <f t="shared" si="26"/>
        <v>5.0283851878622589E-2</v>
      </c>
      <c r="Q38" s="99"/>
      <c r="R38" s="99"/>
      <c r="S38" s="99"/>
      <c r="T38" s="99"/>
      <c r="U38" s="11"/>
      <c r="V38" s="11"/>
      <c r="W38" s="11"/>
    </row>
    <row r="39" spans="1:23" x14ac:dyDescent="0.35">
      <c r="A39" s="58">
        <v>39</v>
      </c>
      <c r="B39" s="1">
        <v>1397.7981728371551</v>
      </c>
      <c r="C39" s="1">
        <f t="shared" si="17"/>
        <v>2.1062818950190166E-3</v>
      </c>
      <c r="D39" s="1">
        <f t="shared" si="18"/>
        <v>848.19971912415792</v>
      </c>
      <c r="E39" s="1">
        <f t="shared" si="19"/>
        <v>9</v>
      </c>
      <c r="F39" s="1">
        <f t="shared" si="20"/>
        <v>900</v>
      </c>
      <c r="H39" s="4">
        <f t="shared" si="21"/>
        <v>216.65871678975904</v>
      </c>
      <c r="I39" s="4">
        <f t="shared" si="22"/>
        <v>-683.34128321024093</v>
      </c>
      <c r="J39" s="4">
        <f t="shared" si="23"/>
        <v>5416.4679197439764</v>
      </c>
      <c r="K39">
        <f t="shared" si="24"/>
        <v>4516.4679197439764</v>
      </c>
      <c r="L39">
        <f t="shared" si="25"/>
        <v>2.5754791141935511E-2</v>
      </c>
      <c r="M39">
        <f t="shared" si="26"/>
        <v>4.7924045862904135E-2</v>
      </c>
      <c r="Q39" s="99"/>
      <c r="R39" s="99"/>
      <c r="S39" s="99"/>
      <c r="T39" s="99"/>
      <c r="U39" s="11"/>
      <c r="V39" s="11"/>
      <c r="W39" s="11"/>
    </row>
    <row r="40" spans="1:23" x14ac:dyDescent="0.35">
      <c r="A40" s="58">
        <v>40</v>
      </c>
      <c r="B40" s="1">
        <v>2769.3097556877569</v>
      </c>
      <c r="C40" s="1">
        <f t="shared" si="17"/>
        <v>4.1729536591576322E-3</v>
      </c>
      <c r="D40" s="1">
        <f t="shared" si="18"/>
        <v>1680.4484385427784</v>
      </c>
      <c r="E40" s="1">
        <f t="shared" si="19"/>
        <v>17</v>
      </c>
      <c r="F40" s="1">
        <f t="shared" si="20"/>
        <v>1700</v>
      </c>
      <c r="H40" s="4">
        <f t="shared" si="21"/>
        <v>429.24301213160231</v>
      </c>
      <c r="I40" s="4">
        <f t="shared" si="22"/>
        <v>-1270.7569878683976</v>
      </c>
      <c r="J40" s="4">
        <f t="shared" si="23"/>
        <v>10731.075303290057</v>
      </c>
      <c r="K40">
        <f t="shared" si="24"/>
        <v>9031.0753032900575</v>
      </c>
      <c r="L40">
        <f t="shared" si="25"/>
        <v>2.4554855180189922E-2</v>
      </c>
      <c r="M40">
        <f t="shared" si="26"/>
        <v>4.5691226899382854E-2</v>
      </c>
      <c r="Q40" s="99"/>
      <c r="R40" s="99"/>
      <c r="S40" s="99"/>
      <c r="T40" s="99"/>
      <c r="U40" s="11"/>
      <c r="V40" s="11"/>
      <c r="W40" s="11"/>
    </row>
    <row r="41" spans="1:23" x14ac:dyDescent="0.35">
      <c r="A41" s="58">
        <v>41</v>
      </c>
      <c r="B41" s="1">
        <v>975.76163139608616</v>
      </c>
      <c r="C41" s="1">
        <f t="shared" si="17"/>
        <v>1.4703331983130527E-3</v>
      </c>
      <c r="D41" s="1">
        <f t="shared" si="18"/>
        <v>592.10317896066636</v>
      </c>
      <c r="E41" s="1">
        <f t="shared" si="19"/>
        <v>6</v>
      </c>
      <c r="F41" s="1">
        <f t="shared" si="20"/>
        <v>600</v>
      </c>
      <c r="H41" s="4">
        <f t="shared" si="21"/>
        <v>151.24305286639336</v>
      </c>
      <c r="I41" s="4">
        <f t="shared" si="22"/>
        <v>-448.75694713360667</v>
      </c>
      <c r="J41" s="4">
        <f t="shared" si="23"/>
        <v>3781.0763216598339</v>
      </c>
      <c r="K41">
        <f t="shared" si="24"/>
        <v>3181.0763216598339</v>
      </c>
      <c r="L41">
        <f t="shared" si="25"/>
        <v>2.4596171060407065E-2</v>
      </c>
      <c r="M41">
        <f t="shared" si="26"/>
        <v>4.5768106736127821E-2</v>
      </c>
    </row>
    <row r="42" spans="1:23" x14ac:dyDescent="0.35">
      <c r="A42" s="58">
        <v>42</v>
      </c>
      <c r="B42" s="1">
        <v>1220.838737866377</v>
      </c>
      <c r="C42" s="1">
        <f t="shared" si="17"/>
        <v>1.8396293401117439E-3</v>
      </c>
      <c r="D42" s="1">
        <f t="shared" si="18"/>
        <v>740.81873526299921</v>
      </c>
      <c r="E42" s="1">
        <f t="shared" si="19"/>
        <v>8</v>
      </c>
      <c r="F42" s="1">
        <f t="shared" si="20"/>
        <v>800</v>
      </c>
      <c r="H42" s="4">
        <f t="shared" si="21"/>
        <v>189.23000436928842</v>
      </c>
      <c r="I42" s="4">
        <f t="shared" si="22"/>
        <v>-610.76999563071161</v>
      </c>
      <c r="J42" s="4">
        <f t="shared" si="23"/>
        <v>4730.7501092322109</v>
      </c>
      <c r="K42">
        <f t="shared" si="24"/>
        <v>3930.7501092322109</v>
      </c>
      <c r="L42">
        <f t="shared" si="25"/>
        <v>2.6211488059369278E-2</v>
      </c>
      <c r="M42">
        <f t="shared" si="26"/>
        <v>4.8773859161560851E-2</v>
      </c>
    </row>
    <row r="43" spans="1:23" x14ac:dyDescent="0.35">
      <c r="A43" s="58">
        <v>43</v>
      </c>
      <c r="B43" s="1">
        <v>3438.0361146713012</v>
      </c>
      <c r="C43" s="1">
        <f t="shared" si="17"/>
        <v>5.1806286225538831E-3</v>
      </c>
      <c r="D43" s="1">
        <f t="shared" si="18"/>
        <v>2086.2391463024487</v>
      </c>
      <c r="E43" s="1">
        <f t="shared" si="19"/>
        <v>21</v>
      </c>
      <c r="F43" s="1">
        <f t="shared" si="20"/>
        <v>2100</v>
      </c>
      <c r="H43" s="4">
        <f t="shared" si="21"/>
        <v>532.89559777405168</v>
      </c>
      <c r="I43" s="4">
        <f t="shared" si="22"/>
        <v>-1567.1044022259484</v>
      </c>
      <c r="J43" s="4">
        <f t="shared" si="23"/>
        <v>13322.389944351293</v>
      </c>
      <c r="K43">
        <f t="shared" si="24"/>
        <v>11222.389944351293</v>
      </c>
      <c r="L43">
        <f t="shared" si="25"/>
        <v>2.4432553119946195E-2</v>
      </c>
      <c r="M43">
        <f t="shared" si="26"/>
        <v>4.5463649455172707E-2</v>
      </c>
    </row>
    <row r="44" spans="1:23" x14ac:dyDescent="0.35">
      <c r="A44" s="58">
        <v>44</v>
      </c>
      <c r="B44" s="1">
        <v>1279.200878938675</v>
      </c>
      <c r="C44" s="1">
        <f t="shared" si="17"/>
        <v>1.9275727381529778E-3</v>
      </c>
      <c r="D44" s="1">
        <f t="shared" si="18"/>
        <v>776.23354165420415</v>
      </c>
      <c r="E44" s="1">
        <f t="shared" si="19"/>
        <v>8</v>
      </c>
      <c r="F44" s="1">
        <f t="shared" si="20"/>
        <v>800</v>
      </c>
      <c r="H44" s="4">
        <f t="shared" si="21"/>
        <v>198.27613623549462</v>
      </c>
      <c r="I44" s="4">
        <f t="shared" si="22"/>
        <v>-601.72386376450538</v>
      </c>
      <c r="J44" s="4">
        <f t="shared" si="23"/>
        <v>4956.9034058873658</v>
      </c>
      <c r="K44">
        <f t="shared" si="24"/>
        <v>4156.9034058873658</v>
      </c>
      <c r="L44">
        <f t="shared" si="25"/>
        <v>2.5015617583494548E-2</v>
      </c>
      <c r="M44">
        <f t="shared" si="26"/>
        <v>4.6548605180036756E-2</v>
      </c>
    </row>
    <row r="45" spans="1:23" x14ac:dyDescent="0.35">
      <c r="A45" s="59">
        <v>58</v>
      </c>
      <c r="B45" s="4">
        <v>404.30530639696019</v>
      </c>
      <c r="C45" s="1">
        <f t="shared" si="17"/>
        <v>6.0923026190222635E-4</v>
      </c>
      <c r="D45" s="1">
        <f t="shared" si="18"/>
        <v>245.33702646802655</v>
      </c>
      <c r="E45" s="1">
        <f t="shared" si="19"/>
        <v>3</v>
      </c>
      <c r="F45" s="1">
        <f t="shared" si="20"/>
        <v>300</v>
      </c>
      <c r="H45" s="4">
        <f t="shared" si="21"/>
        <v>62.667322491528829</v>
      </c>
      <c r="I45" s="4">
        <f t="shared" si="22"/>
        <v>-237.33267750847116</v>
      </c>
      <c r="J45" s="4">
        <f t="shared" si="23"/>
        <v>1566.6830622882208</v>
      </c>
      <c r="K45">
        <f t="shared" si="24"/>
        <v>1266.6830622882208</v>
      </c>
      <c r="L45">
        <f t="shared" si="25"/>
        <v>2.9680540448356139E-2</v>
      </c>
      <c r="M45">
        <f t="shared" si="26"/>
        <v>5.5229008608295195E-2</v>
      </c>
    </row>
    <row r="46" spans="1:23" x14ac:dyDescent="0.35">
      <c r="A46" s="14">
        <v>69</v>
      </c>
      <c r="B46" s="1">
        <v>4490.8701254733214</v>
      </c>
      <c r="C46" s="1">
        <f t="shared" si="17"/>
        <v>6.7670988716253128E-3</v>
      </c>
      <c r="D46" s="1">
        <f t="shared" si="18"/>
        <v>2725.1107156035137</v>
      </c>
      <c r="E46" s="1">
        <f t="shared" si="19"/>
        <v>28</v>
      </c>
      <c r="F46" s="1">
        <f t="shared" si="20"/>
        <v>2800</v>
      </c>
      <c r="H46" s="4">
        <f t="shared" si="21"/>
        <v>696.08486944836477</v>
      </c>
      <c r="I46" s="4">
        <f t="shared" si="22"/>
        <v>-2103.9151305516352</v>
      </c>
      <c r="J46" s="4">
        <f t="shared" si="23"/>
        <v>17402.121736209119</v>
      </c>
      <c r="K46">
        <f t="shared" si="24"/>
        <v>14602.121736209119</v>
      </c>
      <c r="L46">
        <f t="shared" si="25"/>
        <v>2.4939487642875357E-2</v>
      </c>
      <c r="M46">
        <f t="shared" si="26"/>
        <v>4.6406943974334577E-2</v>
      </c>
    </row>
    <row r="47" spans="1:23" x14ac:dyDescent="0.35">
      <c r="A47" s="14">
        <v>70</v>
      </c>
      <c r="B47" s="1">
        <v>6097.7538980173758</v>
      </c>
      <c r="C47" s="1">
        <f t="shared" si="17"/>
        <v>9.1884428562433989E-3</v>
      </c>
      <c r="D47" s="1">
        <f t="shared" si="18"/>
        <v>3700.1859382092166</v>
      </c>
      <c r="E47" s="1">
        <f t="shared" si="19"/>
        <v>38</v>
      </c>
      <c r="F47" s="1">
        <f t="shared" si="20"/>
        <v>3800</v>
      </c>
      <c r="H47" s="4">
        <f t="shared" si="21"/>
        <v>945.15185419269324</v>
      </c>
      <c r="I47" s="4">
        <f t="shared" si="22"/>
        <v>-2854.8481458073065</v>
      </c>
      <c r="J47" s="4">
        <f t="shared" si="23"/>
        <v>23628.796354817332</v>
      </c>
      <c r="K47">
        <f t="shared" si="24"/>
        <v>19828.796354817332</v>
      </c>
      <c r="L47">
        <f t="shared" si="25"/>
        <v>2.4927211321109775E-2</v>
      </c>
      <c r="M47">
        <f t="shared" si="26"/>
        <v>4.6384100418582985E-2</v>
      </c>
    </row>
    <row r="48" spans="1:23" x14ac:dyDescent="0.35">
      <c r="A48" s="14">
        <v>71</v>
      </c>
      <c r="B48" s="1">
        <v>4593.5313049109664</v>
      </c>
      <c r="C48" s="1">
        <f t="shared" si="17"/>
        <v>6.9217945836192087E-3</v>
      </c>
      <c r="D48" s="1">
        <f t="shared" si="18"/>
        <v>2787.4066788234554</v>
      </c>
      <c r="E48" s="1">
        <f t="shared" si="19"/>
        <v>28</v>
      </c>
      <c r="F48" s="1">
        <f t="shared" si="20"/>
        <v>2800</v>
      </c>
      <c r="H48" s="4">
        <f t="shared" si="21"/>
        <v>711.99735226119981</v>
      </c>
      <c r="I48" s="4">
        <f t="shared" si="22"/>
        <v>-2088.0026477388001</v>
      </c>
      <c r="J48" s="4">
        <f t="shared" si="23"/>
        <v>17799.933806529996</v>
      </c>
      <c r="K48">
        <f t="shared" si="24"/>
        <v>14999.933806529996</v>
      </c>
      <c r="L48">
        <f t="shared" si="25"/>
        <v>2.4382113142509831E-2</v>
      </c>
      <c r="M48">
        <f t="shared" si="26"/>
        <v>4.5369791664648891E-2</v>
      </c>
    </row>
    <row r="49" spans="1:13" x14ac:dyDescent="0.35">
      <c r="A49" s="14">
        <v>72</v>
      </c>
      <c r="B49" s="1">
        <v>8062.2213477933838</v>
      </c>
      <c r="C49" s="1">
        <f t="shared" si="17"/>
        <v>1.2148614291021369E-2</v>
      </c>
      <c r="D49" s="1">
        <f t="shared" si="18"/>
        <v>4892.2469749943048</v>
      </c>
      <c r="E49" s="1">
        <f t="shared" si="19"/>
        <v>49</v>
      </c>
      <c r="F49" s="1">
        <f t="shared" si="20"/>
        <v>4900</v>
      </c>
      <c r="H49" s="4">
        <f t="shared" si="21"/>
        <v>1249.6443089079744</v>
      </c>
      <c r="I49" s="4">
        <f t="shared" si="22"/>
        <v>-3650.3556910920256</v>
      </c>
      <c r="J49" s="4">
        <f t="shared" si="23"/>
        <v>31241.107722699358</v>
      </c>
      <c r="K49">
        <f t="shared" si="24"/>
        <v>26341.107722699358</v>
      </c>
      <c r="L49">
        <f t="shared" si="25"/>
        <v>2.4310917741503693E-2</v>
      </c>
      <c r="M49">
        <f t="shared" si="26"/>
        <v>4.5237312560305075E-2</v>
      </c>
    </row>
    <row r="50" spans="1:13" x14ac:dyDescent="0.35">
      <c r="A50" s="14">
        <v>73</v>
      </c>
      <c r="B50" s="1">
        <v>4657.9117518025187</v>
      </c>
      <c r="C50" s="1">
        <f t="shared" si="17"/>
        <v>7.0188067076268337E-3</v>
      </c>
      <c r="D50" s="1">
        <f t="shared" si="18"/>
        <v>2826.4734611613258</v>
      </c>
      <c r="E50" s="1">
        <f t="shared" si="19"/>
        <v>29</v>
      </c>
      <c r="F50" s="1">
        <f t="shared" si="20"/>
        <v>2900</v>
      </c>
      <c r="H50" s="4">
        <f t="shared" si="21"/>
        <v>721.97632152939036</v>
      </c>
      <c r="I50" s="4">
        <f t="shared" si="22"/>
        <v>-2178.0236784706094</v>
      </c>
      <c r="J50" s="4">
        <f t="shared" si="23"/>
        <v>18049.40803823476</v>
      </c>
      <c r="K50">
        <f t="shared" si="24"/>
        <v>15149.40803823476</v>
      </c>
      <c r="L50">
        <f t="shared" si="25"/>
        <v>2.4903863830204664E-2</v>
      </c>
      <c r="M50">
        <f t="shared" si="26"/>
        <v>4.6340655833117167E-2</v>
      </c>
    </row>
    <row r="51" spans="1:13" x14ac:dyDescent="0.35">
      <c r="A51" s="14">
        <v>74</v>
      </c>
      <c r="B51" s="1">
        <v>4129.0607113934348</v>
      </c>
      <c r="C51" s="1">
        <f t="shared" si="17"/>
        <v>6.2219038405164221E-3</v>
      </c>
      <c r="D51" s="1">
        <f t="shared" si="18"/>
        <v>2505.560676575963</v>
      </c>
      <c r="E51" s="1">
        <f t="shared" si="19"/>
        <v>26</v>
      </c>
      <c r="F51" s="1">
        <f t="shared" si="20"/>
        <v>2600</v>
      </c>
      <c r="H51" s="4">
        <f t="shared" si="21"/>
        <v>640.00441026598241</v>
      </c>
      <c r="I51" s="4">
        <f t="shared" si="22"/>
        <v>-1959.9955897340176</v>
      </c>
      <c r="J51" s="4">
        <f t="shared" si="23"/>
        <v>16000.110256649561</v>
      </c>
      <c r="K51">
        <f t="shared" si="24"/>
        <v>13400.110256649561</v>
      </c>
      <c r="L51">
        <f t="shared" si="25"/>
        <v>2.5187326433111005E-2</v>
      </c>
      <c r="M51">
        <f t="shared" si="26"/>
        <v>4.6868117877256296E-2</v>
      </c>
    </row>
    <row r="52" spans="1:13" x14ac:dyDescent="0.35">
      <c r="A52" s="14">
        <v>75</v>
      </c>
      <c r="B52" s="1">
        <v>14350.316193396229</v>
      </c>
      <c r="C52" s="1">
        <f t="shared" si="17"/>
        <v>2.1623873727491291E-2</v>
      </c>
      <c r="D52" s="1">
        <f t="shared" si="18"/>
        <v>8707.9339500607439</v>
      </c>
      <c r="E52" s="1">
        <f t="shared" si="19"/>
        <v>88</v>
      </c>
      <c r="F52" s="1">
        <f t="shared" si="20"/>
        <v>8800</v>
      </c>
      <c r="H52" s="4">
        <f t="shared" si="21"/>
        <v>2224.2990099764156</v>
      </c>
      <c r="I52" s="4">
        <f t="shared" si="22"/>
        <v>-6575.7009900235844</v>
      </c>
      <c r="J52" s="4">
        <f t="shared" si="23"/>
        <v>55607.475249410389</v>
      </c>
      <c r="K52">
        <f t="shared" si="24"/>
        <v>46807.475249410389</v>
      </c>
      <c r="L52">
        <f t="shared" si="25"/>
        <v>2.4529076241677824E-2</v>
      </c>
      <c r="M52">
        <f t="shared" si="26"/>
        <v>4.5643257920533746E-2</v>
      </c>
    </row>
    <row r="53" spans="1:13" x14ac:dyDescent="0.35">
      <c r="A53" s="14">
        <v>76</v>
      </c>
      <c r="B53" s="1">
        <v>5149.4780654648821</v>
      </c>
      <c r="C53" s="1">
        <f t="shared" si="17"/>
        <v>7.7595268250145516E-3</v>
      </c>
      <c r="D53" s="1">
        <f t="shared" si="18"/>
        <v>3124.7614524333599</v>
      </c>
      <c r="E53" s="1">
        <f t="shared" si="19"/>
        <v>32</v>
      </c>
      <c r="F53" s="1">
        <f t="shared" si="20"/>
        <v>3200</v>
      </c>
      <c r="H53" s="4">
        <f t="shared" si="21"/>
        <v>798.16910014705672</v>
      </c>
      <c r="I53" s="4">
        <f t="shared" si="22"/>
        <v>-2401.8308998529433</v>
      </c>
      <c r="J53" s="4">
        <f t="shared" si="23"/>
        <v>19954.227503676419</v>
      </c>
      <c r="K53">
        <f t="shared" si="24"/>
        <v>16754.227503676419</v>
      </c>
      <c r="L53">
        <f t="shared" si="25"/>
        <v>2.4856888090937907E-2</v>
      </c>
      <c r="M53">
        <f t="shared" si="26"/>
        <v>4.6253244233828421E-2</v>
      </c>
    </row>
    <row r="54" spans="1:13" x14ac:dyDescent="0.35">
      <c r="A54" s="14">
        <v>77</v>
      </c>
      <c r="B54" s="1">
        <v>4612.9275296437472</v>
      </c>
      <c r="C54" s="1">
        <f t="shared" si="17"/>
        <v>6.9510219197112671E-3</v>
      </c>
      <c r="D54" s="1">
        <f t="shared" si="18"/>
        <v>2799.1765270677274</v>
      </c>
      <c r="E54" s="1">
        <f t="shared" si="19"/>
        <v>28</v>
      </c>
      <c r="F54" s="1">
        <f t="shared" si="20"/>
        <v>2800</v>
      </c>
      <c r="H54" s="4">
        <f t="shared" si="21"/>
        <v>715.00376709478087</v>
      </c>
      <c r="I54" s="4">
        <f t="shared" si="22"/>
        <v>-2084.9962329052191</v>
      </c>
      <c r="J54" s="4">
        <f t="shared" si="23"/>
        <v>17875.094177369523</v>
      </c>
      <c r="K54">
        <f t="shared" si="24"/>
        <v>15075.094177369523</v>
      </c>
      <c r="L54">
        <f t="shared" si="25"/>
        <v>2.4279592358705377E-2</v>
      </c>
      <c r="M54">
        <f t="shared" si="26"/>
        <v>4.5179022859036432E-2</v>
      </c>
    </row>
    <row r="55" spans="1:13" x14ac:dyDescent="0.35">
      <c r="A55" s="14">
        <v>78</v>
      </c>
      <c r="B55" s="1">
        <v>4299.5858542619962</v>
      </c>
      <c r="C55" s="1">
        <f t="shared" si="17"/>
        <v>6.4788608376346512E-3</v>
      </c>
      <c r="D55" s="1">
        <f t="shared" si="18"/>
        <v>2609.0372593154739</v>
      </c>
      <c r="E55" s="1">
        <f t="shared" si="19"/>
        <v>27</v>
      </c>
      <c r="F55" s="1">
        <f t="shared" si="20"/>
        <v>2700</v>
      </c>
      <c r="H55" s="4">
        <f t="shared" si="21"/>
        <v>666.43580741060941</v>
      </c>
      <c r="I55" s="4">
        <f t="shared" si="22"/>
        <v>-2033.5641925893906</v>
      </c>
      <c r="J55" s="4">
        <f t="shared" si="23"/>
        <v>16660.895185265235</v>
      </c>
      <c r="K55">
        <f t="shared" si="24"/>
        <v>13960.895185265235</v>
      </c>
      <c r="L55">
        <f t="shared" si="25"/>
        <v>2.5118698326013007E-2</v>
      </c>
      <c r="M55">
        <f t="shared" si="26"/>
        <v>4.6740415946616536E-2</v>
      </c>
    </row>
    <row r="56" spans="1:13" x14ac:dyDescent="0.35">
      <c r="A56" s="14">
        <v>79</v>
      </c>
      <c r="B56" s="1">
        <v>3153.09355833985</v>
      </c>
      <c r="C56" s="1">
        <f t="shared" si="17"/>
        <v>4.751260950464865E-3</v>
      </c>
      <c r="D56" s="1">
        <f t="shared" si="18"/>
        <v>1913.3327847522012</v>
      </c>
      <c r="E56" s="1">
        <f t="shared" si="19"/>
        <v>20</v>
      </c>
      <c r="F56" s="1">
        <f t="shared" si="20"/>
        <v>2000</v>
      </c>
      <c r="H56" s="4">
        <f t="shared" si="21"/>
        <v>488.72950154267676</v>
      </c>
      <c r="I56" s="4">
        <f t="shared" si="22"/>
        <v>-1511.2704984573234</v>
      </c>
      <c r="J56" s="4">
        <f t="shared" si="23"/>
        <v>12218.237538566918</v>
      </c>
      <c r="K56">
        <f t="shared" si="24"/>
        <v>10218.237538566918</v>
      </c>
      <c r="L56">
        <f t="shared" si="25"/>
        <v>2.5371908102251546E-2</v>
      </c>
      <c r="M56">
        <f t="shared" si="26"/>
        <v>4.721158408238265E-2</v>
      </c>
    </row>
    <row r="57" spans="1:13" x14ac:dyDescent="0.35">
      <c r="A57" s="14">
        <v>80</v>
      </c>
      <c r="B57" s="1">
        <v>4296.4999200900902</v>
      </c>
      <c r="C57" s="1">
        <f t="shared" si="17"/>
        <v>6.4742107762725638E-3</v>
      </c>
      <c r="D57" s="1">
        <f t="shared" si="18"/>
        <v>2607.1646796049613</v>
      </c>
      <c r="E57" s="1">
        <f t="shared" si="19"/>
        <v>27</v>
      </c>
      <c r="F57" s="1">
        <f t="shared" si="20"/>
        <v>2700</v>
      </c>
      <c r="H57" s="4">
        <f t="shared" si="21"/>
        <v>665.95748761396396</v>
      </c>
      <c r="I57" s="4">
        <f t="shared" si="22"/>
        <v>-2034.0425123860359</v>
      </c>
      <c r="J57" s="4">
        <f t="shared" si="23"/>
        <v>16648.937190349097</v>
      </c>
      <c r="K57">
        <f t="shared" si="24"/>
        <v>13948.937190349097</v>
      </c>
      <c r="L57">
        <f t="shared" si="25"/>
        <v>2.5136739673844898E-2</v>
      </c>
      <c r="M57">
        <f t="shared" si="26"/>
        <v>4.6773986957779436E-2</v>
      </c>
    </row>
    <row r="58" spans="1:13" x14ac:dyDescent="0.35">
      <c r="A58" s="14">
        <v>81</v>
      </c>
      <c r="B58" s="1">
        <v>1722.7511821559251</v>
      </c>
      <c r="C58" s="1">
        <f t="shared" si="17"/>
        <v>2.5959395963671564E-3</v>
      </c>
      <c r="D58" s="1">
        <f t="shared" si="18"/>
        <v>1045.3848754570538</v>
      </c>
      <c r="E58" s="1">
        <f t="shared" si="19"/>
        <v>11</v>
      </c>
      <c r="F58" s="1">
        <f t="shared" si="20"/>
        <v>1100</v>
      </c>
      <c r="H58" s="4">
        <f t="shared" si="21"/>
        <v>267.02643323416839</v>
      </c>
      <c r="I58" s="4">
        <f t="shared" si="22"/>
        <v>-832.97356676583161</v>
      </c>
      <c r="J58" s="4">
        <f t="shared" si="23"/>
        <v>6675.66083085421</v>
      </c>
      <c r="K58">
        <f t="shared" si="24"/>
        <v>5575.66083085421</v>
      </c>
      <c r="L58">
        <f t="shared" si="25"/>
        <v>2.5540542624928865E-2</v>
      </c>
      <c r="M58">
        <f t="shared" si="26"/>
        <v>4.7525376128076932E-2</v>
      </c>
    </row>
    <row r="59" spans="1:13" x14ac:dyDescent="0.35">
      <c r="A59" s="14">
        <v>82</v>
      </c>
      <c r="B59" s="1">
        <v>8378.7212496204556</v>
      </c>
      <c r="C59" s="1">
        <f t="shared" si="17"/>
        <v>1.2625534368574883E-2</v>
      </c>
      <c r="D59" s="1">
        <f t="shared" si="18"/>
        <v>5084.3026902251058</v>
      </c>
      <c r="E59" s="1">
        <f t="shared" si="19"/>
        <v>51</v>
      </c>
      <c r="F59" s="1">
        <f t="shared" si="20"/>
        <v>5100</v>
      </c>
      <c r="H59" s="4">
        <f t="shared" si="21"/>
        <v>1298.7017936911707</v>
      </c>
      <c r="I59" s="4">
        <f t="shared" si="22"/>
        <v>-3801.2982063088293</v>
      </c>
      <c r="J59" s="4">
        <f t="shared" si="23"/>
        <v>32467.544842279269</v>
      </c>
      <c r="K59">
        <f t="shared" si="24"/>
        <v>27367.544842279269</v>
      </c>
      <c r="L59">
        <f t="shared" si="25"/>
        <v>2.4347390720181904E-2</v>
      </c>
      <c r="M59">
        <f t="shared" si="26"/>
        <v>4.5305180814149505E-2</v>
      </c>
    </row>
    <row r="60" spans="1:13" x14ac:dyDescent="0.35">
      <c r="A60" s="14">
        <v>83</v>
      </c>
      <c r="B60" s="1">
        <v>4180.060549855245</v>
      </c>
      <c r="C60" s="1">
        <f t="shared" si="17"/>
        <v>6.2987533016821721E-3</v>
      </c>
      <c r="D60" s="1">
        <f t="shared" si="18"/>
        <v>2536.5079545874105</v>
      </c>
      <c r="E60" s="1">
        <f t="shared" si="19"/>
        <v>26</v>
      </c>
      <c r="F60" s="1">
        <f t="shared" si="20"/>
        <v>2600</v>
      </c>
      <c r="H60" s="4">
        <f t="shared" si="21"/>
        <v>647.90938522756301</v>
      </c>
      <c r="I60" s="4">
        <f t="shared" si="22"/>
        <v>-1952.090614772437</v>
      </c>
      <c r="J60" s="4">
        <f t="shared" si="23"/>
        <v>16197.734630689076</v>
      </c>
      <c r="K60">
        <f t="shared" si="24"/>
        <v>13597.734630689076</v>
      </c>
      <c r="L60">
        <f t="shared" si="25"/>
        <v>2.4880022372786324E-2</v>
      </c>
      <c r="M60">
        <f t="shared" si="26"/>
        <v>4.6296292083768224E-2</v>
      </c>
    </row>
    <row r="61" spans="1:13" x14ac:dyDescent="0.35">
      <c r="A61" s="14">
        <v>84</v>
      </c>
      <c r="B61" s="1">
        <v>3330.950005722922</v>
      </c>
      <c r="C61" s="1">
        <f t="shared" si="17"/>
        <v>5.0192651747621381E-3</v>
      </c>
      <c r="D61" s="1">
        <f t="shared" si="18"/>
        <v>2021.258085876713</v>
      </c>
      <c r="E61" s="1">
        <f t="shared" si="19"/>
        <v>21</v>
      </c>
      <c r="F61" s="1">
        <f t="shared" si="20"/>
        <v>2100</v>
      </c>
      <c r="H61" s="4">
        <f t="shared" si="21"/>
        <v>516.29725088705288</v>
      </c>
      <c r="I61" s="4">
        <f t="shared" si="22"/>
        <v>-1583.702749112947</v>
      </c>
      <c r="J61" s="4">
        <f t="shared" si="23"/>
        <v>12907.431272176322</v>
      </c>
      <c r="K61">
        <f t="shared" si="24"/>
        <v>10807.431272176322</v>
      </c>
      <c r="L61">
        <f t="shared" si="25"/>
        <v>2.5218030848760616E-2</v>
      </c>
      <c r="M61">
        <f t="shared" si="26"/>
        <v>4.6925252094174467E-2</v>
      </c>
    </row>
    <row r="62" spans="1:13" x14ac:dyDescent="0.35">
      <c r="A62" s="14">
        <v>85</v>
      </c>
      <c r="B62" s="1">
        <v>2875.5642031497382</v>
      </c>
      <c r="C62" s="1">
        <f t="shared" si="17"/>
        <v>4.3330639120564198E-3</v>
      </c>
      <c r="D62" s="1">
        <f t="shared" si="18"/>
        <v>1744.9248373851203</v>
      </c>
      <c r="E62" s="1">
        <f t="shared" si="19"/>
        <v>18</v>
      </c>
      <c r="F62" s="1">
        <f t="shared" si="20"/>
        <v>1800</v>
      </c>
      <c r="H62" s="4">
        <f t="shared" si="21"/>
        <v>445.71245148820941</v>
      </c>
      <c r="I62" s="4">
        <f t="shared" si="22"/>
        <v>-1354.2875485117906</v>
      </c>
      <c r="J62" s="4">
        <f t="shared" si="23"/>
        <v>11142.811287205235</v>
      </c>
      <c r="K62">
        <f t="shared" si="24"/>
        <v>9342.8112872052352</v>
      </c>
      <c r="L62">
        <f t="shared" si="25"/>
        <v>2.5038564578434758E-2</v>
      </c>
      <c r="M62">
        <f t="shared" si="26"/>
        <v>4.6591304529911878E-2</v>
      </c>
    </row>
    <row r="63" spans="1:13" x14ac:dyDescent="0.35">
      <c r="A63" s="14">
        <v>86</v>
      </c>
      <c r="B63" s="1">
        <v>2673.7959050516761</v>
      </c>
      <c r="C63" s="1">
        <f t="shared" si="17"/>
        <v>4.0290279492606242E-3</v>
      </c>
      <c r="D63" s="1">
        <f t="shared" si="18"/>
        <v>1622.4895551672535</v>
      </c>
      <c r="E63" s="1">
        <f t="shared" si="19"/>
        <v>17</v>
      </c>
      <c r="F63" s="1">
        <f t="shared" si="20"/>
        <v>1700</v>
      </c>
      <c r="H63" s="4">
        <f t="shared" si="21"/>
        <v>414.43836528300977</v>
      </c>
      <c r="I63" s="4">
        <f t="shared" si="22"/>
        <v>-1285.5616347169903</v>
      </c>
      <c r="J63" s="4">
        <f t="shared" si="23"/>
        <v>10360.959132075244</v>
      </c>
      <c r="K63">
        <f t="shared" si="24"/>
        <v>8660.9591320752443</v>
      </c>
      <c r="L63">
        <f t="shared" si="25"/>
        <v>2.5432008430982235E-2</v>
      </c>
      <c r="M63">
        <f t="shared" si="26"/>
        <v>4.7323417678492671E-2</v>
      </c>
    </row>
    <row r="64" spans="1:13" x14ac:dyDescent="0.35">
      <c r="A64" s="14">
        <v>87</v>
      </c>
      <c r="B64" s="1">
        <v>19513.44492845656</v>
      </c>
      <c r="C64" s="1">
        <f t="shared" si="17"/>
        <v>2.9403970158892883E-2</v>
      </c>
      <c r="D64" s="1">
        <f t="shared" si="18"/>
        <v>11840.978782986163</v>
      </c>
      <c r="E64" s="1">
        <f t="shared" si="19"/>
        <v>119</v>
      </c>
      <c r="F64" s="1">
        <f t="shared" si="20"/>
        <v>11900</v>
      </c>
      <c r="H64" s="4">
        <f t="shared" si="21"/>
        <v>3024.5839639107667</v>
      </c>
      <c r="I64" s="4">
        <f t="shared" si="22"/>
        <v>-8875.4160360892329</v>
      </c>
      <c r="J64" s="4">
        <f t="shared" si="23"/>
        <v>75614.599097769169</v>
      </c>
      <c r="K64">
        <f t="shared" si="24"/>
        <v>63714.599097769169</v>
      </c>
      <c r="L64">
        <f t="shared" si="25"/>
        <v>2.4393437537307761E-2</v>
      </c>
      <c r="M64">
        <f t="shared" si="26"/>
        <v>4.539086389205213E-2</v>
      </c>
    </row>
    <row r="65" spans="1:13" x14ac:dyDescent="0.35">
      <c r="A65" s="14">
        <v>88</v>
      </c>
      <c r="B65" s="1">
        <v>5533.3813285011611</v>
      </c>
      <c r="C65" s="1">
        <f t="shared" si="17"/>
        <v>8.3380141260322518E-3</v>
      </c>
      <c r="D65" s="1">
        <f t="shared" si="18"/>
        <v>3357.7182885531879</v>
      </c>
      <c r="E65" s="1">
        <f t="shared" si="19"/>
        <v>34</v>
      </c>
      <c r="F65" s="1">
        <f t="shared" si="20"/>
        <v>3400</v>
      </c>
      <c r="H65" s="4">
        <f t="shared" si="21"/>
        <v>857.67410591767998</v>
      </c>
      <c r="I65" s="4">
        <f t="shared" si="22"/>
        <v>-2542.3258940823198</v>
      </c>
      <c r="J65" s="4">
        <f t="shared" si="23"/>
        <v>21441.852647942</v>
      </c>
      <c r="K65">
        <f t="shared" si="24"/>
        <v>18041.852647942</v>
      </c>
      <c r="L65">
        <f t="shared" si="25"/>
        <v>2.4578100066860675E-2</v>
      </c>
      <c r="M65">
        <f t="shared" si="26"/>
        <v>4.5734480560759801E-2</v>
      </c>
    </row>
    <row r="66" spans="1:13" x14ac:dyDescent="0.35">
      <c r="A66" s="14">
        <v>89</v>
      </c>
      <c r="B66" s="1">
        <v>7532.7075080212007</v>
      </c>
      <c r="C66" s="1">
        <f t="shared" ref="C66:C77" si="27">B66/$G$5</f>
        <v>1.1350712680082517E-2</v>
      </c>
      <c r="D66" s="1">
        <f t="shared" ref="D66:D77" si="28">C66*$G$11</f>
        <v>4570.9319962692298</v>
      </c>
      <c r="E66" s="1">
        <f t="shared" ref="E66:E77" si="29">_xlfn.CEILING.MATH(D66/$G$20)</f>
        <v>46</v>
      </c>
      <c r="F66" s="1">
        <f t="shared" ref="F66:F77" si="30">E66*$G$20</f>
        <v>4600</v>
      </c>
      <c r="H66" s="4">
        <f t="shared" ref="H66:H77" si="31">B66*$G$17</f>
        <v>1167.5696637432861</v>
      </c>
      <c r="I66" s="4">
        <f t="shared" ref="I66:I77" si="32">H66-F66</f>
        <v>-3432.4303362567139</v>
      </c>
      <c r="J66" s="4">
        <f t="shared" ref="J66:J77" si="33">H66*$G$23</f>
        <v>29189.241593582152</v>
      </c>
      <c r="K66">
        <f t="shared" ref="K66:K77" si="34">J66-F66</f>
        <v>24589.241593582152</v>
      </c>
      <c r="L66">
        <f t="shared" ref="L66:L75" si="35">F66/($G$23*B66)</f>
        <v>2.4426807997531788E-2</v>
      </c>
      <c r="M66">
        <f t="shared" ref="M66:M75" si="36">F66/($G$36*B66)</f>
        <v>4.5452959036114023E-2</v>
      </c>
    </row>
    <row r="67" spans="1:13" x14ac:dyDescent="0.35">
      <c r="A67" s="14">
        <v>90</v>
      </c>
      <c r="B67" s="1">
        <v>4797.2959806436729</v>
      </c>
      <c r="C67" s="1">
        <f t="shared" si="27"/>
        <v>7.2288388019337091E-3</v>
      </c>
      <c r="D67" s="1">
        <f t="shared" si="28"/>
        <v>2911.0533855387048</v>
      </c>
      <c r="E67" s="1">
        <f t="shared" si="29"/>
        <v>30</v>
      </c>
      <c r="F67" s="1">
        <f t="shared" si="30"/>
        <v>3000</v>
      </c>
      <c r="H67" s="4">
        <f t="shared" si="31"/>
        <v>743.58087699976932</v>
      </c>
      <c r="I67" s="4">
        <f t="shared" si="32"/>
        <v>-2256.4191230002307</v>
      </c>
      <c r="J67" s="4">
        <f t="shared" si="33"/>
        <v>18589.521924994231</v>
      </c>
      <c r="K67">
        <f t="shared" si="34"/>
        <v>15589.521924994231</v>
      </c>
      <c r="L67">
        <f t="shared" si="35"/>
        <v>2.5014091372344113E-2</v>
      </c>
      <c r="M67">
        <f t="shared" si="36"/>
        <v>4.6545765234149925E-2</v>
      </c>
    </row>
    <row r="68" spans="1:13" x14ac:dyDescent="0.35">
      <c r="A68" s="14">
        <v>91</v>
      </c>
      <c r="B68" s="1">
        <v>5147.5629031179114</v>
      </c>
      <c r="C68" s="1">
        <f t="shared" si="27"/>
        <v>7.7566409493167333E-3</v>
      </c>
      <c r="D68" s="1">
        <f t="shared" si="28"/>
        <v>3123.5993102898483</v>
      </c>
      <c r="E68" s="1">
        <f t="shared" si="29"/>
        <v>32</v>
      </c>
      <c r="F68" s="1">
        <f t="shared" si="30"/>
        <v>3200</v>
      </c>
      <c r="H68" s="4">
        <f t="shared" si="31"/>
        <v>797.87224998327622</v>
      </c>
      <c r="I68" s="4">
        <f t="shared" si="32"/>
        <v>-2402.1277500167239</v>
      </c>
      <c r="J68" s="4">
        <f t="shared" si="33"/>
        <v>19946.806249581907</v>
      </c>
      <c r="K68">
        <f t="shared" si="34"/>
        <v>16746.806249581907</v>
      </c>
      <c r="L68">
        <f t="shared" si="35"/>
        <v>2.4866136152016636E-2</v>
      </c>
      <c r="M68">
        <f t="shared" si="36"/>
        <v>4.6270452857297258E-2</v>
      </c>
    </row>
    <row r="69" spans="1:13" x14ac:dyDescent="0.35">
      <c r="A69" s="14">
        <v>92</v>
      </c>
      <c r="B69" s="1">
        <v>2534.563494353717</v>
      </c>
      <c r="C69" s="1">
        <f t="shared" si="27"/>
        <v>3.8192246231783487E-3</v>
      </c>
      <c r="D69" s="1">
        <f t="shared" si="28"/>
        <v>1538.0017557539211</v>
      </c>
      <c r="E69" s="1">
        <f t="shared" si="29"/>
        <v>16</v>
      </c>
      <c r="F69" s="1">
        <f t="shared" si="30"/>
        <v>1600</v>
      </c>
      <c r="H69" s="4">
        <f t="shared" si="31"/>
        <v>392.85734162482612</v>
      </c>
      <c r="I69" s="4">
        <f t="shared" si="32"/>
        <v>-1207.1426583751738</v>
      </c>
      <c r="J69" s="4">
        <f t="shared" si="33"/>
        <v>9821.4335406206537</v>
      </c>
      <c r="K69">
        <f t="shared" si="34"/>
        <v>8221.4335406206537</v>
      </c>
      <c r="L69">
        <f t="shared" si="35"/>
        <v>2.5250896315114499E-2</v>
      </c>
      <c r="M69">
        <f t="shared" si="36"/>
        <v>4.6986407554848522E-2</v>
      </c>
    </row>
    <row r="70" spans="1:13" x14ac:dyDescent="0.35">
      <c r="A70" s="14">
        <v>93</v>
      </c>
      <c r="B70" s="1">
        <v>5159.4345472126533</v>
      </c>
      <c r="C70" s="1">
        <f t="shared" si="27"/>
        <v>7.7745298187592441E-3</v>
      </c>
      <c r="D70" s="1">
        <f t="shared" si="28"/>
        <v>3130.8031580143474</v>
      </c>
      <c r="E70" s="1">
        <f t="shared" si="29"/>
        <v>32</v>
      </c>
      <c r="F70" s="1">
        <f t="shared" si="30"/>
        <v>3200</v>
      </c>
      <c r="H70" s="4">
        <f t="shared" si="31"/>
        <v>799.71235481796123</v>
      </c>
      <c r="I70" s="4">
        <f t="shared" si="32"/>
        <v>-2400.2876451820389</v>
      </c>
      <c r="J70" s="4">
        <f t="shared" si="33"/>
        <v>19992.808870449029</v>
      </c>
      <c r="K70">
        <f t="shared" si="34"/>
        <v>16792.808870449029</v>
      </c>
      <c r="L70">
        <f t="shared" si="35"/>
        <v>2.4808920207961754E-2</v>
      </c>
      <c r="M70">
        <f t="shared" si="36"/>
        <v>4.6163986471611414E-2</v>
      </c>
    </row>
    <row r="71" spans="1:13" x14ac:dyDescent="0.35">
      <c r="A71" s="14">
        <v>94</v>
      </c>
      <c r="B71" s="1">
        <v>4317.7330751348463</v>
      </c>
      <c r="C71" s="1">
        <f t="shared" si="27"/>
        <v>6.5062061035765948E-3</v>
      </c>
      <c r="D71" s="1">
        <f t="shared" si="28"/>
        <v>2620.0491979102949</v>
      </c>
      <c r="E71" s="1">
        <f t="shared" si="29"/>
        <v>27</v>
      </c>
      <c r="F71" s="1">
        <f t="shared" si="30"/>
        <v>2700</v>
      </c>
      <c r="H71" s="4">
        <f t="shared" si="31"/>
        <v>669.24862664590114</v>
      </c>
      <c r="I71" s="4">
        <f t="shared" si="32"/>
        <v>-2030.7513733540989</v>
      </c>
      <c r="J71" s="4">
        <f t="shared" si="33"/>
        <v>16731.215666147527</v>
      </c>
      <c r="K71">
        <f t="shared" si="34"/>
        <v>14031.215666147527</v>
      </c>
      <c r="L71">
        <f t="shared" si="35"/>
        <v>2.5013125665862768E-2</v>
      </c>
      <c r="M71">
        <f t="shared" si="36"/>
        <v>4.6543968265133663E-2</v>
      </c>
    </row>
    <row r="72" spans="1:13" x14ac:dyDescent="0.35">
      <c r="A72" s="14">
        <v>95</v>
      </c>
      <c r="B72" s="1">
        <v>6988.6643510423764</v>
      </c>
      <c r="C72" s="1">
        <f t="shared" si="27"/>
        <v>1.0530917466494849E-2</v>
      </c>
      <c r="D72" s="1">
        <f t="shared" si="28"/>
        <v>4240.8004637574759</v>
      </c>
      <c r="E72" s="1">
        <f t="shared" si="29"/>
        <v>43</v>
      </c>
      <c r="F72" s="1">
        <f t="shared" si="30"/>
        <v>4300</v>
      </c>
      <c r="H72" s="4">
        <f t="shared" si="31"/>
        <v>1083.2429744115684</v>
      </c>
      <c r="I72" s="4">
        <f t="shared" si="32"/>
        <v>-3216.7570255884316</v>
      </c>
      <c r="J72" s="4">
        <f t="shared" si="33"/>
        <v>27081.074360289211</v>
      </c>
      <c r="K72">
        <f t="shared" si="34"/>
        <v>22781.074360289211</v>
      </c>
      <c r="L72">
        <f t="shared" si="35"/>
        <v>2.4611283552964706E-2</v>
      </c>
      <c r="M72">
        <f t="shared" si="36"/>
        <v>4.579622778678763E-2</v>
      </c>
    </row>
    <row r="73" spans="1:13" x14ac:dyDescent="0.35">
      <c r="A73" s="14">
        <v>96</v>
      </c>
      <c r="B73" s="1">
        <v>2938.8092172996649</v>
      </c>
      <c r="C73" s="1">
        <f t="shared" si="27"/>
        <v>4.4283651013431596E-3</v>
      </c>
      <c r="D73" s="1">
        <f t="shared" si="28"/>
        <v>1783.3026263108904</v>
      </c>
      <c r="E73" s="1">
        <f t="shared" si="29"/>
        <v>18</v>
      </c>
      <c r="F73" s="1">
        <f t="shared" si="30"/>
        <v>1800</v>
      </c>
      <c r="H73" s="4">
        <f t="shared" si="31"/>
        <v>455.51542868144804</v>
      </c>
      <c r="I73" s="4">
        <f t="shared" si="32"/>
        <v>-1344.4845713185518</v>
      </c>
      <c r="J73" s="4">
        <f t="shared" si="33"/>
        <v>11387.885717036201</v>
      </c>
      <c r="K73">
        <f t="shared" si="34"/>
        <v>9587.8857170362007</v>
      </c>
      <c r="L73">
        <f t="shared" si="35"/>
        <v>2.4499718993721359E-2</v>
      </c>
      <c r="M73">
        <f t="shared" si="36"/>
        <v>4.5588630488700939E-2</v>
      </c>
    </row>
    <row r="74" spans="1:13" x14ac:dyDescent="0.35">
      <c r="A74" s="14">
        <v>97</v>
      </c>
      <c r="B74" s="1">
        <v>6184.3427862351964</v>
      </c>
      <c r="C74" s="1">
        <f t="shared" si="27"/>
        <v>9.3189199244690917E-3</v>
      </c>
      <c r="D74" s="1">
        <f t="shared" si="28"/>
        <v>3752.7290535837033</v>
      </c>
      <c r="E74" s="1">
        <f t="shared" si="29"/>
        <v>38</v>
      </c>
      <c r="F74" s="1">
        <f t="shared" si="30"/>
        <v>3800</v>
      </c>
      <c r="H74" s="4">
        <f t="shared" si="31"/>
        <v>958.57313186645547</v>
      </c>
      <c r="I74" s="4">
        <f t="shared" si="32"/>
        <v>-2841.4268681335443</v>
      </c>
      <c r="J74" s="4">
        <f t="shared" si="33"/>
        <v>23964.328296661388</v>
      </c>
      <c r="K74">
        <f t="shared" si="34"/>
        <v>20164.328296661388</v>
      </c>
      <c r="L74">
        <f t="shared" si="35"/>
        <v>2.4578197757458408E-2</v>
      </c>
      <c r="M74">
        <f t="shared" si="36"/>
        <v>4.573466234164323E-2</v>
      </c>
    </row>
    <row r="75" spans="1:13" x14ac:dyDescent="0.35">
      <c r="A75" s="14">
        <v>98</v>
      </c>
      <c r="B75" s="1">
        <v>3973.5840486666689</v>
      </c>
      <c r="C75" s="1">
        <f t="shared" si="27"/>
        <v>5.9876227503253589E-3</v>
      </c>
      <c r="D75" s="1">
        <f t="shared" si="28"/>
        <v>2411.215681556022</v>
      </c>
      <c r="E75" s="1">
        <f t="shared" si="29"/>
        <v>25</v>
      </c>
      <c r="F75" s="1">
        <f t="shared" si="30"/>
        <v>2500</v>
      </c>
      <c r="H75" s="4">
        <f t="shared" si="31"/>
        <v>615.90552754333362</v>
      </c>
      <c r="I75" s="4">
        <f t="shared" si="32"/>
        <v>-1884.0944724566664</v>
      </c>
      <c r="J75" s="4">
        <f t="shared" si="33"/>
        <v>15397.63818858334</v>
      </c>
      <c r="K75">
        <f t="shared" si="34"/>
        <v>12897.63818858334</v>
      </c>
      <c r="L75">
        <f t="shared" si="35"/>
        <v>2.5166197260519725E-2</v>
      </c>
      <c r="M75">
        <f t="shared" si="36"/>
        <v>4.6828801098070263E-2</v>
      </c>
    </row>
    <row r="76" spans="1:13" x14ac:dyDescent="0.35">
      <c r="C76" s="1">
        <f t="shared" si="27"/>
        <v>0</v>
      </c>
      <c r="D76" s="1">
        <f t="shared" si="28"/>
        <v>0</v>
      </c>
      <c r="E76" s="1">
        <f t="shared" si="29"/>
        <v>0</v>
      </c>
      <c r="F76" s="1">
        <f t="shared" si="30"/>
        <v>0</v>
      </c>
      <c r="H76" s="4">
        <f t="shared" si="31"/>
        <v>0</v>
      </c>
      <c r="I76" s="4">
        <f t="shared" si="32"/>
        <v>0</v>
      </c>
      <c r="J76" s="4">
        <f t="shared" si="33"/>
        <v>0</v>
      </c>
      <c r="K76">
        <f t="shared" si="34"/>
        <v>0</v>
      </c>
    </row>
    <row r="77" spans="1:13" x14ac:dyDescent="0.35">
      <c r="A77" s="2" t="s">
        <v>57</v>
      </c>
      <c r="B77" s="1">
        <f>SUM(B2:B75)</f>
        <v>330899.38924424147</v>
      </c>
      <c r="C77" s="1">
        <f t="shared" si="27"/>
        <v>0.49861804528141529</v>
      </c>
      <c r="D77" s="1">
        <f t="shared" si="28"/>
        <v>200793.48683482595</v>
      </c>
      <c r="E77" s="1">
        <f t="shared" si="29"/>
        <v>2008</v>
      </c>
      <c r="F77" s="1">
        <f t="shared" si="30"/>
        <v>200800</v>
      </c>
      <c r="H77" s="4">
        <f t="shared" si="31"/>
        <v>51289.40533285743</v>
      </c>
      <c r="I77" s="4">
        <f t="shared" si="32"/>
        <v>-149510.59466714258</v>
      </c>
      <c r="J77" s="4">
        <f t="shared" si="33"/>
        <v>1282235.1333214357</v>
      </c>
      <c r="K77">
        <f t="shared" si="34"/>
        <v>1081435.1333214357</v>
      </c>
      <c r="L77">
        <f>F77/($G$23*B77)</f>
        <v>2.4273239120642404E-2</v>
      </c>
      <c r="M77">
        <f>F77/($G$36*B77)</f>
        <v>4.5167200869464477E-2</v>
      </c>
    </row>
  </sheetData>
  <mergeCells count="3">
    <mergeCell ref="Y14:AD16"/>
    <mergeCell ref="Q35:T40"/>
    <mergeCell ref="T31:W32"/>
  </mergeCells>
  <pageMargins left="0.7" right="0.7" top="0.75" bottom="0.75" header="0.3" footer="0.3"/>
  <pageSetup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CA509-FF9B-4AD0-8EBE-18201927353B}">
  <dimension ref="A1:AZ125"/>
  <sheetViews>
    <sheetView topLeftCell="S60" zoomScale="80" zoomScaleNormal="80" workbookViewId="0">
      <selection activeCell="AE103" sqref="AE103"/>
    </sheetView>
  </sheetViews>
  <sheetFormatPr defaultRowHeight="14.5" x14ac:dyDescent="0.35"/>
  <cols>
    <col min="1" max="1" width="23.26953125" style="1" bestFit="1" customWidth="1"/>
    <col min="2" max="2" width="25.54296875" style="1" bestFit="1" customWidth="1"/>
    <col min="3" max="3" width="16.7265625" bestFit="1" customWidth="1"/>
    <col min="4" max="8" width="16.7265625" customWidth="1"/>
    <col min="9" max="9" width="19.6328125" bestFit="1" customWidth="1"/>
    <col min="10" max="10" width="16.7265625" customWidth="1"/>
    <col min="11" max="11" width="16.1796875" bestFit="1" customWidth="1"/>
    <col min="12" max="12" width="20.54296875" customWidth="1"/>
    <col min="13" max="13" width="12" customWidth="1"/>
    <col min="14" max="15" width="12.26953125" customWidth="1"/>
    <col min="16" max="16" width="13" customWidth="1"/>
    <col min="17" max="17" width="8.7265625" customWidth="1"/>
    <col min="18" max="18" width="28.7265625" bestFit="1" customWidth="1"/>
    <col min="19" max="19" width="12.6328125" bestFit="1" customWidth="1"/>
    <col min="20" max="20" width="21.6328125" bestFit="1" customWidth="1"/>
    <col min="22" max="22" width="12.453125" customWidth="1"/>
    <col min="24" max="24" width="14.36328125" customWidth="1"/>
    <col min="25" max="25" width="10.36328125" customWidth="1"/>
    <col min="26" max="26" width="12.453125" customWidth="1"/>
    <col min="27" max="27" width="11.1796875" customWidth="1"/>
    <col min="29" max="29" width="14" customWidth="1"/>
    <col min="31" max="31" width="23" customWidth="1"/>
    <col min="32" max="32" width="20.54296875" customWidth="1"/>
    <col min="33" max="33" width="19.81640625" customWidth="1"/>
    <col min="34" max="34" width="18.1796875" customWidth="1"/>
    <col min="35" max="35" width="16" customWidth="1"/>
    <col min="36" max="36" width="15.26953125" bestFit="1" customWidth="1"/>
    <col min="37" max="37" width="14.81640625" bestFit="1" customWidth="1"/>
    <col min="48" max="48" width="15" bestFit="1" customWidth="1"/>
    <col min="49" max="49" width="14.81640625" bestFit="1" customWidth="1"/>
    <col min="50" max="51" width="14.26953125" bestFit="1" customWidth="1"/>
  </cols>
  <sheetData>
    <row r="1" spans="1:52" ht="63" customHeight="1" x14ac:dyDescent="0.35">
      <c r="A1" s="57" t="s">
        <v>7</v>
      </c>
      <c r="B1" s="60" t="s">
        <v>8</v>
      </c>
      <c r="C1" s="60" t="s">
        <v>253</v>
      </c>
      <c r="D1" s="61" t="s">
        <v>281</v>
      </c>
      <c r="E1" s="61" t="s">
        <v>301</v>
      </c>
      <c r="F1" s="61" t="s">
        <v>308</v>
      </c>
      <c r="G1" s="61" t="s">
        <v>312</v>
      </c>
      <c r="H1" s="61" t="s">
        <v>309</v>
      </c>
      <c r="I1" s="61" t="s">
        <v>310</v>
      </c>
      <c r="J1" s="61" t="s">
        <v>311</v>
      </c>
      <c r="K1" s="60" t="s">
        <v>254</v>
      </c>
      <c r="L1" s="61" t="s">
        <v>255</v>
      </c>
      <c r="M1" s="61" t="s">
        <v>256</v>
      </c>
      <c r="N1" s="61" t="s">
        <v>257</v>
      </c>
      <c r="O1" s="61" t="s">
        <v>282</v>
      </c>
      <c r="P1" s="61" t="s">
        <v>275</v>
      </c>
      <c r="Q1" s="69"/>
      <c r="R1" s="69"/>
      <c r="S1" s="69"/>
      <c r="T1" s="69"/>
      <c r="U1" s="69"/>
      <c r="V1" s="61" t="s">
        <v>276</v>
      </c>
      <c r="W1" s="61" t="s">
        <v>277</v>
      </c>
      <c r="X1" s="61" t="s">
        <v>278</v>
      </c>
      <c r="Y1" s="61" t="s">
        <v>279</v>
      </c>
      <c r="Z1" s="61" t="s">
        <v>31</v>
      </c>
      <c r="AA1" s="12" t="s">
        <v>283</v>
      </c>
      <c r="AB1" s="1"/>
      <c r="AC1" s="6" t="s">
        <v>33</v>
      </c>
      <c r="AD1" s="6" t="s">
        <v>34</v>
      </c>
      <c r="AE1" s="6" t="s">
        <v>35</v>
      </c>
      <c r="AF1" s="6" t="s">
        <v>36</v>
      </c>
      <c r="AG1" s="6" t="s">
        <v>37</v>
      </c>
      <c r="AH1" s="6" t="s">
        <v>38</v>
      </c>
      <c r="AI1" s="12" t="s">
        <v>39</v>
      </c>
      <c r="AJ1" s="12" t="s">
        <v>40</v>
      </c>
      <c r="AK1" s="12" t="s">
        <v>41</v>
      </c>
      <c r="AV1" s="6" t="s">
        <v>320</v>
      </c>
      <c r="AW1" s="86" t="s">
        <v>321</v>
      </c>
      <c r="AX1" s="86" t="s">
        <v>322</v>
      </c>
      <c r="AY1" s="6" t="s">
        <v>322</v>
      </c>
    </row>
    <row r="2" spans="1:52" ht="15" thickBot="1" x14ac:dyDescent="0.4">
      <c r="A2" s="1">
        <v>1</v>
      </c>
      <c r="B2" s="62">
        <v>1079.529030351737</v>
      </c>
      <c r="C2" s="62">
        <v>2</v>
      </c>
      <c r="D2" s="62">
        <v>3494.71</v>
      </c>
      <c r="E2" s="62">
        <v>1079.53</v>
      </c>
      <c r="F2" s="62">
        <v>1395.84</v>
      </c>
      <c r="G2" s="62">
        <v>139.60599999999999</v>
      </c>
      <c r="H2" s="62">
        <v>1682.91</v>
      </c>
      <c r="I2" s="62">
        <v>473.57100000000003</v>
      </c>
      <c r="J2" s="62">
        <v>556.52700000000004</v>
      </c>
      <c r="K2" s="62">
        <v>5</v>
      </c>
      <c r="L2" s="62">
        <v>1.2</v>
      </c>
      <c r="M2" s="62">
        <f>(C2*$S$18*1000)+S29</f>
        <v>0</v>
      </c>
      <c r="N2" s="62">
        <f>$S$38*C2</f>
        <v>71.2</v>
      </c>
      <c r="O2" s="56">
        <f>N2/D2</f>
        <v>2.0373650460267088E-2</v>
      </c>
      <c r="P2" s="56">
        <f t="shared" ref="P2:P46" si="0">N2*25</f>
        <v>1780</v>
      </c>
      <c r="Q2" s="56"/>
      <c r="R2" s="56"/>
      <c r="S2" s="56"/>
      <c r="T2" s="56"/>
      <c r="U2" s="56"/>
      <c r="V2" s="1">
        <v>273.161</v>
      </c>
      <c r="W2" s="1">
        <f>V2-M2</f>
        <v>273.161</v>
      </c>
      <c r="X2" s="1">
        <f t="shared" ref="X2:X65" si="1">V2*$S$47</f>
        <v>6829.0249999999996</v>
      </c>
      <c r="Y2" s="1">
        <f>X2-M2</f>
        <v>6829.0249999999996</v>
      </c>
      <c r="Z2" s="1">
        <f t="shared" ref="Z2:Z65" si="2">(M2/($S$47*B2))+O2</f>
        <v>2.0373650460267088E-2</v>
      </c>
      <c r="AA2" s="1">
        <f t="shared" ref="AA2:AA65" si="3">(M2/($S$50*B2))+O2</f>
        <v>2.0373650460267088E-2</v>
      </c>
      <c r="AB2" s="1"/>
      <c r="AC2" s="1" t="s">
        <v>284</v>
      </c>
      <c r="AD2" s="1">
        <v>0</v>
      </c>
      <c r="AE2">
        <f>-AC5</f>
        <v>-109929.99999999999</v>
      </c>
      <c r="AF2">
        <f>AE2</f>
        <v>-109929.99999999999</v>
      </c>
      <c r="AH2">
        <f>AE2</f>
        <v>-109929.99999999999</v>
      </c>
      <c r="AI2">
        <f>AE2</f>
        <v>-109929.99999999999</v>
      </c>
      <c r="AK2">
        <f>AE2</f>
        <v>-109929.99999999999</v>
      </c>
      <c r="AV2" s="1">
        <f>AK27+AK63</f>
        <v>213228.55703980179</v>
      </c>
      <c r="AW2">
        <f>B2/$B$102</f>
        <v>2.6692481992770093E-3</v>
      </c>
      <c r="AX2">
        <f>AW2*$AV$2</f>
        <v>569.159941912926</v>
      </c>
      <c r="AY2">
        <f>(AX2)*1.1</f>
        <v>626.07593610421861</v>
      </c>
      <c r="AZ2">
        <f>AY2-AX2</f>
        <v>56.915994191292612</v>
      </c>
    </row>
    <row r="3" spans="1:52" x14ac:dyDescent="0.35">
      <c r="A3" s="1">
        <v>2</v>
      </c>
      <c r="B3" s="62">
        <v>3886.3217817133332</v>
      </c>
      <c r="C3" s="62">
        <v>4</v>
      </c>
      <c r="D3" s="62">
        <v>6989.42</v>
      </c>
      <c r="E3" s="62">
        <v>3886.32</v>
      </c>
      <c r="F3" s="62">
        <v>2567.4899999999998</v>
      </c>
      <c r="G3" s="62">
        <v>253.81899999999999</v>
      </c>
      <c r="H3" s="62">
        <v>3085.9</v>
      </c>
      <c r="I3" s="62">
        <v>1442.46</v>
      </c>
      <c r="J3" s="62">
        <v>2007.51</v>
      </c>
      <c r="K3" s="62">
        <v>10</v>
      </c>
      <c r="L3" s="62">
        <v>3.3</v>
      </c>
      <c r="M3" s="62">
        <f>(C3*$S$18*1000)+S31</f>
        <v>0</v>
      </c>
      <c r="N3" s="62">
        <f>$S$38*C3</f>
        <v>142.4</v>
      </c>
      <c r="O3" s="56">
        <f t="shared" ref="O3:O46" si="4">N3/D3</f>
        <v>2.0373650460267088E-2</v>
      </c>
      <c r="P3" s="56">
        <f t="shared" si="0"/>
        <v>3560</v>
      </c>
      <c r="Q3" s="56"/>
      <c r="R3" s="80" t="s">
        <v>267</v>
      </c>
      <c r="S3" s="81"/>
      <c r="T3" s="82"/>
      <c r="U3" s="56"/>
      <c r="V3" s="1">
        <v>434.72800000000001</v>
      </c>
      <c r="W3" s="1">
        <f t="shared" ref="W3:W66" si="5">V3-M3</f>
        <v>434.72800000000001</v>
      </c>
      <c r="X3" s="1">
        <f t="shared" si="1"/>
        <v>10868.2</v>
      </c>
      <c r="Y3" s="1">
        <f t="shared" ref="Y3:Y66" si="6">X3-M3</f>
        <v>10868.2</v>
      </c>
      <c r="Z3" s="1">
        <f t="shared" si="2"/>
        <v>2.0373650460267088E-2</v>
      </c>
      <c r="AA3" s="1">
        <f t="shared" si="3"/>
        <v>2.0373650460267088E-2</v>
      </c>
      <c r="AB3" s="1"/>
      <c r="AC3" s="1"/>
      <c r="AD3" s="1">
        <v>1</v>
      </c>
      <c r="AE3">
        <f>AC8</f>
        <v>14416.025168890717</v>
      </c>
      <c r="AF3">
        <f>AF2+AE3</f>
        <v>-95513.97483110927</v>
      </c>
      <c r="AG3">
        <f t="shared" ref="AG3:AG27" si="7">AE3/(1+$S$20)^AD3</f>
        <v>13587.205625721695</v>
      </c>
      <c r="AH3">
        <f>AH2+AG3</f>
        <v>-96342.794374278295</v>
      </c>
      <c r="AI3">
        <f t="shared" ref="AI3:AI27" si="8">$AC$8*((1+$S$44)^AD3)</f>
        <v>14776.425798112985</v>
      </c>
      <c r="AJ3">
        <f t="shared" ref="AJ3:AJ27" si="9">AI3/(1+$S$20)^AD3</f>
        <v>13926.885766364736</v>
      </c>
      <c r="AK3">
        <f>AK2+AJ3</f>
        <v>-96003.11423363525</v>
      </c>
      <c r="AV3" s="1"/>
      <c r="AW3">
        <f t="shared" ref="AW3:AW66" si="10">B3/$B$102</f>
        <v>9.6093362253253847E-3</v>
      </c>
      <c r="AX3">
        <f t="shared" ref="AX3:AX66" si="11">AW3*$AV$2</f>
        <v>2048.9848974364272</v>
      </c>
      <c r="AY3">
        <f t="shared" ref="AY3:AY46" si="12">(AX3)*1.1</f>
        <v>2253.8833871800703</v>
      </c>
      <c r="AZ3">
        <f t="shared" ref="AZ3:AZ46" si="13">AY3-AX3</f>
        <v>204.89848974364304</v>
      </c>
    </row>
    <row r="4" spans="1:52" ht="29" x14ac:dyDescent="0.35">
      <c r="A4" s="1">
        <v>3</v>
      </c>
      <c r="B4" s="1">
        <v>3457.332910813851</v>
      </c>
      <c r="C4" s="1">
        <v>2</v>
      </c>
      <c r="D4" s="1">
        <v>3494.71</v>
      </c>
      <c r="E4" s="1">
        <v>3457.33</v>
      </c>
      <c r="F4" s="1">
        <v>613.53200000000004</v>
      </c>
      <c r="G4" s="1">
        <v>54.761099999999999</v>
      </c>
      <c r="H4" s="1">
        <v>1498.2</v>
      </c>
      <c r="I4" s="1">
        <v>1382.98</v>
      </c>
      <c r="J4" s="1">
        <v>2074.35</v>
      </c>
      <c r="K4" s="1">
        <v>5</v>
      </c>
      <c r="L4" s="1">
        <v>0</v>
      </c>
      <c r="M4" s="1">
        <f>C4*$S$18*1000</f>
        <v>0</v>
      </c>
      <c r="N4" s="1">
        <f>$S$19*C4</f>
        <v>53</v>
      </c>
      <c r="O4" s="4">
        <f t="shared" si="4"/>
        <v>1.5165779134749377E-2</v>
      </c>
      <c r="P4" s="4">
        <f t="shared" si="0"/>
        <v>1325</v>
      </c>
      <c r="Q4" s="4"/>
      <c r="R4" s="63" t="s">
        <v>302</v>
      </c>
      <c r="S4" s="4">
        <v>0.155</v>
      </c>
      <c r="T4" s="30"/>
      <c r="U4" s="4"/>
      <c r="V4" s="1">
        <v>78.388900000000007</v>
      </c>
      <c r="W4" s="1">
        <f t="shared" si="5"/>
        <v>78.388900000000007</v>
      </c>
      <c r="X4" s="1">
        <f t="shared" si="1"/>
        <v>1959.7225000000001</v>
      </c>
      <c r="Y4" s="1">
        <f t="shared" si="6"/>
        <v>1959.7225000000001</v>
      </c>
      <c r="Z4" s="1">
        <f t="shared" si="2"/>
        <v>1.5165779134749377E-2</v>
      </c>
      <c r="AA4" s="1">
        <f t="shared" si="3"/>
        <v>1.5165779134749377E-2</v>
      </c>
      <c r="AB4" s="1"/>
      <c r="AC4" s="6" t="s">
        <v>285</v>
      </c>
      <c r="AD4" s="1">
        <f>AD3+1</f>
        <v>2</v>
      </c>
      <c r="AE4">
        <f>AE3</f>
        <v>14416.025168890717</v>
      </c>
      <c r="AF4">
        <f>AF3+AE4</f>
        <v>-81097.949662218554</v>
      </c>
      <c r="AG4">
        <f t="shared" si="7"/>
        <v>12806.037347522803</v>
      </c>
      <c r="AH4">
        <f t="shared" ref="AH4:AH27" si="14">AH3+AG4</f>
        <v>-83536.757026755498</v>
      </c>
      <c r="AI4">
        <f t="shared" si="8"/>
        <v>15145.836443065809</v>
      </c>
      <c r="AJ4">
        <f t="shared" si="9"/>
        <v>13454.342988241146</v>
      </c>
      <c r="AK4">
        <f t="shared" ref="AK4:AK27" si="15">AK3+AJ4</f>
        <v>-82548.771245394106</v>
      </c>
      <c r="AV4" s="1"/>
      <c r="AW4">
        <f t="shared" si="10"/>
        <v>8.5486164679463485E-3</v>
      </c>
      <c r="AX4">
        <f t="shared" si="11"/>
        <v>1822.8091541468868</v>
      </c>
      <c r="AY4">
        <f t="shared" si="12"/>
        <v>2005.0900695615758</v>
      </c>
      <c r="AZ4">
        <f t="shared" si="13"/>
        <v>182.28091541468893</v>
      </c>
    </row>
    <row r="5" spans="1:52" x14ac:dyDescent="0.35">
      <c r="A5" s="1">
        <v>4</v>
      </c>
      <c r="B5" s="62">
        <v>1453.8912212817379</v>
      </c>
      <c r="C5" s="62">
        <v>2</v>
      </c>
      <c r="D5" s="62">
        <v>3494.71</v>
      </c>
      <c r="E5" s="62">
        <v>1453.89</v>
      </c>
      <c r="F5" s="62">
        <v>1292.6199999999999</v>
      </c>
      <c r="G5" s="62">
        <v>127.47</v>
      </c>
      <c r="H5" s="62">
        <v>1638.92</v>
      </c>
      <c r="I5" s="62">
        <v>615.08299999999997</v>
      </c>
      <c r="J5" s="62">
        <v>724.553</v>
      </c>
      <c r="K5" s="62">
        <v>5</v>
      </c>
      <c r="L5" s="62">
        <v>1.2</v>
      </c>
      <c r="M5" s="62">
        <f>(C5*$S$18*1000)+S29</f>
        <v>0</v>
      </c>
      <c r="N5" s="62">
        <f>$S$38*C5</f>
        <v>71.2</v>
      </c>
      <c r="O5" s="56">
        <f t="shared" si="4"/>
        <v>2.0373650460267088E-2</v>
      </c>
      <c r="P5" s="56">
        <f t="shared" si="0"/>
        <v>1780</v>
      </c>
      <c r="Q5" s="56"/>
      <c r="R5" s="83" t="s">
        <v>303</v>
      </c>
      <c r="S5" s="56">
        <v>0.129</v>
      </c>
      <c r="T5" s="46" t="s">
        <v>6</v>
      </c>
      <c r="U5" s="56"/>
      <c r="V5" s="1">
        <v>253.096</v>
      </c>
      <c r="W5" s="1">
        <f t="shared" si="5"/>
        <v>253.096</v>
      </c>
      <c r="X5" s="1">
        <f t="shared" si="1"/>
        <v>6327.4</v>
      </c>
      <c r="Y5" s="1">
        <f t="shared" si="6"/>
        <v>6327.4</v>
      </c>
      <c r="Z5" s="1">
        <f t="shared" si="2"/>
        <v>2.0373650460267088E-2</v>
      </c>
      <c r="AA5" s="1">
        <f t="shared" si="3"/>
        <v>2.0373650460267088E-2</v>
      </c>
      <c r="AB5" s="1" t="s">
        <v>397</v>
      </c>
      <c r="AC5" s="1">
        <f>SUM(M2:M46) + (T10*45/99)+T39+T40+T11+T12+AB6</f>
        <v>109929.99999999999</v>
      </c>
      <c r="AD5" s="1">
        <f t="shared" ref="AD5:AD27" si="16">AD4+1</f>
        <v>3</v>
      </c>
      <c r="AE5">
        <f t="shared" ref="AE5:AE27" si="17">AE4</f>
        <v>14416.025168890717</v>
      </c>
      <c r="AF5">
        <f t="shared" ref="AF5:AF27" si="18">AF4+AE5</f>
        <v>-66681.924493327839</v>
      </c>
      <c r="AG5">
        <f t="shared" si="7"/>
        <v>12069.780723395668</v>
      </c>
      <c r="AH5">
        <f t="shared" si="14"/>
        <v>-71466.976303359828</v>
      </c>
      <c r="AI5">
        <f t="shared" si="8"/>
        <v>15524.482354142454</v>
      </c>
      <c r="AJ5">
        <f t="shared" si="9"/>
        <v>12997.833706830514</v>
      </c>
      <c r="AK5">
        <f t="shared" si="15"/>
        <v>-69550.937538563594</v>
      </c>
      <c r="AV5" s="1" t="s">
        <v>324</v>
      </c>
      <c r="AW5">
        <f t="shared" si="10"/>
        <v>3.5948977889797666E-3</v>
      </c>
      <c r="AX5">
        <f t="shared" si="11"/>
        <v>766.53486824972947</v>
      </c>
      <c r="AY5">
        <f t="shared" si="12"/>
        <v>843.18835507470249</v>
      </c>
      <c r="AZ5">
        <f t="shared" si="13"/>
        <v>76.653486824973015</v>
      </c>
    </row>
    <row r="6" spans="1:52" x14ac:dyDescent="0.35">
      <c r="A6" s="1">
        <v>5</v>
      </c>
      <c r="B6" s="1">
        <v>3955.020115733626</v>
      </c>
      <c r="C6" s="1">
        <v>4</v>
      </c>
      <c r="D6" s="1">
        <v>6989.42</v>
      </c>
      <c r="E6" s="1">
        <v>3955.02</v>
      </c>
      <c r="F6" s="1">
        <v>1833.18</v>
      </c>
      <c r="G6" s="1">
        <v>168.476</v>
      </c>
      <c r="H6" s="1">
        <v>3471.67</v>
      </c>
      <c r="I6" s="1">
        <v>1684.57</v>
      </c>
      <c r="J6" s="1">
        <v>2270.4499999999998</v>
      </c>
      <c r="K6" s="1">
        <v>10</v>
      </c>
      <c r="L6" s="1">
        <v>0</v>
      </c>
      <c r="M6" s="1">
        <f>C6*$S$18*1000</f>
        <v>0</v>
      </c>
      <c r="N6" s="1">
        <f>$S$19*C6</f>
        <v>106</v>
      </c>
      <c r="O6" s="4">
        <f t="shared" si="4"/>
        <v>1.5165779134749377E-2</v>
      </c>
      <c r="P6" s="4">
        <f t="shared" si="0"/>
        <v>2650</v>
      </c>
      <c r="Q6" s="4"/>
      <c r="R6" s="63" t="s">
        <v>395</v>
      </c>
      <c r="S6" s="1">
        <v>8.6999999999999994E-2</v>
      </c>
      <c r="T6" s="78"/>
      <c r="U6" s="4"/>
      <c r="V6" s="1">
        <v>379.79399999999998</v>
      </c>
      <c r="W6" s="1">
        <f t="shared" si="5"/>
        <v>379.79399999999998</v>
      </c>
      <c r="X6" s="1">
        <f t="shared" si="1"/>
        <v>9494.85</v>
      </c>
      <c r="Y6" s="1">
        <f t="shared" si="6"/>
        <v>9494.85</v>
      </c>
      <c r="Z6" s="1">
        <f t="shared" si="2"/>
        <v>1.5165779134749377E-2</v>
      </c>
      <c r="AA6" s="1">
        <f t="shared" si="3"/>
        <v>1.5165779134749377E-2</v>
      </c>
      <c r="AB6" s="1">
        <f>SUM(N2:N46)*20</f>
        <v>105879.99999999999</v>
      </c>
      <c r="AC6" s="1"/>
      <c r="AD6" s="1">
        <f t="shared" si="16"/>
        <v>4</v>
      </c>
      <c r="AE6">
        <f t="shared" si="17"/>
        <v>14416.025168890717</v>
      </c>
      <c r="AF6">
        <f t="shared" si="18"/>
        <v>-52265.899324437123</v>
      </c>
      <c r="AG6">
        <f t="shared" si="7"/>
        <v>11375.853650702798</v>
      </c>
      <c r="AH6">
        <f t="shared" si="14"/>
        <v>-60091.122652657032</v>
      </c>
      <c r="AI6">
        <f t="shared" si="8"/>
        <v>15912.594412996013</v>
      </c>
      <c r="AJ6">
        <f t="shared" si="9"/>
        <v>12556.813901509213</v>
      </c>
      <c r="AK6">
        <f t="shared" si="15"/>
        <v>-56994.123637054377</v>
      </c>
      <c r="AV6" s="1">
        <f>SUM(AY2:AY46)</f>
        <v>97811.64953615675</v>
      </c>
      <c r="AW6">
        <f t="shared" si="10"/>
        <v>9.7792000263176096E-3</v>
      </c>
      <c r="AX6">
        <f t="shared" si="11"/>
        <v>2085.2047106152954</v>
      </c>
      <c r="AY6">
        <f t="shared" si="12"/>
        <v>2293.7251816768253</v>
      </c>
      <c r="AZ6">
        <f t="shared" si="13"/>
        <v>208.52047106152986</v>
      </c>
    </row>
    <row r="7" spans="1:52" ht="29" x14ac:dyDescent="0.35">
      <c r="A7" s="1">
        <v>6</v>
      </c>
      <c r="B7" s="62">
        <v>2105.0165005377999</v>
      </c>
      <c r="C7" s="62">
        <v>2</v>
      </c>
      <c r="D7" s="62">
        <v>3494.71</v>
      </c>
      <c r="E7" s="62">
        <v>2105.02</v>
      </c>
      <c r="F7" s="62">
        <v>1453.58</v>
      </c>
      <c r="G7" s="62">
        <v>145.85</v>
      </c>
      <c r="H7" s="62">
        <v>1123.08</v>
      </c>
      <c r="I7" s="62">
        <v>912.81600000000003</v>
      </c>
      <c r="J7" s="62">
        <v>775.86</v>
      </c>
      <c r="K7" s="62">
        <v>5</v>
      </c>
      <c r="L7" s="62">
        <v>4.2</v>
      </c>
      <c r="M7" s="62">
        <f>(C7*$S$18*1000)+S32</f>
        <v>0</v>
      </c>
      <c r="N7" s="62">
        <f>$S$38*C7</f>
        <v>71.2</v>
      </c>
      <c r="O7" s="56">
        <f t="shared" si="4"/>
        <v>2.0373650460267088E-2</v>
      </c>
      <c r="P7" s="56">
        <f t="shared" si="0"/>
        <v>1780</v>
      </c>
      <c r="Q7" s="56"/>
      <c r="R7" s="84"/>
      <c r="S7" s="62"/>
      <c r="T7" s="85"/>
      <c r="U7" s="56"/>
      <c r="V7" s="1">
        <v>264.803</v>
      </c>
      <c r="W7" s="1">
        <f t="shared" si="5"/>
        <v>264.803</v>
      </c>
      <c r="X7" s="1">
        <f t="shared" si="1"/>
        <v>6620.0749999999998</v>
      </c>
      <c r="Y7" s="1">
        <f t="shared" si="6"/>
        <v>6620.0749999999998</v>
      </c>
      <c r="Z7" s="1">
        <f t="shared" si="2"/>
        <v>2.0373650460267088E-2</v>
      </c>
      <c r="AA7" s="1">
        <f t="shared" si="3"/>
        <v>2.0373650460267088E-2</v>
      </c>
      <c r="AB7" s="1"/>
      <c r="AC7" s="6" t="s">
        <v>286</v>
      </c>
      <c r="AD7" s="1">
        <f t="shared" si="16"/>
        <v>5</v>
      </c>
      <c r="AE7">
        <f t="shared" si="17"/>
        <v>14416.025168890717</v>
      </c>
      <c r="AF7">
        <f t="shared" si="18"/>
        <v>-37849.874155546408</v>
      </c>
      <c r="AG7">
        <f t="shared" si="7"/>
        <v>10721.822479455983</v>
      </c>
      <c r="AH7">
        <f t="shared" si="14"/>
        <v>-49369.300173201045</v>
      </c>
      <c r="AI7">
        <f t="shared" si="8"/>
        <v>16310.409273320913</v>
      </c>
      <c r="AJ7">
        <f t="shared" si="9"/>
        <v>12130.758010411821</v>
      </c>
      <c r="AK7">
        <f t="shared" si="15"/>
        <v>-44863.365626642553</v>
      </c>
      <c r="AV7" s="1"/>
      <c r="AW7">
        <f t="shared" si="10"/>
        <v>5.2048730006623049E-3</v>
      </c>
      <c r="AX7">
        <f t="shared" si="11"/>
        <v>1109.8275595066466</v>
      </c>
      <c r="AY7">
        <f t="shared" si="12"/>
        <v>1220.8103154573114</v>
      </c>
      <c r="AZ7">
        <f t="shared" si="13"/>
        <v>110.9827559506648</v>
      </c>
    </row>
    <row r="8" spans="1:52" x14ac:dyDescent="0.35">
      <c r="A8" s="1">
        <v>7</v>
      </c>
      <c r="B8" s="1">
        <v>1617.7934488334181</v>
      </c>
      <c r="C8" s="1">
        <v>2</v>
      </c>
      <c r="D8" s="1">
        <v>3494.71</v>
      </c>
      <c r="E8" s="1">
        <v>1617.79</v>
      </c>
      <c r="F8" s="1">
        <v>1038.05</v>
      </c>
      <c r="G8" s="1">
        <v>96.850499999999997</v>
      </c>
      <c r="H8" s="1">
        <v>1831.46</v>
      </c>
      <c r="I8" s="1">
        <v>625.19600000000003</v>
      </c>
      <c r="J8" s="1">
        <v>992.59699999999998</v>
      </c>
      <c r="K8" s="1">
        <v>5</v>
      </c>
      <c r="L8" s="1">
        <v>0</v>
      </c>
      <c r="M8" s="1">
        <f>C8*$S$18*1000</f>
        <v>0</v>
      </c>
      <c r="N8" s="1">
        <f>$S$19*C8</f>
        <v>53</v>
      </c>
      <c r="O8" s="4">
        <f t="shared" si="4"/>
        <v>1.5165779134749377E-2</v>
      </c>
      <c r="P8" s="4">
        <f t="shared" si="0"/>
        <v>1325</v>
      </c>
      <c r="Q8" s="4"/>
      <c r="R8" s="65"/>
      <c r="S8" s="1"/>
      <c r="T8" s="78">
        <v>25</v>
      </c>
      <c r="U8" s="4"/>
      <c r="V8" s="1">
        <v>199.303</v>
      </c>
      <c r="W8" s="1">
        <f t="shared" si="5"/>
        <v>199.303</v>
      </c>
      <c r="X8" s="1">
        <f t="shared" si="1"/>
        <v>4982.5749999999998</v>
      </c>
      <c r="Y8" s="1">
        <f t="shared" si="6"/>
        <v>4982.5749999999998</v>
      </c>
      <c r="Z8" s="1">
        <f t="shared" si="2"/>
        <v>1.5165779134749377E-2</v>
      </c>
      <c r="AA8" s="1">
        <f t="shared" si="3"/>
        <v>1.5165779134749377E-2</v>
      </c>
      <c r="AB8" s="1"/>
      <c r="AC8" s="1">
        <f>H125</f>
        <v>14416.025168890717</v>
      </c>
      <c r="AD8" s="1">
        <f t="shared" si="16"/>
        <v>6</v>
      </c>
      <c r="AE8">
        <f t="shared" si="17"/>
        <v>14416.025168890717</v>
      </c>
      <c r="AF8">
        <f t="shared" si="18"/>
        <v>-23433.848986655692</v>
      </c>
      <c r="AG8">
        <f t="shared" si="7"/>
        <v>10105.393477338344</v>
      </c>
      <c r="AH8">
        <f t="shared" si="14"/>
        <v>-39263.906695862701</v>
      </c>
      <c r="AI8">
        <f t="shared" si="8"/>
        <v>16718.169505153932</v>
      </c>
      <c r="AJ8">
        <f t="shared" si="9"/>
        <v>11719.158304120747</v>
      </c>
      <c r="AK8">
        <f t="shared" si="15"/>
        <v>-33144.207322521805</v>
      </c>
      <c r="AV8" s="1"/>
      <c r="AW8">
        <f t="shared" si="10"/>
        <v>4.0001631532722544E-3</v>
      </c>
      <c r="AX8">
        <f t="shared" si="11"/>
        <v>852.9490170960263</v>
      </c>
      <c r="AY8">
        <f t="shared" si="12"/>
        <v>938.24391880562905</v>
      </c>
      <c r="AZ8">
        <f t="shared" si="13"/>
        <v>85.294901709602755</v>
      </c>
    </row>
    <row r="9" spans="1:52" ht="29" x14ac:dyDescent="0.35">
      <c r="A9" s="1">
        <v>8</v>
      </c>
      <c r="B9" s="62">
        <v>10161.74794678937</v>
      </c>
      <c r="C9" s="62">
        <v>10</v>
      </c>
      <c r="D9" s="62">
        <v>17473.5</v>
      </c>
      <c r="E9" s="62">
        <v>10161.700000000001</v>
      </c>
      <c r="F9" s="62">
        <v>6690.31</v>
      </c>
      <c r="G9" s="62">
        <v>666.70799999999997</v>
      </c>
      <c r="H9" s="62">
        <v>7473.12</v>
      </c>
      <c r="I9" s="62">
        <v>3557.92</v>
      </c>
      <c r="J9" s="62">
        <v>5438.81</v>
      </c>
      <c r="K9" s="62">
        <v>25</v>
      </c>
      <c r="L9" s="62">
        <v>9.6999999999999993</v>
      </c>
      <c r="M9" s="62">
        <f>(C9*$S$18*1000)+S35</f>
        <v>0</v>
      </c>
      <c r="N9" s="62">
        <f>$S$38*C9</f>
        <v>356</v>
      </c>
      <c r="O9" s="56">
        <f t="shared" si="4"/>
        <v>2.0373708758977881E-2</v>
      </c>
      <c r="P9" s="56">
        <f t="shared" si="0"/>
        <v>8900</v>
      </c>
      <c r="Q9" s="56"/>
      <c r="R9" s="65"/>
      <c r="S9" s="1" t="s">
        <v>314</v>
      </c>
      <c r="T9" s="78" t="s">
        <v>315</v>
      </c>
      <c r="U9" s="56"/>
      <c r="V9" s="1">
        <v>1025.3900000000001</v>
      </c>
      <c r="W9" s="1">
        <f t="shared" si="5"/>
        <v>1025.3900000000001</v>
      </c>
      <c r="X9" s="1">
        <f t="shared" si="1"/>
        <v>25634.750000000004</v>
      </c>
      <c r="Y9" s="1">
        <f t="shared" si="6"/>
        <v>25634.750000000004</v>
      </c>
      <c r="Z9" s="1">
        <f t="shared" si="2"/>
        <v>2.0373708758977881E-2</v>
      </c>
      <c r="AA9" s="1">
        <f t="shared" si="3"/>
        <v>2.0373708758977881E-2</v>
      </c>
      <c r="AB9" s="1"/>
      <c r="AC9" s="1"/>
      <c r="AD9" s="1">
        <f t="shared" si="16"/>
        <v>7</v>
      </c>
      <c r="AE9">
        <f t="shared" si="17"/>
        <v>14416.025168890717</v>
      </c>
      <c r="AF9">
        <f t="shared" si="18"/>
        <v>-9017.8238177649746</v>
      </c>
      <c r="AG9">
        <f t="shared" si="7"/>
        <v>9524.4047854272812</v>
      </c>
      <c r="AH9">
        <f t="shared" si="14"/>
        <v>-29739.501910435421</v>
      </c>
      <c r="AI9">
        <f t="shared" si="8"/>
        <v>17136.123742782784</v>
      </c>
      <c r="AJ9">
        <f t="shared" si="9"/>
        <v>11321.524280606758</v>
      </c>
      <c r="AK9">
        <f t="shared" si="15"/>
        <v>-21822.683041915046</v>
      </c>
      <c r="AV9" s="73" t="s">
        <v>323</v>
      </c>
      <c r="AW9">
        <f t="shared" si="10"/>
        <v>2.512598239218878E-2</v>
      </c>
      <c r="AX9">
        <f t="shared" si="11"/>
        <v>5357.5769696938805</v>
      </c>
      <c r="AY9">
        <f t="shared" si="12"/>
        <v>5893.3346666632688</v>
      </c>
      <c r="AZ9">
        <f t="shared" si="13"/>
        <v>535.75769696938823</v>
      </c>
    </row>
    <row r="10" spans="1:52" x14ac:dyDescent="0.35">
      <c r="A10" s="1">
        <v>9</v>
      </c>
      <c r="B10" s="62">
        <v>5057.043251595851</v>
      </c>
      <c r="C10" s="62">
        <v>4</v>
      </c>
      <c r="D10" s="62">
        <v>6989.42</v>
      </c>
      <c r="E10" s="62">
        <v>5057.04</v>
      </c>
      <c r="F10" s="62">
        <v>2433.36</v>
      </c>
      <c r="G10" s="62">
        <v>235.053</v>
      </c>
      <c r="H10" s="62">
        <v>2459.33</v>
      </c>
      <c r="I10" s="62">
        <v>2123.7399999999998</v>
      </c>
      <c r="J10" s="62">
        <v>1740.61</v>
      </c>
      <c r="K10" s="62">
        <v>10</v>
      </c>
      <c r="L10" s="62">
        <v>6</v>
      </c>
      <c r="M10" s="62">
        <f>(C10*$S$18*1000)+S34</f>
        <v>0</v>
      </c>
      <c r="N10" s="62">
        <f>$S$38*C10</f>
        <v>142.4</v>
      </c>
      <c r="O10" s="56">
        <f t="shared" si="4"/>
        <v>2.0373650460267088E-2</v>
      </c>
      <c r="P10" s="56">
        <f t="shared" si="0"/>
        <v>3560</v>
      </c>
      <c r="Q10" s="56"/>
      <c r="R10" s="50" t="s">
        <v>319</v>
      </c>
      <c r="S10" s="1">
        <v>90</v>
      </c>
      <c r="T10" s="78">
        <f>S10*99</f>
        <v>8910</v>
      </c>
      <c r="U10" s="56"/>
      <c r="V10" s="1">
        <v>508.49599999999998</v>
      </c>
      <c r="W10" s="1">
        <f t="shared" si="5"/>
        <v>508.49599999999998</v>
      </c>
      <c r="X10" s="1">
        <f t="shared" si="1"/>
        <v>12712.4</v>
      </c>
      <c r="Y10" s="1">
        <f t="shared" si="6"/>
        <v>12712.4</v>
      </c>
      <c r="Z10" s="1">
        <f t="shared" si="2"/>
        <v>2.0373650460267088E-2</v>
      </c>
      <c r="AA10" s="1">
        <f t="shared" si="3"/>
        <v>2.0373650460267088E-2</v>
      </c>
      <c r="AB10" s="1"/>
      <c r="AC10" s="1"/>
      <c r="AD10" s="1">
        <f t="shared" si="16"/>
        <v>8</v>
      </c>
      <c r="AE10">
        <f t="shared" si="17"/>
        <v>14416.025168890717</v>
      </c>
      <c r="AF10">
        <f t="shared" si="18"/>
        <v>5398.2013511257428</v>
      </c>
      <c r="AG10">
        <f t="shared" si="7"/>
        <v>8976.8188364064863</v>
      </c>
      <c r="AH10">
        <f t="shared" si="14"/>
        <v>-20762.683074028937</v>
      </c>
      <c r="AI10">
        <f t="shared" si="8"/>
        <v>17564.52683635235</v>
      </c>
      <c r="AJ10">
        <f t="shared" si="9"/>
        <v>10937.38208069927</v>
      </c>
      <c r="AK10">
        <f t="shared" si="15"/>
        <v>-10885.300961215777</v>
      </c>
      <c r="AV10" s="1">
        <f>AV2-AV6</f>
        <v>115416.90750364504</v>
      </c>
      <c r="AW10">
        <f t="shared" si="10"/>
        <v>1.2504067249205919E-2</v>
      </c>
      <c r="AX10">
        <f t="shared" si="11"/>
        <v>2666.2242166768215</v>
      </c>
      <c r="AY10">
        <f t="shared" si="12"/>
        <v>2932.8466383445038</v>
      </c>
      <c r="AZ10">
        <f t="shared" si="13"/>
        <v>266.62242166768237</v>
      </c>
    </row>
    <row r="11" spans="1:52" x14ac:dyDescent="0.35">
      <c r="A11" s="1">
        <v>10</v>
      </c>
      <c r="B11" s="1">
        <v>507.10444675644749</v>
      </c>
      <c r="C11" s="1">
        <v>2</v>
      </c>
      <c r="D11" s="1">
        <v>3494.71</v>
      </c>
      <c r="E11" s="1">
        <v>507.10399999999998</v>
      </c>
      <c r="F11" s="1">
        <v>1300.33</v>
      </c>
      <c r="G11" s="1">
        <v>126.497</v>
      </c>
      <c r="H11" s="1">
        <v>1951.2</v>
      </c>
      <c r="I11" s="1">
        <v>243.18299999999999</v>
      </c>
      <c r="J11" s="1">
        <v>263.92099999999999</v>
      </c>
      <c r="K11" s="1">
        <v>5</v>
      </c>
      <c r="L11" s="1">
        <v>0</v>
      </c>
      <c r="M11" s="1">
        <f>C11*$S$18*1000</f>
        <v>0</v>
      </c>
      <c r="N11" s="1">
        <f>$S$19*C11</f>
        <v>53</v>
      </c>
      <c r="O11" s="4">
        <f t="shared" si="4"/>
        <v>1.5165779134749377E-2</v>
      </c>
      <c r="P11" s="4">
        <f t="shared" si="0"/>
        <v>1325</v>
      </c>
      <c r="Q11" s="4"/>
      <c r="R11" s="65" t="s">
        <v>316</v>
      </c>
      <c r="S11" s="1"/>
      <c r="T11" s="78">
        <v>0</v>
      </c>
      <c r="U11" s="4"/>
      <c r="V11" s="1">
        <v>293.03699999999998</v>
      </c>
      <c r="W11" s="1">
        <f t="shared" si="5"/>
        <v>293.03699999999998</v>
      </c>
      <c r="X11" s="1">
        <f t="shared" si="1"/>
        <v>7325.9249999999993</v>
      </c>
      <c r="Y11" s="1">
        <f t="shared" si="6"/>
        <v>7325.9249999999993</v>
      </c>
      <c r="Z11" s="1">
        <f t="shared" si="2"/>
        <v>1.5165779134749377E-2</v>
      </c>
      <c r="AA11" s="1">
        <f t="shared" si="3"/>
        <v>1.5165779134749377E-2</v>
      </c>
      <c r="AB11" s="1"/>
      <c r="AC11" s="2" t="s">
        <v>329</v>
      </c>
      <c r="AD11" s="1">
        <f t="shared" si="16"/>
        <v>9</v>
      </c>
      <c r="AE11">
        <f t="shared" si="17"/>
        <v>14416.025168890717</v>
      </c>
      <c r="AF11">
        <f t="shared" si="18"/>
        <v>19814.226520016462</v>
      </c>
      <c r="AG11">
        <f t="shared" si="7"/>
        <v>8460.7152086771785</v>
      </c>
      <c r="AH11">
        <f t="shared" si="14"/>
        <v>-12301.967865351759</v>
      </c>
      <c r="AI11">
        <f t="shared" si="8"/>
        <v>18003.640007261158</v>
      </c>
      <c r="AJ11">
        <f t="shared" si="9"/>
        <v>10566.273923389965</v>
      </c>
      <c r="AK11">
        <f t="shared" si="15"/>
        <v>-319.02703782581193</v>
      </c>
      <c r="AV11" s="1" t="s">
        <v>6</v>
      </c>
      <c r="AW11">
        <f t="shared" si="10"/>
        <v>1.2538686717011949E-3</v>
      </c>
      <c r="AX11">
        <f t="shared" si="11"/>
        <v>267.36060758425873</v>
      </c>
      <c r="AY11">
        <f t="shared" si="12"/>
        <v>294.09666834268461</v>
      </c>
      <c r="AZ11">
        <f t="shared" si="13"/>
        <v>26.736060758425879</v>
      </c>
    </row>
    <row r="12" spans="1:52" x14ac:dyDescent="0.35">
      <c r="A12" s="1">
        <v>11</v>
      </c>
      <c r="B12" s="1">
        <v>480.82648360578531</v>
      </c>
      <c r="C12" s="1">
        <v>2</v>
      </c>
      <c r="D12" s="1">
        <v>3494.71</v>
      </c>
      <c r="E12" s="1">
        <v>480.82600000000002</v>
      </c>
      <c r="F12" s="1">
        <v>1315.33</v>
      </c>
      <c r="G12" s="1">
        <v>128.179</v>
      </c>
      <c r="H12" s="1">
        <v>1959.92</v>
      </c>
      <c r="I12" s="1">
        <v>219.46199999999999</v>
      </c>
      <c r="J12" s="1">
        <v>261.36500000000001</v>
      </c>
      <c r="K12" s="1">
        <v>5</v>
      </c>
      <c r="L12" s="1">
        <v>0</v>
      </c>
      <c r="M12" s="1">
        <f>C12*$S$18*1000</f>
        <v>0</v>
      </c>
      <c r="N12" s="1">
        <f>$S$19*C12</f>
        <v>53</v>
      </c>
      <c r="O12" s="4">
        <f t="shared" si="4"/>
        <v>1.5165779134749377E-2</v>
      </c>
      <c r="P12" s="4">
        <f t="shared" si="0"/>
        <v>1325</v>
      </c>
      <c r="Q12" s="4"/>
      <c r="R12" s="65" t="s">
        <v>317</v>
      </c>
      <c r="S12" s="1"/>
      <c r="T12" s="78">
        <v>0</v>
      </c>
      <c r="U12" s="4"/>
      <c r="V12" s="1">
        <v>292.19799999999998</v>
      </c>
      <c r="W12" s="1">
        <f t="shared" si="5"/>
        <v>292.19799999999998</v>
      </c>
      <c r="X12" s="1">
        <f t="shared" si="1"/>
        <v>7304.95</v>
      </c>
      <c r="Y12" s="1">
        <f t="shared" si="6"/>
        <v>7304.95</v>
      </c>
      <c r="Z12" s="1">
        <f t="shared" si="2"/>
        <v>1.5165779134749377E-2</v>
      </c>
      <c r="AA12" s="1">
        <f t="shared" si="3"/>
        <v>1.5165779134749377E-2</v>
      </c>
      <c r="AB12" s="1"/>
      <c r="AC12" s="1">
        <f>MIN(V2:V46)</f>
        <v>59.389600000000002</v>
      </c>
      <c r="AD12" s="1">
        <f t="shared" si="16"/>
        <v>10</v>
      </c>
      <c r="AE12">
        <f t="shared" si="17"/>
        <v>14416.025168890717</v>
      </c>
      <c r="AF12">
        <f t="shared" si="18"/>
        <v>34230.251688907178</v>
      </c>
      <c r="AG12">
        <f t="shared" si="7"/>
        <v>7974.2838913074247</v>
      </c>
      <c r="AH12">
        <f t="shared" si="14"/>
        <v>-4327.6839740443338</v>
      </c>
      <c r="AI12">
        <f t="shared" si="8"/>
        <v>18453.731007442686</v>
      </c>
      <c r="AJ12">
        <f t="shared" si="9"/>
        <v>10207.757560296617</v>
      </c>
      <c r="AK12">
        <f t="shared" si="15"/>
        <v>9888.7305224708052</v>
      </c>
      <c r="AV12" s="1"/>
      <c r="AW12">
        <f t="shared" si="10"/>
        <v>1.1888936651488298E-3</v>
      </c>
      <c r="AX12">
        <f t="shared" si="11"/>
        <v>253.50608069344625</v>
      </c>
      <c r="AY12">
        <f t="shared" si="12"/>
        <v>278.8566887627909</v>
      </c>
      <c r="AZ12">
        <f t="shared" si="13"/>
        <v>25.350608069344645</v>
      </c>
    </row>
    <row r="13" spans="1:52" x14ac:dyDescent="0.35">
      <c r="A13" s="1">
        <v>12</v>
      </c>
      <c r="B13" s="1">
        <v>569.06841271947087</v>
      </c>
      <c r="C13" s="1">
        <v>2</v>
      </c>
      <c r="D13" s="1">
        <v>3497.79</v>
      </c>
      <c r="E13" s="1">
        <v>569.06799999999998</v>
      </c>
      <c r="F13" s="1">
        <v>1277.03</v>
      </c>
      <c r="G13" s="1">
        <v>123.822</v>
      </c>
      <c r="H13" s="1">
        <v>1953.43</v>
      </c>
      <c r="I13" s="1">
        <v>267.33100000000002</v>
      </c>
      <c r="J13" s="1">
        <v>301.738</v>
      </c>
      <c r="K13" s="1">
        <v>5</v>
      </c>
      <c r="L13" s="1">
        <v>0</v>
      </c>
      <c r="M13" s="1">
        <f>C13*$S$18*1000</f>
        <v>0</v>
      </c>
      <c r="N13" s="1">
        <f>$S$19*C13</f>
        <v>53</v>
      </c>
      <c r="O13" s="4">
        <f t="shared" si="4"/>
        <v>1.5152424816812901E-2</v>
      </c>
      <c r="P13" s="4">
        <f t="shared" si="0"/>
        <v>1325</v>
      </c>
      <c r="Q13" s="4"/>
      <c r="R13" s="65" t="s">
        <v>318</v>
      </c>
      <c r="T13" s="78">
        <v>0</v>
      </c>
      <c r="U13" s="4"/>
      <c r="V13" s="1">
        <v>288.43700000000001</v>
      </c>
      <c r="W13" s="1">
        <f t="shared" si="5"/>
        <v>288.43700000000001</v>
      </c>
      <c r="X13" s="1">
        <f t="shared" si="1"/>
        <v>7210.9250000000002</v>
      </c>
      <c r="Y13" s="1">
        <f t="shared" si="6"/>
        <v>7210.9250000000002</v>
      </c>
      <c r="Z13" s="1">
        <f t="shared" si="2"/>
        <v>1.5152424816812901E-2</v>
      </c>
      <c r="AA13" s="1">
        <f t="shared" si="3"/>
        <v>1.5152424816812901E-2</v>
      </c>
      <c r="AB13" s="1"/>
      <c r="AC13" s="1"/>
      <c r="AD13" s="1">
        <f t="shared" si="16"/>
        <v>11</v>
      </c>
      <c r="AE13">
        <f t="shared" si="17"/>
        <v>14416.025168890717</v>
      </c>
      <c r="AF13">
        <f t="shared" si="18"/>
        <v>48646.276857797893</v>
      </c>
      <c r="AG13">
        <f t="shared" si="7"/>
        <v>7515.8189361992709</v>
      </c>
      <c r="AH13">
        <f t="shared" si="14"/>
        <v>3188.1349621549371</v>
      </c>
      <c r="AI13">
        <f t="shared" si="8"/>
        <v>18915.074282628753</v>
      </c>
      <c r="AJ13">
        <f t="shared" si="9"/>
        <v>9861.4057486371694</v>
      </c>
      <c r="AK13">
        <f t="shared" si="15"/>
        <v>19750.136271107975</v>
      </c>
      <c r="AV13" s="1"/>
      <c r="AW13">
        <f t="shared" si="10"/>
        <v>1.4070810447977958E-3</v>
      </c>
      <c r="AX13">
        <f t="shared" si="11"/>
        <v>300.02986082029071</v>
      </c>
      <c r="AY13">
        <f t="shared" si="12"/>
        <v>330.03284690231982</v>
      </c>
      <c r="AZ13">
        <f t="shared" si="13"/>
        <v>30.002986082029111</v>
      </c>
    </row>
    <row r="14" spans="1:52" x14ac:dyDescent="0.35">
      <c r="A14" s="1">
        <v>13</v>
      </c>
      <c r="B14" s="62">
        <v>4563.0069277860366</v>
      </c>
      <c r="C14" s="62">
        <v>6</v>
      </c>
      <c r="D14" s="62">
        <v>10493.4</v>
      </c>
      <c r="E14" s="62">
        <v>4563.01</v>
      </c>
      <c r="F14" s="62">
        <v>4058.52</v>
      </c>
      <c r="G14" s="62">
        <v>405.589</v>
      </c>
      <c r="H14" s="62">
        <v>4703.5600000000004</v>
      </c>
      <c r="I14" s="62">
        <v>1886.93</v>
      </c>
      <c r="J14" s="62">
        <v>2197.59</v>
      </c>
      <c r="K14" s="62">
        <v>15</v>
      </c>
      <c r="L14" s="62">
        <v>5</v>
      </c>
      <c r="M14" s="62">
        <f>(C14*$S$18*1000)+S33</f>
        <v>0</v>
      </c>
      <c r="N14" s="62">
        <f>$S$38*C14</f>
        <v>213.60000000000002</v>
      </c>
      <c r="O14" s="56">
        <f t="shared" si="4"/>
        <v>2.0355652124192353E-2</v>
      </c>
      <c r="P14" s="56">
        <f t="shared" si="0"/>
        <v>5340.0000000000009</v>
      </c>
      <c r="Q14" s="56"/>
      <c r="R14" s="65"/>
      <c r="S14" s="1"/>
      <c r="T14" s="78"/>
      <c r="U14" s="56"/>
      <c r="V14" s="1">
        <v>766.77200000000005</v>
      </c>
      <c r="W14" s="1">
        <f t="shared" si="5"/>
        <v>766.77200000000005</v>
      </c>
      <c r="X14" s="1">
        <f t="shared" si="1"/>
        <v>19169.300000000003</v>
      </c>
      <c r="Y14" s="1">
        <f t="shared" si="6"/>
        <v>19169.300000000003</v>
      </c>
      <c r="Z14" s="1">
        <f t="shared" si="2"/>
        <v>2.0355652124192353E-2</v>
      </c>
      <c r="AA14" s="1">
        <f t="shared" si="3"/>
        <v>2.0355652124192353E-2</v>
      </c>
      <c r="AB14" s="1"/>
      <c r="AC14" s="2" t="s">
        <v>330</v>
      </c>
      <c r="AD14" s="1">
        <f t="shared" si="16"/>
        <v>12</v>
      </c>
      <c r="AE14">
        <f t="shared" si="17"/>
        <v>14416.025168890717</v>
      </c>
      <c r="AF14">
        <f t="shared" si="18"/>
        <v>63062.302026688609</v>
      </c>
      <c r="AG14">
        <f t="shared" si="7"/>
        <v>7083.7124752113768</v>
      </c>
      <c r="AH14">
        <f t="shared" si="14"/>
        <v>10271.847437366314</v>
      </c>
      <c r="AI14">
        <f t="shared" si="8"/>
        <v>19387.951139694469</v>
      </c>
      <c r="AJ14">
        <f t="shared" si="9"/>
        <v>9526.8057420858586</v>
      </c>
      <c r="AK14">
        <f t="shared" si="15"/>
        <v>29276.942013193831</v>
      </c>
      <c r="AV14" s="1"/>
      <c r="AW14">
        <f t="shared" si="10"/>
        <v>1.1282510875425851E-2</v>
      </c>
      <c r="AX14">
        <f t="shared" si="11"/>
        <v>2405.7535137529248</v>
      </c>
      <c r="AY14">
        <f t="shared" si="12"/>
        <v>2646.3288651282173</v>
      </c>
      <c r="AZ14">
        <f t="shared" si="13"/>
        <v>240.57535137529248</v>
      </c>
    </row>
    <row r="15" spans="1:52" x14ac:dyDescent="0.35">
      <c r="A15" s="1">
        <v>14</v>
      </c>
      <c r="B15" s="62">
        <v>2172.7675547581462</v>
      </c>
      <c r="C15" s="62">
        <v>2</v>
      </c>
      <c r="D15" s="62">
        <v>3497.79</v>
      </c>
      <c r="E15" s="62">
        <v>2172.77</v>
      </c>
      <c r="F15" s="62">
        <v>1243.8900000000001</v>
      </c>
      <c r="G15" s="62">
        <v>122.795</v>
      </c>
      <c r="H15" s="62">
        <v>1461.09</v>
      </c>
      <c r="I15" s="62">
        <v>834.95399999999995</v>
      </c>
      <c r="J15" s="62">
        <v>850.149</v>
      </c>
      <c r="K15" s="62">
        <v>5</v>
      </c>
      <c r="L15" s="62">
        <v>2</v>
      </c>
      <c r="M15" s="62">
        <f>(C15*$S$18*1000)+S30</f>
        <v>0</v>
      </c>
      <c r="N15" s="62">
        <f>$S$38*C15</f>
        <v>71.2</v>
      </c>
      <c r="O15" s="56">
        <f t="shared" si="4"/>
        <v>2.0355710319944882E-2</v>
      </c>
      <c r="P15" s="56">
        <f t="shared" si="0"/>
        <v>1780</v>
      </c>
      <c r="Q15" s="56"/>
      <c r="R15" s="63" t="s">
        <v>313</v>
      </c>
      <c r="S15" s="4">
        <v>45</v>
      </c>
      <c r="T15" s="46"/>
      <c r="U15" s="56"/>
      <c r="V15" s="1">
        <v>247.65100000000001</v>
      </c>
      <c r="W15" s="1">
        <f t="shared" si="5"/>
        <v>247.65100000000001</v>
      </c>
      <c r="X15" s="1">
        <f t="shared" si="1"/>
        <v>6191.2750000000005</v>
      </c>
      <c r="Y15" s="1">
        <f t="shared" si="6"/>
        <v>6191.2750000000005</v>
      </c>
      <c r="Z15" s="1">
        <f t="shared" si="2"/>
        <v>2.0355710319944882E-2</v>
      </c>
      <c r="AA15" s="1">
        <f t="shared" si="3"/>
        <v>2.0355710319944882E-2</v>
      </c>
      <c r="AB15" s="1"/>
      <c r="AC15" s="1">
        <f>MAX(V2:V46)</f>
        <v>1572.32</v>
      </c>
      <c r="AD15" s="1">
        <f t="shared" si="16"/>
        <v>13</v>
      </c>
      <c r="AE15">
        <f t="shared" si="17"/>
        <v>14416.025168890717</v>
      </c>
      <c r="AF15">
        <f t="shared" si="18"/>
        <v>77478.327195579332</v>
      </c>
      <c r="AG15">
        <f t="shared" si="7"/>
        <v>6676.4490812548311</v>
      </c>
      <c r="AH15">
        <f t="shared" si="14"/>
        <v>16948.296518621144</v>
      </c>
      <c r="AI15">
        <f t="shared" si="8"/>
        <v>19872.649918186831</v>
      </c>
      <c r="AJ15">
        <f t="shared" si="9"/>
        <v>9203.5587989048108</v>
      </c>
      <c r="AK15">
        <f t="shared" si="15"/>
        <v>38480.500812098646</v>
      </c>
      <c r="AV15" s="1"/>
      <c r="AW15">
        <f t="shared" si="10"/>
        <v>5.3723945534804394E-3</v>
      </c>
      <c r="AX15">
        <f t="shared" si="11"/>
        <v>1145.5479384871244</v>
      </c>
      <c r="AY15">
        <f t="shared" si="12"/>
        <v>1260.1027323358369</v>
      </c>
      <c r="AZ15">
        <f t="shared" si="13"/>
        <v>114.55479384871251</v>
      </c>
    </row>
    <row r="16" spans="1:52" x14ac:dyDescent="0.35">
      <c r="A16" s="1">
        <v>15</v>
      </c>
      <c r="B16" s="62">
        <v>4548.2349752288228</v>
      </c>
      <c r="C16" s="62">
        <v>4</v>
      </c>
      <c r="D16" s="62">
        <v>6995.57</v>
      </c>
      <c r="E16" s="62">
        <v>4548.2299999999996</v>
      </c>
      <c r="F16" s="62">
        <v>2204.15</v>
      </c>
      <c r="G16" s="62">
        <v>210.84200000000001</v>
      </c>
      <c r="H16" s="62">
        <v>2953.48</v>
      </c>
      <c r="I16" s="62">
        <v>1935.56</v>
      </c>
      <c r="J16" s="62">
        <v>1638.43</v>
      </c>
      <c r="K16" s="62">
        <v>10</v>
      </c>
      <c r="L16" s="62">
        <v>3.3</v>
      </c>
      <c r="M16" s="62">
        <f>(C16*$S$18*1000)+S31</f>
        <v>0</v>
      </c>
      <c r="N16" s="62">
        <f>$S$38*C16</f>
        <v>142.4</v>
      </c>
      <c r="O16" s="56">
        <f t="shared" si="4"/>
        <v>2.0355739417945929E-2</v>
      </c>
      <c r="P16" s="56">
        <f t="shared" si="0"/>
        <v>3560</v>
      </c>
      <c r="Q16" s="56"/>
      <c r="R16" s="106" t="s">
        <v>258</v>
      </c>
      <c r="S16" s="107"/>
      <c r="T16" s="46" t="s">
        <v>299</v>
      </c>
      <c r="U16" s="56"/>
      <c r="V16" s="1">
        <v>513.93200000000002</v>
      </c>
      <c r="W16" s="1">
        <f t="shared" si="5"/>
        <v>513.93200000000002</v>
      </c>
      <c r="X16" s="1">
        <f t="shared" si="1"/>
        <v>12848.300000000001</v>
      </c>
      <c r="Y16" s="1">
        <f t="shared" si="6"/>
        <v>12848.300000000001</v>
      </c>
      <c r="Z16" s="1">
        <f t="shared" si="2"/>
        <v>2.0355739417945929E-2</v>
      </c>
      <c r="AA16" s="1">
        <f t="shared" si="3"/>
        <v>2.0355739417945929E-2</v>
      </c>
      <c r="AB16" s="1"/>
      <c r="AC16" s="1"/>
      <c r="AD16" s="1">
        <f t="shared" si="16"/>
        <v>14</v>
      </c>
      <c r="AE16">
        <f t="shared" si="17"/>
        <v>14416.025168890717</v>
      </c>
      <c r="AF16">
        <f t="shared" si="18"/>
        <v>91894.352364470047</v>
      </c>
      <c r="AG16">
        <f t="shared" si="7"/>
        <v>6292.6004535860811</v>
      </c>
      <c r="AH16">
        <f t="shared" si="14"/>
        <v>23240.896972207225</v>
      </c>
      <c r="AI16">
        <f t="shared" si="8"/>
        <v>20369.466166141498</v>
      </c>
      <c r="AJ16">
        <f t="shared" si="9"/>
        <v>8891.2797067647771</v>
      </c>
      <c r="AK16">
        <f t="shared" si="15"/>
        <v>47371.780518863423</v>
      </c>
      <c r="AV16" s="1"/>
      <c r="AW16">
        <f t="shared" si="10"/>
        <v>1.1245985680961834E-2</v>
      </c>
      <c r="AX16">
        <f t="shared" si="11"/>
        <v>2397.9652992417646</v>
      </c>
      <c r="AY16">
        <f t="shared" si="12"/>
        <v>2637.7618291659414</v>
      </c>
      <c r="AZ16">
        <f t="shared" si="13"/>
        <v>239.79652992417687</v>
      </c>
    </row>
    <row r="17" spans="1:52" x14ac:dyDescent="0.35">
      <c r="A17" s="1">
        <v>16</v>
      </c>
      <c r="B17" s="1">
        <v>5476.90270703035</v>
      </c>
      <c r="C17" s="1">
        <v>4</v>
      </c>
      <c r="D17" s="1">
        <v>6995.57</v>
      </c>
      <c r="E17" s="1">
        <v>5476.9</v>
      </c>
      <c r="F17" s="1">
        <v>1485.71</v>
      </c>
      <c r="G17" s="1">
        <v>133.98400000000001</v>
      </c>
      <c r="H17" s="1">
        <v>3239.46</v>
      </c>
      <c r="I17" s="1">
        <v>2270.4</v>
      </c>
      <c r="J17" s="1">
        <v>3206.5</v>
      </c>
      <c r="K17" s="1">
        <v>10</v>
      </c>
      <c r="L17" s="1">
        <v>0</v>
      </c>
      <c r="M17" s="1">
        <f>C17*$S$18*1000</f>
        <v>0</v>
      </c>
      <c r="N17" s="1">
        <f>$S$19*C17</f>
        <v>106</v>
      </c>
      <c r="O17" s="4">
        <f t="shared" si="4"/>
        <v>1.5152446476841773E-2</v>
      </c>
      <c r="P17" s="4">
        <f t="shared" si="0"/>
        <v>2650</v>
      </c>
      <c r="Q17" s="4"/>
      <c r="R17" s="50" t="s">
        <v>245</v>
      </c>
      <c r="S17" s="2" t="s">
        <v>246</v>
      </c>
      <c r="T17" s="46">
        <v>1700</v>
      </c>
      <c r="U17" s="4"/>
      <c r="V17" s="1">
        <v>271.02499999999998</v>
      </c>
      <c r="W17" s="1">
        <f t="shared" si="5"/>
        <v>271.02499999999998</v>
      </c>
      <c r="X17" s="1">
        <f t="shared" si="1"/>
        <v>6775.6249999999991</v>
      </c>
      <c r="Y17" s="1">
        <f t="shared" si="6"/>
        <v>6775.6249999999991</v>
      </c>
      <c r="Z17" s="1">
        <f t="shared" si="2"/>
        <v>1.5152446476841773E-2</v>
      </c>
      <c r="AA17" s="1">
        <f t="shared" si="3"/>
        <v>1.5152446476841773E-2</v>
      </c>
      <c r="AB17" s="1"/>
      <c r="AC17" s="2" t="s">
        <v>331</v>
      </c>
      <c r="AD17" s="1">
        <f t="shared" si="16"/>
        <v>15</v>
      </c>
      <c r="AE17">
        <f t="shared" si="17"/>
        <v>14416.025168890717</v>
      </c>
      <c r="AF17">
        <f t="shared" si="18"/>
        <v>106310.37753336076</v>
      </c>
      <c r="AG17">
        <f t="shared" si="7"/>
        <v>5930.8204086579462</v>
      </c>
      <c r="AH17">
        <f t="shared" si="14"/>
        <v>29171.717380865171</v>
      </c>
      <c r="AI17">
        <f t="shared" si="8"/>
        <v>20878.702820295039</v>
      </c>
      <c r="AJ17">
        <f t="shared" si="9"/>
        <v>8589.5963236888783</v>
      </c>
      <c r="AK17">
        <f t="shared" si="15"/>
        <v>55961.376842552301</v>
      </c>
      <c r="AV17" s="1"/>
      <c r="AW17">
        <f t="shared" si="10"/>
        <v>1.3542213573999803E-2</v>
      </c>
      <c r="AX17">
        <f t="shared" si="11"/>
        <v>2887.586659508795</v>
      </c>
      <c r="AY17">
        <f t="shared" si="12"/>
        <v>3176.3453254596748</v>
      </c>
      <c r="AZ17">
        <f t="shared" si="13"/>
        <v>288.75866595087973</v>
      </c>
    </row>
    <row r="18" spans="1:52" x14ac:dyDescent="0.35">
      <c r="A18" s="1">
        <v>17</v>
      </c>
      <c r="B18" s="62">
        <v>2180.0429312531028</v>
      </c>
      <c r="C18" s="62">
        <v>2</v>
      </c>
      <c r="D18" s="62">
        <v>3497.79</v>
      </c>
      <c r="E18" s="62">
        <v>2180.04</v>
      </c>
      <c r="F18" s="62">
        <v>1266.75</v>
      </c>
      <c r="G18" s="62">
        <v>125.211</v>
      </c>
      <c r="H18" s="62">
        <v>1479.9</v>
      </c>
      <c r="I18" s="62">
        <v>802.71100000000001</v>
      </c>
      <c r="J18" s="62">
        <v>951.178</v>
      </c>
      <c r="K18" s="62">
        <v>5</v>
      </c>
      <c r="L18" s="62">
        <v>2</v>
      </c>
      <c r="M18" s="62">
        <f>(C18*$S$18*1000)+S30</f>
        <v>0</v>
      </c>
      <c r="N18" s="62">
        <f>$S$38*C18</f>
        <v>71.2</v>
      </c>
      <c r="O18" s="56">
        <f t="shared" si="4"/>
        <v>2.0355710319944882E-2</v>
      </c>
      <c r="P18" s="56">
        <f t="shared" si="0"/>
        <v>1780</v>
      </c>
      <c r="Q18" s="56"/>
      <c r="R18" s="65" t="s">
        <v>247</v>
      </c>
      <c r="S18" s="1">
        <v>0</v>
      </c>
      <c r="T18" s="46">
        <v>1120</v>
      </c>
      <c r="U18" s="56"/>
      <c r="V18" s="1">
        <v>231.06299999999999</v>
      </c>
      <c r="W18" s="1">
        <f t="shared" si="5"/>
        <v>231.06299999999999</v>
      </c>
      <c r="X18" s="1">
        <f t="shared" si="1"/>
        <v>5776.5749999999998</v>
      </c>
      <c r="Y18" s="1">
        <f t="shared" si="6"/>
        <v>5776.5749999999998</v>
      </c>
      <c r="Z18" s="1">
        <f t="shared" si="2"/>
        <v>2.0355710319944882E-2</v>
      </c>
      <c r="AA18" s="1">
        <f t="shared" si="3"/>
        <v>2.0355710319944882E-2</v>
      </c>
      <c r="AB18" s="1"/>
      <c r="AC18" s="1">
        <f>MIN(V47:V100)</f>
        <v>7.2637200000000002</v>
      </c>
      <c r="AD18" s="1">
        <f t="shared" si="16"/>
        <v>16</v>
      </c>
      <c r="AE18">
        <f t="shared" si="17"/>
        <v>14416.025168890717</v>
      </c>
      <c r="AF18">
        <f t="shared" si="18"/>
        <v>120726.40270225148</v>
      </c>
      <c r="AG18">
        <f t="shared" si="7"/>
        <v>5589.8401589613068</v>
      </c>
      <c r="AH18">
        <f t="shared" si="14"/>
        <v>34761.557539826477</v>
      </c>
      <c r="AI18">
        <f t="shared" si="8"/>
        <v>21400.670390802414</v>
      </c>
      <c r="AJ18">
        <f t="shared" si="9"/>
        <v>8298.1491345721952</v>
      </c>
      <c r="AK18">
        <f t="shared" si="15"/>
        <v>64259.525977124496</v>
      </c>
      <c r="AW18">
        <f t="shared" si="10"/>
        <v>5.3903836812039408E-3</v>
      </c>
      <c r="AX18">
        <f t="shared" si="11"/>
        <v>1149.3837342340112</v>
      </c>
      <c r="AY18">
        <f t="shared" si="12"/>
        <v>1264.3221076574123</v>
      </c>
      <c r="AZ18">
        <f t="shared" si="13"/>
        <v>114.93837342340112</v>
      </c>
    </row>
    <row r="19" spans="1:52" x14ac:dyDescent="0.35">
      <c r="A19" s="1">
        <v>18</v>
      </c>
      <c r="B19" s="62">
        <v>5524.0028847571884</v>
      </c>
      <c r="C19" s="62">
        <v>4</v>
      </c>
      <c r="D19" s="62">
        <v>6995.57</v>
      </c>
      <c r="E19" s="62">
        <v>5524</v>
      </c>
      <c r="F19" s="62">
        <v>2468.4299999999998</v>
      </c>
      <c r="G19" s="62">
        <v>237.523</v>
      </c>
      <c r="H19" s="62">
        <v>2577.7199999999998</v>
      </c>
      <c r="I19" s="62">
        <v>1982.7</v>
      </c>
      <c r="J19" s="62">
        <v>2035.42</v>
      </c>
      <c r="K19" s="62">
        <v>10</v>
      </c>
      <c r="L19" s="62">
        <v>6</v>
      </c>
      <c r="M19" s="62">
        <f>(C19*$S$18*1000)+S34</f>
        <v>0</v>
      </c>
      <c r="N19" s="62">
        <f>$S$38*C19</f>
        <v>142.4</v>
      </c>
      <c r="O19" s="56">
        <f t="shared" si="4"/>
        <v>2.0355739417945929E-2</v>
      </c>
      <c r="P19" s="56">
        <f t="shared" si="0"/>
        <v>3560</v>
      </c>
      <c r="Q19" s="56"/>
      <c r="R19" s="65" t="s">
        <v>248</v>
      </c>
      <c r="S19" s="1">
        <v>26.5</v>
      </c>
      <c r="T19" s="46">
        <v>700</v>
      </c>
      <c r="U19" s="56"/>
      <c r="V19" s="1">
        <v>453.73200000000003</v>
      </c>
      <c r="W19" s="1">
        <f t="shared" si="5"/>
        <v>453.73200000000003</v>
      </c>
      <c r="X19" s="1">
        <f t="shared" si="1"/>
        <v>11343.300000000001</v>
      </c>
      <c r="Y19" s="1">
        <f t="shared" si="6"/>
        <v>11343.300000000001</v>
      </c>
      <c r="Z19" s="1">
        <f t="shared" si="2"/>
        <v>2.0355739417945929E-2</v>
      </c>
      <c r="AA19" s="1">
        <f t="shared" si="3"/>
        <v>2.0355739417945929E-2</v>
      </c>
      <c r="AB19" s="1"/>
      <c r="AC19" s="1"/>
      <c r="AD19" s="1">
        <f t="shared" si="16"/>
        <v>17</v>
      </c>
      <c r="AE19">
        <f t="shared" si="17"/>
        <v>14416.025168890717</v>
      </c>
      <c r="AF19">
        <f t="shared" si="18"/>
        <v>135142.42787114219</v>
      </c>
      <c r="AG19">
        <f t="shared" si="7"/>
        <v>5268.4638633000077</v>
      </c>
      <c r="AH19">
        <f t="shared" si="14"/>
        <v>40030.021403126484</v>
      </c>
      <c r="AI19">
        <f t="shared" si="8"/>
        <v>21935.68715057247</v>
      </c>
      <c r="AJ19">
        <f t="shared" si="9"/>
        <v>8016.5908227488226</v>
      </c>
      <c r="AK19">
        <f t="shared" si="15"/>
        <v>72276.116799873314</v>
      </c>
      <c r="AW19">
        <f t="shared" si="10"/>
        <v>1.3658673679331133E-2</v>
      </c>
      <c r="AX19">
        <f t="shared" si="11"/>
        <v>2912.4192797212977</v>
      </c>
      <c r="AY19">
        <f t="shared" si="12"/>
        <v>3203.6612076934275</v>
      </c>
      <c r="AZ19">
        <f t="shared" si="13"/>
        <v>291.24192797212982</v>
      </c>
    </row>
    <row r="20" spans="1:52" x14ac:dyDescent="0.35">
      <c r="A20" s="1">
        <v>19</v>
      </c>
      <c r="B20" s="1">
        <v>6393.5501464958952</v>
      </c>
      <c r="C20" s="1">
        <v>4</v>
      </c>
      <c r="D20" s="1">
        <v>6995.57</v>
      </c>
      <c r="E20" s="1">
        <v>6393.55</v>
      </c>
      <c r="F20" s="1">
        <v>1450.97</v>
      </c>
      <c r="G20" s="1">
        <v>130.24100000000001</v>
      </c>
      <c r="H20" s="1">
        <v>3311.12</v>
      </c>
      <c r="I20" s="1">
        <v>2233.48</v>
      </c>
      <c r="J20" s="1">
        <v>4160.07</v>
      </c>
      <c r="K20" s="1">
        <v>10</v>
      </c>
      <c r="L20" s="1">
        <v>0</v>
      </c>
      <c r="M20" s="1">
        <f>C20*$S$18*1000</f>
        <v>0</v>
      </c>
      <c r="N20" s="1">
        <f>$S$19*C20</f>
        <v>106</v>
      </c>
      <c r="O20" s="4">
        <f t="shared" si="4"/>
        <v>1.5152446476841773E-2</v>
      </c>
      <c r="P20" s="4">
        <f t="shared" si="0"/>
        <v>2650</v>
      </c>
      <c r="Q20" s="4"/>
      <c r="R20" s="65" t="s">
        <v>250</v>
      </c>
      <c r="S20" s="1">
        <v>6.0999999999999999E-2</v>
      </c>
      <c r="T20" s="30" t="s">
        <v>300</v>
      </c>
      <c r="U20" s="4"/>
      <c r="V20" s="1">
        <v>120.19499999999999</v>
      </c>
      <c r="W20" s="1">
        <f t="shared" si="5"/>
        <v>120.19499999999999</v>
      </c>
      <c r="X20" s="1">
        <f t="shared" si="1"/>
        <v>3004.875</v>
      </c>
      <c r="Y20" s="1">
        <f t="shared" si="6"/>
        <v>3004.875</v>
      </c>
      <c r="Z20" s="1">
        <f t="shared" si="2"/>
        <v>1.5152446476841773E-2</v>
      </c>
      <c r="AA20" s="1">
        <f t="shared" si="3"/>
        <v>1.5152446476841773E-2</v>
      </c>
      <c r="AB20" s="1"/>
      <c r="AC20" s="2" t="s">
        <v>332</v>
      </c>
      <c r="AD20" s="1">
        <f>AD19+1</f>
        <v>18</v>
      </c>
      <c r="AE20">
        <f t="shared" si="17"/>
        <v>14416.025168890717</v>
      </c>
      <c r="AF20">
        <f t="shared" si="18"/>
        <v>149558.45304003291</v>
      </c>
      <c r="AG20">
        <f t="shared" si="7"/>
        <v>4965.5644328935032</v>
      </c>
      <c r="AH20">
        <f t="shared" si="14"/>
        <v>44995.585836019985</v>
      </c>
      <c r="AI20">
        <f t="shared" si="8"/>
        <v>22484.079329336782</v>
      </c>
      <c r="AJ20">
        <f t="shared" si="9"/>
        <v>7744.5858560957049</v>
      </c>
      <c r="AK20">
        <f t="shared" si="15"/>
        <v>80020.702655969013</v>
      </c>
      <c r="AW20">
        <f t="shared" si="10"/>
        <v>1.5808720039664811E-2</v>
      </c>
      <c r="AX20">
        <f t="shared" si="11"/>
        <v>3370.8705627039258</v>
      </c>
      <c r="AY20">
        <f t="shared" si="12"/>
        <v>3707.9576189743188</v>
      </c>
      <c r="AZ20">
        <f t="shared" si="13"/>
        <v>337.08705627039308</v>
      </c>
    </row>
    <row r="21" spans="1:52" x14ac:dyDescent="0.35">
      <c r="A21" s="1">
        <v>20</v>
      </c>
      <c r="B21" s="62">
        <v>6287.6864400653858</v>
      </c>
      <c r="C21" s="62">
        <v>10</v>
      </c>
      <c r="D21" s="62">
        <v>17488.900000000001</v>
      </c>
      <c r="E21" s="62">
        <v>6287.69</v>
      </c>
      <c r="F21" s="62">
        <v>8120.34</v>
      </c>
      <c r="G21" s="62">
        <v>841.88900000000001</v>
      </c>
      <c r="H21" s="62">
        <v>7131.35</v>
      </c>
      <c r="I21" s="62">
        <v>2494.35</v>
      </c>
      <c r="J21" s="62">
        <v>3382.63</v>
      </c>
      <c r="K21" s="62">
        <v>25</v>
      </c>
      <c r="L21" s="62">
        <v>13.5</v>
      </c>
      <c r="M21" s="62">
        <f>(C21*$S$18*1000)+S36</f>
        <v>0</v>
      </c>
      <c r="N21" s="62">
        <f>$S$38*C21</f>
        <v>356</v>
      </c>
      <c r="O21" s="56">
        <f t="shared" si="4"/>
        <v>2.0355768516030166E-2</v>
      </c>
      <c r="P21" s="56">
        <f t="shared" si="0"/>
        <v>8900</v>
      </c>
      <c r="Q21" s="56"/>
      <c r="R21" s="65" t="s">
        <v>251</v>
      </c>
      <c r="S21" s="1" t="s">
        <v>252</v>
      </c>
      <c r="T21" s="46">
        <v>1.2</v>
      </c>
      <c r="U21" s="56"/>
      <c r="V21" s="1">
        <v>1324.72</v>
      </c>
      <c r="W21" s="1">
        <f t="shared" si="5"/>
        <v>1324.72</v>
      </c>
      <c r="X21" s="1">
        <f t="shared" si="1"/>
        <v>33118</v>
      </c>
      <c r="Y21" s="1">
        <f t="shared" si="6"/>
        <v>33118</v>
      </c>
      <c r="Z21" s="1">
        <f t="shared" si="2"/>
        <v>2.0355768516030166E-2</v>
      </c>
      <c r="AA21" s="1">
        <f t="shared" si="3"/>
        <v>2.0355768516030166E-2</v>
      </c>
      <c r="AB21" s="1"/>
      <c r="AC21" s="1">
        <f>MAX(V47:V100)</f>
        <v>382.77600000000001</v>
      </c>
      <c r="AD21" s="1">
        <f t="shared" si="16"/>
        <v>19</v>
      </c>
      <c r="AE21">
        <f t="shared" si="17"/>
        <v>14416.025168890717</v>
      </c>
      <c r="AF21">
        <f t="shared" si="18"/>
        <v>163974.47820892363</v>
      </c>
      <c r="AG21">
        <f t="shared" si="7"/>
        <v>4680.0795785989667</v>
      </c>
      <c r="AH21">
        <f t="shared" si="14"/>
        <v>49675.665414618954</v>
      </c>
      <c r="AI21">
        <f t="shared" si="8"/>
        <v>23046.181312570203</v>
      </c>
      <c r="AJ21">
        <f t="shared" si="9"/>
        <v>7481.8100871801116</v>
      </c>
      <c r="AK21">
        <f t="shared" si="15"/>
        <v>87502.512743149127</v>
      </c>
      <c r="AW21">
        <f t="shared" si="10"/>
        <v>1.5546960976394084E-2</v>
      </c>
      <c r="AX21">
        <f t="shared" si="11"/>
        <v>3315.0560553506184</v>
      </c>
      <c r="AY21">
        <f t="shared" si="12"/>
        <v>3646.5616608856803</v>
      </c>
      <c r="AZ21">
        <f t="shared" si="13"/>
        <v>331.50560553506193</v>
      </c>
    </row>
    <row r="22" spans="1:52" x14ac:dyDescent="0.35">
      <c r="A22" s="1">
        <v>21</v>
      </c>
      <c r="B22" s="62">
        <v>1195.617299383852</v>
      </c>
      <c r="C22" s="62">
        <v>2</v>
      </c>
      <c r="D22" s="62">
        <v>3497.79</v>
      </c>
      <c r="E22" s="62">
        <v>1195.6199999999999</v>
      </c>
      <c r="F22" s="62">
        <v>1334.89</v>
      </c>
      <c r="G22" s="62">
        <v>132.762</v>
      </c>
      <c r="H22" s="62">
        <v>1658.19</v>
      </c>
      <c r="I22" s="62">
        <v>558.10699999999997</v>
      </c>
      <c r="J22" s="62">
        <v>464.2</v>
      </c>
      <c r="K22" s="62">
        <v>5</v>
      </c>
      <c r="L22" s="62">
        <v>1.2</v>
      </c>
      <c r="M22" s="62">
        <f>(C22*$S$18*1000)+S29</f>
        <v>0</v>
      </c>
      <c r="N22" s="62">
        <f>$S$38*C22</f>
        <v>71.2</v>
      </c>
      <c r="O22" s="56">
        <f t="shared" si="4"/>
        <v>2.0355710319944882E-2</v>
      </c>
      <c r="P22" s="56">
        <f t="shared" si="0"/>
        <v>1780</v>
      </c>
      <c r="Q22" s="56"/>
      <c r="R22" s="65" t="s">
        <v>262</v>
      </c>
      <c r="S22" s="1">
        <v>7.0000000000000007E-2</v>
      </c>
      <c r="T22" s="46">
        <v>2</v>
      </c>
      <c r="U22" s="56"/>
      <c r="V22" s="1">
        <v>291.58100000000002</v>
      </c>
      <c r="W22" s="1">
        <f t="shared" si="5"/>
        <v>291.58100000000002</v>
      </c>
      <c r="X22" s="1">
        <f t="shared" si="1"/>
        <v>7289.5250000000005</v>
      </c>
      <c r="Y22" s="1">
        <f t="shared" si="6"/>
        <v>7289.5250000000005</v>
      </c>
      <c r="Z22" s="1">
        <f t="shared" si="2"/>
        <v>2.0355710319944882E-2</v>
      </c>
      <c r="AA22" s="1">
        <f t="shared" si="3"/>
        <v>2.0355710319944882E-2</v>
      </c>
      <c r="AB22" s="1"/>
      <c r="AC22" s="1"/>
      <c r="AD22" s="1">
        <f t="shared" si="16"/>
        <v>20</v>
      </c>
      <c r="AE22">
        <f t="shared" si="17"/>
        <v>14416.025168890717</v>
      </c>
      <c r="AF22">
        <f t="shared" si="18"/>
        <v>178390.50337781434</v>
      </c>
      <c r="AG22">
        <f t="shared" si="7"/>
        <v>4411.0080853901663</v>
      </c>
      <c r="AH22">
        <f t="shared" si="14"/>
        <v>54086.673500009121</v>
      </c>
      <c r="AI22">
        <f t="shared" si="8"/>
        <v>23622.335845384456</v>
      </c>
      <c r="AJ22">
        <f t="shared" si="9"/>
        <v>7227.950366974188</v>
      </c>
      <c r="AK22">
        <f t="shared" si="15"/>
        <v>94730.46311012331</v>
      </c>
      <c r="AW22">
        <f t="shared" si="10"/>
        <v>2.9562885607299989E-3</v>
      </c>
      <c r="AX22">
        <f t="shared" si="11"/>
        <v>630.36514399773012</v>
      </c>
      <c r="AY22">
        <f t="shared" si="12"/>
        <v>693.40165839750318</v>
      </c>
      <c r="AZ22">
        <f t="shared" si="13"/>
        <v>63.036514399773068</v>
      </c>
    </row>
    <row r="23" spans="1:52" x14ac:dyDescent="0.35">
      <c r="A23" s="1">
        <v>22</v>
      </c>
      <c r="B23" s="1">
        <v>4102.942217502793</v>
      </c>
      <c r="C23" s="1">
        <v>4</v>
      </c>
      <c r="D23" s="1">
        <v>6995.57</v>
      </c>
      <c r="E23" s="1">
        <v>4102.9399999999996</v>
      </c>
      <c r="F23" s="1">
        <v>1869.19</v>
      </c>
      <c r="G23" s="1">
        <v>171.71799999999999</v>
      </c>
      <c r="H23" s="1">
        <v>3587.24</v>
      </c>
      <c r="I23" s="1">
        <v>1539.14</v>
      </c>
      <c r="J23" s="1">
        <v>2563.8000000000002</v>
      </c>
      <c r="K23" s="1">
        <v>10</v>
      </c>
      <c r="L23" s="1">
        <v>0</v>
      </c>
      <c r="M23" s="1">
        <f>C23*$S$18*1000</f>
        <v>0</v>
      </c>
      <c r="N23" s="1">
        <f>$S$19*C23</f>
        <v>106</v>
      </c>
      <c r="O23" s="4">
        <f t="shared" si="4"/>
        <v>1.5152446476841773E-2</v>
      </c>
      <c r="P23" s="4">
        <f t="shared" si="0"/>
        <v>2650</v>
      </c>
      <c r="Q23" s="4"/>
      <c r="R23" s="65" t="s">
        <v>263</v>
      </c>
      <c r="S23" s="1">
        <v>2.5000000000000001E-2</v>
      </c>
      <c r="T23" s="46">
        <v>3.3</v>
      </c>
      <c r="U23" s="4"/>
      <c r="V23" s="1">
        <v>325.01499999999999</v>
      </c>
      <c r="W23" s="1">
        <f t="shared" si="5"/>
        <v>325.01499999999999</v>
      </c>
      <c r="X23" s="1">
        <f t="shared" si="1"/>
        <v>8125.375</v>
      </c>
      <c r="Y23" s="1">
        <f t="shared" si="6"/>
        <v>8125.375</v>
      </c>
      <c r="Z23" s="1">
        <f t="shared" si="2"/>
        <v>1.5152446476841773E-2</v>
      </c>
      <c r="AA23" s="1">
        <f t="shared" si="3"/>
        <v>1.5152446476841773E-2</v>
      </c>
      <c r="AB23" s="1"/>
      <c r="AC23" s="1"/>
      <c r="AD23" s="1">
        <f t="shared" si="16"/>
        <v>21</v>
      </c>
      <c r="AE23">
        <f t="shared" si="17"/>
        <v>14416.025168890717</v>
      </c>
      <c r="AF23">
        <f t="shared" si="18"/>
        <v>192806.52854670506</v>
      </c>
      <c r="AG23">
        <f t="shared" si="7"/>
        <v>4157.4063010274904</v>
      </c>
      <c r="AH23">
        <f t="shared" si="14"/>
        <v>58244.079801036612</v>
      </c>
      <c r="AI23">
        <f t="shared" si="8"/>
        <v>24212.894241519065</v>
      </c>
      <c r="AJ23">
        <f t="shared" si="9"/>
        <v>6982.7041716762888</v>
      </c>
      <c r="AK23">
        <f t="shared" si="15"/>
        <v>101713.1672817996</v>
      </c>
      <c r="AW23">
        <f t="shared" si="10"/>
        <v>1.0144952861748048E-2</v>
      </c>
      <c r="AX23">
        <f t="shared" si="11"/>
        <v>2163.1936599473443</v>
      </c>
      <c r="AY23">
        <f t="shared" si="12"/>
        <v>2379.5130259420789</v>
      </c>
      <c r="AZ23">
        <f t="shared" si="13"/>
        <v>216.31936599473465</v>
      </c>
    </row>
    <row r="24" spans="1:52" x14ac:dyDescent="0.35">
      <c r="A24" s="1">
        <v>23</v>
      </c>
      <c r="B24" s="62">
        <v>2916.9354826987528</v>
      </c>
      <c r="C24" s="62">
        <v>2</v>
      </c>
      <c r="D24" s="62">
        <v>3465.23</v>
      </c>
      <c r="E24" s="62">
        <v>2916.94</v>
      </c>
      <c r="F24" s="62">
        <v>1050.31</v>
      </c>
      <c r="G24" s="62">
        <v>98.870500000000007</v>
      </c>
      <c r="H24" s="62">
        <v>1426.38</v>
      </c>
      <c r="I24" s="62">
        <v>1031.08</v>
      </c>
      <c r="J24" s="62">
        <v>949.72299999999996</v>
      </c>
      <c r="K24" s="62">
        <v>5</v>
      </c>
      <c r="L24" s="62">
        <v>2</v>
      </c>
      <c r="M24" s="62">
        <f>(C24*$S$18*1000)+S30</f>
        <v>0</v>
      </c>
      <c r="N24" s="62">
        <f>$S$38*C24</f>
        <v>71.2</v>
      </c>
      <c r="O24" s="56">
        <f t="shared" si="4"/>
        <v>2.0546976679758633E-2</v>
      </c>
      <c r="P24" s="56">
        <f t="shared" si="0"/>
        <v>1780</v>
      </c>
      <c r="Q24" s="56"/>
      <c r="R24" s="63"/>
      <c r="S24" s="4"/>
      <c r="T24" s="46">
        <v>4.2</v>
      </c>
      <c r="U24" s="56"/>
      <c r="V24" s="1">
        <v>235.66200000000001</v>
      </c>
      <c r="W24" s="1">
        <f t="shared" si="5"/>
        <v>235.66200000000001</v>
      </c>
      <c r="X24" s="1">
        <f t="shared" si="1"/>
        <v>5891.55</v>
      </c>
      <c r="Y24" s="1">
        <f t="shared" si="6"/>
        <v>5891.55</v>
      </c>
      <c r="Z24" s="1">
        <f t="shared" si="2"/>
        <v>2.0546976679758633E-2</v>
      </c>
      <c r="AA24" s="1">
        <f t="shared" si="3"/>
        <v>2.0546976679758633E-2</v>
      </c>
      <c r="AB24" s="1"/>
      <c r="AC24" s="1"/>
      <c r="AD24" s="1">
        <f t="shared" si="16"/>
        <v>22</v>
      </c>
      <c r="AE24">
        <f t="shared" si="17"/>
        <v>14416.025168890717</v>
      </c>
      <c r="AF24">
        <f t="shared" si="18"/>
        <v>207222.55371559577</v>
      </c>
      <c r="AG24">
        <f t="shared" si="7"/>
        <v>3918.3848266046084</v>
      </c>
      <c r="AH24">
        <f t="shared" si="14"/>
        <v>62162.464627641224</v>
      </c>
      <c r="AI24">
        <f t="shared" si="8"/>
        <v>24818.216597557039</v>
      </c>
      <c r="AJ24">
        <f t="shared" si="9"/>
        <v>6745.7792421943395</v>
      </c>
      <c r="AK24">
        <f t="shared" si="15"/>
        <v>108458.94652399395</v>
      </c>
      <c r="AW24">
        <f t="shared" si="10"/>
        <v>7.2124274250077204E-3</v>
      </c>
      <c r="AX24">
        <f t="shared" si="11"/>
        <v>1537.8954925886894</v>
      </c>
      <c r="AY24">
        <f t="shared" si="12"/>
        <v>1691.6850418475585</v>
      </c>
      <c r="AZ24">
        <f t="shared" si="13"/>
        <v>153.7895492588691</v>
      </c>
    </row>
    <row r="25" spans="1:52" x14ac:dyDescent="0.35">
      <c r="A25" s="1">
        <v>24</v>
      </c>
      <c r="B25" s="62">
        <v>4395.7178346280416</v>
      </c>
      <c r="C25" s="62">
        <v>4</v>
      </c>
      <c r="D25" s="62">
        <v>6930.46</v>
      </c>
      <c r="E25" s="62">
        <v>4395.72</v>
      </c>
      <c r="F25" s="62">
        <v>2268.81</v>
      </c>
      <c r="G25" s="62">
        <v>218.07400000000001</v>
      </c>
      <c r="H25" s="62">
        <v>2973.31</v>
      </c>
      <c r="I25" s="62">
        <v>1797.8</v>
      </c>
      <c r="J25" s="62">
        <v>1736.79</v>
      </c>
      <c r="K25" s="62">
        <v>10</v>
      </c>
      <c r="L25" s="62">
        <v>3.3</v>
      </c>
      <c r="M25" s="62">
        <f>(C25*$S$18*1000)+S31</f>
        <v>0</v>
      </c>
      <c r="N25" s="62">
        <f>$S$38*C25</f>
        <v>142.4</v>
      </c>
      <c r="O25" s="56">
        <f t="shared" si="4"/>
        <v>2.0546976679758633E-2</v>
      </c>
      <c r="P25" s="56">
        <f t="shared" si="0"/>
        <v>3560</v>
      </c>
      <c r="Q25" s="56"/>
      <c r="R25" s="63"/>
      <c r="S25" s="4"/>
      <c r="T25" s="46">
        <v>5</v>
      </c>
      <c r="U25" s="56"/>
      <c r="V25" s="1">
        <v>486.286</v>
      </c>
      <c r="W25" s="1">
        <f t="shared" si="5"/>
        <v>486.286</v>
      </c>
      <c r="X25" s="1">
        <f t="shared" si="1"/>
        <v>12157.15</v>
      </c>
      <c r="Y25" s="1">
        <f t="shared" si="6"/>
        <v>12157.15</v>
      </c>
      <c r="Z25" s="1">
        <f t="shared" si="2"/>
        <v>2.0546976679758633E-2</v>
      </c>
      <c r="AA25" s="1">
        <f t="shared" si="3"/>
        <v>2.0546976679758633E-2</v>
      </c>
      <c r="AB25" s="1"/>
      <c r="AC25" s="1"/>
      <c r="AD25" s="1">
        <f t="shared" si="16"/>
        <v>23</v>
      </c>
      <c r="AE25">
        <f t="shared" si="17"/>
        <v>14416.025168890717</v>
      </c>
      <c r="AF25">
        <f t="shared" si="18"/>
        <v>221638.57888448649</v>
      </c>
      <c r="AG25">
        <f t="shared" si="7"/>
        <v>3693.1053973653243</v>
      </c>
      <c r="AH25">
        <f t="shared" si="14"/>
        <v>65855.570025006542</v>
      </c>
      <c r="AI25">
        <f t="shared" si="8"/>
        <v>25438.672012495968</v>
      </c>
      <c r="AJ25">
        <f t="shared" si="9"/>
        <v>6516.8932358616403</v>
      </c>
      <c r="AK25">
        <f t="shared" si="15"/>
        <v>114975.83975985559</v>
      </c>
      <c r="AW25">
        <f t="shared" si="10"/>
        <v>1.0868871132430546E-2</v>
      </c>
      <c r="AX25">
        <f t="shared" si="11"/>
        <v>2317.5537082197216</v>
      </c>
      <c r="AY25">
        <f t="shared" si="12"/>
        <v>2549.3090790416941</v>
      </c>
      <c r="AZ25">
        <f t="shared" si="13"/>
        <v>231.75537082197252</v>
      </c>
    </row>
    <row r="26" spans="1:52" x14ac:dyDescent="0.35">
      <c r="A26" s="1">
        <v>25</v>
      </c>
      <c r="B26" s="1">
        <v>3480.4540913845358</v>
      </c>
      <c r="C26" s="1">
        <v>2</v>
      </c>
      <c r="D26" s="1">
        <v>3465.23</v>
      </c>
      <c r="E26" s="1">
        <v>3480.45</v>
      </c>
      <c r="F26" s="1">
        <v>621.553</v>
      </c>
      <c r="G26" s="1">
        <v>55.542900000000003</v>
      </c>
      <c r="H26" s="1">
        <v>1519.54</v>
      </c>
      <c r="I26" s="1">
        <v>1324.14</v>
      </c>
      <c r="J26" s="1">
        <v>2156.31</v>
      </c>
      <c r="K26" s="1">
        <v>5</v>
      </c>
      <c r="L26" s="1">
        <v>0</v>
      </c>
      <c r="M26" s="1">
        <f>C26*$S$18*1000</f>
        <v>0</v>
      </c>
      <c r="N26" s="1">
        <f>$S$19*C26</f>
        <v>53</v>
      </c>
      <c r="O26" s="4">
        <f t="shared" si="4"/>
        <v>1.5294800056561902E-2</v>
      </c>
      <c r="P26" s="4">
        <f t="shared" si="0"/>
        <v>1325</v>
      </c>
      <c r="Q26" s="4"/>
      <c r="R26" s="63" t="s">
        <v>298</v>
      </c>
      <c r="S26" s="4">
        <v>0</v>
      </c>
      <c r="T26" s="46">
        <v>6</v>
      </c>
      <c r="U26" s="4"/>
      <c r="V26" s="1">
        <v>59.389600000000002</v>
      </c>
      <c r="W26" s="1">
        <f t="shared" si="5"/>
        <v>59.389600000000002</v>
      </c>
      <c r="X26" s="1">
        <f t="shared" si="1"/>
        <v>1484.74</v>
      </c>
      <c r="Y26" s="1">
        <f t="shared" si="6"/>
        <v>1484.74</v>
      </c>
      <c r="Z26" s="1">
        <f t="shared" si="2"/>
        <v>1.5294800056561902E-2</v>
      </c>
      <c r="AA26" s="1">
        <f t="shared" si="3"/>
        <v>1.5294800056561902E-2</v>
      </c>
      <c r="AB26" s="1"/>
      <c r="AC26" s="1"/>
      <c r="AD26" s="1">
        <f>AD25+1</f>
        <v>24</v>
      </c>
      <c r="AE26">
        <f t="shared" si="17"/>
        <v>14416.025168890717</v>
      </c>
      <c r="AF26">
        <f t="shared" si="18"/>
        <v>236054.6040533772</v>
      </c>
      <c r="AG26">
        <f t="shared" si="7"/>
        <v>3480.77794285139</v>
      </c>
      <c r="AH26">
        <f t="shared" si="14"/>
        <v>69336.347967857932</v>
      </c>
      <c r="AI26">
        <f t="shared" si="8"/>
        <v>26074.638812808364</v>
      </c>
      <c r="AJ26">
        <f t="shared" si="9"/>
        <v>6295.7733899700097</v>
      </c>
      <c r="AK26">
        <f t="shared" si="15"/>
        <v>121271.6131498256</v>
      </c>
      <c r="AW26">
        <f t="shared" si="10"/>
        <v>8.6057860000925569E-3</v>
      </c>
      <c r="AX26">
        <f t="shared" si="11"/>
        <v>1834.9993309930635</v>
      </c>
      <c r="AY26">
        <f t="shared" si="12"/>
        <v>2018.4992640923699</v>
      </c>
      <c r="AZ26">
        <f t="shared" si="13"/>
        <v>183.49993309930642</v>
      </c>
    </row>
    <row r="27" spans="1:52" x14ac:dyDescent="0.35">
      <c r="A27" s="1">
        <v>26</v>
      </c>
      <c r="B27" s="1">
        <v>5233.1130996820621</v>
      </c>
      <c r="C27" s="1">
        <v>4</v>
      </c>
      <c r="D27" s="1">
        <v>6930.46</v>
      </c>
      <c r="E27" s="1">
        <v>5233.1099999999997</v>
      </c>
      <c r="F27" s="1">
        <v>1642.54</v>
      </c>
      <c r="G27" s="1">
        <v>148.89400000000001</v>
      </c>
      <c r="H27" s="1">
        <v>3427.61</v>
      </c>
      <c r="I27" s="1">
        <v>1860.31</v>
      </c>
      <c r="J27" s="1">
        <v>3372.81</v>
      </c>
      <c r="K27" s="1">
        <v>10</v>
      </c>
      <c r="L27" s="1">
        <v>0</v>
      </c>
      <c r="M27" s="1">
        <f>C27*$S$18*1000</f>
        <v>0</v>
      </c>
      <c r="N27" s="1">
        <f>$S$19*C27</f>
        <v>106</v>
      </c>
      <c r="O27" s="4">
        <f t="shared" si="4"/>
        <v>1.5294800056561902E-2</v>
      </c>
      <c r="P27" s="4">
        <f t="shared" si="0"/>
        <v>2650</v>
      </c>
      <c r="Q27" s="4"/>
      <c r="R27" s="67" t="s">
        <v>259</v>
      </c>
      <c r="S27" s="76"/>
      <c r="T27" s="46"/>
      <c r="U27" s="4"/>
      <c r="V27" s="1">
        <v>212.84299999999999</v>
      </c>
      <c r="W27" s="1">
        <f t="shared" si="5"/>
        <v>212.84299999999999</v>
      </c>
      <c r="X27" s="1">
        <f t="shared" si="1"/>
        <v>5321.0749999999998</v>
      </c>
      <c r="Y27" s="1">
        <f t="shared" si="6"/>
        <v>5321.0749999999998</v>
      </c>
      <c r="Z27" s="1">
        <f t="shared" si="2"/>
        <v>1.5294800056561902E-2</v>
      </c>
      <c r="AA27" s="1">
        <f t="shared" si="3"/>
        <v>1.5294800056561902E-2</v>
      </c>
      <c r="AB27" s="1"/>
      <c r="AC27" s="1"/>
      <c r="AD27" s="1">
        <f t="shared" si="16"/>
        <v>25</v>
      </c>
      <c r="AE27">
        <f t="shared" si="17"/>
        <v>14416.025168890717</v>
      </c>
      <c r="AF27">
        <f t="shared" si="18"/>
        <v>250470.62922226792</v>
      </c>
      <c r="AG27">
        <f t="shared" si="7"/>
        <v>3280.6578160710555</v>
      </c>
      <c r="AH27">
        <f t="shared" si="14"/>
        <v>72617.00578392898</v>
      </c>
      <c r="AI27">
        <f t="shared" si="8"/>
        <v>26726.50478312857</v>
      </c>
      <c r="AJ27">
        <f t="shared" si="9"/>
        <v>6082.1561967193775</v>
      </c>
      <c r="AK27">
        <f t="shared" si="15"/>
        <v>127353.76934654498</v>
      </c>
      <c r="AW27">
        <f t="shared" si="10"/>
        <v>1.2939418325219101E-2</v>
      </c>
      <c r="AX27">
        <f t="shared" si="11"/>
        <v>2759.0534984208375</v>
      </c>
      <c r="AY27">
        <f t="shared" si="12"/>
        <v>3034.9588482629215</v>
      </c>
      <c r="AZ27">
        <f t="shared" si="13"/>
        <v>275.90534984208398</v>
      </c>
    </row>
    <row r="28" spans="1:52" x14ac:dyDescent="0.35">
      <c r="A28" s="1">
        <v>27</v>
      </c>
      <c r="B28" s="1">
        <v>6696.2920887280334</v>
      </c>
      <c r="C28" s="1">
        <v>4</v>
      </c>
      <c r="D28" s="1">
        <v>6930.46</v>
      </c>
      <c r="E28" s="1">
        <v>6696.29</v>
      </c>
      <c r="F28" s="1">
        <v>1385.43</v>
      </c>
      <c r="G28" s="1">
        <v>124.053</v>
      </c>
      <c r="H28" s="1">
        <v>3240.4</v>
      </c>
      <c r="I28" s="1">
        <v>2304.63</v>
      </c>
      <c r="J28" s="1">
        <v>4391.67</v>
      </c>
      <c r="K28" s="1">
        <v>10</v>
      </c>
      <c r="L28" s="1">
        <v>0</v>
      </c>
      <c r="M28" s="1">
        <f>C28*$S$18*1000</f>
        <v>0</v>
      </c>
      <c r="N28" s="1">
        <f>$S$19*C28</f>
        <v>106</v>
      </c>
      <c r="O28" s="4">
        <f t="shared" si="4"/>
        <v>1.5294800056561902E-2</v>
      </c>
      <c r="P28" s="4">
        <f t="shared" si="0"/>
        <v>2650</v>
      </c>
      <c r="Q28" s="4"/>
      <c r="R28" s="50" t="s">
        <v>245</v>
      </c>
      <c r="S28" s="2" t="s">
        <v>246</v>
      </c>
      <c r="T28" s="46"/>
      <c r="U28" s="4"/>
      <c r="V28" s="1">
        <v>83.282200000000003</v>
      </c>
      <c r="W28" s="1">
        <f t="shared" si="5"/>
        <v>83.282200000000003</v>
      </c>
      <c r="X28" s="1">
        <f t="shared" si="1"/>
        <v>2082.0550000000003</v>
      </c>
      <c r="Y28" s="1">
        <f t="shared" si="6"/>
        <v>2082.0550000000003</v>
      </c>
      <c r="Z28" s="1">
        <f t="shared" si="2"/>
        <v>1.5294800056561902E-2</v>
      </c>
      <c r="AA28" s="1">
        <f t="shared" si="3"/>
        <v>1.5294800056561902E-2</v>
      </c>
      <c r="AB28" s="1"/>
      <c r="AD28" s="1"/>
      <c r="AW28">
        <f t="shared" si="10"/>
        <v>1.6557281089371333E-2</v>
      </c>
      <c r="AX28">
        <f t="shared" si="11"/>
        <v>3530.485155189047</v>
      </c>
      <c r="AY28">
        <f t="shared" si="12"/>
        <v>3883.5336707079518</v>
      </c>
      <c r="AZ28">
        <f t="shared" si="13"/>
        <v>353.04851551890488</v>
      </c>
    </row>
    <row r="29" spans="1:52" x14ac:dyDescent="0.35">
      <c r="A29" s="1">
        <v>28</v>
      </c>
      <c r="B29" s="62">
        <v>8230.4847304692612</v>
      </c>
      <c r="C29" s="62">
        <v>6</v>
      </c>
      <c r="D29" s="62">
        <v>10395.700000000001</v>
      </c>
      <c r="E29" s="62">
        <v>8230.48</v>
      </c>
      <c r="F29" s="62">
        <v>2928.68</v>
      </c>
      <c r="G29" s="62">
        <v>274</v>
      </c>
      <c r="H29" s="62">
        <v>4210.74</v>
      </c>
      <c r="I29" s="62">
        <v>3393.9</v>
      </c>
      <c r="J29" s="62">
        <v>2532.5700000000002</v>
      </c>
      <c r="K29" s="62">
        <v>15</v>
      </c>
      <c r="L29" s="62">
        <v>5</v>
      </c>
      <c r="M29" s="62">
        <f>(C29*$S$18*1000)+S33</f>
        <v>0</v>
      </c>
      <c r="N29" s="62">
        <f>$S$38*C29</f>
        <v>213.60000000000002</v>
      </c>
      <c r="O29" s="56">
        <f t="shared" si="4"/>
        <v>2.0546956914878269E-2</v>
      </c>
      <c r="P29" s="56">
        <f t="shared" si="0"/>
        <v>5340.0000000000009</v>
      </c>
      <c r="Q29" s="56"/>
      <c r="R29" s="63" t="s">
        <v>288</v>
      </c>
      <c r="S29" s="4">
        <f>(T21*T17*$S$26)</f>
        <v>0</v>
      </c>
      <c r="T29" s="46" t="s">
        <v>289</v>
      </c>
      <c r="U29" s="56"/>
      <c r="V29" s="1">
        <v>774.16899999999998</v>
      </c>
      <c r="W29" s="1">
        <f t="shared" si="5"/>
        <v>774.16899999999998</v>
      </c>
      <c r="X29" s="1">
        <f t="shared" si="1"/>
        <v>19354.224999999999</v>
      </c>
      <c r="Y29" s="1">
        <f t="shared" si="6"/>
        <v>19354.224999999999</v>
      </c>
      <c r="Z29" s="1">
        <f t="shared" si="2"/>
        <v>2.0546956914878269E-2</v>
      </c>
      <c r="AA29" s="1">
        <f t="shared" si="3"/>
        <v>2.0546956914878269E-2</v>
      </c>
      <c r="AB29" s="1"/>
      <c r="AC29" s="1"/>
      <c r="AE29" s="18" t="s">
        <v>51</v>
      </c>
      <c r="AF29" s="4">
        <f>AD5-(AF5/AE6)</f>
        <v>7.6255416255255382</v>
      </c>
      <c r="AG29" s="4"/>
      <c r="AH29" s="10">
        <f>AD6-(AH6/AG7)</f>
        <v>9.6045623556813453</v>
      </c>
      <c r="AI29" s="10"/>
      <c r="AJ29" s="10"/>
      <c r="AK29" s="10">
        <f>AD11-(AK11/AJ12)</f>
        <v>9.0312533909569606</v>
      </c>
      <c r="AW29">
        <f t="shared" si="10"/>
        <v>2.0350732521592207E-2</v>
      </c>
      <c r="AX29">
        <f t="shared" si="11"/>
        <v>4339.3573302820732</v>
      </c>
      <c r="AY29">
        <f t="shared" si="12"/>
        <v>4773.2930633102806</v>
      </c>
      <c r="AZ29">
        <f t="shared" si="13"/>
        <v>433.93573302820732</v>
      </c>
    </row>
    <row r="30" spans="1:52" ht="15" thickBot="1" x14ac:dyDescent="0.4">
      <c r="A30" s="1">
        <v>29</v>
      </c>
      <c r="B30" s="62">
        <v>3184.1460343074909</v>
      </c>
      <c r="C30" s="62">
        <v>2</v>
      </c>
      <c r="D30" s="62">
        <v>3465.23</v>
      </c>
      <c r="E30" s="62">
        <v>3184.15</v>
      </c>
      <c r="F30" s="62">
        <v>1055.81</v>
      </c>
      <c r="G30" s="62">
        <v>98.489099999999993</v>
      </c>
      <c r="H30" s="62">
        <v>1177.54</v>
      </c>
      <c r="I30" s="62">
        <v>1255.03</v>
      </c>
      <c r="J30" s="62">
        <v>807.74400000000003</v>
      </c>
      <c r="K30" s="62">
        <v>5</v>
      </c>
      <c r="L30" s="62">
        <v>3.3</v>
      </c>
      <c r="M30" s="62">
        <f>(C30*$S$18*1000)+S31</f>
        <v>0</v>
      </c>
      <c r="N30" s="62">
        <f>$S$38*C30</f>
        <v>71.2</v>
      </c>
      <c r="O30" s="56">
        <f t="shared" si="4"/>
        <v>2.0546976679758633E-2</v>
      </c>
      <c r="P30" s="56">
        <f t="shared" si="0"/>
        <v>1780</v>
      </c>
      <c r="Q30" s="56"/>
      <c r="R30" s="63" t="s">
        <v>288</v>
      </c>
      <c r="S30" s="4">
        <f>(T22*T17*$S$26)</f>
        <v>0</v>
      </c>
      <c r="T30" s="46" t="s">
        <v>296</v>
      </c>
      <c r="U30" s="56"/>
      <c r="V30" s="1">
        <v>270.46199999999999</v>
      </c>
      <c r="W30" s="1">
        <f t="shared" si="5"/>
        <v>270.46199999999999</v>
      </c>
      <c r="X30" s="1">
        <f t="shared" si="1"/>
        <v>6761.5499999999993</v>
      </c>
      <c r="Y30" s="1">
        <f t="shared" si="6"/>
        <v>6761.5499999999993</v>
      </c>
      <c r="Z30" s="1">
        <f t="shared" si="2"/>
        <v>2.0546976679758633E-2</v>
      </c>
      <c r="AA30" s="1">
        <f t="shared" si="3"/>
        <v>2.0546976679758633E-2</v>
      </c>
      <c r="AB30" s="1"/>
      <c r="AC30" s="1"/>
      <c r="AE30" s="4"/>
      <c r="AF30" s="4"/>
      <c r="AG30" s="4"/>
      <c r="AH30" s="4"/>
      <c r="AI30" s="4"/>
      <c r="AJ30" s="4"/>
      <c r="AK30" s="4"/>
      <c r="AP30" t="s">
        <v>6</v>
      </c>
      <c r="AW30">
        <f t="shared" si="10"/>
        <v>7.8731334029442709E-3</v>
      </c>
      <c r="AX30">
        <f t="shared" si="11"/>
        <v>1678.7768748916712</v>
      </c>
      <c r="AY30">
        <f t="shared" si="12"/>
        <v>1846.6545623808386</v>
      </c>
      <c r="AZ30">
        <f t="shared" si="13"/>
        <v>167.87768748916733</v>
      </c>
    </row>
    <row r="31" spans="1:52" ht="15" customHeight="1" thickBot="1" x14ac:dyDescent="0.4">
      <c r="A31" s="1">
        <v>30</v>
      </c>
      <c r="B31" s="62">
        <v>2455.556329062375</v>
      </c>
      <c r="C31" s="62">
        <v>2</v>
      </c>
      <c r="D31" s="62">
        <v>3465.23</v>
      </c>
      <c r="E31" s="62">
        <v>2455.56</v>
      </c>
      <c r="F31" s="62">
        <v>981.01199999999994</v>
      </c>
      <c r="G31" s="62">
        <v>91.956100000000006</v>
      </c>
      <c r="H31" s="62">
        <v>1498.17</v>
      </c>
      <c r="I31" s="62">
        <v>1029.33</v>
      </c>
      <c r="J31" s="62">
        <v>829.81899999999996</v>
      </c>
      <c r="K31" s="62">
        <v>5</v>
      </c>
      <c r="L31" s="62">
        <v>1.2</v>
      </c>
      <c r="M31" s="62">
        <f>(C31*$S$18*1000)+S29</f>
        <v>0</v>
      </c>
      <c r="N31" s="62">
        <f>$S$38*C31</f>
        <v>71.2</v>
      </c>
      <c r="O31" s="56">
        <f t="shared" si="4"/>
        <v>2.0546976679758633E-2</v>
      </c>
      <c r="P31" s="56">
        <f t="shared" si="0"/>
        <v>1780</v>
      </c>
      <c r="Q31" s="56"/>
      <c r="R31" s="63" t="s">
        <v>288</v>
      </c>
      <c r="S31" s="4">
        <f>(T23*T18*$S$26)</f>
        <v>0</v>
      </c>
      <c r="T31" s="46" t="s">
        <v>290</v>
      </c>
      <c r="U31" s="56"/>
      <c r="V31" s="1">
        <v>253.29300000000001</v>
      </c>
      <c r="W31" s="1">
        <f t="shared" si="5"/>
        <v>253.29300000000001</v>
      </c>
      <c r="X31" s="1">
        <f t="shared" si="1"/>
        <v>6332.3249999999998</v>
      </c>
      <c r="Y31" s="1">
        <f t="shared" si="6"/>
        <v>6332.3249999999998</v>
      </c>
      <c r="Z31" s="1">
        <f t="shared" si="2"/>
        <v>2.0546976679758633E-2</v>
      </c>
      <c r="AA31" s="1">
        <f t="shared" si="3"/>
        <v>2.0546976679758633E-2</v>
      </c>
      <c r="AB31" s="1"/>
      <c r="AE31" s="4" t="s">
        <v>53</v>
      </c>
      <c r="AF31" s="9">
        <f>IRR(AE2:AE27)</f>
        <v>0.12409726317386238</v>
      </c>
      <c r="AG31" s="4"/>
      <c r="AH31" s="100" t="s">
        <v>54</v>
      </c>
      <c r="AI31" s="101"/>
      <c r="AJ31" s="101"/>
      <c r="AK31" s="102"/>
      <c r="AW31">
        <f t="shared" si="10"/>
        <v>6.0716193129492719E-3</v>
      </c>
      <c r="AX31">
        <f t="shared" si="11"/>
        <v>1294.642624995166</v>
      </c>
      <c r="AY31">
        <f t="shared" si="12"/>
        <v>1424.1068874946827</v>
      </c>
      <c r="AZ31">
        <f t="shared" si="13"/>
        <v>129.46426249951674</v>
      </c>
    </row>
    <row r="32" spans="1:52" ht="15" thickBot="1" x14ac:dyDescent="0.4">
      <c r="A32" s="1">
        <v>31</v>
      </c>
      <c r="B32" s="1">
        <v>1553.515228702383</v>
      </c>
      <c r="C32" s="1">
        <v>2</v>
      </c>
      <c r="D32" s="1">
        <v>3465.23</v>
      </c>
      <c r="E32" s="1">
        <v>1553.52</v>
      </c>
      <c r="F32" s="1">
        <v>992.22699999999998</v>
      </c>
      <c r="G32" s="1">
        <v>92.273499999999999</v>
      </c>
      <c r="H32" s="1">
        <v>1784.82</v>
      </c>
      <c r="I32" s="1">
        <v>688.178</v>
      </c>
      <c r="J32" s="1">
        <v>865.33699999999999</v>
      </c>
      <c r="K32" s="1">
        <v>5</v>
      </c>
      <c r="L32" s="1">
        <v>0</v>
      </c>
      <c r="M32" s="1">
        <f>C32*$S$18*1000</f>
        <v>0</v>
      </c>
      <c r="N32" s="1">
        <f>$S$19*C32</f>
        <v>53</v>
      </c>
      <c r="O32" s="4">
        <f t="shared" si="4"/>
        <v>1.5294800056561902E-2</v>
      </c>
      <c r="P32" s="4">
        <f t="shared" si="0"/>
        <v>1325</v>
      </c>
      <c r="Q32" s="4"/>
      <c r="R32" s="63" t="s">
        <v>288</v>
      </c>
      <c r="S32" s="4">
        <f>(T24*T18*$S$26)</f>
        <v>0</v>
      </c>
      <c r="T32" s="46" t="s">
        <v>291</v>
      </c>
      <c r="U32" s="4"/>
      <c r="V32" s="1">
        <v>220.10300000000001</v>
      </c>
      <c r="W32" s="1">
        <f t="shared" si="5"/>
        <v>220.10300000000001</v>
      </c>
      <c r="X32" s="1">
        <f t="shared" si="1"/>
        <v>5502.5749999999998</v>
      </c>
      <c r="Y32" s="1">
        <f t="shared" si="6"/>
        <v>5502.5749999999998</v>
      </c>
      <c r="Z32" s="1">
        <f t="shared" si="2"/>
        <v>1.5294800056561902E-2</v>
      </c>
      <c r="AA32" s="1">
        <f t="shared" si="3"/>
        <v>1.5294800056561902E-2</v>
      </c>
      <c r="AB32" s="1"/>
      <c r="AC32" t="s">
        <v>6</v>
      </c>
      <c r="AE32" s="4"/>
      <c r="AF32" s="8"/>
      <c r="AG32" s="4"/>
      <c r="AH32" s="103"/>
      <c r="AI32" s="104"/>
      <c r="AJ32" s="104"/>
      <c r="AK32" s="105"/>
      <c r="AW32">
        <f t="shared" si="10"/>
        <v>3.841228545203777E-3</v>
      </c>
      <c r="AX32">
        <f t="shared" si="11"/>
        <v>819.05961995389839</v>
      </c>
      <c r="AY32">
        <f t="shared" si="12"/>
        <v>900.96558194928832</v>
      </c>
      <c r="AZ32">
        <f t="shared" si="13"/>
        <v>81.90596199538993</v>
      </c>
    </row>
    <row r="33" spans="1:52" x14ac:dyDescent="0.35">
      <c r="A33" s="1">
        <v>32</v>
      </c>
      <c r="B33" s="62">
        <v>14627.53150971361</v>
      </c>
      <c r="C33" s="62">
        <v>10</v>
      </c>
      <c r="D33" s="62">
        <v>17326.099999999999</v>
      </c>
      <c r="E33" s="62">
        <v>14627.5</v>
      </c>
      <c r="F33" s="62">
        <v>6319.47</v>
      </c>
      <c r="G33" s="62">
        <v>606.04600000000005</v>
      </c>
      <c r="H33" s="62">
        <v>5835.93</v>
      </c>
      <c r="I33" s="62">
        <v>5167.72</v>
      </c>
      <c r="J33" s="62">
        <v>4764.6000000000004</v>
      </c>
      <c r="K33" s="62">
        <v>25</v>
      </c>
      <c r="L33" s="62">
        <f>19.4</f>
        <v>19.399999999999999</v>
      </c>
      <c r="M33" s="62">
        <f>(C33*$S$18*1000)+S37</f>
        <v>0</v>
      </c>
      <c r="N33" s="62">
        <f>$S$38*C33</f>
        <v>356</v>
      </c>
      <c r="O33" s="56">
        <f t="shared" si="4"/>
        <v>2.0547035974627877E-2</v>
      </c>
      <c r="P33" s="56">
        <f t="shared" si="0"/>
        <v>8900</v>
      </c>
      <c r="Q33" s="56"/>
      <c r="R33" s="63" t="s">
        <v>288</v>
      </c>
      <c r="S33" s="4">
        <f>(T25*T19*$S$26)</f>
        <v>0</v>
      </c>
      <c r="T33" s="46" t="s">
        <v>293</v>
      </c>
      <c r="U33" s="56"/>
      <c r="V33" s="1">
        <v>1176.7</v>
      </c>
      <c r="W33" s="1">
        <f t="shared" si="5"/>
        <v>1176.7</v>
      </c>
      <c r="X33" s="1">
        <f t="shared" si="1"/>
        <v>29417.5</v>
      </c>
      <c r="Y33" s="1">
        <f t="shared" si="6"/>
        <v>29417.5</v>
      </c>
      <c r="Z33" s="1">
        <f t="shared" si="2"/>
        <v>2.0547035974627877E-2</v>
      </c>
      <c r="AA33" s="1">
        <f t="shared" si="3"/>
        <v>2.0547035974627877E-2</v>
      </c>
      <c r="AB33" s="1"/>
      <c r="AW33">
        <f t="shared" si="10"/>
        <v>3.6168098350675297E-2</v>
      </c>
      <c r="AX33">
        <f t="shared" si="11"/>
        <v>7712.071422188129</v>
      </c>
      <c r="AY33">
        <f t="shared" si="12"/>
        <v>8483.2785644069427</v>
      </c>
      <c r="AZ33">
        <f t="shared" si="13"/>
        <v>771.20714221881371</v>
      </c>
    </row>
    <row r="34" spans="1:52" x14ac:dyDescent="0.35">
      <c r="A34" s="1">
        <v>33</v>
      </c>
      <c r="B34" s="62">
        <v>4264.5516094210579</v>
      </c>
      <c r="C34" s="62">
        <v>4</v>
      </c>
      <c r="D34" s="62">
        <v>6930.46</v>
      </c>
      <c r="E34" s="62">
        <v>4264.55</v>
      </c>
      <c r="F34" s="62">
        <v>2602.7800000000002</v>
      </c>
      <c r="G34" s="62">
        <v>255.268</v>
      </c>
      <c r="H34" s="62">
        <v>2529.48</v>
      </c>
      <c r="I34" s="62">
        <v>1820.92</v>
      </c>
      <c r="J34" s="62">
        <v>1578.24</v>
      </c>
      <c r="K34" s="62">
        <v>10</v>
      </c>
      <c r="L34" s="62">
        <v>6</v>
      </c>
      <c r="M34" s="62">
        <f>(C34*$S$18*1000)+S34</f>
        <v>0</v>
      </c>
      <c r="N34" s="62">
        <f>$S$38*C34</f>
        <v>142.4</v>
      </c>
      <c r="O34" s="56">
        <f t="shared" si="4"/>
        <v>2.0546976679758633E-2</v>
      </c>
      <c r="P34" s="56">
        <f t="shared" si="0"/>
        <v>3560</v>
      </c>
      <c r="Q34" s="56"/>
      <c r="R34" s="63" t="s">
        <v>288</v>
      </c>
      <c r="S34" s="4">
        <f>(T26*T19*$S$26)</f>
        <v>0</v>
      </c>
      <c r="T34" s="46" t="s">
        <v>292</v>
      </c>
      <c r="U34" s="56"/>
      <c r="V34" s="1">
        <v>513.029</v>
      </c>
      <c r="W34" s="1">
        <f t="shared" si="5"/>
        <v>513.029</v>
      </c>
      <c r="X34" s="1">
        <f t="shared" si="1"/>
        <v>12825.725</v>
      </c>
      <c r="Y34" s="1">
        <f t="shared" si="6"/>
        <v>12825.725</v>
      </c>
      <c r="Z34" s="1">
        <f t="shared" si="2"/>
        <v>2.0546976679758633E-2</v>
      </c>
      <c r="AA34" s="1">
        <f t="shared" si="3"/>
        <v>2.0546976679758633E-2</v>
      </c>
      <c r="AB34" s="1"/>
      <c r="AW34">
        <f t="shared" si="10"/>
        <v>1.0544548950630927E-2</v>
      </c>
      <c r="AX34">
        <f t="shared" si="11"/>
        <v>2248.3989573785889</v>
      </c>
      <c r="AY34">
        <f t="shared" si="12"/>
        <v>2473.2388531164479</v>
      </c>
      <c r="AZ34">
        <f t="shared" si="13"/>
        <v>224.83989573785902</v>
      </c>
    </row>
    <row r="35" spans="1:52" x14ac:dyDescent="0.35">
      <c r="A35" s="1">
        <v>34</v>
      </c>
      <c r="B35" s="1">
        <v>5041.8344142687847</v>
      </c>
      <c r="C35" s="1">
        <v>4</v>
      </c>
      <c r="D35" s="1">
        <v>7106.6</v>
      </c>
      <c r="E35" s="1">
        <v>5041.83</v>
      </c>
      <c r="F35" s="1">
        <v>1667.85</v>
      </c>
      <c r="G35" s="1">
        <v>152.785</v>
      </c>
      <c r="H35" s="1">
        <v>3300.83</v>
      </c>
      <c r="I35" s="1">
        <v>2137.92</v>
      </c>
      <c r="J35" s="1">
        <v>2903.92</v>
      </c>
      <c r="K35" s="1">
        <v>10</v>
      </c>
      <c r="L35" s="1">
        <v>0</v>
      </c>
      <c r="M35" s="1">
        <f>C35*$S$18*1000</f>
        <v>0</v>
      </c>
      <c r="N35" s="1">
        <f>$S$19*C35</f>
        <v>106</v>
      </c>
      <c r="O35" s="4">
        <f t="shared" si="4"/>
        <v>1.4915712154898262E-2</v>
      </c>
      <c r="P35" s="4">
        <f t="shared" si="0"/>
        <v>2650</v>
      </c>
      <c r="Q35" s="4"/>
      <c r="R35" s="63" t="s">
        <v>288</v>
      </c>
      <c r="S35" s="4">
        <f xml:space="preserve"> 8000 *S26</f>
        <v>0</v>
      </c>
      <c r="T35" s="46" t="s">
        <v>294</v>
      </c>
      <c r="U35" s="4"/>
      <c r="V35" s="1">
        <v>321.40800000000002</v>
      </c>
      <c r="W35" s="1">
        <f t="shared" si="5"/>
        <v>321.40800000000002</v>
      </c>
      <c r="X35" s="1">
        <f t="shared" si="1"/>
        <v>8035.2000000000007</v>
      </c>
      <c r="Y35" s="1">
        <f t="shared" si="6"/>
        <v>8035.2000000000007</v>
      </c>
      <c r="Z35" s="1">
        <f t="shared" si="2"/>
        <v>1.4915712154898262E-2</v>
      </c>
      <c r="AA35" s="1">
        <f t="shared" si="3"/>
        <v>1.4915712154898262E-2</v>
      </c>
      <c r="AB35" s="1"/>
      <c r="AW35">
        <f t="shared" si="10"/>
        <v>1.2466461811550257E-2</v>
      </c>
      <c r="AX35">
        <f t="shared" si="11"/>
        <v>2658.2056634686546</v>
      </c>
      <c r="AY35">
        <f t="shared" si="12"/>
        <v>2924.0262298155203</v>
      </c>
      <c r="AZ35">
        <f t="shared" si="13"/>
        <v>265.82056634686569</v>
      </c>
    </row>
    <row r="36" spans="1:52" x14ac:dyDescent="0.35">
      <c r="A36" s="1">
        <v>35</v>
      </c>
      <c r="B36" s="62">
        <v>1680.154057549307</v>
      </c>
      <c r="C36" s="62">
        <v>2</v>
      </c>
      <c r="D36" s="62">
        <v>3553.3</v>
      </c>
      <c r="E36" s="62">
        <v>1680.15</v>
      </c>
      <c r="F36" s="62">
        <v>1252.81</v>
      </c>
      <c r="G36" s="62">
        <v>122.58499999999999</v>
      </c>
      <c r="H36" s="62">
        <v>1604.06</v>
      </c>
      <c r="I36" s="62">
        <v>745.89400000000001</v>
      </c>
      <c r="J36" s="62">
        <v>657.86699999999996</v>
      </c>
      <c r="K36" s="62">
        <v>5</v>
      </c>
      <c r="L36" s="62">
        <v>1.2</v>
      </c>
      <c r="M36" s="62">
        <f>(C36*$S$18*1000)+S29</f>
        <v>0</v>
      </c>
      <c r="N36" s="62">
        <f>$S$38*C36</f>
        <v>71.2</v>
      </c>
      <c r="O36" s="56">
        <f t="shared" si="4"/>
        <v>2.0037711423184081E-2</v>
      </c>
      <c r="P36" s="56">
        <f t="shared" si="0"/>
        <v>1780</v>
      </c>
      <c r="Q36" s="56"/>
      <c r="R36" s="63" t="s">
        <v>288</v>
      </c>
      <c r="S36" s="4">
        <f>7300*S26</f>
        <v>0</v>
      </c>
      <c r="T36" s="46" t="s">
        <v>295</v>
      </c>
      <c r="U36" s="56"/>
      <c r="V36" s="1">
        <v>275.78899999999999</v>
      </c>
      <c r="W36" s="1">
        <f t="shared" si="5"/>
        <v>275.78899999999999</v>
      </c>
      <c r="X36" s="1">
        <f t="shared" si="1"/>
        <v>6894.7249999999995</v>
      </c>
      <c r="Y36" s="1">
        <f t="shared" si="6"/>
        <v>6894.7249999999995</v>
      </c>
      <c r="Z36" s="1">
        <f t="shared" si="2"/>
        <v>2.0037711423184081E-2</v>
      </c>
      <c r="AA36" s="1">
        <f t="shared" si="3"/>
        <v>2.0037711423184081E-2</v>
      </c>
      <c r="AB36" s="1"/>
      <c r="AW36">
        <f t="shared" si="10"/>
        <v>4.1543562669733927E-3</v>
      </c>
      <c r="AX36">
        <f t="shared" si="11"/>
        <v>885.82739223599413</v>
      </c>
      <c r="AY36">
        <f t="shared" si="12"/>
        <v>974.41013145959357</v>
      </c>
      <c r="AZ36">
        <f t="shared" si="13"/>
        <v>88.582739223599447</v>
      </c>
    </row>
    <row r="37" spans="1:52" x14ac:dyDescent="0.35">
      <c r="A37" s="1">
        <v>36</v>
      </c>
      <c r="B37" s="1">
        <v>5659.8657296841702</v>
      </c>
      <c r="C37" s="1">
        <v>4</v>
      </c>
      <c r="D37" s="1">
        <v>7106.6</v>
      </c>
      <c r="E37" s="1">
        <v>5659.87</v>
      </c>
      <c r="F37" s="1">
        <v>1537.84</v>
      </c>
      <c r="G37" s="1">
        <v>139.857</v>
      </c>
      <c r="H37" s="1">
        <v>3205.84</v>
      </c>
      <c r="I37" s="1">
        <v>2362.91</v>
      </c>
      <c r="J37" s="1">
        <v>3296.95</v>
      </c>
      <c r="K37" s="1">
        <v>10</v>
      </c>
      <c r="L37" s="1">
        <v>0</v>
      </c>
      <c r="M37" s="1">
        <f>C37*$S$18*1000</f>
        <v>0</v>
      </c>
      <c r="N37" s="1">
        <f>$S$19*C37</f>
        <v>106</v>
      </c>
      <c r="O37" s="4">
        <f t="shared" si="4"/>
        <v>1.4915712154898262E-2</v>
      </c>
      <c r="P37" s="4">
        <f t="shared" si="0"/>
        <v>2650</v>
      </c>
      <c r="Q37" s="4"/>
      <c r="R37" s="63" t="s">
        <v>288</v>
      </c>
      <c r="S37" s="4">
        <f>16000*S26</f>
        <v>0</v>
      </c>
      <c r="T37" s="46" t="s">
        <v>297</v>
      </c>
      <c r="U37" s="4"/>
      <c r="V37" s="1">
        <v>274.303</v>
      </c>
      <c r="W37" s="1">
        <f t="shared" si="5"/>
        <v>274.303</v>
      </c>
      <c r="X37" s="1">
        <f t="shared" si="1"/>
        <v>6857.5749999999998</v>
      </c>
      <c r="Y37" s="1">
        <f t="shared" si="6"/>
        <v>6857.5749999999998</v>
      </c>
      <c r="Z37" s="1">
        <f t="shared" si="2"/>
        <v>1.4915712154898262E-2</v>
      </c>
      <c r="AA37" s="1">
        <f t="shared" si="3"/>
        <v>1.4915712154898262E-2</v>
      </c>
      <c r="AB37" s="1"/>
      <c r="AW37">
        <f t="shared" si="10"/>
        <v>1.399460874358025E-2</v>
      </c>
      <c r="AX37">
        <f t="shared" si="11"/>
        <v>2984.0502287302102</v>
      </c>
      <c r="AY37">
        <f t="shared" si="12"/>
        <v>3282.4552516032313</v>
      </c>
      <c r="AZ37">
        <f t="shared" si="13"/>
        <v>298.40502287302115</v>
      </c>
    </row>
    <row r="38" spans="1:52" x14ac:dyDescent="0.35">
      <c r="A38" s="1">
        <v>37</v>
      </c>
      <c r="B38" s="62">
        <v>7074.8321611913698</v>
      </c>
      <c r="C38" s="62">
        <v>6</v>
      </c>
      <c r="D38" s="62">
        <v>10659.9</v>
      </c>
      <c r="E38" s="62">
        <v>7074.83</v>
      </c>
      <c r="F38" s="62">
        <v>3404.59</v>
      </c>
      <c r="G38" s="62">
        <v>327.08699999999999</v>
      </c>
      <c r="H38" s="62">
        <v>4373.93</v>
      </c>
      <c r="I38" s="62">
        <v>3025.14</v>
      </c>
      <c r="J38" s="62">
        <v>2437.81</v>
      </c>
      <c r="K38" s="62">
        <v>15</v>
      </c>
      <c r="L38" s="62">
        <v>5</v>
      </c>
      <c r="M38" s="62">
        <f>(C38*$S$18*1000)+S33</f>
        <v>0</v>
      </c>
      <c r="N38" s="62">
        <f>$S$38*C38</f>
        <v>213.60000000000002</v>
      </c>
      <c r="O38" s="56">
        <f t="shared" si="4"/>
        <v>2.0037711423184085E-2</v>
      </c>
      <c r="P38" s="56">
        <f t="shared" si="0"/>
        <v>5340.0000000000009</v>
      </c>
      <c r="Q38" s="56"/>
      <c r="R38" s="65" t="s">
        <v>248</v>
      </c>
      <c r="S38" s="1">
        <v>35.6</v>
      </c>
      <c r="T38" s="30"/>
      <c r="U38" s="56"/>
      <c r="V38" s="1">
        <v>798.74900000000002</v>
      </c>
      <c r="W38" s="1">
        <f>V38-M38</f>
        <v>798.74900000000002</v>
      </c>
      <c r="X38" s="1">
        <f t="shared" si="1"/>
        <v>19968.725000000002</v>
      </c>
      <c r="Y38" s="1">
        <f t="shared" si="6"/>
        <v>19968.725000000002</v>
      </c>
      <c r="Z38" s="1">
        <f t="shared" si="2"/>
        <v>2.0037711423184085E-2</v>
      </c>
      <c r="AA38" s="1">
        <f t="shared" si="3"/>
        <v>2.0037711423184085E-2</v>
      </c>
      <c r="AB38" s="1"/>
      <c r="AC38" s="1" t="s">
        <v>287</v>
      </c>
      <c r="AD38" s="1">
        <v>0</v>
      </c>
      <c r="AE38">
        <f>-AC41</f>
        <v>-4950</v>
      </c>
      <c r="AF38">
        <f>AE38</f>
        <v>-4950</v>
      </c>
      <c r="AH38">
        <f>AE38</f>
        <v>-4950</v>
      </c>
      <c r="AI38">
        <f>AE38</f>
        <v>-4950</v>
      </c>
      <c r="AK38">
        <f>AE38</f>
        <v>-4950</v>
      </c>
      <c r="AW38">
        <f t="shared" si="10"/>
        <v>1.7493260927215738E-2</v>
      </c>
      <c r="AX38">
        <f t="shared" si="11"/>
        <v>3730.0627854309569</v>
      </c>
      <c r="AY38">
        <f t="shared" si="12"/>
        <v>4103.0690639740533</v>
      </c>
      <c r="AZ38">
        <f t="shared" si="13"/>
        <v>373.00627854309641</v>
      </c>
    </row>
    <row r="39" spans="1:52" x14ac:dyDescent="0.35">
      <c r="A39" s="1">
        <v>38</v>
      </c>
      <c r="B39" s="1">
        <v>1036.155497852058</v>
      </c>
      <c r="C39" s="1">
        <v>2</v>
      </c>
      <c r="D39" s="1">
        <v>3553.3</v>
      </c>
      <c r="E39" s="1">
        <v>1036.1600000000001</v>
      </c>
      <c r="F39" s="1">
        <v>1206.4100000000001</v>
      </c>
      <c r="G39" s="1">
        <v>115.129</v>
      </c>
      <c r="H39" s="1">
        <v>1906.9</v>
      </c>
      <c r="I39" s="1">
        <v>439.99</v>
      </c>
      <c r="J39" s="1">
        <v>596.16499999999996</v>
      </c>
      <c r="K39" s="1">
        <v>5</v>
      </c>
      <c r="L39" s="1">
        <v>0</v>
      </c>
      <c r="M39" s="1">
        <f>C39*$S$18*1000</f>
        <v>0</v>
      </c>
      <c r="N39" s="1">
        <f>$S$19*C39</f>
        <v>53</v>
      </c>
      <c r="O39" s="4">
        <f t="shared" si="4"/>
        <v>1.4915712154898262E-2</v>
      </c>
      <c r="P39" s="4">
        <f t="shared" si="0"/>
        <v>1325</v>
      </c>
      <c r="Q39" s="4"/>
      <c r="R39" s="68" t="s">
        <v>260</v>
      </c>
      <c r="S39" s="1">
        <v>220</v>
      </c>
      <c r="T39" s="78">
        <v>0</v>
      </c>
      <c r="U39" s="4"/>
      <c r="V39" s="1">
        <v>256.82299999999998</v>
      </c>
      <c r="W39" s="1">
        <f t="shared" si="5"/>
        <v>256.82299999999998</v>
      </c>
      <c r="X39" s="1">
        <f t="shared" si="1"/>
        <v>6420.5749999999998</v>
      </c>
      <c r="Y39" s="1">
        <f t="shared" si="6"/>
        <v>6420.5749999999998</v>
      </c>
      <c r="Z39" s="1">
        <f t="shared" si="2"/>
        <v>1.4915712154898262E-2</v>
      </c>
      <c r="AA39" s="1">
        <f t="shared" si="3"/>
        <v>1.4915712154898262E-2</v>
      </c>
      <c r="AB39" s="1"/>
      <c r="AC39" s="1"/>
      <c r="AD39" s="1">
        <v>1</v>
      </c>
      <c r="AE39">
        <f>AC44</f>
        <v>5518.0024700000031</v>
      </c>
      <c r="AF39">
        <f>AF38+AE39</f>
        <v>568.00247000000309</v>
      </c>
      <c r="AG39">
        <f t="shared" ref="AG39:AG63" si="19">AE39/(1+$S$20)^AD39</f>
        <v>5200.7563336475059</v>
      </c>
      <c r="AH39">
        <f>AH38+AG39</f>
        <v>250.75633364750593</v>
      </c>
      <c r="AI39">
        <f>$AC$44*((1+$S$44)^AD39)</f>
        <v>5655.9525317500029</v>
      </c>
      <c r="AJ39">
        <f t="shared" ref="AJ39:AJ63" si="20">AI39/(1+$S$20)^AD39</f>
        <v>5330.7752419886929</v>
      </c>
      <c r="AK39">
        <f>AK38+AJ39</f>
        <v>380.77524198869287</v>
      </c>
      <c r="AW39">
        <f t="shared" si="10"/>
        <v>2.562002613224239E-3</v>
      </c>
      <c r="AX39">
        <f t="shared" si="11"/>
        <v>546.29212035000592</v>
      </c>
      <c r="AY39">
        <f t="shared" si="12"/>
        <v>600.92133238500651</v>
      </c>
      <c r="AZ39">
        <f t="shared" si="13"/>
        <v>54.629212035000592</v>
      </c>
    </row>
    <row r="40" spans="1:52" ht="29" x14ac:dyDescent="0.35">
      <c r="A40" s="1">
        <v>39</v>
      </c>
      <c r="B40" s="62">
        <v>1397.7981728371551</v>
      </c>
      <c r="C40" s="62">
        <v>2</v>
      </c>
      <c r="D40" s="62">
        <v>3553.3</v>
      </c>
      <c r="E40" s="62">
        <v>1397.8</v>
      </c>
      <c r="F40" s="62">
        <v>1337.82</v>
      </c>
      <c r="G40" s="62">
        <v>132.495</v>
      </c>
      <c r="H40" s="62">
        <v>1638.51</v>
      </c>
      <c r="I40" s="62">
        <v>629.24800000000005</v>
      </c>
      <c r="J40" s="62">
        <v>605.05899999999997</v>
      </c>
      <c r="K40" s="62">
        <v>5</v>
      </c>
      <c r="L40" s="62">
        <v>1.2</v>
      </c>
      <c r="M40" s="62">
        <f>(C40*$S$18*1000)+S29</f>
        <v>0</v>
      </c>
      <c r="N40" s="62">
        <f>$S$38*C40</f>
        <v>71.2</v>
      </c>
      <c r="O40" s="56">
        <f t="shared" si="4"/>
        <v>2.0037711423184081E-2</v>
      </c>
      <c r="P40" s="56">
        <f t="shared" si="0"/>
        <v>1780</v>
      </c>
      <c r="Q40" s="56"/>
      <c r="R40" s="68" t="s">
        <v>261</v>
      </c>
      <c r="S40" s="1">
        <v>165</v>
      </c>
      <c r="T40" s="78">
        <v>0</v>
      </c>
      <c r="U40" s="56"/>
      <c r="V40" s="1">
        <v>278.79599999999999</v>
      </c>
      <c r="W40" s="1">
        <f t="shared" si="5"/>
        <v>278.79599999999999</v>
      </c>
      <c r="X40" s="1">
        <f t="shared" si="1"/>
        <v>6969.9</v>
      </c>
      <c r="Y40" s="1">
        <f t="shared" si="6"/>
        <v>6969.9</v>
      </c>
      <c r="Z40" s="1">
        <f t="shared" si="2"/>
        <v>2.0037711423184081E-2</v>
      </c>
      <c r="AA40" s="1">
        <f t="shared" si="3"/>
        <v>2.0037711423184081E-2</v>
      </c>
      <c r="AB40" s="1"/>
      <c r="AC40" s="6" t="s">
        <v>285</v>
      </c>
      <c r="AD40" s="1">
        <f>AD39+1</f>
        <v>2</v>
      </c>
      <c r="AE40">
        <f>AE39</f>
        <v>5518.0024700000031</v>
      </c>
      <c r="AF40">
        <f>AF39+AE40</f>
        <v>6086.0049400000062</v>
      </c>
      <c r="AG40">
        <f t="shared" si="19"/>
        <v>4901.7496075848303</v>
      </c>
      <c r="AH40">
        <f t="shared" ref="AH40:AH63" si="21">AH39+AG40</f>
        <v>5152.5059412323362</v>
      </c>
      <c r="AI40">
        <f t="shared" ref="AI40:AI63" si="22">$AC$44*((1+$S$44)^AD40)</f>
        <v>5797.3513450437531</v>
      </c>
      <c r="AJ40">
        <f t="shared" si="20"/>
        <v>5149.9006814688128</v>
      </c>
      <c r="AK40">
        <f>AK39+AJ40</f>
        <v>5530.6759234575056</v>
      </c>
      <c r="AW40">
        <f t="shared" si="10"/>
        <v>3.4562018722021732E-3</v>
      </c>
      <c r="AX40">
        <f t="shared" si="11"/>
        <v>736.96093804793077</v>
      </c>
      <c r="AY40">
        <f t="shared" si="12"/>
        <v>810.65703185272389</v>
      </c>
      <c r="AZ40">
        <f t="shared" si="13"/>
        <v>73.696093804793122</v>
      </c>
    </row>
    <row r="41" spans="1:52" x14ac:dyDescent="0.35">
      <c r="A41" s="1">
        <v>40</v>
      </c>
      <c r="B41" s="62">
        <v>2769.3097556877569</v>
      </c>
      <c r="C41" s="62">
        <v>2</v>
      </c>
      <c r="D41" s="62">
        <v>3553.3</v>
      </c>
      <c r="E41" s="62">
        <v>2769.31</v>
      </c>
      <c r="F41" s="62">
        <v>1224.25</v>
      </c>
      <c r="G41" s="62">
        <v>117.764</v>
      </c>
      <c r="H41" s="62">
        <v>1185.83</v>
      </c>
      <c r="I41" s="62">
        <v>1159.6300000000001</v>
      </c>
      <c r="J41" s="62">
        <v>850.86400000000003</v>
      </c>
      <c r="K41" s="62">
        <v>5</v>
      </c>
      <c r="L41" s="62">
        <v>3.3</v>
      </c>
      <c r="M41" s="62">
        <f>(C41*$S$18*1000)+S31</f>
        <v>0</v>
      </c>
      <c r="N41" s="62">
        <f>$S$38*C41</f>
        <v>71.2</v>
      </c>
      <c r="O41" s="56">
        <f t="shared" si="4"/>
        <v>2.0037711423184081E-2</v>
      </c>
      <c r="P41" s="56">
        <f t="shared" si="0"/>
        <v>1780</v>
      </c>
      <c r="Q41" s="56"/>
      <c r="R41" s="65" t="s">
        <v>250</v>
      </c>
      <c r="S41" s="1">
        <v>3.1E-2</v>
      </c>
      <c r="T41" s="30"/>
      <c r="U41" s="56"/>
      <c r="V41" s="1">
        <v>268.85399999999998</v>
      </c>
      <c r="W41" s="1">
        <f t="shared" si="5"/>
        <v>268.85399999999998</v>
      </c>
      <c r="X41" s="1">
        <f t="shared" si="1"/>
        <v>6721.3499999999995</v>
      </c>
      <c r="Y41" s="1">
        <f t="shared" si="6"/>
        <v>6721.3499999999995</v>
      </c>
      <c r="Z41" s="1">
        <f t="shared" si="2"/>
        <v>2.0037711423184081E-2</v>
      </c>
      <c r="AA41" s="1">
        <f t="shared" si="3"/>
        <v>2.0037711423184081E-2</v>
      </c>
      <c r="AB41" s="1"/>
      <c r="AC41" s="1">
        <f>(T10*55/99)</f>
        <v>4950</v>
      </c>
      <c r="AD41" s="1">
        <f t="shared" ref="AD41:AD55" si="23">AD40+1</f>
        <v>3</v>
      </c>
      <c r="AE41">
        <f t="shared" ref="AE41:AE63" si="24">AE40</f>
        <v>5518.0024700000031</v>
      </c>
      <c r="AF41">
        <f t="shared" ref="AF41:AF63" si="25">AF40+AE41</f>
        <v>11604.007410000009</v>
      </c>
      <c r="AG41">
        <f t="shared" si="19"/>
        <v>4619.9336546511131</v>
      </c>
      <c r="AH41">
        <f t="shared" si="21"/>
        <v>9772.4395958834502</v>
      </c>
      <c r="AI41">
        <f t="shared" si="22"/>
        <v>5942.285128669846</v>
      </c>
      <c r="AJ41">
        <f t="shared" si="20"/>
        <v>4975.1632408157711</v>
      </c>
      <c r="AK41">
        <f t="shared" ref="AK41:AK63" si="26">AK40+AJ41</f>
        <v>10505.839164273277</v>
      </c>
      <c r="AW41">
        <f t="shared" si="10"/>
        <v>6.8474074070998467E-3</v>
      </c>
      <c r="AX41">
        <f t="shared" si="11"/>
        <v>1460.0628008795509</v>
      </c>
      <c r="AY41">
        <f t="shared" si="12"/>
        <v>1606.0690809675061</v>
      </c>
      <c r="AZ41">
        <f t="shared" si="13"/>
        <v>146.00628008795525</v>
      </c>
    </row>
    <row r="42" spans="1:52" x14ac:dyDescent="0.35">
      <c r="A42" s="1">
        <v>41</v>
      </c>
      <c r="B42" s="1">
        <v>975.76163139608616</v>
      </c>
      <c r="C42" s="1">
        <v>2</v>
      </c>
      <c r="D42" s="1">
        <v>3553.3</v>
      </c>
      <c r="E42" s="1">
        <v>975.76199999999994</v>
      </c>
      <c r="F42" s="1">
        <v>1216.8800000000001</v>
      </c>
      <c r="G42" s="1">
        <v>117.163</v>
      </c>
      <c r="H42" s="1">
        <v>1888.06</v>
      </c>
      <c r="I42" s="1">
        <v>448.36099999999999</v>
      </c>
      <c r="J42" s="1">
        <v>527.40099999999995</v>
      </c>
      <c r="K42" s="1">
        <v>5</v>
      </c>
      <c r="L42" s="1">
        <v>0</v>
      </c>
      <c r="M42" s="1">
        <f>C42*$S$18*1000</f>
        <v>0</v>
      </c>
      <c r="N42" s="1">
        <f>$S$19*C42</f>
        <v>53</v>
      </c>
      <c r="O42" s="4">
        <f t="shared" si="4"/>
        <v>1.4915712154898262E-2</v>
      </c>
      <c r="P42" s="4">
        <f t="shared" si="0"/>
        <v>1325</v>
      </c>
      <c r="Q42" s="4"/>
      <c r="R42" s="65" t="s">
        <v>251</v>
      </c>
      <c r="S42" s="1" t="s">
        <v>252</v>
      </c>
      <c r="T42" s="30"/>
      <c r="U42" s="4"/>
      <c r="V42" s="1">
        <v>269.17599999999999</v>
      </c>
      <c r="W42" s="1">
        <f t="shared" si="5"/>
        <v>269.17599999999999</v>
      </c>
      <c r="X42" s="1">
        <f t="shared" si="1"/>
        <v>6729.4</v>
      </c>
      <c r="Y42" s="1">
        <f t="shared" si="6"/>
        <v>6729.4</v>
      </c>
      <c r="Z42" s="1">
        <f t="shared" si="2"/>
        <v>1.4915712154898262E-2</v>
      </c>
      <c r="AA42" s="1">
        <f t="shared" si="3"/>
        <v>1.4915712154898262E-2</v>
      </c>
      <c r="AB42" s="1"/>
      <c r="AC42" s="1"/>
      <c r="AD42" s="1">
        <f t="shared" si="23"/>
        <v>4</v>
      </c>
      <c r="AE42">
        <f t="shared" si="24"/>
        <v>5518.0024700000031</v>
      </c>
      <c r="AF42">
        <f t="shared" si="25"/>
        <v>17122.009880000012</v>
      </c>
      <c r="AG42">
        <f t="shared" si="19"/>
        <v>4354.3201269096262</v>
      </c>
      <c r="AH42">
        <f t="shared" si="21"/>
        <v>14126.759722793076</v>
      </c>
      <c r="AI42">
        <f t="shared" si="22"/>
        <v>6090.8422568865917</v>
      </c>
      <c r="AJ42">
        <f t="shared" si="20"/>
        <v>4806.3546859907301</v>
      </c>
      <c r="AK42">
        <f t="shared" si="26"/>
        <v>15312.193850264008</v>
      </c>
      <c r="AW42">
        <f t="shared" si="10"/>
        <v>2.412672475031981E-3</v>
      </c>
      <c r="AX42">
        <f t="shared" si="11"/>
        <v>514.45067046071654</v>
      </c>
      <c r="AY42">
        <f t="shared" si="12"/>
        <v>565.89573750678824</v>
      </c>
      <c r="AZ42">
        <f t="shared" si="13"/>
        <v>51.445067046071699</v>
      </c>
    </row>
    <row r="43" spans="1:52" ht="29" x14ac:dyDescent="0.35">
      <c r="A43" s="1">
        <v>42</v>
      </c>
      <c r="B43" s="62">
        <v>1220.838737866377</v>
      </c>
      <c r="C43" s="62">
        <v>2</v>
      </c>
      <c r="D43" s="62">
        <v>3553.3</v>
      </c>
      <c r="E43" s="62">
        <v>1220.8399999999999</v>
      </c>
      <c r="F43" s="62">
        <v>1565.05</v>
      </c>
      <c r="G43" s="62">
        <v>159.86699999999999</v>
      </c>
      <c r="H43" s="62">
        <v>1546.75</v>
      </c>
      <c r="I43" s="62">
        <v>497.50700000000001</v>
      </c>
      <c r="J43" s="62">
        <v>659.64099999999996</v>
      </c>
      <c r="K43" s="62">
        <v>5</v>
      </c>
      <c r="L43" s="62">
        <v>2</v>
      </c>
      <c r="M43" s="62">
        <f>(C43*$S$18*1000)+S30</f>
        <v>0</v>
      </c>
      <c r="N43" s="62">
        <f>$S$38*C43</f>
        <v>71.2</v>
      </c>
      <c r="O43" s="56">
        <f t="shared" si="4"/>
        <v>2.0037711423184081E-2</v>
      </c>
      <c r="P43" s="56">
        <f t="shared" si="0"/>
        <v>1780</v>
      </c>
      <c r="Q43" s="56"/>
      <c r="R43" s="65" t="s">
        <v>262</v>
      </c>
      <c r="S43" s="1">
        <v>7.0000000000000007E-2</v>
      </c>
      <c r="T43" s="30"/>
      <c r="U43" s="56"/>
      <c r="V43" s="1">
        <v>269.30700000000002</v>
      </c>
      <c r="W43" s="1">
        <f t="shared" si="5"/>
        <v>269.30700000000002</v>
      </c>
      <c r="X43" s="1">
        <f t="shared" si="1"/>
        <v>6732.6750000000002</v>
      </c>
      <c r="Y43" s="1">
        <f t="shared" si="6"/>
        <v>6732.6750000000002</v>
      </c>
      <c r="Z43" s="1">
        <f t="shared" si="2"/>
        <v>2.0037711423184081E-2</v>
      </c>
      <c r="AA43" s="1">
        <f t="shared" si="3"/>
        <v>2.0037711423184081E-2</v>
      </c>
      <c r="AB43" s="1"/>
      <c r="AC43" s="6" t="s">
        <v>328</v>
      </c>
      <c r="AD43" s="1">
        <f t="shared" si="23"/>
        <v>5</v>
      </c>
      <c r="AE43">
        <f t="shared" si="24"/>
        <v>5518.0024700000031</v>
      </c>
      <c r="AF43">
        <f t="shared" si="25"/>
        <v>22640.012350000015</v>
      </c>
      <c r="AG43">
        <f t="shared" si="19"/>
        <v>4103.9774994435684</v>
      </c>
      <c r="AH43">
        <f t="shared" si="21"/>
        <v>18230.737222236647</v>
      </c>
      <c r="AI43">
        <f t="shared" si="22"/>
        <v>6243.113313308756</v>
      </c>
      <c r="AJ43">
        <f t="shared" si="20"/>
        <v>4643.2738483887824</v>
      </c>
      <c r="AK43">
        <f t="shared" si="26"/>
        <v>19955.467698652792</v>
      </c>
      <c r="AW43">
        <f t="shared" si="10"/>
        <v>3.018651199769655E-3</v>
      </c>
      <c r="AX43">
        <f t="shared" si="11"/>
        <v>643.66263953334999</v>
      </c>
      <c r="AY43">
        <f t="shared" si="12"/>
        <v>708.02890348668507</v>
      </c>
      <c r="AZ43">
        <f t="shared" si="13"/>
        <v>64.366263953335078</v>
      </c>
    </row>
    <row r="44" spans="1:52" x14ac:dyDescent="0.35">
      <c r="A44" s="1">
        <v>43</v>
      </c>
      <c r="B44" s="62">
        <v>3438.0361146713012</v>
      </c>
      <c r="C44" s="62">
        <v>10</v>
      </c>
      <c r="D44" s="62">
        <v>17766.5</v>
      </c>
      <c r="E44" s="62">
        <v>3438.04</v>
      </c>
      <c r="F44" s="62">
        <v>8491</v>
      </c>
      <c r="G44" s="62">
        <v>881.13699999999994</v>
      </c>
      <c r="H44" s="62">
        <v>7948</v>
      </c>
      <c r="I44" s="62">
        <v>1634.71</v>
      </c>
      <c r="J44" s="62">
        <v>1636.63</v>
      </c>
      <c r="K44" s="62">
        <v>25</v>
      </c>
      <c r="L44" s="62">
        <v>9.6999999999999993</v>
      </c>
      <c r="M44" s="62">
        <f>(C44*$S$18*1000)+S35</f>
        <v>0</v>
      </c>
      <c r="N44" s="62">
        <f>$S$38*C44</f>
        <v>356</v>
      </c>
      <c r="O44" s="56">
        <f t="shared" si="4"/>
        <v>2.0037711423184081E-2</v>
      </c>
      <c r="P44" s="56">
        <f t="shared" si="0"/>
        <v>8900</v>
      </c>
      <c r="Q44" s="56"/>
      <c r="R44" s="65" t="s">
        <v>263</v>
      </c>
      <c r="S44" s="1">
        <v>2.5000000000000001E-2</v>
      </c>
      <c r="T44" s="46"/>
      <c r="U44" s="56"/>
      <c r="V44" s="1">
        <v>1572.32</v>
      </c>
      <c r="W44" s="1">
        <f t="shared" si="5"/>
        <v>1572.32</v>
      </c>
      <c r="X44" s="1">
        <f t="shared" si="1"/>
        <v>39308</v>
      </c>
      <c r="Y44" s="1">
        <f t="shared" si="6"/>
        <v>39308</v>
      </c>
      <c r="Z44" s="1">
        <f t="shared" si="2"/>
        <v>2.0037711423184081E-2</v>
      </c>
      <c r="AA44" s="1">
        <f t="shared" si="3"/>
        <v>2.0037711423184081E-2</v>
      </c>
      <c r="AB44" s="1"/>
      <c r="AC44" s="1">
        <f>H110</f>
        <v>5518.0024700000031</v>
      </c>
      <c r="AD44" s="1">
        <f t="shared" si="23"/>
        <v>6</v>
      </c>
      <c r="AE44">
        <f t="shared" si="24"/>
        <v>5518.0024700000031</v>
      </c>
      <c r="AF44">
        <f t="shared" si="25"/>
        <v>28158.014820000019</v>
      </c>
      <c r="AG44">
        <f t="shared" si="19"/>
        <v>3868.0278034340886</v>
      </c>
      <c r="AH44">
        <f t="shared" si="21"/>
        <v>22098.765025670735</v>
      </c>
      <c r="AI44">
        <f t="shared" si="22"/>
        <v>6399.1911461414747</v>
      </c>
      <c r="AJ44">
        <f t="shared" si="20"/>
        <v>4485.7263851069756</v>
      </c>
      <c r="AK44">
        <f t="shared" si="26"/>
        <v>24441.194083759769</v>
      </c>
      <c r="AW44">
        <f t="shared" si="10"/>
        <v>8.5009031254542674E-3</v>
      </c>
      <c r="AX44">
        <f t="shared" si="11"/>
        <v>1812.6353069757545</v>
      </c>
      <c r="AY44">
        <f t="shared" si="12"/>
        <v>1993.89883767333</v>
      </c>
      <c r="AZ44">
        <f t="shared" si="13"/>
        <v>181.26353069757556</v>
      </c>
    </row>
    <row r="45" spans="1:52" x14ac:dyDescent="0.35">
      <c r="A45" s="1">
        <v>44</v>
      </c>
      <c r="B45" s="1">
        <v>1279.200878938675</v>
      </c>
      <c r="C45" s="1">
        <v>2</v>
      </c>
      <c r="D45" s="1">
        <v>3553.3</v>
      </c>
      <c r="E45" s="1">
        <v>1279.2</v>
      </c>
      <c r="F45" s="1">
        <v>1135.29</v>
      </c>
      <c r="G45" s="1">
        <v>107.304</v>
      </c>
      <c r="H45" s="1">
        <v>1864.24</v>
      </c>
      <c r="I45" s="1">
        <v>553.76199999999994</v>
      </c>
      <c r="J45" s="1">
        <v>725.43899999999996</v>
      </c>
      <c r="K45" s="1">
        <v>5</v>
      </c>
      <c r="L45" s="1">
        <v>0</v>
      </c>
      <c r="M45" s="1">
        <f>C45*$S$18*1000</f>
        <v>0</v>
      </c>
      <c r="N45" s="1">
        <f>$S$19*C45</f>
        <v>53</v>
      </c>
      <c r="O45" s="4">
        <f t="shared" si="4"/>
        <v>1.4915712154898262E-2</v>
      </c>
      <c r="P45" s="4">
        <f t="shared" si="0"/>
        <v>1325</v>
      </c>
      <c r="Q45" s="4"/>
      <c r="R45" s="63"/>
      <c r="S45" s="4"/>
      <c r="T45" s="30"/>
      <c r="U45" s="4"/>
      <c r="V45" s="1">
        <v>242.89599999999999</v>
      </c>
      <c r="W45" s="1">
        <f t="shared" si="5"/>
        <v>242.89599999999999</v>
      </c>
      <c r="X45" s="1">
        <f t="shared" si="1"/>
        <v>6072.4</v>
      </c>
      <c r="Y45" s="1">
        <f>X45-M45</f>
        <v>6072.4</v>
      </c>
      <c r="Z45" s="1">
        <f t="shared" si="2"/>
        <v>1.4915712154898262E-2</v>
      </c>
      <c r="AA45" s="1">
        <f t="shared" si="3"/>
        <v>1.4915712154898262E-2</v>
      </c>
      <c r="AB45" s="1"/>
      <c r="AC45" s="1"/>
      <c r="AD45" s="1">
        <f t="shared" si="23"/>
        <v>7</v>
      </c>
      <c r="AE45">
        <f t="shared" si="24"/>
        <v>5518.0024700000031</v>
      </c>
      <c r="AF45">
        <f t="shared" si="25"/>
        <v>33676.017290000018</v>
      </c>
      <c r="AG45">
        <f t="shared" si="19"/>
        <v>3645.6435470632323</v>
      </c>
      <c r="AH45">
        <f t="shared" si="21"/>
        <v>25744.408572733966</v>
      </c>
      <c r="AI45">
        <f t="shared" si="22"/>
        <v>6559.1709247950121</v>
      </c>
      <c r="AJ45">
        <f t="shared" si="20"/>
        <v>4333.5245473465138</v>
      </c>
      <c r="AK45">
        <f t="shared" si="26"/>
        <v>28774.718631106283</v>
      </c>
      <c r="AW45">
        <f t="shared" si="10"/>
        <v>3.1629576848971781E-3</v>
      </c>
      <c r="AX45">
        <f t="shared" si="11"/>
        <v>674.43290312857732</v>
      </c>
      <c r="AY45">
        <f t="shared" si="12"/>
        <v>741.87619344143513</v>
      </c>
      <c r="AZ45">
        <f t="shared" si="13"/>
        <v>67.443290312857812</v>
      </c>
    </row>
    <row r="46" spans="1:52" x14ac:dyDescent="0.35">
      <c r="A46" s="62">
        <v>45</v>
      </c>
      <c r="B46" s="62">
        <v>3266.9511427123548</v>
      </c>
      <c r="C46" s="62">
        <v>2</v>
      </c>
      <c r="D46" s="62">
        <v>3553.3</v>
      </c>
      <c r="E46" s="62">
        <v>3266.95</v>
      </c>
      <c r="F46" s="62">
        <v>1185.51</v>
      </c>
      <c r="G46" s="62">
        <v>112.761</v>
      </c>
      <c r="H46" s="62">
        <v>1014.2</v>
      </c>
      <c r="I46" s="62">
        <v>1335.02</v>
      </c>
      <c r="J46" s="62">
        <v>888.14800000000002</v>
      </c>
      <c r="K46" s="62">
        <v>5</v>
      </c>
      <c r="L46" s="62">
        <v>4.2</v>
      </c>
      <c r="M46" s="62">
        <f>(C46*$S$18*1000)+S32</f>
        <v>0</v>
      </c>
      <c r="N46" s="62">
        <f>$S$38*C46</f>
        <v>71.2</v>
      </c>
      <c r="O46" s="56">
        <f t="shared" si="4"/>
        <v>2.0037711423184081E-2</v>
      </c>
      <c r="P46" s="56">
        <f t="shared" si="0"/>
        <v>1780</v>
      </c>
      <c r="Q46" s="4"/>
      <c r="R46" s="63"/>
      <c r="S46" s="4"/>
      <c r="T46" s="30"/>
      <c r="U46" s="56"/>
      <c r="V46" s="1">
        <v>270.36200000000002</v>
      </c>
      <c r="W46" s="1">
        <f t="shared" si="5"/>
        <v>270.36200000000002</v>
      </c>
      <c r="X46" s="1">
        <f t="shared" si="1"/>
        <v>6759.05</v>
      </c>
      <c r="Y46" s="1">
        <f t="shared" si="6"/>
        <v>6759.05</v>
      </c>
      <c r="Z46" s="1">
        <f t="shared" si="2"/>
        <v>2.0037711423184081E-2</v>
      </c>
      <c r="AA46" s="1">
        <f t="shared" si="3"/>
        <v>2.0037711423184081E-2</v>
      </c>
      <c r="AB46" s="1"/>
      <c r="AC46" s="1"/>
      <c r="AD46" s="1">
        <f t="shared" si="23"/>
        <v>8</v>
      </c>
      <c r="AE46">
        <f t="shared" si="24"/>
        <v>5518.0024700000031</v>
      </c>
      <c r="AF46">
        <f t="shared" si="25"/>
        <v>39194.019760000025</v>
      </c>
      <c r="AG46">
        <f t="shared" si="19"/>
        <v>3436.0448134431972</v>
      </c>
      <c r="AH46">
        <f t="shared" si="21"/>
        <v>29180.453386177163</v>
      </c>
      <c r="AI46">
        <f t="shared" si="22"/>
        <v>6723.1501979148861</v>
      </c>
      <c r="AJ46">
        <f t="shared" si="20"/>
        <v>4186.4869566731159</v>
      </c>
      <c r="AK46">
        <f t="shared" si="26"/>
        <v>32961.205587779397</v>
      </c>
      <c r="AW46" s="79">
        <f t="shared" si="10"/>
        <v>8.0778776759432135E-3</v>
      </c>
      <c r="AX46" s="79">
        <f t="shared" si="11"/>
        <v>1722.4342007853991</v>
      </c>
      <c r="AY46" s="79">
        <f t="shared" si="12"/>
        <v>1894.6776208639392</v>
      </c>
      <c r="AZ46" s="79">
        <f t="shared" si="13"/>
        <v>172.24342007854011</v>
      </c>
    </row>
    <row r="47" spans="1:52" x14ac:dyDescent="0.35">
      <c r="A47" s="70">
        <v>46</v>
      </c>
      <c r="B47" s="70">
        <v>1763.99702425654</v>
      </c>
      <c r="C47" s="70">
        <v>0</v>
      </c>
      <c r="D47" s="70"/>
      <c r="E47" s="70">
        <v>1764</v>
      </c>
      <c r="F47" s="70"/>
      <c r="G47" s="70"/>
      <c r="H47" s="70"/>
      <c r="I47" s="70"/>
      <c r="J47" s="70"/>
      <c r="K47" s="70">
        <v>0</v>
      </c>
      <c r="L47" s="70">
        <v>0</v>
      </c>
      <c r="M47" s="71">
        <f t="shared" ref="M47:M100" si="27">$S$18*C47*1000</f>
        <v>0</v>
      </c>
      <c r="N47" s="71">
        <f t="shared" ref="N47:O78" si="28">$S$19*C47</f>
        <v>0</v>
      </c>
      <c r="O47" s="71">
        <f t="shared" si="28"/>
        <v>0</v>
      </c>
      <c r="P47" s="71">
        <f t="shared" ref="P47:P100" si="29">$S$19*K47</f>
        <v>0</v>
      </c>
      <c r="Q47" s="71"/>
      <c r="R47" s="50" t="s">
        <v>49</v>
      </c>
      <c r="S47" s="4">
        <v>25</v>
      </c>
      <c r="T47" s="30"/>
      <c r="U47" s="71"/>
      <c r="V47" s="70">
        <v>36.3322</v>
      </c>
      <c r="W47" s="70">
        <f t="shared" si="5"/>
        <v>36.3322</v>
      </c>
      <c r="X47" s="70">
        <f t="shared" si="1"/>
        <v>908.30500000000006</v>
      </c>
      <c r="Y47" s="70">
        <f t="shared" si="6"/>
        <v>908.30500000000006</v>
      </c>
      <c r="Z47" s="70">
        <f t="shared" si="2"/>
        <v>0</v>
      </c>
      <c r="AA47" s="70">
        <f t="shared" si="3"/>
        <v>0</v>
      </c>
      <c r="AB47" s="4"/>
      <c r="AC47" s="1"/>
      <c r="AD47" s="1">
        <f t="shared" si="23"/>
        <v>9</v>
      </c>
      <c r="AE47">
        <f t="shared" si="24"/>
        <v>5518.0024700000031</v>
      </c>
      <c r="AF47">
        <f t="shared" si="25"/>
        <v>44712.022230000031</v>
      </c>
      <c r="AG47">
        <f t="shared" si="19"/>
        <v>3238.4965253941541</v>
      </c>
      <c r="AH47">
        <f t="shared" si="21"/>
        <v>32418.949911571319</v>
      </c>
      <c r="AI47">
        <f t="shared" si="22"/>
        <v>6891.2289528627571</v>
      </c>
      <c r="AJ47">
        <f t="shared" si="20"/>
        <v>4044.4383888689381</v>
      </c>
      <c r="AK47">
        <f t="shared" si="26"/>
        <v>37005.643976648338</v>
      </c>
      <c r="AW47">
        <f t="shared" si="10"/>
        <v>4.3616667529474519E-3</v>
      </c>
      <c r="AX47">
        <f>AW47*$AV$2</f>
        <v>930.03190801946278</v>
      </c>
      <c r="AY47">
        <f t="shared" ref="AY47:AY103" si="30">AW47*$AV$10</f>
        <v>503.41008818665983</v>
      </c>
      <c r="AZ47">
        <f>AX47-AY47</f>
        <v>426.62181983280294</v>
      </c>
    </row>
    <row r="48" spans="1:52" x14ac:dyDescent="0.35">
      <c r="A48" s="1">
        <v>47</v>
      </c>
      <c r="B48" s="1">
        <v>2322.9032263370332</v>
      </c>
      <c r="C48" s="1">
        <v>0</v>
      </c>
      <c r="D48" s="1"/>
      <c r="E48" s="1">
        <v>2322.9</v>
      </c>
      <c r="F48" s="1"/>
      <c r="G48" s="1"/>
      <c r="H48" s="1"/>
      <c r="I48" s="1"/>
      <c r="J48" s="1"/>
      <c r="K48" s="1">
        <v>0</v>
      </c>
      <c r="L48" s="1">
        <v>0</v>
      </c>
      <c r="M48" s="4">
        <f t="shared" si="27"/>
        <v>0</v>
      </c>
      <c r="N48" s="4">
        <f t="shared" si="28"/>
        <v>0</v>
      </c>
      <c r="O48" s="4">
        <f t="shared" si="28"/>
        <v>0</v>
      </c>
      <c r="P48" s="4">
        <f t="shared" si="29"/>
        <v>0</v>
      </c>
      <c r="Q48" s="4"/>
      <c r="R48" s="65"/>
      <c r="S48" s="4"/>
      <c r="T48" s="46"/>
      <c r="U48" s="4"/>
      <c r="V48" s="1">
        <v>48.805199999999999</v>
      </c>
      <c r="W48" s="1">
        <f>V48-M48</f>
        <v>48.805199999999999</v>
      </c>
      <c r="X48" s="1">
        <f t="shared" si="1"/>
        <v>1220.1299999999999</v>
      </c>
      <c r="Y48" s="1">
        <f t="shared" si="6"/>
        <v>1220.1299999999999</v>
      </c>
      <c r="Z48" s="1">
        <f t="shared" si="2"/>
        <v>0</v>
      </c>
      <c r="AA48" s="1">
        <f t="shared" si="3"/>
        <v>0</v>
      </c>
      <c r="AB48" s="4"/>
      <c r="AC48" s="1"/>
      <c r="AD48" s="1">
        <f t="shared" si="23"/>
        <v>10</v>
      </c>
      <c r="AE48">
        <f t="shared" si="24"/>
        <v>5518.0024700000031</v>
      </c>
      <c r="AF48">
        <f t="shared" si="25"/>
        <v>50230.024700000038</v>
      </c>
      <c r="AG48">
        <f t="shared" si="19"/>
        <v>3052.3058674779959</v>
      </c>
      <c r="AH48">
        <f t="shared" si="21"/>
        <v>35471.255779049316</v>
      </c>
      <c r="AI48">
        <f t="shared" si="22"/>
        <v>7063.5096766843262</v>
      </c>
      <c r="AJ48">
        <f t="shared" si="20"/>
        <v>3907.2095651184368</v>
      </c>
      <c r="AK48">
        <f t="shared" si="26"/>
        <v>40912.853541766774</v>
      </c>
      <c r="AW48">
        <f t="shared" si="10"/>
        <v>5.7436206712983317E-3</v>
      </c>
      <c r="AX48">
        <f t="shared" si="11"/>
        <v>1224.7039479249208</v>
      </c>
      <c r="AY48">
        <f t="shared" si="30"/>
        <v>662.91093575526315</v>
      </c>
      <c r="AZ48">
        <f t="shared" ref="AZ48:AZ102" si="31">AX48-AY48</f>
        <v>561.79301216965769</v>
      </c>
    </row>
    <row r="49" spans="1:52" x14ac:dyDescent="0.35">
      <c r="A49" s="1">
        <v>48</v>
      </c>
      <c r="B49" s="1">
        <v>1052.7350255677291</v>
      </c>
      <c r="C49" s="1">
        <v>0</v>
      </c>
      <c r="D49" s="1"/>
      <c r="E49" s="1">
        <v>1052.74</v>
      </c>
      <c r="F49" s="1"/>
      <c r="G49" s="1"/>
      <c r="H49" s="1"/>
      <c r="I49" s="1"/>
      <c r="J49" s="1"/>
      <c r="K49" s="1">
        <v>0</v>
      </c>
      <c r="L49" s="1">
        <v>0</v>
      </c>
      <c r="M49" s="4">
        <f t="shared" si="27"/>
        <v>0</v>
      </c>
      <c r="N49" s="4">
        <f t="shared" si="28"/>
        <v>0</v>
      </c>
      <c r="O49" s="4">
        <f t="shared" si="28"/>
        <v>0</v>
      </c>
      <c r="P49" s="4">
        <f t="shared" si="29"/>
        <v>0</v>
      </c>
      <c r="Q49" s="4"/>
      <c r="R49" s="63"/>
      <c r="S49" s="4"/>
      <c r="T49" s="46"/>
      <c r="U49" s="4"/>
      <c r="V49" s="1">
        <v>22.118400000000001</v>
      </c>
      <c r="W49" s="1">
        <f t="shared" si="5"/>
        <v>22.118400000000001</v>
      </c>
      <c r="X49" s="1">
        <f t="shared" si="1"/>
        <v>552.96</v>
      </c>
      <c r="Y49" s="1">
        <f t="shared" si="6"/>
        <v>552.96</v>
      </c>
      <c r="Z49" s="1">
        <f t="shared" si="2"/>
        <v>0</v>
      </c>
      <c r="AA49" s="1">
        <f t="shared" si="3"/>
        <v>0</v>
      </c>
      <c r="AB49" s="4"/>
      <c r="AC49" s="1"/>
      <c r="AD49" s="1">
        <f t="shared" si="23"/>
        <v>11</v>
      </c>
      <c r="AE49">
        <f t="shared" si="24"/>
        <v>5518.0024700000031</v>
      </c>
      <c r="AF49">
        <f t="shared" si="25"/>
        <v>55748.027170000045</v>
      </c>
      <c r="AG49">
        <f t="shared" si="19"/>
        <v>2876.8198562469338</v>
      </c>
      <c r="AH49">
        <f t="shared" si="21"/>
        <v>38348.075635296249</v>
      </c>
      <c r="AI49">
        <f t="shared" si="22"/>
        <v>7240.0974186014346</v>
      </c>
      <c r="AJ49">
        <f t="shared" si="20"/>
        <v>3774.6369502793577</v>
      </c>
      <c r="AK49">
        <f t="shared" si="26"/>
        <v>44687.490492046134</v>
      </c>
      <c r="AW49">
        <f t="shared" si="10"/>
        <v>2.602997225926316E-3</v>
      </c>
      <c r="AX49">
        <f t="shared" si="11"/>
        <v>555.03334246287534</v>
      </c>
      <c r="AY49">
        <f t="shared" si="30"/>
        <v>300.42989005698223</v>
      </c>
      <c r="AZ49">
        <f t="shared" si="31"/>
        <v>254.60345240589311</v>
      </c>
    </row>
    <row r="50" spans="1:52" x14ac:dyDescent="0.35">
      <c r="A50" s="1">
        <v>49</v>
      </c>
      <c r="B50" s="1">
        <v>2650.8063291642311</v>
      </c>
      <c r="C50" s="1">
        <v>0</v>
      </c>
      <c r="D50" s="1"/>
      <c r="E50" s="1">
        <v>2650.81</v>
      </c>
      <c r="F50" s="1"/>
      <c r="G50" s="1"/>
      <c r="H50" s="1"/>
      <c r="I50" s="1"/>
      <c r="J50" s="1"/>
      <c r="K50" s="1">
        <v>0</v>
      </c>
      <c r="L50" s="1">
        <v>0</v>
      </c>
      <c r="M50" s="4">
        <f t="shared" si="27"/>
        <v>0</v>
      </c>
      <c r="N50" s="4">
        <f t="shared" si="28"/>
        <v>0</v>
      </c>
      <c r="O50" s="4">
        <f t="shared" si="28"/>
        <v>0</v>
      </c>
      <c r="P50" s="4">
        <f t="shared" si="29"/>
        <v>0</v>
      </c>
      <c r="Q50" s="4"/>
      <c r="R50" s="50" t="s">
        <v>280</v>
      </c>
      <c r="S50" s="1">
        <f>1+((1-(1+$S$20)^(1-$S$47))/$S$20)</f>
        <v>13.43521330378282</v>
      </c>
      <c r="T50" s="46"/>
      <c r="U50" s="4"/>
      <c r="V50" s="4">
        <v>53.152200000000001</v>
      </c>
      <c r="W50" s="1">
        <f t="shared" si="5"/>
        <v>53.152200000000001</v>
      </c>
      <c r="X50" s="1">
        <f t="shared" si="1"/>
        <v>1328.8050000000001</v>
      </c>
      <c r="Y50" s="1">
        <f t="shared" si="6"/>
        <v>1328.8050000000001</v>
      </c>
      <c r="Z50" s="1">
        <f t="shared" si="2"/>
        <v>0</v>
      </c>
      <c r="AA50" s="1">
        <f t="shared" si="3"/>
        <v>0</v>
      </c>
      <c r="AB50" s="4"/>
      <c r="AC50" s="1"/>
      <c r="AD50" s="1">
        <f t="shared" si="23"/>
        <v>12</v>
      </c>
      <c r="AE50">
        <f t="shared" si="24"/>
        <v>5518.0024700000031</v>
      </c>
      <c r="AF50">
        <f t="shared" si="25"/>
        <v>61266.029640000052</v>
      </c>
      <c r="AG50">
        <f t="shared" si="19"/>
        <v>2711.4230501856114</v>
      </c>
      <c r="AH50">
        <f t="shared" si="21"/>
        <v>41059.498685481864</v>
      </c>
      <c r="AI50">
        <f t="shared" si="22"/>
        <v>7421.0998540664696</v>
      </c>
      <c r="AJ50">
        <f t="shared" si="20"/>
        <v>3646.5625579984367</v>
      </c>
      <c r="AK50">
        <f t="shared" si="26"/>
        <v>48334.053050044567</v>
      </c>
      <c r="AW50">
        <f t="shared" si="10"/>
        <v>6.554395316676476E-3</v>
      </c>
      <c r="AX50">
        <f t="shared" si="11"/>
        <v>1397.5842556433597</v>
      </c>
      <c r="AY50">
        <f t="shared" si="30"/>
        <v>756.48803800717303</v>
      </c>
      <c r="AZ50">
        <f t="shared" si="31"/>
        <v>641.09621763618668</v>
      </c>
    </row>
    <row r="51" spans="1:52" x14ac:dyDescent="0.35">
      <c r="A51" s="1">
        <v>50</v>
      </c>
      <c r="B51" s="1">
        <v>2336.365059758562</v>
      </c>
      <c r="C51" s="1">
        <v>0</v>
      </c>
      <c r="D51" s="1"/>
      <c r="E51" s="1">
        <v>2336.37</v>
      </c>
      <c r="F51" s="1"/>
      <c r="G51" s="1"/>
      <c r="H51" s="1"/>
      <c r="I51" s="1"/>
      <c r="J51" s="1"/>
      <c r="K51" s="1">
        <v>0</v>
      </c>
      <c r="L51" s="1">
        <v>0</v>
      </c>
      <c r="M51" s="4">
        <f t="shared" si="27"/>
        <v>0</v>
      </c>
      <c r="N51" s="4">
        <f t="shared" si="28"/>
        <v>0</v>
      </c>
      <c r="O51" s="4">
        <f t="shared" si="28"/>
        <v>0</v>
      </c>
      <c r="P51" s="4">
        <f t="shared" si="29"/>
        <v>0</v>
      </c>
      <c r="Q51" s="4"/>
      <c r="R51" s="63"/>
      <c r="S51" s="4"/>
      <c r="T51" s="46"/>
      <c r="U51" s="4"/>
      <c r="V51" s="4">
        <v>49.088000000000001</v>
      </c>
      <c r="W51" s="1">
        <f t="shared" si="5"/>
        <v>49.088000000000001</v>
      </c>
      <c r="X51" s="1">
        <f t="shared" si="1"/>
        <v>1227.2</v>
      </c>
      <c r="Y51" s="1">
        <f t="shared" si="6"/>
        <v>1227.2</v>
      </c>
      <c r="Z51" s="1">
        <f t="shared" si="2"/>
        <v>0</v>
      </c>
      <c r="AA51" s="1">
        <f t="shared" si="3"/>
        <v>0</v>
      </c>
      <c r="AB51" s="4"/>
      <c r="AC51" s="1"/>
      <c r="AD51" s="1">
        <f t="shared" si="23"/>
        <v>13</v>
      </c>
      <c r="AE51">
        <f t="shared" si="24"/>
        <v>5518.0024700000031</v>
      </c>
      <c r="AF51">
        <f t="shared" si="25"/>
        <v>66784.032110000058</v>
      </c>
      <c r="AG51">
        <f t="shared" si="19"/>
        <v>2555.5353913153735</v>
      </c>
      <c r="AH51">
        <f t="shared" si="21"/>
        <v>43615.034076797238</v>
      </c>
      <c r="AI51">
        <f t="shared" si="22"/>
        <v>7606.6273504181308</v>
      </c>
      <c r="AJ51">
        <f t="shared" si="20"/>
        <v>3522.8337624395822</v>
      </c>
      <c r="AK51">
        <f t="shared" si="26"/>
        <v>51856.886812484147</v>
      </c>
      <c r="AW51">
        <f t="shared" si="10"/>
        <v>5.7769064594606701E-3</v>
      </c>
      <c r="AX51">
        <f t="shared" si="11"/>
        <v>1231.8014285047088</v>
      </c>
      <c r="AY51">
        <f t="shared" si="30"/>
        <v>666.75267848878173</v>
      </c>
      <c r="AZ51">
        <f t="shared" si="31"/>
        <v>565.04875001592711</v>
      </c>
    </row>
    <row r="52" spans="1:52" ht="15" thickBot="1" x14ac:dyDescent="0.4">
      <c r="A52" s="1">
        <v>51</v>
      </c>
      <c r="B52" s="1">
        <v>586.05584352134008</v>
      </c>
      <c r="C52" s="1">
        <v>0</v>
      </c>
      <c r="D52" s="1"/>
      <c r="E52" s="1">
        <v>586.05600000000004</v>
      </c>
      <c r="F52" s="1"/>
      <c r="G52" s="1"/>
      <c r="H52" s="1"/>
      <c r="I52" s="1"/>
      <c r="J52" s="1"/>
      <c r="K52" s="1">
        <v>0</v>
      </c>
      <c r="L52" s="1">
        <v>0</v>
      </c>
      <c r="M52" s="4">
        <f t="shared" si="27"/>
        <v>0</v>
      </c>
      <c r="N52" s="4">
        <f t="shared" si="28"/>
        <v>0</v>
      </c>
      <c r="O52" s="4">
        <f t="shared" si="28"/>
        <v>0</v>
      </c>
      <c r="P52" s="4">
        <f t="shared" si="29"/>
        <v>0</v>
      </c>
      <c r="Q52" s="4"/>
      <c r="R52" s="66"/>
      <c r="S52" s="52"/>
      <c r="T52" s="53"/>
      <c r="U52" s="4"/>
      <c r="V52" s="4">
        <v>11.751200000000001</v>
      </c>
      <c r="W52" s="1">
        <f t="shared" si="5"/>
        <v>11.751200000000001</v>
      </c>
      <c r="X52" s="1">
        <f t="shared" si="1"/>
        <v>293.78000000000003</v>
      </c>
      <c r="Y52" s="1">
        <f t="shared" si="6"/>
        <v>293.78000000000003</v>
      </c>
      <c r="Z52" s="1">
        <f t="shared" si="2"/>
        <v>0</v>
      </c>
      <c r="AA52" s="1">
        <f t="shared" si="3"/>
        <v>0</v>
      </c>
      <c r="AB52" s="4"/>
      <c r="AC52" s="1" t="s">
        <v>6</v>
      </c>
      <c r="AD52" s="1">
        <f t="shared" si="23"/>
        <v>14</v>
      </c>
      <c r="AE52">
        <f t="shared" si="24"/>
        <v>5518.0024700000031</v>
      </c>
      <c r="AF52">
        <f t="shared" si="25"/>
        <v>72302.034580000065</v>
      </c>
      <c r="AG52">
        <f t="shared" si="19"/>
        <v>2408.6101708910214</v>
      </c>
      <c r="AH52">
        <f t="shared" si="21"/>
        <v>46023.644247688258</v>
      </c>
      <c r="AI52">
        <f t="shared" si="22"/>
        <v>7796.7930341785832</v>
      </c>
      <c r="AJ52">
        <f t="shared" si="20"/>
        <v>3403.3031164001618</v>
      </c>
      <c r="AK52">
        <f t="shared" si="26"/>
        <v>55260.189928884305</v>
      </c>
      <c r="AW52">
        <f t="shared" si="10"/>
        <v>1.4490842404538294E-3</v>
      </c>
      <c r="AX52">
        <f t="shared" si="11"/>
        <v>308.9861416210872</v>
      </c>
      <c r="AY52">
        <f t="shared" si="30"/>
        <v>167.24882174544936</v>
      </c>
      <c r="AZ52">
        <f t="shared" si="31"/>
        <v>141.73731987563784</v>
      </c>
    </row>
    <row r="53" spans="1:52" x14ac:dyDescent="0.35">
      <c r="A53" s="1">
        <v>52</v>
      </c>
      <c r="B53" s="1">
        <v>5329.6971333659421</v>
      </c>
      <c r="C53" s="1">
        <v>0</v>
      </c>
      <c r="D53" s="1"/>
      <c r="E53" s="1">
        <v>5329.7</v>
      </c>
      <c r="F53" s="1"/>
      <c r="G53" s="1"/>
      <c r="H53" s="1"/>
      <c r="I53" s="1"/>
      <c r="J53" s="1"/>
      <c r="K53" s="1">
        <v>0</v>
      </c>
      <c r="L53" s="1">
        <v>0</v>
      </c>
      <c r="M53" s="4">
        <f t="shared" si="27"/>
        <v>0</v>
      </c>
      <c r="N53" s="4">
        <f t="shared" si="28"/>
        <v>0</v>
      </c>
      <c r="O53" s="4">
        <f t="shared" si="28"/>
        <v>0</v>
      </c>
      <c r="P53" s="4">
        <f t="shared" si="29"/>
        <v>0</v>
      </c>
      <c r="Q53" s="4"/>
      <c r="R53" s="4"/>
      <c r="S53" s="4"/>
      <c r="T53" s="4"/>
      <c r="U53" s="4"/>
      <c r="V53" s="4">
        <v>110.047</v>
      </c>
      <c r="W53" s="1">
        <f t="shared" si="5"/>
        <v>110.047</v>
      </c>
      <c r="X53" s="1">
        <f t="shared" si="1"/>
        <v>2751.1749999999997</v>
      </c>
      <c r="Y53" s="1">
        <f t="shared" si="6"/>
        <v>2751.1749999999997</v>
      </c>
      <c r="Z53" s="1">
        <f t="shared" si="2"/>
        <v>0</v>
      </c>
      <c r="AA53" s="1">
        <f t="shared" si="3"/>
        <v>0</v>
      </c>
      <c r="AB53" s="4"/>
      <c r="AC53" s="1"/>
      <c r="AD53" s="1">
        <f t="shared" si="23"/>
        <v>15</v>
      </c>
      <c r="AE53">
        <f t="shared" si="24"/>
        <v>5518.0024700000031</v>
      </c>
      <c r="AF53">
        <f t="shared" si="25"/>
        <v>77820.037050000072</v>
      </c>
      <c r="AG53">
        <f t="shared" si="19"/>
        <v>2270.1321120556281</v>
      </c>
      <c r="AH53">
        <f t="shared" si="21"/>
        <v>48293.77635974389</v>
      </c>
      <c r="AI53">
        <f t="shared" si="22"/>
        <v>7991.7128600330498</v>
      </c>
      <c r="AJ53">
        <f t="shared" si="20"/>
        <v>3287.8281755986495</v>
      </c>
      <c r="AK53">
        <f t="shared" si="26"/>
        <v>58548.018104482951</v>
      </c>
      <c r="AW53">
        <f t="shared" si="10"/>
        <v>1.3178232429093275E-2</v>
      </c>
      <c r="AX53">
        <f t="shared" si="11"/>
        <v>2809.975485190681</v>
      </c>
      <c r="AY53">
        <f t="shared" si="30"/>
        <v>1520.9908333301939</v>
      </c>
      <c r="AZ53">
        <f t="shared" si="31"/>
        <v>1288.984651860487</v>
      </c>
    </row>
    <row r="54" spans="1:52" x14ac:dyDescent="0.35">
      <c r="A54" s="1">
        <v>53</v>
      </c>
      <c r="B54" s="1">
        <v>5328.3833046167756</v>
      </c>
      <c r="C54" s="1">
        <v>0</v>
      </c>
      <c r="D54" s="1"/>
      <c r="E54" s="1">
        <v>5328.38</v>
      </c>
      <c r="F54" s="1"/>
      <c r="G54" s="1"/>
      <c r="H54" s="1"/>
      <c r="I54" s="1"/>
      <c r="J54" s="1"/>
      <c r="K54" s="1">
        <v>0</v>
      </c>
      <c r="L54" s="1">
        <v>0</v>
      </c>
      <c r="M54" s="4">
        <f t="shared" si="27"/>
        <v>0</v>
      </c>
      <c r="N54" s="4">
        <f t="shared" si="28"/>
        <v>0</v>
      </c>
      <c r="O54" s="4">
        <f t="shared" si="28"/>
        <v>0</v>
      </c>
      <c r="P54" s="4">
        <f t="shared" si="29"/>
        <v>0</v>
      </c>
      <c r="Q54" s="4"/>
      <c r="R54" s="4"/>
      <c r="S54" s="4"/>
      <c r="T54" s="4"/>
      <c r="U54" s="4"/>
      <c r="V54" s="4">
        <v>104.018</v>
      </c>
      <c r="W54" s="1">
        <f t="shared" si="5"/>
        <v>104.018</v>
      </c>
      <c r="X54" s="1">
        <f t="shared" si="1"/>
        <v>2600.4499999999998</v>
      </c>
      <c r="Y54" s="1">
        <f t="shared" si="6"/>
        <v>2600.4499999999998</v>
      </c>
      <c r="Z54" s="1">
        <f t="shared" si="2"/>
        <v>0</v>
      </c>
      <c r="AA54" s="1">
        <f t="shared" si="3"/>
        <v>0</v>
      </c>
      <c r="AB54" s="4"/>
      <c r="AC54" s="1"/>
      <c r="AD54" s="1">
        <f t="shared" si="23"/>
        <v>16</v>
      </c>
      <c r="AE54">
        <f t="shared" si="24"/>
        <v>5518.0024700000031</v>
      </c>
      <c r="AF54">
        <f t="shared" si="25"/>
        <v>83338.039520000078</v>
      </c>
      <c r="AG54">
        <f t="shared" si="19"/>
        <v>2139.61556272915</v>
      </c>
      <c r="AH54">
        <f t="shared" si="21"/>
        <v>50433.391922473042</v>
      </c>
      <c r="AI54">
        <f t="shared" si="22"/>
        <v>8191.5056815338748</v>
      </c>
      <c r="AJ54">
        <f t="shared" si="20"/>
        <v>3176.271328924237</v>
      </c>
      <c r="AK54">
        <f t="shared" si="26"/>
        <v>61724.28943340719</v>
      </c>
      <c r="AW54">
        <f t="shared" si="10"/>
        <v>1.3174983850385086E-2</v>
      </c>
      <c r="AX54">
        <f t="shared" si="11"/>
        <v>2809.2827954403037</v>
      </c>
      <c r="AY54">
        <f t="shared" si="30"/>
        <v>1520.6158924219126</v>
      </c>
      <c r="AZ54">
        <f t="shared" si="31"/>
        <v>1288.6669030183912</v>
      </c>
    </row>
    <row r="55" spans="1:52" x14ac:dyDescent="0.35">
      <c r="A55" s="1">
        <v>54</v>
      </c>
      <c r="B55" s="1">
        <v>1132.850191183687</v>
      </c>
      <c r="C55" s="1">
        <v>0</v>
      </c>
      <c r="D55" s="1"/>
      <c r="E55" s="1">
        <v>1132.8499999999999</v>
      </c>
      <c r="F55" s="1"/>
      <c r="G55" s="1"/>
      <c r="H55" s="1"/>
      <c r="I55" s="1"/>
      <c r="J55" s="1"/>
      <c r="K55" s="1">
        <v>0</v>
      </c>
      <c r="L55" s="1">
        <v>0</v>
      </c>
      <c r="M55" s="4">
        <f t="shared" si="27"/>
        <v>0</v>
      </c>
      <c r="N55" s="4">
        <f t="shared" si="28"/>
        <v>0</v>
      </c>
      <c r="O55" s="4">
        <f t="shared" si="28"/>
        <v>0</v>
      </c>
      <c r="P55" s="4">
        <f t="shared" si="29"/>
        <v>0</v>
      </c>
      <c r="Q55" s="4"/>
      <c r="R55" s="4"/>
      <c r="S55" s="4"/>
      <c r="T55" s="4"/>
      <c r="U55" s="4"/>
      <c r="V55" s="4">
        <v>23.8017</v>
      </c>
      <c r="W55" s="1">
        <f t="shared" si="5"/>
        <v>23.8017</v>
      </c>
      <c r="X55" s="1">
        <f t="shared" si="1"/>
        <v>595.04250000000002</v>
      </c>
      <c r="Y55" s="1">
        <f t="shared" si="6"/>
        <v>595.04250000000002</v>
      </c>
      <c r="Z55" s="1">
        <f t="shared" si="2"/>
        <v>0</v>
      </c>
      <c r="AA55" s="1">
        <f t="shared" si="3"/>
        <v>0</v>
      </c>
      <c r="AB55" s="4"/>
      <c r="AC55" s="1"/>
      <c r="AD55" s="1">
        <f t="shared" si="23"/>
        <v>17</v>
      </c>
      <c r="AE55">
        <f t="shared" si="24"/>
        <v>5518.0024700000031</v>
      </c>
      <c r="AF55">
        <f t="shared" si="25"/>
        <v>88856.041990000085</v>
      </c>
      <c r="AG55">
        <f t="shared" si="19"/>
        <v>2016.6027923931672</v>
      </c>
      <c r="AH55">
        <f t="shared" si="21"/>
        <v>52449.99471486621</v>
      </c>
      <c r="AI55">
        <f t="shared" si="22"/>
        <v>8396.2933235722212</v>
      </c>
      <c r="AJ55">
        <f t="shared" si="20"/>
        <v>3068.4996344461292</v>
      </c>
      <c r="AK55">
        <f t="shared" si="26"/>
        <v>64792.789067853322</v>
      </c>
      <c r="AW55">
        <f t="shared" si="10"/>
        <v>2.8010903346271524E-3</v>
      </c>
      <c r="AX55">
        <f t="shared" si="11"/>
        <v>597.27245019068323</v>
      </c>
      <c r="AY55">
        <f t="shared" si="30"/>
        <v>323.29318406101618</v>
      </c>
      <c r="AZ55">
        <f t="shared" si="31"/>
        <v>273.97926612966705</v>
      </c>
    </row>
    <row r="56" spans="1:52" x14ac:dyDescent="0.35">
      <c r="A56" s="1">
        <v>55</v>
      </c>
      <c r="B56" s="1">
        <v>1734.337401732017</v>
      </c>
      <c r="C56" s="1">
        <v>0</v>
      </c>
      <c r="D56" s="1"/>
      <c r="E56" s="1">
        <v>1734.34</v>
      </c>
      <c r="F56" s="1"/>
      <c r="G56" s="1"/>
      <c r="H56" s="1"/>
      <c r="I56" s="1"/>
      <c r="J56" s="1"/>
      <c r="K56" s="1">
        <v>0</v>
      </c>
      <c r="L56" s="1">
        <v>0</v>
      </c>
      <c r="M56" s="4">
        <f t="shared" si="27"/>
        <v>0</v>
      </c>
      <c r="N56" s="4">
        <f t="shared" si="28"/>
        <v>0</v>
      </c>
      <c r="O56" s="4">
        <f t="shared" si="28"/>
        <v>0</v>
      </c>
      <c r="P56" s="4">
        <f t="shared" si="29"/>
        <v>0</v>
      </c>
      <c r="Q56" s="4"/>
      <c r="R56" s="4"/>
      <c r="S56" s="4"/>
      <c r="T56" s="4"/>
      <c r="U56" s="4"/>
      <c r="V56" s="4">
        <v>36.4392</v>
      </c>
      <c r="W56" s="1">
        <f t="shared" si="5"/>
        <v>36.4392</v>
      </c>
      <c r="X56" s="1">
        <f t="shared" si="1"/>
        <v>910.98</v>
      </c>
      <c r="Y56" s="1">
        <f t="shared" si="6"/>
        <v>910.98</v>
      </c>
      <c r="Z56" s="1">
        <f t="shared" si="2"/>
        <v>0</v>
      </c>
      <c r="AA56" s="1">
        <f t="shared" si="3"/>
        <v>0</v>
      </c>
      <c r="AB56" s="4"/>
      <c r="AC56" s="1"/>
      <c r="AD56" s="1">
        <f>AD55+1</f>
        <v>18</v>
      </c>
      <c r="AE56">
        <f t="shared" si="24"/>
        <v>5518.0024700000031</v>
      </c>
      <c r="AF56">
        <f t="shared" si="25"/>
        <v>94374.044460000092</v>
      </c>
      <c r="AG56">
        <f t="shared" si="19"/>
        <v>1900.6623867984608</v>
      </c>
      <c r="AH56">
        <f t="shared" si="21"/>
        <v>54350.65710166467</v>
      </c>
      <c r="AI56">
        <f t="shared" si="22"/>
        <v>8606.2006566615273</v>
      </c>
      <c r="AJ56">
        <f t="shared" si="20"/>
        <v>2964.3846609870711</v>
      </c>
      <c r="AK56">
        <f t="shared" si="26"/>
        <v>67757.173728840397</v>
      </c>
      <c r="AW56">
        <f t="shared" si="10"/>
        <v>4.2883302406453942E-3</v>
      </c>
      <c r="AX56">
        <f t="shared" si="11"/>
        <v>914.39446932296335</v>
      </c>
      <c r="AY56">
        <f t="shared" si="30"/>
        <v>494.94581472965331</v>
      </c>
      <c r="AZ56">
        <f t="shared" si="31"/>
        <v>419.44865459331004</v>
      </c>
    </row>
    <row r="57" spans="1:52" x14ac:dyDescent="0.35">
      <c r="A57" s="1">
        <v>56</v>
      </c>
      <c r="B57" s="1">
        <v>1696.5437943175671</v>
      </c>
      <c r="C57" s="1">
        <v>0</v>
      </c>
      <c r="D57" s="1"/>
      <c r="E57" s="1">
        <v>1696.54</v>
      </c>
      <c r="F57" s="1"/>
      <c r="G57" s="1"/>
      <c r="H57" s="1"/>
      <c r="I57" s="1"/>
      <c r="J57" s="1"/>
      <c r="K57" s="1">
        <v>0</v>
      </c>
      <c r="L57" s="1">
        <v>0</v>
      </c>
      <c r="M57" s="4">
        <f t="shared" si="27"/>
        <v>0</v>
      </c>
      <c r="N57" s="4">
        <f t="shared" si="28"/>
        <v>0</v>
      </c>
      <c r="O57" s="4">
        <f t="shared" si="28"/>
        <v>0</v>
      </c>
      <c r="P57" s="4">
        <f t="shared" si="29"/>
        <v>0</v>
      </c>
      <c r="Q57" s="4"/>
      <c r="R57" s="4"/>
      <c r="S57" s="4"/>
      <c r="T57" s="4"/>
      <c r="U57" s="4"/>
      <c r="V57" s="4">
        <v>33.6798</v>
      </c>
      <c r="W57" s="1">
        <f t="shared" si="5"/>
        <v>33.6798</v>
      </c>
      <c r="X57" s="1">
        <f t="shared" si="1"/>
        <v>841.995</v>
      </c>
      <c r="Y57" s="1">
        <f t="shared" si="6"/>
        <v>841.995</v>
      </c>
      <c r="Z57" s="1">
        <f t="shared" si="2"/>
        <v>0</v>
      </c>
      <c r="AA57" s="1">
        <f t="shared" si="3"/>
        <v>0</v>
      </c>
      <c r="AB57" s="4"/>
      <c r="AC57" s="1"/>
      <c r="AD57" s="1">
        <f t="shared" ref="AD57:AD61" si="32">AD56+1</f>
        <v>19</v>
      </c>
      <c r="AE57">
        <f t="shared" si="24"/>
        <v>5518.0024700000031</v>
      </c>
      <c r="AF57">
        <f t="shared" si="25"/>
        <v>99892.046930000099</v>
      </c>
      <c r="AG57">
        <f t="shared" si="19"/>
        <v>1791.3877349655618</v>
      </c>
      <c r="AH57">
        <f t="shared" si="21"/>
        <v>56142.04483663023</v>
      </c>
      <c r="AI57">
        <f t="shared" si="22"/>
        <v>8821.3556730780656</v>
      </c>
      <c r="AJ57">
        <f t="shared" si="20"/>
        <v>2863.8023350723356</v>
      </c>
      <c r="AK57">
        <f t="shared" si="26"/>
        <v>70620.976063912734</v>
      </c>
      <c r="AW57">
        <f t="shared" si="10"/>
        <v>4.1948816017492885E-3</v>
      </c>
      <c r="AX57">
        <f t="shared" si="11"/>
        <v>894.46855089381324</v>
      </c>
      <c r="AY57">
        <f t="shared" si="30"/>
        <v>484.16026181783997</v>
      </c>
      <c r="AZ57">
        <f t="shared" si="31"/>
        <v>410.30828907597328</v>
      </c>
    </row>
    <row r="58" spans="1:52" x14ac:dyDescent="0.35">
      <c r="A58" s="1">
        <v>57</v>
      </c>
      <c r="B58" s="1">
        <v>2227.6855671211929</v>
      </c>
      <c r="C58" s="1">
        <v>0</v>
      </c>
      <c r="D58" s="1"/>
      <c r="E58" s="1">
        <v>2227.69</v>
      </c>
      <c r="F58" s="1"/>
      <c r="G58" s="1"/>
      <c r="H58" s="1"/>
      <c r="I58" s="1"/>
      <c r="J58" s="1"/>
      <c r="K58" s="1">
        <v>0</v>
      </c>
      <c r="L58" s="1">
        <v>0</v>
      </c>
      <c r="M58" s="4">
        <f t="shared" si="27"/>
        <v>0</v>
      </c>
      <c r="N58" s="4">
        <f t="shared" si="28"/>
        <v>0</v>
      </c>
      <c r="O58" s="4">
        <f t="shared" si="28"/>
        <v>0</v>
      </c>
      <c r="P58" s="4">
        <f t="shared" si="29"/>
        <v>0</v>
      </c>
      <c r="Q58" s="4"/>
      <c r="R58" s="4"/>
      <c r="S58" s="4"/>
      <c r="T58" s="4"/>
      <c r="U58" s="4"/>
      <c r="V58" s="4">
        <v>43.985100000000003</v>
      </c>
      <c r="W58" s="1">
        <f t="shared" si="5"/>
        <v>43.985100000000003</v>
      </c>
      <c r="X58" s="1">
        <f t="shared" si="1"/>
        <v>1099.6275000000001</v>
      </c>
      <c r="Y58" s="1">
        <f t="shared" si="6"/>
        <v>1099.6275000000001</v>
      </c>
      <c r="Z58" s="1">
        <f t="shared" si="2"/>
        <v>0</v>
      </c>
      <c r="AA58" s="1">
        <f t="shared" si="3"/>
        <v>0</v>
      </c>
      <c r="AB58" s="4"/>
      <c r="AC58" s="1"/>
      <c r="AD58" s="1">
        <f t="shared" si="32"/>
        <v>20</v>
      </c>
      <c r="AE58">
        <f t="shared" si="24"/>
        <v>5518.0024700000031</v>
      </c>
      <c r="AF58">
        <f t="shared" si="25"/>
        <v>105410.04940000011</v>
      </c>
      <c r="AG58">
        <f t="shared" si="19"/>
        <v>1688.3956031720656</v>
      </c>
      <c r="AH58">
        <f t="shared" si="21"/>
        <v>57830.440439802296</v>
      </c>
      <c r="AI58">
        <f t="shared" si="22"/>
        <v>9041.8895649050155</v>
      </c>
      <c r="AJ58">
        <f t="shared" si="20"/>
        <v>2766.6327930717657</v>
      </c>
      <c r="AK58">
        <f t="shared" si="26"/>
        <v>73387.608856984501</v>
      </c>
      <c r="AW58">
        <f t="shared" si="10"/>
        <v>5.5081850709065181E-3</v>
      </c>
      <c r="AX58">
        <f t="shared" si="11"/>
        <v>1174.5023545775753</v>
      </c>
      <c r="AY58">
        <f t="shared" si="30"/>
        <v>635.73768684177605</v>
      </c>
      <c r="AZ58">
        <f t="shared" si="31"/>
        <v>538.76466773579921</v>
      </c>
    </row>
    <row r="59" spans="1:52" x14ac:dyDescent="0.35">
      <c r="A59" s="1">
        <v>58</v>
      </c>
      <c r="B59" s="1">
        <v>404.30530639696019</v>
      </c>
      <c r="C59" s="1">
        <v>0</v>
      </c>
      <c r="D59" s="1"/>
      <c r="E59" s="1">
        <v>404.30500000000001</v>
      </c>
      <c r="F59" s="1"/>
      <c r="G59" s="1"/>
      <c r="H59" s="1"/>
      <c r="I59" s="1"/>
      <c r="J59" s="1"/>
      <c r="K59" s="1">
        <v>0</v>
      </c>
      <c r="L59" s="1">
        <v>0</v>
      </c>
      <c r="M59" s="4">
        <f t="shared" si="27"/>
        <v>0</v>
      </c>
      <c r="N59" s="4">
        <f t="shared" si="28"/>
        <v>0</v>
      </c>
      <c r="O59" s="4">
        <f t="shared" si="28"/>
        <v>0</v>
      </c>
      <c r="P59" s="4">
        <f t="shared" si="29"/>
        <v>0</v>
      </c>
      <c r="Q59" s="4"/>
      <c r="R59" s="4"/>
      <c r="S59" s="4"/>
      <c r="T59" s="4"/>
      <c r="U59" s="4"/>
      <c r="V59" s="4">
        <v>7.2637200000000002</v>
      </c>
      <c r="W59" s="1">
        <f t="shared" si="5"/>
        <v>7.2637200000000002</v>
      </c>
      <c r="X59" s="1">
        <f t="shared" si="1"/>
        <v>181.59300000000002</v>
      </c>
      <c r="Y59" s="1">
        <f t="shared" si="6"/>
        <v>181.59300000000002</v>
      </c>
      <c r="Z59" s="1">
        <f t="shared" si="2"/>
        <v>0</v>
      </c>
      <c r="AA59" s="1">
        <f t="shared" si="3"/>
        <v>0</v>
      </c>
      <c r="AB59" s="4"/>
      <c r="AC59" s="1"/>
      <c r="AD59" s="1">
        <f t="shared" si="32"/>
        <v>21</v>
      </c>
      <c r="AE59">
        <f t="shared" si="24"/>
        <v>5518.0024700000031</v>
      </c>
      <c r="AF59">
        <f t="shared" si="25"/>
        <v>110928.05187000011</v>
      </c>
      <c r="AG59">
        <f t="shared" si="19"/>
        <v>1591.324790925604</v>
      </c>
      <c r="AH59">
        <f t="shared" si="21"/>
        <v>59421.765230727899</v>
      </c>
      <c r="AI59">
        <f t="shared" si="22"/>
        <v>9267.9368040276404</v>
      </c>
      <c r="AJ59">
        <f t="shared" si="20"/>
        <v>2672.7602383586805</v>
      </c>
      <c r="AK59">
        <f t="shared" si="26"/>
        <v>76060.36909534318</v>
      </c>
      <c r="AW59">
        <f t="shared" si="10"/>
        <v>9.9968706789348551E-4</v>
      </c>
      <c r="AX59">
        <f t="shared" si="11"/>
        <v>213.16183097827829</v>
      </c>
      <c r="AY59">
        <f t="shared" si="30"/>
        <v>115.38078984765254</v>
      </c>
      <c r="AZ59">
        <f t="shared" si="31"/>
        <v>97.781041130625752</v>
      </c>
    </row>
    <row r="60" spans="1:52" x14ac:dyDescent="0.35">
      <c r="A60" s="1">
        <v>59</v>
      </c>
      <c r="B60" s="1">
        <v>3141.552121160008</v>
      </c>
      <c r="C60" s="1">
        <v>0</v>
      </c>
      <c r="D60" s="1"/>
      <c r="E60" s="1">
        <v>3141.55</v>
      </c>
      <c r="F60" s="1"/>
      <c r="G60" s="1"/>
      <c r="H60" s="1"/>
      <c r="I60" s="1"/>
      <c r="J60" s="1"/>
      <c r="K60" s="1">
        <v>0</v>
      </c>
      <c r="L60" s="1">
        <v>0</v>
      </c>
      <c r="M60" s="4">
        <f t="shared" si="27"/>
        <v>0</v>
      </c>
      <c r="N60" s="4">
        <f t="shared" si="28"/>
        <v>0</v>
      </c>
      <c r="O60" s="4">
        <f t="shared" si="28"/>
        <v>0</v>
      </c>
      <c r="P60" s="4">
        <f t="shared" si="29"/>
        <v>0</v>
      </c>
      <c r="Q60" s="4"/>
      <c r="R60" s="4"/>
      <c r="S60" s="4"/>
      <c r="T60" s="4"/>
      <c r="U60" s="4"/>
      <c r="V60" s="4">
        <v>63.6265</v>
      </c>
      <c r="W60" s="1">
        <f t="shared" si="5"/>
        <v>63.6265</v>
      </c>
      <c r="X60" s="1">
        <f t="shared" si="1"/>
        <v>1590.6624999999999</v>
      </c>
      <c r="Y60" s="1">
        <f t="shared" si="6"/>
        <v>1590.6624999999999</v>
      </c>
      <c r="Z60" s="1">
        <f t="shared" si="2"/>
        <v>0</v>
      </c>
      <c r="AA60" s="1">
        <f t="shared" si="3"/>
        <v>0</v>
      </c>
      <c r="AB60" s="4"/>
      <c r="AC60" s="1"/>
      <c r="AD60" s="1">
        <f t="shared" si="32"/>
        <v>22</v>
      </c>
      <c r="AE60">
        <f t="shared" si="24"/>
        <v>5518.0024700000031</v>
      </c>
      <c r="AF60">
        <f t="shared" si="25"/>
        <v>116446.05434000012</v>
      </c>
      <c r="AG60">
        <f t="shared" si="19"/>
        <v>1499.8348642088631</v>
      </c>
      <c r="AH60">
        <f t="shared" si="21"/>
        <v>60921.600094936759</v>
      </c>
      <c r="AI60">
        <f t="shared" si="22"/>
        <v>9499.6352241283312</v>
      </c>
      <c r="AJ60">
        <f t="shared" si="20"/>
        <v>2582.0728033154073</v>
      </c>
      <c r="AK60">
        <f t="shared" si="26"/>
        <v>78642.441898658581</v>
      </c>
      <c r="AW60">
        <f t="shared" si="10"/>
        <v>7.7678155071096069E-3</v>
      </c>
      <c r="AX60">
        <f t="shared" si="11"/>
        <v>1656.3200919323776</v>
      </c>
      <c r="AY60">
        <f t="shared" si="30"/>
        <v>896.53724388944909</v>
      </c>
      <c r="AZ60">
        <f t="shared" si="31"/>
        <v>759.78284804292855</v>
      </c>
    </row>
    <row r="61" spans="1:52" x14ac:dyDescent="0.35">
      <c r="A61" s="1">
        <v>60</v>
      </c>
      <c r="B61" s="1">
        <v>2862.8042339526478</v>
      </c>
      <c r="C61" s="1">
        <v>0</v>
      </c>
      <c r="D61" s="1"/>
      <c r="E61" s="1">
        <v>2862.8</v>
      </c>
      <c r="F61" s="1"/>
      <c r="G61" s="1"/>
      <c r="H61" s="1"/>
      <c r="I61" s="1"/>
      <c r="J61" s="1"/>
      <c r="K61" s="1">
        <v>0</v>
      </c>
      <c r="L61" s="1">
        <v>0</v>
      </c>
      <c r="M61" s="4">
        <f t="shared" si="27"/>
        <v>0</v>
      </c>
      <c r="N61" s="4">
        <f t="shared" si="28"/>
        <v>0</v>
      </c>
      <c r="O61" s="4">
        <f t="shared" si="28"/>
        <v>0</v>
      </c>
      <c r="P61" s="4">
        <f t="shared" si="29"/>
        <v>0</v>
      </c>
      <c r="Q61" s="4"/>
      <c r="R61" s="4"/>
      <c r="S61" s="4"/>
      <c r="T61" s="4"/>
      <c r="U61" s="4"/>
      <c r="V61" s="4">
        <v>59.825899999999997</v>
      </c>
      <c r="W61" s="1">
        <f t="shared" si="5"/>
        <v>59.825899999999997</v>
      </c>
      <c r="X61" s="1">
        <f t="shared" si="1"/>
        <v>1495.6475</v>
      </c>
      <c r="Y61" s="1">
        <f t="shared" si="6"/>
        <v>1495.6475</v>
      </c>
      <c r="Z61" s="1">
        <f t="shared" si="2"/>
        <v>0</v>
      </c>
      <c r="AA61" s="1">
        <f t="shared" si="3"/>
        <v>0</v>
      </c>
      <c r="AB61" s="4"/>
      <c r="AC61" s="1"/>
      <c r="AD61" s="1">
        <f t="shared" si="32"/>
        <v>23</v>
      </c>
      <c r="AE61">
        <f t="shared" si="24"/>
        <v>5518.0024700000031</v>
      </c>
      <c r="AF61">
        <f t="shared" si="25"/>
        <v>121964.05681000013</v>
      </c>
      <c r="AG61">
        <f t="shared" si="19"/>
        <v>1413.6049615540655</v>
      </c>
      <c r="AH61">
        <f t="shared" si="21"/>
        <v>62335.205056490828</v>
      </c>
      <c r="AI61">
        <f t="shared" si="22"/>
        <v>9737.1261047315384</v>
      </c>
      <c r="AJ61">
        <f t="shared" si="20"/>
        <v>2494.462416021011</v>
      </c>
      <c r="AK61">
        <f t="shared" si="26"/>
        <v>81136.904314679588</v>
      </c>
      <c r="AW61">
        <f t="shared" si="10"/>
        <v>7.0785822627399868E-3</v>
      </c>
      <c r="AX61">
        <f t="shared" si="11"/>
        <v>1509.3558817715825</v>
      </c>
      <c r="AY61">
        <f t="shared" si="30"/>
        <v>816.98807427560348</v>
      </c>
      <c r="AZ61">
        <f t="shared" si="31"/>
        <v>692.36780749597904</v>
      </c>
    </row>
    <row r="62" spans="1:52" x14ac:dyDescent="0.35">
      <c r="A62" s="1">
        <v>61</v>
      </c>
      <c r="B62" s="1">
        <v>2954.0094942934988</v>
      </c>
      <c r="C62" s="1">
        <v>0</v>
      </c>
      <c r="D62" s="1"/>
      <c r="E62" s="1">
        <v>2954.01</v>
      </c>
      <c r="F62" s="1"/>
      <c r="G62" s="1"/>
      <c r="H62" s="1"/>
      <c r="I62" s="1"/>
      <c r="J62" s="1"/>
      <c r="K62" s="1">
        <v>0</v>
      </c>
      <c r="L62" s="1">
        <v>0</v>
      </c>
      <c r="M62" s="4">
        <f t="shared" si="27"/>
        <v>0</v>
      </c>
      <c r="N62" s="4">
        <f t="shared" si="28"/>
        <v>0</v>
      </c>
      <c r="O62" s="4">
        <f t="shared" si="28"/>
        <v>0</v>
      </c>
      <c r="P62" s="4">
        <f t="shared" si="29"/>
        <v>0</v>
      </c>
      <c r="Q62" s="4"/>
      <c r="R62" s="4"/>
      <c r="S62" s="4"/>
      <c r="T62" s="4"/>
      <c r="U62" s="4"/>
      <c r="V62" s="4">
        <v>64.215500000000006</v>
      </c>
      <c r="W62" s="1">
        <f t="shared" si="5"/>
        <v>64.215500000000006</v>
      </c>
      <c r="X62" s="1">
        <f t="shared" si="1"/>
        <v>1605.3875</v>
      </c>
      <c r="Y62" s="1">
        <f t="shared" si="6"/>
        <v>1605.3875</v>
      </c>
      <c r="Z62" s="1">
        <f t="shared" si="2"/>
        <v>0</v>
      </c>
      <c r="AA62" s="1">
        <f t="shared" si="3"/>
        <v>0</v>
      </c>
      <c r="AB62" s="4"/>
      <c r="AC62" s="1"/>
      <c r="AD62" s="1">
        <f>AD61+1</f>
        <v>24</v>
      </c>
      <c r="AE62">
        <f t="shared" si="24"/>
        <v>5518.0024700000031</v>
      </c>
      <c r="AF62">
        <f t="shared" si="25"/>
        <v>127482.05928000013</v>
      </c>
      <c r="AG62">
        <f t="shared" si="19"/>
        <v>1332.3326687597225</v>
      </c>
      <c r="AH62">
        <f t="shared" si="21"/>
        <v>63667.53772525055</v>
      </c>
      <c r="AI62">
        <f t="shared" si="22"/>
        <v>9980.554257349826</v>
      </c>
      <c r="AJ62">
        <f t="shared" si="20"/>
        <v>2409.8246714623338</v>
      </c>
      <c r="AK62">
        <f t="shared" si="26"/>
        <v>83546.728986141927</v>
      </c>
      <c r="AW62">
        <f t="shared" si="10"/>
        <v>7.3040967881345346E-3</v>
      </c>
      <c r="AX62">
        <f t="shared" si="11"/>
        <v>1557.4420186129776</v>
      </c>
      <c r="AY62">
        <f t="shared" si="30"/>
        <v>843.01626339379436</v>
      </c>
      <c r="AZ62">
        <f t="shared" si="31"/>
        <v>714.4257552191832</v>
      </c>
    </row>
    <row r="63" spans="1:52" x14ac:dyDescent="0.35">
      <c r="A63" s="1">
        <v>62</v>
      </c>
      <c r="B63" s="1">
        <v>1204.0745303370161</v>
      </c>
      <c r="C63" s="1">
        <v>0</v>
      </c>
      <c r="D63" s="1"/>
      <c r="E63" s="1">
        <v>1204.07</v>
      </c>
      <c r="F63" s="1"/>
      <c r="G63" s="1"/>
      <c r="H63" s="1"/>
      <c r="I63" s="1"/>
      <c r="J63" s="1"/>
      <c r="K63" s="1">
        <v>0</v>
      </c>
      <c r="L63" s="1">
        <v>0</v>
      </c>
      <c r="M63" s="4">
        <f t="shared" si="27"/>
        <v>0</v>
      </c>
      <c r="N63" s="4">
        <f t="shared" si="28"/>
        <v>0</v>
      </c>
      <c r="O63" s="4">
        <f t="shared" si="28"/>
        <v>0</v>
      </c>
      <c r="P63" s="4">
        <f t="shared" si="29"/>
        <v>0</v>
      </c>
      <c r="Q63" s="4"/>
      <c r="R63" s="4"/>
      <c r="S63" s="4"/>
      <c r="T63" s="4"/>
      <c r="U63" s="4"/>
      <c r="V63" s="4">
        <v>25.6633</v>
      </c>
      <c r="W63" s="1">
        <f t="shared" si="5"/>
        <v>25.6633</v>
      </c>
      <c r="X63" s="1">
        <f t="shared" si="1"/>
        <v>641.58249999999998</v>
      </c>
      <c r="Y63" s="1">
        <f>X63-M63</f>
        <v>641.58249999999998</v>
      </c>
      <c r="Z63" s="1">
        <f t="shared" si="2"/>
        <v>0</v>
      </c>
      <c r="AA63" s="1">
        <f t="shared" si="3"/>
        <v>0</v>
      </c>
      <c r="AB63" s="4"/>
      <c r="AC63" s="1"/>
      <c r="AD63" s="1">
        <f t="shared" ref="AD63" si="33">AD62+1</f>
        <v>25</v>
      </c>
      <c r="AE63">
        <f t="shared" si="24"/>
        <v>5518.0024700000031</v>
      </c>
      <c r="AF63">
        <f t="shared" si="25"/>
        <v>133000.06175000014</v>
      </c>
      <c r="AG63">
        <f t="shared" si="19"/>
        <v>1255.7329583032256</v>
      </c>
      <c r="AH63">
        <f t="shared" si="21"/>
        <v>64923.270683553776</v>
      </c>
      <c r="AI63">
        <f t="shared" si="22"/>
        <v>10230.068113783571</v>
      </c>
      <c r="AJ63">
        <f t="shared" si="20"/>
        <v>2328.0587071148839</v>
      </c>
      <c r="AK63">
        <f t="shared" si="26"/>
        <v>85874.787693256803</v>
      </c>
      <c r="AW63">
        <f t="shared" si="10"/>
        <v>2.9771999469529777E-3</v>
      </c>
      <c r="AX63">
        <f t="shared" si="11"/>
        <v>634.82404870775781</v>
      </c>
      <c r="AY63">
        <f t="shared" si="30"/>
        <v>343.61921089732874</v>
      </c>
      <c r="AZ63">
        <f t="shared" si="31"/>
        <v>291.20483781042907</v>
      </c>
    </row>
    <row r="64" spans="1:52" x14ac:dyDescent="0.35">
      <c r="A64" s="1">
        <v>63</v>
      </c>
      <c r="B64" s="1">
        <v>13474.18710799874</v>
      </c>
      <c r="C64" s="1">
        <v>0</v>
      </c>
      <c r="D64" s="1"/>
      <c r="E64" s="1">
        <v>13474.2</v>
      </c>
      <c r="F64" s="1"/>
      <c r="G64" s="1"/>
      <c r="H64" s="1"/>
      <c r="I64" s="1"/>
      <c r="J64" s="1"/>
      <c r="K64" s="1">
        <v>0</v>
      </c>
      <c r="L64" s="1">
        <v>0</v>
      </c>
      <c r="M64" s="4">
        <f t="shared" si="27"/>
        <v>0</v>
      </c>
      <c r="N64" s="4">
        <f t="shared" si="28"/>
        <v>0</v>
      </c>
      <c r="O64" s="4">
        <f t="shared" si="28"/>
        <v>0</v>
      </c>
      <c r="P64" s="4">
        <f t="shared" si="29"/>
        <v>0</v>
      </c>
      <c r="Q64" s="4"/>
      <c r="R64" s="4"/>
      <c r="S64" s="4"/>
      <c r="T64" s="4"/>
      <c r="U64" s="4"/>
      <c r="V64" s="4">
        <v>279.54399999999998</v>
      </c>
      <c r="W64" s="1">
        <f t="shared" si="5"/>
        <v>279.54399999999998</v>
      </c>
      <c r="X64" s="1">
        <f t="shared" si="1"/>
        <v>6988.5999999999995</v>
      </c>
      <c r="Y64" s="1">
        <f t="shared" si="6"/>
        <v>6988.5999999999995</v>
      </c>
      <c r="Z64" s="1">
        <f t="shared" si="2"/>
        <v>0</v>
      </c>
      <c r="AA64" s="1">
        <f t="shared" si="3"/>
        <v>0</v>
      </c>
      <c r="AB64" s="4"/>
      <c r="AW64">
        <f t="shared" si="10"/>
        <v>3.33163339415046E-2</v>
      </c>
      <c r="AX64">
        <f t="shared" si="11"/>
        <v>7103.9938122031981</v>
      </c>
      <c r="AY64">
        <f t="shared" si="30"/>
        <v>3845.2682328871861</v>
      </c>
      <c r="AZ64">
        <f t="shared" si="31"/>
        <v>3258.725579316012</v>
      </c>
    </row>
    <row r="65" spans="1:52" x14ac:dyDescent="0.35">
      <c r="A65" s="1">
        <v>64</v>
      </c>
      <c r="B65" s="1">
        <v>3713.6923624805509</v>
      </c>
      <c r="C65" s="1">
        <v>0</v>
      </c>
      <c r="D65" s="1"/>
      <c r="E65" s="1">
        <v>3713.69</v>
      </c>
      <c r="F65" s="1"/>
      <c r="G65" s="1"/>
      <c r="H65" s="1"/>
      <c r="I65" s="1"/>
      <c r="J65" s="1"/>
      <c r="K65" s="1">
        <v>0</v>
      </c>
      <c r="L65" s="1">
        <v>0</v>
      </c>
      <c r="M65" s="4">
        <f t="shared" si="27"/>
        <v>0</v>
      </c>
      <c r="N65" s="4">
        <f t="shared" si="28"/>
        <v>0</v>
      </c>
      <c r="O65" s="4">
        <f t="shared" si="28"/>
        <v>0</v>
      </c>
      <c r="P65" s="4">
        <f t="shared" si="29"/>
        <v>0</v>
      </c>
      <c r="Q65" s="4"/>
      <c r="R65" s="4"/>
      <c r="S65" s="4"/>
      <c r="T65" s="4"/>
      <c r="U65" s="4"/>
      <c r="V65" s="4">
        <v>78.026300000000006</v>
      </c>
      <c r="W65" s="1">
        <f t="shared" si="5"/>
        <v>78.026300000000006</v>
      </c>
      <c r="X65" s="1">
        <f t="shared" si="1"/>
        <v>1950.6575000000003</v>
      </c>
      <c r="Y65" s="1">
        <f t="shared" si="6"/>
        <v>1950.6575000000003</v>
      </c>
      <c r="Z65" s="1">
        <f t="shared" si="2"/>
        <v>0</v>
      </c>
      <c r="AA65" s="1">
        <f t="shared" si="3"/>
        <v>0</v>
      </c>
      <c r="AB65" s="4"/>
      <c r="AE65" s="18" t="s">
        <v>51</v>
      </c>
      <c r="AF65" s="4">
        <f>AD41-(AF41/AE42)</f>
        <v>0.89706375212985323</v>
      </c>
      <c r="AG65" s="4"/>
      <c r="AH65" s="10">
        <f>AD42-(AH42/AG43)</f>
        <v>0.55778821284755287</v>
      </c>
      <c r="AI65" s="10"/>
      <c r="AJ65" s="10"/>
      <c r="AK65" s="10">
        <f>AD41-(AK41/AJ42)</f>
        <v>0.81417730262498988</v>
      </c>
      <c r="AW65">
        <f t="shared" si="10"/>
        <v>9.1824919687339673E-3</v>
      </c>
      <c r="AX65">
        <f t="shared" si="11"/>
        <v>1957.9695125227126</v>
      </c>
      <c r="AY65">
        <f t="shared" si="30"/>
        <v>1059.8148262083316</v>
      </c>
      <c r="AZ65">
        <f t="shared" si="31"/>
        <v>898.15468631438102</v>
      </c>
    </row>
    <row r="66" spans="1:52" x14ac:dyDescent="0.35">
      <c r="A66" s="1">
        <v>65</v>
      </c>
      <c r="B66" s="1">
        <v>1118.1009256975681</v>
      </c>
      <c r="C66" s="1">
        <v>0</v>
      </c>
      <c r="D66" s="1"/>
      <c r="E66" s="1">
        <v>1118.0999999999999</v>
      </c>
      <c r="F66" s="1"/>
      <c r="G66" s="1"/>
      <c r="H66" s="1"/>
      <c r="I66" s="1"/>
      <c r="J66" s="1"/>
      <c r="K66" s="1">
        <v>0</v>
      </c>
      <c r="L66" s="1">
        <v>0</v>
      </c>
      <c r="M66" s="4">
        <f t="shared" si="27"/>
        <v>0</v>
      </c>
      <c r="N66" s="4">
        <f t="shared" si="28"/>
        <v>0</v>
      </c>
      <c r="O66" s="4">
        <f t="shared" si="28"/>
        <v>0</v>
      </c>
      <c r="P66" s="4">
        <f t="shared" si="29"/>
        <v>0</v>
      </c>
      <c r="Q66" s="4"/>
      <c r="R66" s="4"/>
      <c r="S66" s="4"/>
      <c r="T66" s="4"/>
      <c r="U66" s="4"/>
      <c r="V66" s="4">
        <v>23.491800000000001</v>
      </c>
      <c r="W66" s="1">
        <f t="shared" si="5"/>
        <v>23.491800000000001</v>
      </c>
      <c r="X66" s="1">
        <f t="shared" ref="X66:X100" si="34">V66*$S$47</f>
        <v>587.29500000000007</v>
      </c>
      <c r="Y66" s="1">
        <f t="shared" si="6"/>
        <v>587.29500000000007</v>
      </c>
      <c r="Z66" s="1">
        <f t="shared" ref="Z66:Z100" si="35">(M66/($S$47*B66))+O66</f>
        <v>0</v>
      </c>
      <c r="AA66" s="1">
        <f t="shared" ref="AA66:AA100" si="36">(M66/($S$50*B66))+O66</f>
        <v>0</v>
      </c>
      <c r="AB66" s="4"/>
      <c r="AW66">
        <f t="shared" si="10"/>
        <v>2.7646212363142946E-3</v>
      </c>
      <c r="AX66">
        <f t="shared" si="11"/>
        <v>589.49619698088986</v>
      </c>
      <c r="AY66">
        <f t="shared" si="30"/>
        <v>319.08403351429973</v>
      </c>
      <c r="AZ66">
        <f t="shared" si="31"/>
        <v>270.41216346659013</v>
      </c>
    </row>
    <row r="67" spans="1:52" x14ac:dyDescent="0.35">
      <c r="A67" s="1">
        <v>66</v>
      </c>
      <c r="B67" s="1">
        <v>789.18834550043005</v>
      </c>
      <c r="C67" s="1">
        <v>0</v>
      </c>
      <c r="D67" s="1"/>
      <c r="E67" s="1">
        <v>789.18799999999999</v>
      </c>
      <c r="F67" s="1"/>
      <c r="G67" s="1"/>
      <c r="H67" s="1"/>
      <c r="I67" s="1"/>
      <c r="J67" s="1"/>
      <c r="K67" s="1">
        <v>0</v>
      </c>
      <c r="L67" s="1">
        <v>0</v>
      </c>
      <c r="M67" s="4">
        <f t="shared" si="27"/>
        <v>0</v>
      </c>
      <c r="N67" s="4">
        <f t="shared" si="28"/>
        <v>0</v>
      </c>
      <c r="O67" s="4">
        <f t="shared" si="28"/>
        <v>0</v>
      </c>
      <c r="P67" s="4">
        <f t="shared" si="29"/>
        <v>0</v>
      </c>
      <c r="Q67" s="4"/>
      <c r="R67" s="1" t="s">
        <v>247</v>
      </c>
      <c r="S67" s="1">
        <v>24000</v>
      </c>
      <c r="T67" s="4" t="s">
        <v>268</v>
      </c>
      <c r="U67" s="4"/>
      <c r="V67" s="4">
        <v>16.784199999999998</v>
      </c>
      <c r="W67" s="1">
        <f t="shared" ref="W67:W100" si="37">V67-M67</f>
        <v>16.784199999999998</v>
      </c>
      <c r="X67" s="1">
        <f t="shared" si="34"/>
        <v>419.60499999999996</v>
      </c>
      <c r="Y67" s="1">
        <f t="shared" ref="Y67:Y80" si="38">X67-M67</f>
        <v>419.60499999999996</v>
      </c>
      <c r="Z67" s="1">
        <f t="shared" si="35"/>
        <v>0</v>
      </c>
      <c r="AA67" s="1">
        <f t="shared" si="36"/>
        <v>0</v>
      </c>
      <c r="AB67" s="4"/>
      <c r="AW67">
        <f t="shared" ref="AW67:AW103" si="39">B67/$B$102</f>
        <v>1.9513505527786158E-3</v>
      </c>
      <c r="AX67">
        <f t="shared" ref="AX67:AX103" si="40">AW67*$AV$2</f>
        <v>416.08366264780381</v>
      </c>
      <c r="AY67">
        <f t="shared" si="30"/>
        <v>225.21884625723612</v>
      </c>
      <c r="AZ67">
        <f t="shared" si="31"/>
        <v>190.86481639056768</v>
      </c>
    </row>
    <row r="68" spans="1:52" x14ac:dyDescent="0.35">
      <c r="A68" s="1">
        <v>67</v>
      </c>
      <c r="B68" s="1">
        <v>1631.3808757786551</v>
      </c>
      <c r="C68" s="1">
        <v>0</v>
      </c>
      <c r="D68" s="1"/>
      <c r="E68" s="1">
        <v>1631.38</v>
      </c>
      <c r="F68" s="1"/>
      <c r="G68" s="1"/>
      <c r="H68" s="1"/>
      <c r="I68" s="1"/>
      <c r="J68" s="1"/>
      <c r="K68" s="1">
        <v>0</v>
      </c>
      <c r="L68" s="1">
        <v>0</v>
      </c>
      <c r="M68" s="4">
        <f t="shared" si="27"/>
        <v>0</v>
      </c>
      <c r="N68" s="4">
        <f t="shared" si="28"/>
        <v>0</v>
      </c>
      <c r="O68" s="4">
        <f t="shared" si="28"/>
        <v>0</v>
      </c>
      <c r="P68" s="4">
        <f t="shared" si="29"/>
        <v>0</v>
      </c>
      <c r="Q68" s="4"/>
      <c r="R68" s="4" t="s">
        <v>247</v>
      </c>
      <c r="S68" s="4">
        <v>26000</v>
      </c>
      <c r="T68" s="4" t="s">
        <v>264</v>
      </c>
      <c r="U68" s="4"/>
      <c r="V68" s="4">
        <v>31.626000000000001</v>
      </c>
      <c r="W68" s="1">
        <f t="shared" si="37"/>
        <v>31.626000000000001</v>
      </c>
      <c r="X68" s="1">
        <f t="shared" si="34"/>
        <v>790.65</v>
      </c>
      <c r="Y68" s="1">
        <f t="shared" si="38"/>
        <v>790.65</v>
      </c>
      <c r="Z68" s="1">
        <f t="shared" si="35"/>
        <v>0</v>
      </c>
      <c r="AA68" s="1">
        <f t="shared" si="36"/>
        <v>0</v>
      </c>
      <c r="AB68" s="4"/>
      <c r="AW68">
        <f t="shared" si="39"/>
        <v>4.0337594845303078E-3</v>
      </c>
      <c r="AX68">
        <f t="shared" si="40"/>
        <v>860.11271433201216</v>
      </c>
      <c r="AY68">
        <f t="shared" si="30"/>
        <v>465.5640453179854</v>
      </c>
      <c r="AZ68">
        <f t="shared" si="31"/>
        <v>394.54866901402676</v>
      </c>
    </row>
    <row r="69" spans="1:52" x14ac:dyDescent="0.35">
      <c r="A69" s="1">
        <v>68</v>
      </c>
      <c r="B69" s="1">
        <v>4258.9353884654111</v>
      </c>
      <c r="C69" s="1">
        <v>0</v>
      </c>
      <c r="D69" s="1"/>
      <c r="E69" s="1">
        <v>4258.9399999999996</v>
      </c>
      <c r="F69" s="1"/>
      <c r="G69" s="1"/>
      <c r="H69" s="1"/>
      <c r="I69" s="1"/>
      <c r="J69" s="1"/>
      <c r="K69" s="1">
        <v>0</v>
      </c>
      <c r="L69" s="1">
        <v>0</v>
      </c>
      <c r="M69" s="4">
        <f t="shared" si="27"/>
        <v>0</v>
      </c>
      <c r="N69" s="4">
        <f t="shared" si="28"/>
        <v>0</v>
      </c>
      <c r="O69" s="4">
        <f t="shared" si="28"/>
        <v>0</v>
      </c>
      <c r="P69" s="4">
        <f t="shared" si="29"/>
        <v>0</v>
      </c>
      <c r="Q69" s="4"/>
      <c r="R69" s="4" t="s">
        <v>247</v>
      </c>
      <c r="S69" s="4">
        <v>32500</v>
      </c>
      <c r="T69" s="4" t="s">
        <v>265</v>
      </c>
      <c r="U69" s="4"/>
      <c r="V69" s="4">
        <v>86.851900000000001</v>
      </c>
      <c r="W69" s="1">
        <f t="shared" si="37"/>
        <v>86.851900000000001</v>
      </c>
      <c r="X69" s="1">
        <f t="shared" si="34"/>
        <v>2171.2975000000001</v>
      </c>
      <c r="Y69" s="1">
        <f t="shared" si="38"/>
        <v>2171.2975000000001</v>
      </c>
      <c r="Z69" s="1">
        <f t="shared" si="35"/>
        <v>0</v>
      </c>
      <c r="AA69" s="1">
        <f t="shared" si="36"/>
        <v>0</v>
      </c>
      <c r="AB69" s="4"/>
      <c r="AW69">
        <f t="shared" si="39"/>
        <v>1.053066225814641E-2</v>
      </c>
      <c r="AX69">
        <f t="shared" si="40"/>
        <v>2245.4379179780599</v>
      </c>
      <c r="AY69">
        <f t="shared" si="30"/>
        <v>1215.41647180061</v>
      </c>
      <c r="AZ69">
        <f t="shared" si="31"/>
        <v>1030.0214461774499</v>
      </c>
    </row>
    <row r="70" spans="1:52" x14ac:dyDescent="0.35">
      <c r="A70" s="1">
        <v>69</v>
      </c>
      <c r="B70" s="1">
        <v>4490.8701254733214</v>
      </c>
      <c r="C70" s="1">
        <v>0</v>
      </c>
      <c r="D70" s="1"/>
      <c r="E70" s="1">
        <v>4490.87</v>
      </c>
      <c r="F70" s="1"/>
      <c r="G70" s="1"/>
      <c r="H70" s="1"/>
      <c r="I70" s="1"/>
      <c r="J70" s="1"/>
      <c r="K70" s="1">
        <v>0</v>
      </c>
      <c r="L70" s="1">
        <v>0</v>
      </c>
      <c r="M70" s="4">
        <f t="shared" si="27"/>
        <v>0</v>
      </c>
      <c r="N70" s="4">
        <f t="shared" si="28"/>
        <v>0</v>
      </c>
      <c r="O70" s="4">
        <f t="shared" si="28"/>
        <v>0</v>
      </c>
      <c r="P70" s="4">
        <f t="shared" si="29"/>
        <v>0</v>
      </c>
      <c r="Q70" s="4"/>
      <c r="R70" s="4" t="s">
        <v>247</v>
      </c>
      <c r="S70" s="4">
        <v>34600</v>
      </c>
      <c r="T70" s="4" t="s">
        <v>266</v>
      </c>
      <c r="U70" s="4"/>
      <c r="V70" s="4">
        <v>90.9893</v>
      </c>
      <c r="W70" s="1">
        <f t="shared" si="37"/>
        <v>90.9893</v>
      </c>
      <c r="X70" s="1">
        <f t="shared" si="34"/>
        <v>2274.7325000000001</v>
      </c>
      <c r="Y70" s="1">
        <f t="shared" si="38"/>
        <v>2274.7325000000001</v>
      </c>
      <c r="Z70" s="1">
        <f t="shared" si="35"/>
        <v>0</v>
      </c>
      <c r="AA70" s="1">
        <f t="shared" si="36"/>
        <v>0</v>
      </c>
      <c r="AB70" s="4"/>
      <c r="AW70">
        <f t="shared" si="39"/>
        <v>1.1104145102703576E-2</v>
      </c>
      <c r="AX70">
        <f t="shared" si="40"/>
        <v>2367.7208374100651</v>
      </c>
      <c r="AY70">
        <f t="shared" si="30"/>
        <v>1281.6060882257916</v>
      </c>
      <c r="AZ70">
        <f t="shared" si="31"/>
        <v>1086.1147491842735</v>
      </c>
    </row>
    <row r="71" spans="1:52" x14ac:dyDescent="0.35">
      <c r="A71" s="1">
        <v>70</v>
      </c>
      <c r="B71" s="1">
        <v>6097.7538980173758</v>
      </c>
      <c r="C71" s="1">
        <v>0</v>
      </c>
      <c r="D71" s="1"/>
      <c r="E71" s="1">
        <v>6097.75</v>
      </c>
      <c r="F71" s="1"/>
      <c r="G71" s="1"/>
      <c r="H71" s="1"/>
      <c r="I71" s="1"/>
      <c r="J71" s="1"/>
      <c r="K71" s="1">
        <v>0</v>
      </c>
      <c r="L71" s="1">
        <v>0</v>
      </c>
      <c r="M71" s="4">
        <f t="shared" si="27"/>
        <v>0</v>
      </c>
      <c r="N71" s="4">
        <f t="shared" si="28"/>
        <v>0</v>
      </c>
      <c r="O71" s="4">
        <f t="shared" si="28"/>
        <v>0</v>
      </c>
      <c r="P71" s="4">
        <f t="shared" si="29"/>
        <v>0</v>
      </c>
      <c r="Q71" s="4"/>
      <c r="R71" s="4"/>
      <c r="S71" s="4"/>
      <c r="T71" s="4"/>
      <c r="U71" s="4"/>
      <c r="V71" s="4">
        <v>124.14400000000001</v>
      </c>
      <c r="W71" s="1">
        <f t="shared" si="37"/>
        <v>124.14400000000001</v>
      </c>
      <c r="X71" s="1">
        <f t="shared" si="34"/>
        <v>3103.6000000000004</v>
      </c>
      <c r="Y71" s="1">
        <f t="shared" si="38"/>
        <v>3103.6000000000004</v>
      </c>
      <c r="Z71" s="1">
        <f t="shared" si="35"/>
        <v>0</v>
      </c>
      <c r="AA71" s="1">
        <f t="shared" si="36"/>
        <v>0</v>
      </c>
      <c r="AB71" s="4"/>
      <c r="AW71">
        <f t="shared" si="39"/>
        <v>1.5077332942694453E-2</v>
      </c>
      <c r="AX71">
        <f t="shared" si="40"/>
        <v>3214.9179473794065</v>
      </c>
      <c r="AY71">
        <f t="shared" si="30"/>
        <v>1740.1791416486258</v>
      </c>
      <c r="AZ71">
        <f t="shared" si="31"/>
        <v>1474.7388057307808</v>
      </c>
    </row>
    <row r="72" spans="1:52" x14ac:dyDescent="0.35">
      <c r="A72" s="1">
        <v>71</v>
      </c>
      <c r="B72" s="1">
        <v>4593.5313049109664</v>
      </c>
      <c r="C72" s="1">
        <v>0</v>
      </c>
      <c r="D72" s="1"/>
      <c r="E72" s="1">
        <v>4593.53</v>
      </c>
      <c r="F72" s="1"/>
      <c r="G72" s="1"/>
      <c r="H72" s="1"/>
      <c r="I72" s="1"/>
      <c r="J72" s="1"/>
      <c r="K72" s="1">
        <v>0</v>
      </c>
      <c r="L72" s="1">
        <v>0</v>
      </c>
      <c r="M72" s="4">
        <f t="shared" si="27"/>
        <v>0</v>
      </c>
      <c r="N72" s="4">
        <f t="shared" si="28"/>
        <v>0</v>
      </c>
      <c r="O72" s="4">
        <f t="shared" si="28"/>
        <v>0</v>
      </c>
      <c r="P72" s="4">
        <f t="shared" si="29"/>
        <v>0</v>
      </c>
      <c r="Q72" s="4"/>
      <c r="R72" s="4"/>
      <c r="S72" s="4"/>
      <c r="T72" s="4"/>
      <c r="U72" s="4"/>
      <c r="V72" s="4">
        <v>96.512100000000004</v>
      </c>
      <c r="W72" s="1">
        <f t="shared" si="37"/>
        <v>96.512100000000004</v>
      </c>
      <c r="X72" s="1">
        <f t="shared" si="34"/>
        <v>2412.8025000000002</v>
      </c>
      <c r="Y72" s="1">
        <f t="shared" si="38"/>
        <v>2412.8025000000002</v>
      </c>
      <c r="Z72" s="1">
        <f t="shared" si="35"/>
        <v>0</v>
      </c>
      <c r="AA72" s="1">
        <f t="shared" si="36"/>
        <v>0</v>
      </c>
      <c r="AB72" s="4"/>
      <c r="AW72">
        <f t="shared" si="39"/>
        <v>1.1357985583732882E-2</v>
      </c>
      <c r="AX72">
        <f t="shared" si="40"/>
        <v>2421.8468768982334</v>
      </c>
      <c r="AY72">
        <f t="shared" si="30"/>
        <v>1310.903571545432</v>
      </c>
      <c r="AZ72">
        <f t="shared" si="31"/>
        <v>1110.9433053528014</v>
      </c>
    </row>
    <row r="73" spans="1:52" x14ac:dyDescent="0.35">
      <c r="A73" s="1">
        <v>72</v>
      </c>
      <c r="B73" s="1">
        <v>8062.2213477933838</v>
      </c>
      <c r="C73" s="1">
        <v>0</v>
      </c>
      <c r="D73" s="1"/>
      <c r="E73" s="1">
        <v>8062.22</v>
      </c>
      <c r="F73" s="1"/>
      <c r="G73" s="1"/>
      <c r="H73" s="1"/>
      <c r="I73" s="1"/>
      <c r="J73" s="1"/>
      <c r="K73" s="1">
        <v>0</v>
      </c>
      <c r="L73" s="1">
        <v>0</v>
      </c>
      <c r="M73" s="4">
        <f t="shared" si="27"/>
        <v>0</v>
      </c>
      <c r="N73" s="4">
        <f t="shared" si="28"/>
        <v>0</v>
      </c>
      <c r="O73" s="4">
        <f t="shared" si="28"/>
        <v>0</v>
      </c>
      <c r="P73" s="4">
        <f t="shared" si="29"/>
        <v>0</v>
      </c>
      <c r="Q73" s="4"/>
      <c r="R73" s="4"/>
      <c r="S73" s="4"/>
      <c r="T73" s="4"/>
      <c r="U73" s="4"/>
      <c r="V73" s="4">
        <v>174.48599999999999</v>
      </c>
      <c r="W73" s="1">
        <f t="shared" si="37"/>
        <v>174.48599999999999</v>
      </c>
      <c r="X73" s="1">
        <f t="shared" si="34"/>
        <v>4362.1499999999996</v>
      </c>
      <c r="Y73" s="1">
        <f t="shared" si="38"/>
        <v>4362.1499999999996</v>
      </c>
      <c r="Z73" s="1">
        <f t="shared" si="35"/>
        <v>0</v>
      </c>
      <c r="AA73" s="1">
        <f t="shared" si="36"/>
        <v>0</v>
      </c>
      <c r="AB73" s="4"/>
      <c r="AW73">
        <f t="shared" si="39"/>
        <v>1.9934683746076182E-2</v>
      </c>
      <c r="AX73">
        <f t="shared" si="40"/>
        <v>4250.6438502206147</v>
      </c>
      <c r="AY73">
        <f t="shared" si="30"/>
        <v>2300.7995500352908</v>
      </c>
      <c r="AZ73">
        <f t="shared" si="31"/>
        <v>1949.8443001853238</v>
      </c>
    </row>
    <row r="74" spans="1:52" x14ac:dyDescent="0.35">
      <c r="A74" s="1">
        <v>73</v>
      </c>
      <c r="B74" s="1">
        <v>4657.9117518025187</v>
      </c>
      <c r="C74" s="1">
        <v>0</v>
      </c>
      <c r="D74" s="1"/>
      <c r="E74" s="1">
        <v>4657.91</v>
      </c>
      <c r="F74" s="1"/>
      <c r="G74" s="1"/>
      <c r="H74" s="1"/>
      <c r="I74" s="1"/>
      <c r="J74" s="1"/>
      <c r="K74" s="1">
        <v>0</v>
      </c>
      <c r="L74" s="1">
        <v>0</v>
      </c>
      <c r="M74" s="4">
        <f t="shared" si="27"/>
        <v>0</v>
      </c>
      <c r="N74" s="4">
        <f t="shared" si="28"/>
        <v>0</v>
      </c>
      <c r="O74" s="4">
        <f t="shared" si="28"/>
        <v>0</v>
      </c>
      <c r="P74" s="4">
        <f t="shared" si="29"/>
        <v>0</v>
      </c>
      <c r="Q74" s="4"/>
      <c r="R74" s="4"/>
      <c r="S74" s="4"/>
      <c r="T74" s="4"/>
      <c r="U74" s="4"/>
      <c r="V74" s="4">
        <v>98.659400000000005</v>
      </c>
      <c r="W74" s="1">
        <f t="shared" si="37"/>
        <v>98.659400000000005</v>
      </c>
      <c r="X74" s="1">
        <f t="shared" si="34"/>
        <v>2466.4850000000001</v>
      </c>
      <c r="Y74" s="1">
        <f t="shared" si="38"/>
        <v>2466.4850000000001</v>
      </c>
      <c r="Z74" s="1">
        <f t="shared" si="35"/>
        <v>0</v>
      </c>
      <c r="AA74" s="1">
        <f t="shared" si="36"/>
        <v>0</v>
      </c>
      <c r="AB74" s="4"/>
      <c r="AW74">
        <f t="shared" si="39"/>
        <v>1.1517172958136269E-2</v>
      </c>
      <c r="AX74">
        <f t="shared" si="40"/>
        <v>2455.790171041222</v>
      </c>
      <c r="AY74">
        <f t="shared" si="30"/>
        <v>1329.2764860126956</v>
      </c>
      <c r="AZ74">
        <f t="shared" si="31"/>
        <v>1126.5136850285264</v>
      </c>
    </row>
    <row r="75" spans="1:52" x14ac:dyDescent="0.35">
      <c r="A75" s="1">
        <v>74</v>
      </c>
      <c r="B75" s="1">
        <v>4129.0607113934348</v>
      </c>
      <c r="C75" s="1">
        <v>0</v>
      </c>
      <c r="D75" s="1"/>
      <c r="E75" s="1">
        <v>4129.0600000000004</v>
      </c>
      <c r="F75" s="1"/>
      <c r="G75" s="1"/>
      <c r="H75" s="1"/>
      <c r="I75" s="1"/>
      <c r="J75" s="1"/>
      <c r="K75" s="1">
        <v>0</v>
      </c>
      <c r="L75" s="1">
        <v>0</v>
      </c>
      <c r="M75" s="4">
        <f t="shared" si="27"/>
        <v>0</v>
      </c>
      <c r="N75" s="4">
        <f t="shared" si="28"/>
        <v>0</v>
      </c>
      <c r="O75" s="4">
        <f t="shared" si="28"/>
        <v>0</v>
      </c>
      <c r="P75" s="4">
        <f t="shared" si="29"/>
        <v>0</v>
      </c>
      <c r="Q75" s="4"/>
      <c r="R75" s="4"/>
      <c r="S75" s="4"/>
      <c r="T75" s="4"/>
      <c r="U75" s="4"/>
      <c r="V75" s="4">
        <v>86.753399999999999</v>
      </c>
      <c r="W75" s="1">
        <f t="shared" si="37"/>
        <v>86.753399999999999</v>
      </c>
      <c r="X75" s="1">
        <f t="shared" si="34"/>
        <v>2168.835</v>
      </c>
      <c r="Y75" s="1">
        <f t="shared" si="38"/>
        <v>2168.835</v>
      </c>
      <c r="Z75" s="1">
        <f t="shared" si="35"/>
        <v>0</v>
      </c>
      <c r="AA75" s="1">
        <f t="shared" si="36"/>
        <v>0</v>
      </c>
      <c r="AB75" s="4"/>
      <c r="AW75">
        <f t="shared" si="39"/>
        <v>1.0209533563911015E-2</v>
      </c>
      <c r="AX75">
        <f t="shared" si="40"/>
        <v>2176.9641098821708</v>
      </c>
      <c r="AY75">
        <f t="shared" si="30"/>
        <v>1178.3527910012772</v>
      </c>
      <c r="AZ75">
        <f t="shared" si="31"/>
        <v>998.61131888089358</v>
      </c>
    </row>
    <row r="76" spans="1:52" x14ac:dyDescent="0.35">
      <c r="A76" s="1">
        <v>75</v>
      </c>
      <c r="B76" s="1">
        <v>14350.316193396229</v>
      </c>
      <c r="C76" s="1">
        <v>0</v>
      </c>
      <c r="D76" s="1"/>
      <c r="E76" s="1">
        <v>14350.3</v>
      </c>
      <c r="F76" s="1"/>
      <c r="G76" s="1"/>
      <c r="H76" s="1"/>
      <c r="I76" s="1"/>
      <c r="J76" s="1"/>
      <c r="K76" s="1">
        <v>0</v>
      </c>
      <c r="L76" s="1">
        <v>0</v>
      </c>
      <c r="M76" s="4">
        <f t="shared" si="27"/>
        <v>0</v>
      </c>
      <c r="N76" s="4">
        <f t="shared" si="28"/>
        <v>0</v>
      </c>
      <c r="O76" s="4">
        <f t="shared" si="28"/>
        <v>0</v>
      </c>
      <c r="P76" s="4">
        <f t="shared" si="29"/>
        <v>0</v>
      </c>
      <c r="Q76" s="4"/>
      <c r="R76" s="4"/>
      <c r="S76" s="4"/>
      <c r="T76" s="4"/>
      <c r="U76" s="4"/>
      <c r="V76" s="4">
        <v>250.209</v>
      </c>
      <c r="W76" s="1">
        <f t="shared" si="37"/>
        <v>250.209</v>
      </c>
      <c r="X76" s="1">
        <f t="shared" si="34"/>
        <v>6255.2250000000004</v>
      </c>
      <c r="Y76" s="1">
        <f t="shared" si="38"/>
        <v>6255.2250000000004</v>
      </c>
      <c r="Z76" s="1">
        <f t="shared" si="35"/>
        <v>0</v>
      </c>
      <c r="AA76" s="1">
        <f t="shared" si="36"/>
        <v>0</v>
      </c>
      <c r="AB76" s="4"/>
      <c r="AW76">
        <f t="shared" si="39"/>
        <v>3.5482654547787408E-2</v>
      </c>
      <c r="AX76">
        <f t="shared" si="40"/>
        <v>7565.9152291664695</v>
      </c>
      <c r="AY76">
        <f t="shared" si="30"/>
        <v>4095.2982579257691</v>
      </c>
      <c r="AZ76">
        <f t="shared" si="31"/>
        <v>3470.6169712407004</v>
      </c>
    </row>
    <row r="77" spans="1:52" x14ac:dyDescent="0.35">
      <c r="A77" s="1">
        <v>76</v>
      </c>
      <c r="B77" s="1">
        <v>5149.4780654648821</v>
      </c>
      <c r="C77" s="1">
        <v>0</v>
      </c>
      <c r="D77" s="1"/>
      <c r="E77" s="1">
        <v>5149.4799999999996</v>
      </c>
      <c r="F77" s="1"/>
      <c r="G77" s="1"/>
      <c r="H77" s="1"/>
      <c r="I77" s="1"/>
      <c r="J77" s="1"/>
      <c r="K77" s="1">
        <v>0</v>
      </c>
      <c r="L77" s="1">
        <v>0</v>
      </c>
      <c r="M77" s="4">
        <f t="shared" si="27"/>
        <v>0</v>
      </c>
      <c r="N77" s="4">
        <f t="shared" si="28"/>
        <v>0</v>
      </c>
      <c r="O77" s="4">
        <f t="shared" si="28"/>
        <v>0</v>
      </c>
      <c r="P77" s="4">
        <f t="shared" si="29"/>
        <v>0</v>
      </c>
      <c r="Q77" s="4"/>
      <c r="R77" s="4"/>
      <c r="S77" s="4"/>
      <c r="T77" s="4"/>
      <c r="U77" s="4"/>
      <c r="V77" s="4">
        <v>108.91500000000001</v>
      </c>
      <c r="W77" s="1">
        <f t="shared" si="37"/>
        <v>108.91500000000001</v>
      </c>
      <c r="X77" s="1">
        <f t="shared" si="34"/>
        <v>2722.875</v>
      </c>
      <c r="Y77" s="1">
        <f t="shared" si="38"/>
        <v>2722.875</v>
      </c>
      <c r="Z77" s="1">
        <f t="shared" si="35"/>
        <v>0</v>
      </c>
      <c r="AA77" s="1">
        <f t="shared" si="36"/>
        <v>0</v>
      </c>
      <c r="AB77" s="4"/>
      <c r="AW77">
        <f t="shared" si="39"/>
        <v>1.2732621974028859E-2</v>
      </c>
      <c r="AX77">
        <f t="shared" si="40"/>
        <v>2714.9586108554463</v>
      </c>
      <c r="AY77">
        <f t="shared" si="30"/>
        <v>1469.5598526553672</v>
      </c>
      <c r="AZ77">
        <f t="shared" si="31"/>
        <v>1245.3987582000791</v>
      </c>
    </row>
    <row r="78" spans="1:52" x14ac:dyDescent="0.35">
      <c r="A78" s="1">
        <v>77</v>
      </c>
      <c r="B78" s="1">
        <v>4612.9275296437472</v>
      </c>
      <c r="C78" s="1">
        <v>0</v>
      </c>
      <c r="D78" s="1"/>
      <c r="E78" s="1">
        <v>4612.93</v>
      </c>
      <c r="F78" s="1"/>
      <c r="G78" s="1"/>
      <c r="H78" s="1"/>
      <c r="I78" s="1"/>
      <c r="J78" s="1"/>
      <c r="K78" s="1">
        <v>0</v>
      </c>
      <c r="L78" s="1">
        <v>0</v>
      </c>
      <c r="M78" s="4">
        <f t="shared" si="27"/>
        <v>0</v>
      </c>
      <c r="N78" s="4">
        <f t="shared" si="28"/>
        <v>0</v>
      </c>
      <c r="O78" s="4">
        <f t="shared" si="28"/>
        <v>0</v>
      </c>
      <c r="P78" s="4">
        <f t="shared" si="29"/>
        <v>0</v>
      </c>
      <c r="Q78" s="4"/>
      <c r="R78" s="4"/>
      <c r="S78" s="4"/>
      <c r="T78" s="4"/>
      <c r="U78" s="4"/>
      <c r="V78" s="4">
        <v>98.416499999999999</v>
      </c>
      <c r="W78" s="1">
        <f t="shared" si="37"/>
        <v>98.416499999999999</v>
      </c>
      <c r="X78" s="1">
        <f t="shared" si="34"/>
        <v>2460.4124999999999</v>
      </c>
      <c r="Y78" s="1">
        <f t="shared" si="38"/>
        <v>2460.4124999999999</v>
      </c>
      <c r="Z78" s="1">
        <f t="shared" si="35"/>
        <v>0</v>
      </c>
      <c r="AA78" s="1">
        <f t="shared" si="36"/>
        <v>0</v>
      </c>
      <c r="AB78" s="4"/>
      <c r="AW78">
        <f t="shared" si="39"/>
        <v>1.1405944773791791E-2</v>
      </c>
      <c r="AX78">
        <f t="shared" si="40"/>
        <v>2432.0731457912921</v>
      </c>
      <c r="AY78">
        <f t="shared" si="30"/>
        <v>1316.4388729484106</v>
      </c>
      <c r="AZ78">
        <f t="shared" si="31"/>
        <v>1115.6342728428815</v>
      </c>
    </row>
    <row r="79" spans="1:52" x14ac:dyDescent="0.35">
      <c r="A79" s="1">
        <v>78</v>
      </c>
      <c r="B79" s="1">
        <v>4299.5858542619962</v>
      </c>
      <c r="C79" s="1">
        <v>0</v>
      </c>
      <c r="D79" s="1"/>
      <c r="E79" s="1">
        <v>4299.59</v>
      </c>
      <c r="F79" s="1"/>
      <c r="G79" s="1"/>
      <c r="H79" s="1"/>
      <c r="I79" s="1"/>
      <c r="J79" s="1"/>
      <c r="K79" s="1">
        <v>0</v>
      </c>
      <c r="L79" s="1">
        <v>0</v>
      </c>
      <c r="M79" s="4">
        <f t="shared" si="27"/>
        <v>0</v>
      </c>
      <c r="N79" s="4">
        <f t="shared" ref="N79:O100" si="41">$S$19*C79</f>
        <v>0</v>
      </c>
      <c r="O79" s="4">
        <f t="shared" si="41"/>
        <v>0</v>
      </c>
      <c r="P79" s="4">
        <f t="shared" si="29"/>
        <v>0</v>
      </c>
      <c r="Q79" s="4"/>
      <c r="R79" s="4"/>
      <c r="S79" s="4"/>
      <c r="T79" s="4"/>
      <c r="U79" s="4"/>
      <c r="V79" s="4">
        <v>78.811800000000005</v>
      </c>
      <c r="W79" s="1">
        <f t="shared" si="37"/>
        <v>78.811800000000005</v>
      </c>
      <c r="X79" s="1">
        <f t="shared" si="34"/>
        <v>1970.2950000000001</v>
      </c>
      <c r="Y79" s="1">
        <f t="shared" si="38"/>
        <v>1970.2950000000001</v>
      </c>
      <c r="Z79" s="1">
        <f t="shared" si="35"/>
        <v>0</v>
      </c>
      <c r="AA79" s="1">
        <f t="shared" si="36"/>
        <v>0</v>
      </c>
      <c r="AB79" s="4"/>
      <c r="AW79">
        <f t="shared" si="39"/>
        <v>1.0631174777566062E-2</v>
      </c>
      <c r="AX79">
        <f t="shared" si="40"/>
        <v>2266.8700574583472</v>
      </c>
      <c r="AY79">
        <f t="shared" si="30"/>
        <v>1227.0173159574263</v>
      </c>
      <c r="AZ79">
        <f t="shared" si="31"/>
        <v>1039.852741500921</v>
      </c>
    </row>
    <row r="80" spans="1:52" x14ac:dyDescent="0.35">
      <c r="A80" s="1">
        <v>79</v>
      </c>
      <c r="B80" s="1">
        <v>3153.09355833985</v>
      </c>
      <c r="C80" s="1">
        <v>0</v>
      </c>
      <c r="D80" s="1"/>
      <c r="E80" s="1">
        <v>3153.09</v>
      </c>
      <c r="F80" s="1"/>
      <c r="G80" s="1"/>
      <c r="H80" s="1"/>
      <c r="I80" s="1"/>
      <c r="J80" s="1"/>
      <c r="K80" s="1">
        <v>0</v>
      </c>
      <c r="L80" s="1">
        <v>0</v>
      </c>
      <c r="M80" s="4">
        <f t="shared" si="27"/>
        <v>0</v>
      </c>
      <c r="N80" s="4">
        <f t="shared" si="41"/>
        <v>0</v>
      </c>
      <c r="O80" s="4">
        <f t="shared" si="41"/>
        <v>0</v>
      </c>
      <c r="P80" s="4">
        <f t="shared" si="29"/>
        <v>0</v>
      </c>
      <c r="Q80" s="4"/>
      <c r="R80" s="4"/>
      <c r="S80" s="4"/>
      <c r="T80" s="4"/>
      <c r="U80" s="4"/>
      <c r="V80" s="4">
        <v>66.247900000000001</v>
      </c>
      <c r="W80" s="1">
        <f t="shared" si="37"/>
        <v>66.247900000000001</v>
      </c>
      <c r="X80" s="1">
        <f t="shared" si="34"/>
        <v>1656.1975</v>
      </c>
      <c r="Y80" s="1">
        <f t="shared" si="38"/>
        <v>1656.1975</v>
      </c>
      <c r="Z80" s="1">
        <f t="shared" si="35"/>
        <v>0</v>
      </c>
      <c r="AA80" s="1">
        <f t="shared" si="36"/>
        <v>0</v>
      </c>
      <c r="AB80" s="4"/>
      <c r="AW80">
        <f t="shared" si="39"/>
        <v>7.7963529151303286E-3</v>
      </c>
      <c r="AX80">
        <f t="shared" si="40"/>
        <v>1662.4050822662923</v>
      </c>
      <c r="AY80">
        <f t="shared" si="30"/>
        <v>899.83094327137053</v>
      </c>
      <c r="AZ80">
        <f t="shared" si="31"/>
        <v>762.57413899492178</v>
      </c>
    </row>
    <row r="81" spans="1:52" x14ac:dyDescent="0.35">
      <c r="A81" s="1">
        <v>80</v>
      </c>
      <c r="B81" s="1">
        <v>4296.4999200900902</v>
      </c>
      <c r="C81" s="1">
        <v>0</v>
      </c>
      <c r="D81" s="1"/>
      <c r="E81" s="1">
        <v>4296.5</v>
      </c>
      <c r="F81" s="1"/>
      <c r="G81" s="1"/>
      <c r="H81" s="1"/>
      <c r="I81" s="1"/>
      <c r="J81" s="1"/>
      <c r="K81" s="1">
        <v>0</v>
      </c>
      <c r="L81" s="1">
        <v>0</v>
      </c>
      <c r="M81" s="4">
        <f t="shared" si="27"/>
        <v>0</v>
      </c>
      <c r="N81" s="4">
        <f t="shared" si="41"/>
        <v>0</v>
      </c>
      <c r="O81" s="4">
        <f t="shared" si="41"/>
        <v>0</v>
      </c>
      <c r="P81" s="4">
        <f t="shared" si="29"/>
        <v>0</v>
      </c>
      <c r="Q81" s="4"/>
      <c r="R81" s="4"/>
      <c r="S81" s="4"/>
      <c r="T81" s="4"/>
      <c r="U81" s="4"/>
      <c r="V81" s="4">
        <v>89.923500000000004</v>
      </c>
      <c r="W81" s="1">
        <f t="shared" si="37"/>
        <v>89.923500000000004</v>
      </c>
      <c r="X81" s="1">
        <f t="shared" si="34"/>
        <v>2248.0875000000001</v>
      </c>
      <c r="Y81" s="1">
        <f>X81-M81</f>
        <v>2248.0875000000001</v>
      </c>
      <c r="Z81" s="1">
        <f t="shared" si="35"/>
        <v>0</v>
      </c>
      <c r="AA81" s="1">
        <f t="shared" si="36"/>
        <v>0</v>
      </c>
      <c r="AB81" s="4"/>
      <c r="AW81">
        <f t="shared" si="39"/>
        <v>1.0623544483243395E-2</v>
      </c>
      <c r="AX81">
        <f t="shared" si="40"/>
        <v>2265.2430608101358</v>
      </c>
      <c r="AY81">
        <f t="shared" si="30"/>
        <v>1226.1366509833615</v>
      </c>
      <c r="AZ81">
        <f t="shared" si="31"/>
        <v>1039.1064098267743</v>
      </c>
    </row>
    <row r="82" spans="1:52" x14ac:dyDescent="0.35">
      <c r="A82" s="1">
        <v>81</v>
      </c>
      <c r="B82" s="1">
        <v>1722.7511821559251</v>
      </c>
      <c r="C82" s="1">
        <v>0</v>
      </c>
      <c r="D82" s="1"/>
      <c r="E82" s="1">
        <v>1722.75</v>
      </c>
      <c r="F82" s="1"/>
      <c r="G82" s="1"/>
      <c r="H82" s="1"/>
      <c r="I82" s="1"/>
      <c r="J82" s="1"/>
      <c r="K82" s="1">
        <v>0</v>
      </c>
      <c r="L82" s="1">
        <v>0</v>
      </c>
      <c r="M82" s="4">
        <f t="shared" si="27"/>
        <v>0</v>
      </c>
      <c r="N82" s="4">
        <f t="shared" si="41"/>
        <v>0</v>
      </c>
      <c r="O82" s="4">
        <f t="shared" si="41"/>
        <v>0</v>
      </c>
      <c r="P82" s="4">
        <f t="shared" si="29"/>
        <v>0</v>
      </c>
      <c r="Q82" s="4"/>
      <c r="R82" s="4"/>
      <c r="S82" s="4"/>
      <c r="T82" s="4"/>
      <c r="U82" s="4"/>
      <c r="V82" s="4">
        <v>30.037500000000001</v>
      </c>
      <c r="W82" s="1">
        <f t="shared" si="37"/>
        <v>30.037500000000001</v>
      </c>
      <c r="X82" s="1">
        <f t="shared" si="34"/>
        <v>750.9375</v>
      </c>
      <c r="Y82" s="1">
        <f t="shared" ref="Y82:Y96" si="42">X82-M82</f>
        <v>750.9375</v>
      </c>
      <c r="Z82" s="1">
        <f t="shared" si="35"/>
        <v>0</v>
      </c>
      <c r="AA82" s="1">
        <f t="shared" si="36"/>
        <v>0</v>
      </c>
      <c r="AB82" s="4"/>
      <c r="AW82">
        <f t="shared" si="39"/>
        <v>4.2596821034759516E-3</v>
      </c>
      <c r="AX82">
        <f t="shared" si="40"/>
        <v>908.28586837244484</v>
      </c>
      <c r="AY82">
        <f t="shared" si="30"/>
        <v>491.63933533181603</v>
      </c>
      <c r="AZ82">
        <f t="shared" si="31"/>
        <v>416.64653304062881</v>
      </c>
    </row>
    <row r="83" spans="1:52" x14ac:dyDescent="0.35">
      <c r="A83" s="1">
        <v>82</v>
      </c>
      <c r="B83" s="1">
        <v>8378.7212496204556</v>
      </c>
      <c r="C83" s="1">
        <v>0</v>
      </c>
      <c r="D83" s="1"/>
      <c r="E83" s="1">
        <v>8378.7199999999993</v>
      </c>
      <c r="F83" s="1"/>
      <c r="G83" s="1"/>
      <c r="H83" s="1"/>
      <c r="I83" s="1"/>
      <c r="J83" s="1"/>
      <c r="K83" s="1">
        <v>0</v>
      </c>
      <c r="L83" s="1">
        <v>0</v>
      </c>
      <c r="M83" s="4">
        <f t="shared" si="27"/>
        <v>0</v>
      </c>
      <c r="N83" s="4">
        <f t="shared" si="41"/>
        <v>0</v>
      </c>
      <c r="O83" s="4">
        <f t="shared" si="41"/>
        <v>0</v>
      </c>
      <c r="P83" s="4">
        <f t="shared" si="29"/>
        <v>0</v>
      </c>
      <c r="Q83" s="4"/>
      <c r="R83" s="4"/>
      <c r="S83" s="4"/>
      <c r="T83" s="4"/>
      <c r="U83" s="4"/>
      <c r="V83" s="4">
        <v>122.405</v>
      </c>
      <c r="W83" s="1">
        <f t="shared" si="37"/>
        <v>122.405</v>
      </c>
      <c r="X83" s="1">
        <f t="shared" si="34"/>
        <v>3060.125</v>
      </c>
      <c r="Y83" s="1">
        <f t="shared" si="42"/>
        <v>3060.125</v>
      </c>
      <c r="Z83" s="1">
        <f t="shared" si="35"/>
        <v>0</v>
      </c>
      <c r="AA83" s="1">
        <f t="shared" si="36"/>
        <v>0</v>
      </c>
      <c r="AB83" s="4"/>
      <c r="AW83">
        <f t="shared" si="39"/>
        <v>2.0717262786815824E-2</v>
      </c>
      <c r="AX83">
        <f t="shared" si="40"/>
        <v>4417.5120498471206</v>
      </c>
      <c r="AY83">
        <f t="shared" si="30"/>
        <v>2391.1224027946296</v>
      </c>
      <c r="AZ83">
        <f t="shared" si="31"/>
        <v>2026.389647052491</v>
      </c>
    </row>
    <row r="84" spans="1:52" x14ac:dyDescent="0.35">
      <c r="A84" s="1">
        <v>83</v>
      </c>
      <c r="B84" s="1">
        <v>4180.060549855245</v>
      </c>
      <c r="C84" s="1">
        <v>0</v>
      </c>
      <c r="D84" s="1"/>
      <c r="E84" s="1">
        <v>4180.0600000000004</v>
      </c>
      <c r="F84" s="1"/>
      <c r="G84" s="1"/>
      <c r="H84" s="1"/>
      <c r="I84" s="1"/>
      <c r="J84" s="1"/>
      <c r="K84" s="1">
        <v>0</v>
      </c>
      <c r="L84" s="1">
        <v>0</v>
      </c>
      <c r="M84" s="4">
        <f t="shared" si="27"/>
        <v>0</v>
      </c>
      <c r="N84" s="4">
        <f t="shared" si="41"/>
        <v>0</v>
      </c>
      <c r="O84" s="4">
        <f t="shared" si="41"/>
        <v>0</v>
      </c>
      <c r="P84" s="4">
        <f t="shared" si="29"/>
        <v>0</v>
      </c>
      <c r="Q84" s="4"/>
      <c r="R84" s="4"/>
      <c r="S84" s="4"/>
      <c r="T84" s="4"/>
      <c r="U84" s="4"/>
      <c r="V84" s="4">
        <v>92.304299999999998</v>
      </c>
      <c r="W84" s="1">
        <f t="shared" si="37"/>
        <v>92.304299999999998</v>
      </c>
      <c r="X84" s="1">
        <f t="shared" si="34"/>
        <v>2307.6075000000001</v>
      </c>
      <c r="Y84" s="1">
        <f t="shared" si="42"/>
        <v>2307.6075000000001</v>
      </c>
      <c r="Z84" s="1">
        <f t="shared" si="35"/>
        <v>0</v>
      </c>
      <c r="AA84" s="1">
        <f t="shared" si="36"/>
        <v>0</v>
      </c>
      <c r="AB84" s="4"/>
      <c r="AW84">
        <f t="shared" si="39"/>
        <v>1.0335635987421803E-2</v>
      </c>
      <c r="AX84">
        <f t="shared" si="40"/>
        <v>2203.8527476865979</v>
      </c>
      <c r="AY84">
        <f t="shared" si="30"/>
        <v>1192.9071427516071</v>
      </c>
      <c r="AZ84">
        <f t="shared" si="31"/>
        <v>1010.9456049349908</v>
      </c>
    </row>
    <row r="85" spans="1:52" x14ac:dyDescent="0.35">
      <c r="A85" s="1">
        <v>84</v>
      </c>
      <c r="B85" s="1">
        <v>3330.950005722922</v>
      </c>
      <c r="C85" s="1">
        <v>0</v>
      </c>
      <c r="D85" s="1"/>
      <c r="E85" s="1">
        <v>3330.95</v>
      </c>
      <c r="F85" s="1"/>
      <c r="G85" s="1"/>
      <c r="H85" s="1"/>
      <c r="I85" s="1"/>
      <c r="J85" s="1"/>
      <c r="K85" s="1">
        <v>0</v>
      </c>
      <c r="L85" s="1">
        <v>0</v>
      </c>
      <c r="M85" s="4">
        <f t="shared" si="27"/>
        <v>0</v>
      </c>
      <c r="N85" s="4">
        <f t="shared" si="41"/>
        <v>0</v>
      </c>
      <c r="O85" s="4">
        <f t="shared" si="41"/>
        <v>0</v>
      </c>
      <c r="P85" s="4">
        <f t="shared" si="29"/>
        <v>0</v>
      </c>
      <c r="Q85" s="4"/>
      <c r="R85" s="4"/>
      <c r="S85" s="4"/>
      <c r="T85" s="4"/>
      <c r="U85" s="4"/>
      <c r="V85" s="4">
        <v>57.065800000000003</v>
      </c>
      <c r="W85" s="1">
        <f t="shared" si="37"/>
        <v>57.065800000000003</v>
      </c>
      <c r="X85" s="1">
        <f t="shared" si="34"/>
        <v>1426.645</v>
      </c>
      <c r="Y85" s="1">
        <f t="shared" si="42"/>
        <v>1426.645</v>
      </c>
      <c r="Z85" s="1">
        <f t="shared" si="35"/>
        <v>0</v>
      </c>
      <c r="AA85" s="1">
        <f t="shared" si="36"/>
        <v>0</v>
      </c>
      <c r="AB85" s="4"/>
      <c r="AW85">
        <f t="shared" si="39"/>
        <v>8.2361215443744976E-3</v>
      </c>
      <c r="AX85">
        <f t="shared" si="40"/>
        <v>1756.176312511398</v>
      </c>
      <c r="AY85">
        <f t="shared" si="30"/>
        <v>950.58767847584954</v>
      </c>
      <c r="AZ85">
        <f t="shared" si="31"/>
        <v>805.58863403554847</v>
      </c>
    </row>
    <row r="86" spans="1:52" x14ac:dyDescent="0.35">
      <c r="A86" s="1">
        <v>85</v>
      </c>
      <c r="B86" s="1">
        <v>2875.5642031497382</v>
      </c>
      <c r="C86" s="1">
        <v>0</v>
      </c>
      <c r="D86" s="1"/>
      <c r="E86" s="1">
        <v>2875.56</v>
      </c>
      <c r="F86" s="1"/>
      <c r="G86" s="1"/>
      <c r="H86" s="1"/>
      <c r="I86" s="1"/>
      <c r="J86" s="1"/>
      <c r="K86" s="1">
        <v>0</v>
      </c>
      <c r="L86" s="1">
        <v>0</v>
      </c>
      <c r="M86" s="4">
        <f t="shared" si="27"/>
        <v>0</v>
      </c>
      <c r="N86" s="4">
        <f t="shared" si="41"/>
        <v>0</v>
      </c>
      <c r="O86" s="4">
        <f t="shared" si="41"/>
        <v>0</v>
      </c>
      <c r="P86" s="4">
        <f t="shared" si="29"/>
        <v>0</v>
      </c>
      <c r="Q86" s="4"/>
      <c r="R86" s="4"/>
      <c r="S86" s="4"/>
      <c r="T86" s="4"/>
      <c r="U86" s="4"/>
      <c r="V86" s="4">
        <v>62.269399999999997</v>
      </c>
      <c r="W86" s="1">
        <f t="shared" si="37"/>
        <v>62.269399999999997</v>
      </c>
      <c r="X86" s="1">
        <f t="shared" si="34"/>
        <v>1556.7349999999999</v>
      </c>
      <c r="Y86" s="1">
        <f t="shared" si="42"/>
        <v>1556.7349999999999</v>
      </c>
      <c r="Z86" s="1">
        <f t="shared" si="35"/>
        <v>0</v>
      </c>
      <c r="AA86" s="1">
        <f t="shared" si="36"/>
        <v>0</v>
      </c>
      <c r="AB86" s="4"/>
      <c r="AW86">
        <f t="shared" si="39"/>
        <v>7.1101326183529955E-3</v>
      </c>
      <c r="AX86">
        <f t="shared" si="40"/>
        <v>1516.0833185730369</v>
      </c>
      <c r="AY86">
        <f t="shared" si="30"/>
        <v>820.62951875109718</v>
      </c>
      <c r="AZ86">
        <f t="shared" si="31"/>
        <v>695.4537998219397</v>
      </c>
    </row>
    <row r="87" spans="1:52" x14ac:dyDescent="0.35">
      <c r="A87" s="1">
        <v>86</v>
      </c>
      <c r="B87" s="1">
        <v>2673.7959050516761</v>
      </c>
      <c r="C87" s="1">
        <v>0</v>
      </c>
      <c r="D87" s="1"/>
      <c r="E87" s="1">
        <v>2673.8</v>
      </c>
      <c r="F87" s="1"/>
      <c r="G87" s="1"/>
      <c r="H87" s="1"/>
      <c r="I87" s="1"/>
      <c r="J87" s="1"/>
      <c r="K87" s="1">
        <v>0</v>
      </c>
      <c r="L87" s="1">
        <v>0</v>
      </c>
      <c r="M87" s="4">
        <f t="shared" si="27"/>
        <v>0</v>
      </c>
      <c r="N87" s="4">
        <f t="shared" si="41"/>
        <v>0</v>
      </c>
      <c r="O87" s="4">
        <f t="shared" si="41"/>
        <v>0</v>
      </c>
      <c r="P87" s="4">
        <f t="shared" si="29"/>
        <v>0</v>
      </c>
      <c r="Q87" s="4"/>
      <c r="R87" s="4"/>
      <c r="S87" s="4"/>
      <c r="T87" s="4"/>
      <c r="U87" s="4"/>
      <c r="V87" s="4">
        <v>54.038899999999998</v>
      </c>
      <c r="W87" s="1">
        <f t="shared" si="37"/>
        <v>54.038899999999998</v>
      </c>
      <c r="X87" s="1">
        <f t="shared" si="34"/>
        <v>1350.9724999999999</v>
      </c>
      <c r="Y87" s="1">
        <f t="shared" si="42"/>
        <v>1350.9724999999999</v>
      </c>
      <c r="Z87" s="1">
        <f t="shared" si="35"/>
        <v>0</v>
      </c>
      <c r="AA87" s="1">
        <f t="shared" si="36"/>
        <v>0</v>
      </c>
      <c r="AB87" s="4"/>
      <c r="AW87">
        <f t="shared" si="39"/>
        <v>6.611239442507637E-3</v>
      </c>
      <c r="AX87">
        <f t="shared" si="40"/>
        <v>1409.705046570527</v>
      </c>
      <c r="AY87">
        <f t="shared" si="30"/>
        <v>763.04881122035374</v>
      </c>
      <c r="AZ87">
        <f t="shared" si="31"/>
        <v>646.65623535017323</v>
      </c>
    </row>
    <row r="88" spans="1:52" x14ac:dyDescent="0.35">
      <c r="A88" s="1">
        <v>87</v>
      </c>
      <c r="B88" s="1">
        <v>19513.44492845656</v>
      </c>
      <c r="C88" s="1">
        <v>0</v>
      </c>
      <c r="D88" s="1"/>
      <c r="E88" s="1">
        <v>19513.400000000001</v>
      </c>
      <c r="F88" s="1"/>
      <c r="G88" s="1"/>
      <c r="H88" s="1"/>
      <c r="I88" s="1"/>
      <c r="J88" s="1"/>
      <c r="K88" s="1">
        <v>0</v>
      </c>
      <c r="L88" s="1">
        <v>0</v>
      </c>
      <c r="M88" s="4">
        <f t="shared" si="27"/>
        <v>0</v>
      </c>
      <c r="N88" s="4">
        <f t="shared" si="41"/>
        <v>0</v>
      </c>
      <c r="O88" s="4">
        <f t="shared" si="41"/>
        <v>0</v>
      </c>
      <c r="P88" s="4">
        <f t="shared" si="29"/>
        <v>0</v>
      </c>
      <c r="Q88" s="4"/>
      <c r="R88" s="4"/>
      <c r="S88" s="4"/>
      <c r="T88" s="4"/>
      <c r="U88" s="4"/>
      <c r="V88" s="4">
        <v>382.77600000000001</v>
      </c>
      <c r="W88" s="1">
        <f t="shared" si="37"/>
        <v>382.77600000000001</v>
      </c>
      <c r="X88" s="1">
        <f t="shared" si="34"/>
        <v>9569.4</v>
      </c>
      <c r="Y88" s="1">
        <f t="shared" si="42"/>
        <v>9569.4</v>
      </c>
      <c r="Z88" s="1">
        <f t="shared" si="35"/>
        <v>0</v>
      </c>
      <c r="AA88" s="1">
        <f t="shared" si="36"/>
        <v>0</v>
      </c>
      <c r="AB88" s="4"/>
      <c r="AW88">
        <f t="shared" si="39"/>
        <v>4.8249029227127677E-2</v>
      </c>
      <c r="AX88">
        <f t="shared" si="40"/>
        <v>10288.070880671658</v>
      </c>
      <c r="AY88">
        <f t="shared" si="30"/>
        <v>5568.753743448061</v>
      </c>
      <c r="AZ88">
        <f t="shared" si="31"/>
        <v>4719.3171372235965</v>
      </c>
    </row>
    <row r="89" spans="1:52" x14ac:dyDescent="0.35">
      <c r="A89" s="1">
        <v>88</v>
      </c>
      <c r="B89" s="1">
        <v>5533.3813285011611</v>
      </c>
      <c r="C89" s="1">
        <v>0</v>
      </c>
      <c r="D89" s="1"/>
      <c r="E89" s="1">
        <v>5533.38</v>
      </c>
      <c r="F89" s="1"/>
      <c r="G89" s="1"/>
      <c r="H89" s="1"/>
      <c r="I89" s="1"/>
      <c r="J89" s="1"/>
      <c r="K89" s="1">
        <v>0</v>
      </c>
      <c r="L89" s="1">
        <v>0</v>
      </c>
      <c r="M89" s="4">
        <f t="shared" si="27"/>
        <v>0</v>
      </c>
      <c r="N89" s="4">
        <f t="shared" si="41"/>
        <v>0</v>
      </c>
      <c r="O89" s="4">
        <f t="shared" si="41"/>
        <v>0</v>
      </c>
      <c r="P89" s="4">
        <f t="shared" si="29"/>
        <v>0</v>
      </c>
      <c r="Q89" s="4"/>
      <c r="R89" s="4"/>
      <c r="S89" s="4"/>
      <c r="T89" s="4"/>
      <c r="U89" s="4"/>
      <c r="V89" s="4">
        <v>110.304</v>
      </c>
      <c r="W89" s="1">
        <f t="shared" si="37"/>
        <v>110.304</v>
      </c>
      <c r="X89" s="1">
        <f t="shared" si="34"/>
        <v>2757.6</v>
      </c>
      <c r="Y89" s="1">
        <f t="shared" si="42"/>
        <v>2757.6</v>
      </c>
      <c r="Z89" s="1">
        <f t="shared" si="35"/>
        <v>0</v>
      </c>
      <c r="AA89" s="1">
        <f t="shared" si="36"/>
        <v>0</v>
      </c>
      <c r="AB89" s="4"/>
      <c r="AW89">
        <f t="shared" si="39"/>
        <v>1.3681862860327463E-2</v>
      </c>
      <c r="AX89">
        <f t="shared" si="40"/>
        <v>2917.3638753240803</v>
      </c>
      <c r="AY89">
        <f t="shared" si="30"/>
        <v>1579.1183002279711</v>
      </c>
      <c r="AZ89">
        <f t="shared" si="31"/>
        <v>1338.2455750961092</v>
      </c>
    </row>
    <row r="90" spans="1:52" x14ac:dyDescent="0.35">
      <c r="A90" s="1">
        <v>89</v>
      </c>
      <c r="B90" s="1">
        <v>7532.7075080212007</v>
      </c>
      <c r="C90" s="1">
        <v>0</v>
      </c>
      <c r="D90" s="1"/>
      <c r="E90" s="1">
        <v>7532.71</v>
      </c>
      <c r="F90" s="1"/>
      <c r="G90" s="1"/>
      <c r="H90" s="1"/>
      <c r="I90" s="1"/>
      <c r="J90" s="1"/>
      <c r="K90" s="1">
        <v>0</v>
      </c>
      <c r="L90" s="1">
        <v>0</v>
      </c>
      <c r="M90" s="4">
        <f t="shared" si="27"/>
        <v>0</v>
      </c>
      <c r="N90" s="4">
        <f t="shared" si="41"/>
        <v>0</v>
      </c>
      <c r="O90" s="4">
        <f t="shared" si="41"/>
        <v>0</v>
      </c>
      <c r="P90" s="4">
        <f t="shared" si="29"/>
        <v>0</v>
      </c>
      <c r="Q90" s="4"/>
      <c r="R90" s="4"/>
      <c r="S90" s="4"/>
      <c r="T90" s="4"/>
      <c r="U90" s="4"/>
      <c r="V90" s="4">
        <v>158.81</v>
      </c>
      <c r="W90" s="1">
        <f t="shared" si="37"/>
        <v>158.81</v>
      </c>
      <c r="X90" s="1">
        <f t="shared" si="34"/>
        <v>3970.25</v>
      </c>
      <c r="Y90" s="1">
        <f t="shared" si="42"/>
        <v>3970.25</v>
      </c>
      <c r="Z90" s="1">
        <f t="shared" si="35"/>
        <v>0</v>
      </c>
      <c r="AA90" s="1">
        <f t="shared" si="36"/>
        <v>0</v>
      </c>
      <c r="AB90" s="4"/>
      <c r="AW90">
        <f t="shared" si="39"/>
        <v>1.8625405511248506E-2</v>
      </c>
      <c r="AX90">
        <f t="shared" si="40"/>
        <v>3971.4683414446909</v>
      </c>
      <c r="AY90">
        <f t="shared" si="30"/>
        <v>2149.6867051096492</v>
      </c>
      <c r="AZ90">
        <f t="shared" si="31"/>
        <v>1821.7816363350416</v>
      </c>
    </row>
    <row r="91" spans="1:52" x14ac:dyDescent="0.35">
      <c r="A91" s="1">
        <v>90</v>
      </c>
      <c r="B91" s="1">
        <v>4797.2959806436729</v>
      </c>
      <c r="C91" s="1">
        <v>0</v>
      </c>
      <c r="D91" s="1"/>
      <c r="E91" s="1">
        <v>4797.3</v>
      </c>
      <c r="F91" s="1"/>
      <c r="G91" s="1"/>
      <c r="H91" s="1"/>
      <c r="I91" s="1"/>
      <c r="J91" s="1"/>
      <c r="K91" s="1">
        <v>0</v>
      </c>
      <c r="L91" s="1">
        <v>0</v>
      </c>
      <c r="M91" s="4">
        <f t="shared" si="27"/>
        <v>0</v>
      </c>
      <c r="N91" s="4">
        <f t="shared" si="41"/>
        <v>0</v>
      </c>
      <c r="O91" s="4">
        <f t="shared" si="41"/>
        <v>0</v>
      </c>
      <c r="P91" s="4">
        <f t="shared" si="29"/>
        <v>0</v>
      </c>
      <c r="Q91" s="4"/>
      <c r="R91" s="4"/>
      <c r="S91" s="4"/>
      <c r="T91" s="4"/>
      <c r="U91" s="4"/>
      <c r="V91" s="4">
        <v>100.91</v>
      </c>
      <c r="W91" s="1">
        <f t="shared" si="37"/>
        <v>100.91</v>
      </c>
      <c r="X91" s="1">
        <f t="shared" si="34"/>
        <v>2522.75</v>
      </c>
      <c r="Y91" s="1">
        <f t="shared" si="42"/>
        <v>2522.75</v>
      </c>
      <c r="Z91" s="1">
        <f t="shared" si="35"/>
        <v>0</v>
      </c>
      <c r="AA91" s="1">
        <f t="shared" si="36"/>
        <v>0</v>
      </c>
      <c r="AB91" s="4"/>
      <c r="AW91">
        <f t="shared" si="39"/>
        <v>1.1861815011644215E-2</v>
      </c>
      <c r="AX91">
        <f t="shared" si="40"/>
        <v>2529.2776988059554</v>
      </c>
      <c r="AY91">
        <f t="shared" si="30"/>
        <v>1369.0540060242886</v>
      </c>
      <c r="AZ91">
        <f t="shared" si="31"/>
        <v>1160.2236927816668</v>
      </c>
    </row>
    <row r="92" spans="1:52" x14ac:dyDescent="0.35">
      <c r="A92" s="1">
        <v>91</v>
      </c>
      <c r="B92" s="1">
        <v>5147.5629031179114</v>
      </c>
      <c r="C92" s="1">
        <v>0</v>
      </c>
      <c r="D92" s="1"/>
      <c r="E92" s="1">
        <v>5147.5600000000004</v>
      </c>
      <c r="F92" s="1"/>
      <c r="G92" s="1"/>
      <c r="H92" s="1"/>
      <c r="I92" s="1"/>
      <c r="J92" s="1"/>
      <c r="K92" s="1">
        <v>0</v>
      </c>
      <c r="L92" s="1">
        <v>0</v>
      </c>
      <c r="M92" s="4">
        <f t="shared" si="27"/>
        <v>0</v>
      </c>
      <c r="N92" s="4">
        <f t="shared" si="41"/>
        <v>0</v>
      </c>
      <c r="O92" s="4">
        <f t="shared" si="41"/>
        <v>0</v>
      </c>
      <c r="P92" s="4">
        <f t="shared" si="29"/>
        <v>0</v>
      </c>
      <c r="Q92" s="4"/>
      <c r="R92" s="4"/>
      <c r="S92" s="4"/>
      <c r="T92" s="4" t="s">
        <v>6</v>
      </c>
      <c r="U92" s="4"/>
      <c r="V92" s="4">
        <v>83.866</v>
      </c>
      <c r="W92" s="1">
        <f t="shared" si="37"/>
        <v>83.866</v>
      </c>
      <c r="X92" s="1">
        <f t="shared" si="34"/>
        <v>2096.65</v>
      </c>
      <c r="Y92" s="1">
        <f t="shared" si="42"/>
        <v>2096.65</v>
      </c>
      <c r="Z92" s="1">
        <f t="shared" si="35"/>
        <v>0</v>
      </c>
      <c r="AA92" s="1">
        <f t="shared" si="36"/>
        <v>0</v>
      </c>
      <c r="AB92" s="4"/>
      <c r="AW92">
        <f t="shared" si="39"/>
        <v>1.2727886535238195E-2</v>
      </c>
      <c r="AX92">
        <f t="shared" si="40"/>
        <v>2713.9488800751624</v>
      </c>
      <c r="AY92">
        <f t="shared" si="30"/>
        <v>1469.0133029544759</v>
      </c>
      <c r="AZ92">
        <f t="shared" si="31"/>
        <v>1244.9355771206865</v>
      </c>
    </row>
    <row r="93" spans="1:52" x14ac:dyDescent="0.35">
      <c r="A93" s="1">
        <v>92</v>
      </c>
      <c r="B93" s="1">
        <v>2534.563494353717</v>
      </c>
      <c r="C93" s="1">
        <v>0</v>
      </c>
      <c r="D93" s="1"/>
      <c r="E93" s="1">
        <v>2534.56</v>
      </c>
      <c r="F93" s="1"/>
      <c r="G93" s="1"/>
      <c r="H93" s="1"/>
      <c r="I93" s="1"/>
      <c r="J93" s="1"/>
      <c r="K93" s="1">
        <v>0</v>
      </c>
      <c r="L93" s="1">
        <v>0</v>
      </c>
      <c r="M93" s="4">
        <f t="shared" si="27"/>
        <v>0</v>
      </c>
      <c r="N93" s="4">
        <f t="shared" si="41"/>
        <v>0</v>
      </c>
      <c r="O93" s="4">
        <f t="shared" si="41"/>
        <v>0</v>
      </c>
      <c r="P93" s="4">
        <f t="shared" si="29"/>
        <v>0</v>
      </c>
      <c r="Q93" s="4"/>
      <c r="R93" s="4"/>
      <c r="S93" s="4"/>
      <c r="T93" s="4"/>
      <c r="U93" s="4"/>
      <c r="V93" s="4">
        <v>53.252299999999998</v>
      </c>
      <c r="W93" s="1">
        <f t="shared" si="37"/>
        <v>53.252299999999998</v>
      </c>
      <c r="X93" s="1">
        <f t="shared" si="34"/>
        <v>1331.3074999999999</v>
      </c>
      <c r="Y93" s="1">
        <f t="shared" si="42"/>
        <v>1331.3074999999999</v>
      </c>
      <c r="Z93" s="1">
        <f t="shared" si="35"/>
        <v>0</v>
      </c>
      <c r="AA93" s="1">
        <f t="shared" si="36"/>
        <v>0</v>
      </c>
      <c r="AB93" s="4"/>
      <c r="AW93">
        <f t="shared" si="39"/>
        <v>6.2669727752041804E-3</v>
      </c>
      <c r="AX93">
        <f t="shared" si="40"/>
        <v>1336.2975618645096</v>
      </c>
      <c r="AY93">
        <f t="shared" si="30"/>
        <v>723.31461712360249</v>
      </c>
      <c r="AZ93">
        <f t="shared" si="31"/>
        <v>612.9829447409071</v>
      </c>
    </row>
    <row r="94" spans="1:52" x14ac:dyDescent="0.35">
      <c r="A94" s="1">
        <v>93</v>
      </c>
      <c r="B94" s="1">
        <v>5159.4345472126533</v>
      </c>
      <c r="C94" s="1">
        <v>0</v>
      </c>
      <c r="D94" s="1"/>
      <c r="E94" s="1">
        <v>5159.43</v>
      </c>
      <c r="F94" s="1"/>
      <c r="G94" s="1"/>
      <c r="H94" s="1"/>
      <c r="I94" s="1"/>
      <c r="J94" s="1"/>
      <c r="K94" s="1">
        <v>0</v>
      </c>
      <c r="L94" s="1">
        <v>0</v>
      </c>
      <c r="M94" s="4">
        <f t="shared" si="27"/>
        <v>0</v>
      </c>
      <c r="N94" s="4">
        <f t="shared" si="41"/>
        <v>0</v>
      </c>
      <c r="O94" s="4">
        <f t="shared" si="41"/>
        <v>0</v>
      </c>
      <c r="P94" s="4">
        <f t="shared" si="29"/>
        <v>0</v>
      </c>
      <c r="Q94" s="4"/>
      <c r="R94" s="4"/>
      <c r="S94" s="4"/>
      <c r="T94" s="4"/>
      <c r="U94" s="4"/>
      <c r="V94" s="4">
        <v>109.45699999999999</v>
      </c>
      <c r="W94" s="1">
        <f t="shared" si="37"/>
        <v>109.45699999999999</v>
      </c>
      <c r="X94" s="1">
        <f t="shared" si="34"/>
        <v>2736.4249999999997</v>
      </c>
      <c r="Y94" s="1">
        <f t="shared" si="42"/>
        <v>2736.4249999999997</v>
      </c>
      <c r="Z94" s="1">
        <f t="shared" si="35"/>
        <v>0</v>
      </c>
      <c r="AA94" s="1">
        <f t="shared" si="36"/>
        <v>0</v>
      </c>
      <c r="AB94" s="4"/>
      <c r="AW94">
        <f t="shared" si="39"/>
        <v>1.2757240414320097E-2</v>
      </c>
      <c r="AX94">
        <f t="shared" si="40"/>
        <v>2720.2079653553174</v>
      </c>
      <c r="AY94">
        <f t="shared" si="30"/>
        <v>1472.4012369013449</v>
      </c>
      <c r="AZ94">
        <f t="shared" si="31"/>
        <v>1247.8067284539725</v>
      </c>
    </row>
    <row r="95" spans="1:52" x14ac:dyDescent="0.35">
      <c r="A95" s="1">
        <v>94</v>
      </c>
      <c r="B95" s="1">
        <v>4317.7330751348463</v>
      </c>
      <c r="C95" s="1">
        <v>0</v>
      </c>
      <c r="D95" s="1"/>
      <c r="E95" s="1">
        <v>4317.7299999999996</v>
      </c>
      <c r="F95" s="1"/>
      <c r="G95" s="1"/>
      <c r="H95" s="1"/>
      <c r="I95" s="1"/>
      <c r="J95" s="1"/>
      <c r="K95" s="1">
        <v>0</v>
      </c>
      <c r="L95" s="1">
        <v>0</v>
      </c>
      <c r="M95" s="4">
        <f t="shared" si="27"/>
        <v>0</v>
      </c>
      <c r="N95" s="4">
        <f t="shared" si="41"/>
        <v>0</v>
      </c>
      <c r="O95" s="4">
        <f t="shared" si="41"/>
        <v>0</v>
      </c>
      <c r="P95" s="4">
        <f t="shared" si="29"/>
        <v>0</v>
      </c>
      <c r="Q95" s="4"/>
      <c r="R95" s="4"/>
      <c r="S95" s="4"/>
      <c r="T95" s="4"/>
      <c r="U95" s="4"/>
      <c r="V95" s="4">
        <v>97.187200000000004</v>
      </c>
      <c r="W95" s="1">
        <f t="shared" si="37"/>
        <v>97.187200000000004</v>
      </c>
      <c r="X95" s="1">
        <f t="shared" si="34"/>
        <v>2429.6800000000003</v>
      </c>
      <c r="Y95" s="1">
        <f t="shared" si="42"/>
        <v>2429.6800000000003</v>
      </c>
      <c r="Z95" s="1">
        <f t="shared" si="35"/>
        <v>0</v>
      </c>
      <c r="AA95" s="1">
        <f t="shared" si="36"/>
        <v>0</v>
      </c>
      <c r="AB95" s="4"/>
      <c r="AW95">
        <f t="shared" si="39"/>
        <v>1.067604567522127E-2</v>
      </c>
      <c r="AX95">
        <f t="shared" si="40"/>
        <v>2276.4378142184478</v>
      </c>
      <c r="AY95">
        <f t="shared" si="30"/>
        <v>1232.1961762017029</v>
      </c>
      <c r="AZ95">
        <f t="shared" si="31"/>
        <v>1044.2416380167449</v>
      </c>
    </row>
    <row r="96" spans="1:52" x14ac:dyDescent="0.35">
      <c r="A96" s="1">
        <v>95</v>
      </c>
      <c r="B96" s="1">
        <v>6988.6643510423764</v>
      </c>
      <c r="C96" s="1">
        <v>0</v>
      </c>
      <c r="D96" s="1"/>
      <c r="E96" s="1">
        <v>6988.66</v>
      </c>
      <c r="F96" s="1"/>
      <c r="G96" s="1"/>
      <c r="H96" s="1"/>
      <c r="I96" s="1"/>
      <c r="J96" s="1"/>
      <c r="K96" s="1">
        <v>0</v>
      </c>
      <c r="L96" s="1">
        <v>0</v>
      </c>
      <c r="M96" s="4">
        <f t="shared" si="27"/>
        <v>0</v>
      </c>
      <c r="N96" s="4">
        <f t="shared" si="41"/>
        <v>0</v>
      </c>
      <c r="O96" s="4">
        <f t="shared" si="41"/>
        <v>0</v>
      </c>
      <c r="P96" s="4">
        <f t="shared" si="29"/>
        <v>0</v>
      </c>
      <c r="Q96" s="4"/>
      <c r="R96" s="4"/>
      <c r="S96" s="4"/>
      <c r="T96" s="4"/>
      <c r="U96" s="4"/>
      <c r="V96" s="4">
        <v>114.952</v>
      </c>
      <c r="W96" s="1">
        <f t="shared" si="37"/>
        <v>114.952</v>
      </c>
      <c r="X96" s="1">
        <f t="shared" si="34"/>
        <v>2873.8</v>
      </c>
      <c r="Y96" s="1">
        <f t="shared" si="42"/>
        <v>2873.8</v>
      </c>
      <c r="Z96" s="1">
        <f t="shared" si="35"/>
        <v>0</v>
      </c>
      <c r="AA96" s="1">
        <f t="shared" si="36"/>
        <v>0</v>
      </c>
      <c r="AB96" s="4"/>
      <c r="AW96">
        <f t="shared" si="39"/>
        <v>1.7280202023185243E-2</v>
      </c>
      <c r="AX96">
        <f t="shared" si="40"/>
        <v>3684.6325427600527</v>
      </c>
      <c r="AY96">
        <f t="shared" si="30"/>
        <v>1994.4274785542711</v>
      </c>
      <c r="AZ96">
        <f t="shared" si="31"/>
        <v>1690.2050642057816</v>
      </c>
    </row>
    <row r="97" spans="1:52" x14ac:dyDescent="0.35">
      <c r="A97" s="1">
        <v>96</v>
      </c>
      <c r="B97" s="1">
        <v>2938.8092172996649</v>
      </c>
      <c r="C97" s="1">
        <v>0</v>
      </c>
      <c r="D97" s="1"/>
      <c r="E97" s="1">
        <v>2938.81</v>
      </c>
      <c r="F97" s="1"/>
      <c r="G97" s="1"/>
      <c r="H97" s="1"/>
      <c r="I97" s="1"/>
      <c r="J97" s="1"/>
      <c r="K97" s="1">
        <v>0</v>
      </c>
      <c r="L97" s="1">
        <v>0</v>
      </c>
      <c r="M97" s="4">
        <f t="shared" si="27"/>
        <v>0</v>
      </c>
      <c r="N97" s="4">
        <f t="shared" si="41"/>
        <v>0</v>
      </c>
      <c r="O97" s="4">
        <f t="shared" si="41"/>
        <v>0</v>
      </c>
      <c r="P97" s="4">
        <f t="shared" si="29"/>
        <v>0</v>
      </c>
      <c r="Q97" s="4"/>
      <c r="R97" s="4"/>
      <c r="S97" s="4"/>
      <c r="T97" s="4"/>
      <c r="U97" s="4"/>
      <c r="V97" s="4">
        <v>61.982599999999998</v>
      </c>
      <c r="W97" s="1">
        <f t="shared" si="37"/>
        <v>61.982599999999998</v>
      </c>
      <c r="X97" s="1">
        <f t="shared" si="34"/>
        <v>1549.5650000000001</v>
      </c>
      <c r="Y97" s="1">
        <f>X97-M97</f>
        <v>1549.5650000000001</v>
      </c>
      <c r="Z97" s="1">
        <f t="shared" si="35"/>
        <v>0</v>
      </c>
      <c r="AA97" s="1">
        <f t="shared" si="36"/>
        <v>0</v>
      </c>
      <c r="AB97" s="4"/>
      <c r="AW97">
        <f t="shared" si="39"/>
        <v>7.2665125167962422E-3</v>
      </c>
      <c r="AX97">
        <f t="shared" si="40"/>
        <v>1549.4279786681211</v>
      </c>
      <c r="AY97">
        <f t="shared" si="30"/>
        <v>838.67840302515083</v>
      </c>
      <c r="AZ97">
        <f t="shared" si="31"/>
        <v>710.74957564297029</v>
      </c>
    </row>
    <row r="98" spans="1:52" x14ac:dyDescent="0.35">
      <c r="A98" s="1">
        <v>97</v>
      </c>
      <c r="B98" s="1">
        <v>6184.3427862351964</v>
      </c>
      <c r="C98" s="1">
        <v>0</v>
      </c>
      <c r="D98" s="1"/>
      <c r="E98" s="1">
        <v>6184.34</v>
      </c>
      <c r="F98" s="1"/>
      <c r="G98" s="1"/>
      <c r="H98" s="1"/>
      <c r="I98" s="1"/>
      <c r="J98" s="1"/>
      <c r="K98" s="1">
        <v>0</v>
      </c>
      <c r="L98" s="1">
        <v>0</v>
      </c>
      <c r="M98" s="4">
        <f t="shared" si="27"/>
        <v>0</v>
      </c>
      <c r="N98" s="4">
        <f t="shared" si="41"/>
        <v>0</v>
      </c>
      <c r="O98" s="4">
        <f t="shared" si="41"/>
        <v>0</v>
      </c>
      <c r="P98" s="4">
        <f t="shared" si="29"/>
        <v>0</v>
      </c>
      <c r="Q98" s="4"/>
      <c r="R98" s="4"/>
      <c r="S98" s="4"/>
      <c r="T98" s="4"/>
      <c r="U98" s="4"/>
      <c r="V98" s="4">
        <v>129.93600000000001</v>
      </c>
      <c r="W98" s="1">
        <f t="shared" si="37"/>
        <v>129.93600000000001</v>
      </c>
      <c r="X98" s="1">
        <f t="shared" si="34"/>
        <v>3248.4</v>
      </c>
      <c r="Y98" s="1">
        <f t="shared" ref="Y98:Y100" si="43">X98-M98</f>
        <v>3248.4</v>
      </c>
      <c r="Z98" s="1">
        <f t="shared" si="35"/>
        <v>0</v>
      </c>
      <c r="AA98" s="1">
        <f t="shared" si="36"/>
        <v>0</v>
      </c>
      <c r="AB98" s="4"/>
      <c r="AW98">
        <f t="shared" si="39"/>
        <v>1.5291433006198544E-2</v>
      </c>
      <c r="AX98">
        <f t="shared" si="40"/>
        <v>3260.5701949825138</v>
      </c>
      <c r="AY98">
        <f t="shared" si="30"/>
        <v>1764.889908874602</v>
      </c>
      <c r="AZ98">
        <f t="shared" si="31"/>
        <v>1495.6802861079118</v>
      </c>
    </row>
    <row r="99" spans="1:52" x14ac:dyDescent="0.35">
      <c r="A99" s="1">
        <v>98</v>
      </c>
      <c r="B99" s="1">
        <v>3973.5840486666689</v>
      </c>
      <c r="C99" s="1">
        <v>0</v>
      </c>
      <c r="D99" s="1"/>
      <c r="E99" s="1">
        <v>3973.58</v>
      </c>
      <c r="F99" s="1"/>
      <c r="G99" s="1"/>
      <c r="H99" s="1"/>
      <c r="I99" s="1"/>
      <c r="J99" s="1"/>
      <c r="K99" s="1">
        <v>0</v>
      </c>
      <c r="L99" s="1">
        <v>0</v>
      </c>
      <c r="M99" s="4">
        <f t="shared" si="27"/>
        <v>0</v>
      </c>
      <c r="N99" s="4">
        <f t="shared" si="41"/>
        <v>0</v>
      </c>
      <c r="O99" s="4">
        <f t="shared" si="41"/>
        <v>0</v>
      </c>
      <c r="P99" s="4">
        <f t="shared" si="29"/>
        <v>0</v>
      </c>
      <c r="Q99" s="4"/>
      <c r="R99" s="4"/>
      <c r="S99" s="4"/>
      <c r="T99" s="4"/>
      <c r="U99" s="4"/>
      <c r="V99" s="4">
        <v>82.931700000000006</v>
      </c>
      <c r="W99" s="1">
        <f t="shared" si="37"/>
        <v>82.931700000000006</v>
      </c>
      <c r="X99" s="1">
        <f t="shared" si="34"/>
        <v>2073.2925</v>
      </c>
      <c r="Y99" s="1">
        <f t="shared" si="43"/>
        <v>2073.2925</v>
      </c>
      <c r="Z99" s="1">
        <f t="shared" si="35"/>
        <v>0</v>
      </c>
      <c r="AA99" s="1">
        <f t="shared" si="36"/>
        <v>0</v>
      </c>
      <c r="AB99" s="4"/>
      <c r="AW99">
        <f t="shared" si="39"/>
        <v>9.8251012880343769E-3</v>
      </c>
      <c r="AX99">
        <f t="shared" si="40"/>
        <v>2094.9921704174681</v>
      </c>
      <c r="AY99">
        <f t="shared" si="30"/>
        <v>1133.9828065750073</v>
      </c>
      <c r="AZ99">
        <f t="shared" si="31"/>
        <v>961.00936384246074</v>
      </c>
    </row>
    <row r="100" spans="1:52" x14ac:dyDescent="0.35">
      <c r="A100" s="1">
        <v>99</v>
      </c>
      <c r="B100" s="1">
        <v>6386.1720264839241</v>
      </c>
      <c r="C100" s="1">
        <v>0</v>
      </c>
      <c r="D100" s="1"/>
      <c r="E100" s="1">
        <v>6386.17</v>
      </c>
      <c r="F100" s="1"/>
      <c r="G100" s="1"/>
      <c r="H100" s="1"/>
      <c r="I100" s="1"/>
      <c r="J100" s="1"/>
      <c r="K100" s="1">
        <v>0</v>
      </c>
      <c r="L100" s="1">
        <v>0</v>
      </c>
      <c r="M100" s="4">
        <f t="shared" si="27"/>
        <v>0</v>
      </c>
      <c r="N100" s="4">
        <f t="shared" si="41"/>
        <v>0</v>
      </c>
      <c r="O100" s="4">
        <f t="shared" si="41"/>
        <v>0</v>
      </c>
      <c r="P100" s="4">
        <f t="shared" si="29"/>
        <v>0</v>
      </c>
      <c r="Q100" s="4"/>
      <c r="R100" s="4"/>
      <c r="S100" s="4"/>
      <c r="T100" s="4"/>
      <c r="U100" s="4"/>
      <c r="V100" s="4">
        <v>106.389</v>
      </c>
      <c r="W100" s="1">
        <f t="shared" si="37"/>
        <v>106.389</v>
      </c>
      <c r="X100" s="1">
        <f t="shared" si="34"/>
        <v>2659.7249999999999</v>
      </c>
      <c r="Y100" s="1">
        <f t="shared" si="43"/>
        <v>2659.7249999999999</v>
      </c>
      <c r="Z100" s="1">
        <f t="shared" si="35"/>
        <v>0</v>
      </c>
      <c r="AA100" s="1">
        <f t="shared" si="36"/>
        <v>0</v>
      </c>
      <c r="AB100" s="4"/>
      <c r="AW100">
        <f t="shared" si="39"/>
        <v>1.5790476867872029E-2</v>
      </c>
      <c r="AX100">
        <f t="shared" si="40"/>
        <v>3366.9805975067216</v>
      </c>
      <c r="AY100">
        <f t="shared" si="30"/>
        <v>1822.4880080976325</v>
      </c>
      <c r="AZ100">
        <f t="shared" si="31"/>
        <v>1544.4925894090891</v>
      </c>
    </row>
    <row r="101" spans="1:52" x14ac:dyDescent="0.35">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W101">
        <f t="shared" si="39"/>
        <v>0</v>
      </c>
      <c r="AX101">
        <f t="shared" si="40"/>
        <v>0</v>
      </c>
      <c r="AY101">
        <f t="shared" si="30"/>
        <v>0</v>
      </c>
      <c r="AZ101">
        <f t="shared" si="31"/>
        <v>0</v>
      </c>
    </row>
    <row r="102" spans="1:52" x14ac:dyDescent="0.35">
      <c r="A102" s="1" t="s">
        <v>57</v>
      </c>
      <c r="B102" s="1">
        <f>SUM(B2:B100)</f>
        <v>404431.86611276446</v>
      </c>
      <c r="C102" s="1">
        <f t="shared" ref="C102:Y102" si="44">SUM(C2:C100)</f>
        <v>162</v>
      </c>
      <c r="D102" s="1">
        <f t="shared" si="44"/>
        <v>283691.82999999996</v>
      </c>
      <c r="E102" s="1">
        <f t="shared" si="44"/>
        <v>404431.70899999997</v>
      </c>
      <c r="F102" s="1">
        <f t="shared" si="44"/>
        <v>95787.414000000004</v>
      </c>
      <c r="G102" s="1">
        <f t="shared" si="44"/>
        <v>9329.0467000000008</v>
      </c>
      <c r="H102" s="1">
        <f t="shared" si="44"/>
        <v>123333.31999999998</v>
      </c>
      <c r="I102" s="1">
        <f t="shared" si="44"/>
        <v>66729.77399999999</v>
      </c>
      <c r="J102" s="1">
        <f t="shared" si="44"/>
        <v>78629.764999999985</v>
      </c>
      <c r="K102" s="1">
        <f t="shared" si="44"/>
        <v>405</v>
      </c>
      <c r="L102" s="1">
        <f t="shared" si="44"/>
        <v>125.40000000000002</v>
      </c>
      <c r="M102" s="1">
        <f t="shared" si="44"/>
        <v>0</v>
      </c>
      <c r="N102" s="1">
        <f t="shared" si="44"/>
        <v>5293.9999999999991</v>
      </c>
      <c r="O102" s="1"/>
      <c r="P102" s="1">
        <f t="shared" si="44"/>
        <v>132350</v>
      </c>
      <c r="Q102" s="1">
        <f t="shared" si="44"/>
        <v>0</v>
      </c>
      <c r="R102" s="1">
        <f t="shared" si="44"/>
        <v>0</v>
      </c>
      <c r="S102" s="1">
        <f t="shared" si="44"/>
        <v>117721.18821330379</v>
      </c>
      <c r="T102" s="1">
        <f t="shared" si="44"/>
        <v>12476.7</v>
      </c>
      <c r="U102" s="1">
        <f t="shared" si="44"/>
        <v>0</v>
      </c>
      <c r="V102" s="1">
        <f t="shared" si="44"/>
        <v>22905.599420000006</v>
      </c>
      <c r="W102" s="1">
        <f t="shared" si="44"/>
        <v>22905.599420000006</v>
      </c>
      <c r="X102" s="1">
        <f t="shared" si="44"/>
        <v>572639.98549999995</v>
      </c>
      <c r="Y102" s="1">
        <f t="shared" si="44"/>
        <v>572639.98549999995</v>
      </c>
      <c r="Z102" s="1"/>
      <c r="AA102" s="1"/>
      <c r="AB102" s="4"/>
      <c r="AW102">
        <f t="shared" si="39"/>
        <v>1</v>
      </c>
      <c r="AX102">
        <f t="shared" si="40"/>
        <v>213228.55703980179</v>
      </c>
      <c r="AY102">
        <f t="shared" si="30"/>
        <v>115416.90750364504</v>
      </c>
      <c r="AZ102">
        <f t="shared" si="31"/>
        <v>97811.64953615675</v>
      </c>
    </row>
    <row r="103" spans="1:52" x14ac:dyDescent="0.35">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W103">
        <f t="shared" si="39"/>
        <v>0</v>
      </c>
      <c r="AX103">
        <f t="shared" si="40"/>
        <v>0</v>
      </c>
      <c r="AY103">
        <f t="shared" si="30"/>
        <v>0</v>
      </c>
    </row>
    <row r="104" spans="1:52" ht="15" thickBot="1" x14ac:dyDescent="0.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1:52" x14ac:dyDescent="0.35">
      <c r="F105" s="93" t="s">
        <v>368</v>
      </c>
      <c r="G105" s="74"/>
      <c r="H105" s="74" t="s">
        <v>357</v>
      </c>
      <c r="I105" s="75" t="s">
        <v>6</v>
      </c>
      <c r="K105" t="s">
        <v>6</v>
      </c>
    </row>
    <row r="106" spans="1:52" x14ac:dyDescent="0.35">
      <c r="F106" s="94" t="s">
        <v>383</v>
      </c>
      <c r="G106">
        <f>SUM(B47:B100)</f>
        <v>235777.38014431737</v>
      </c>
      <c r="H106">
        <f>G106*S4</f>
        <v>36545.493922369191</v>
      </c>
      <c r="I106" s="30" t="s">
        <v>380</v>
      </c>
    </row>
    <row r="107" spans="1:52" x14ac:dyDescent="0.35">
      <c r="F107" s="94" t="s">
        <v>363</v>
      </c>
      <c r="G107">
        <f>G119</f>
        <v>95787.414000000004</v>
      </c>
      <c r="H107">
        <f>H119</f>
        <v>9329.0467000000008</v>
      </c>
      <c r="I107" s="30" t="s">
        <v>377</v>
      </c>
    </row>
    <row r="108" spans="1:52" x14ac:dyDescent="0.35">
      <c r="F108" s="94" t="s">
        <v>361</v>
      </c>
      <c r="G108">
        <f>G106-G107</f>
        <v>139989.96614431735</v>
      </c>
      <c r="H108">
        <f>G108*S4</f>
        <v>21698.444752369189</v>
      </c>
      <c r="I108" s="30" t="s">
        <v>376</v>
      </c>
    </row>
    <row r="109" spans="1:52" x14ac:dyDescent="0.35">
      <c r="F109" s="94" t="s">
        <v>365</v>
      </c>
      <c r="I109" s="30"/>
    </row>
    <row r="110" spans="1:52" ht="15" thickBot="1" x14ac:dyDescent="0.4">
      <c r="F110" s="95" t="s">
        <v>370</v>
      </c>
      <c r="G110" s="19"/>
      <c r="H110" s="19">
        <f>H106-H107-H108</f>
        <v>5518.0024700000031</v>
      </c>
      <c r="I110" s="20"/>
    </row>
    <row r="115" spans="6:11" ht="15" thickBot="1" x14ac:dyDescent="0.4"/>
    <row r="116" spans="6:11" x14ac:dyDescent="0.35">
      <c r="F116" s="93" t="s">
        <v>368</v>
      </c>
      <c r="G116" s="74"/>
      <c r="H116" s="74" t="s">
        <v>357</v>
      </c>
      <c r="I116" s="75"/>
    </row>
    <row r="117" spans="6:11" x14ac:dyDescent="0.35">
      <c r="F117" s="94" t="s">
        <v>373</v>
      </c>
      <c r="G117">
        <f>SUM(D2:D46)</f>
        <v>283691.82999999996</v>
      </c>
      <c r="H117">
        <f>G117*S4</f>
        <v>43972.233649999995</v>
      </c>
      <c r="I117" s="30" t="s">
        <v>380</v>
      </c>
      <c r="K117">
        <f>H119+H121</f>
        <v>19871.240553999996</v>
      </c>
    </row>
    <row r="118" spans="6:11" x14ac:dyDescent="0.35">
      <c r="F118" s="94" t="s">
        <v>375</v>
      </c>
      <c r="G118">
        <f>SUM(B2:B46)</f>
        <v>168654.48596844697</v>
      </c>
      <c r="H118">
        <f>G118*S4</f>
        <v>26141.445325109282</v>
      </c>
      <c r="I118" s="30" t="s">
        <v>380</v>
      </c>
    </row>
    <row r="119" spans="6:11" x14ac:dyDescent="0.35">
      <c r="F119" s="94" t="s">
        <v>358</v>
      </c>
      <c r="G119">
        <f>F102</f>
        <v>95787.414000000004</v>
      </c>
      <c r="H119">
        <f>G102</f>
        <v>9329.0467000000008</v>
      </c>
      <c r="I119" s="30" t="s">
        <v>377</v>
      </c>
    </row>
    <row r="120" spans="6:11" x14ac:dyDescent="0.35">
      <c r="F120" s="94" t="s">
        <v>306</v>
      </c>
      <c r="G120">
        <f>I102</f>
        <v>66729.77399999999</v>
      </c>
      <c r="H120">
        <f>G120*S4</f>
        <v>10343.114969999999</v>
      </c>
      <c r="I120" s="30" t="s">
        <v>379</v>
      </c>
    </row>
    <row r="121" spans="6:11" x14ac:dyDescent="0.35">
      <c r="F121" s="94" t="s">
        <v>371</v>
      </c>
      <c r="G121">
        <f>G117-G119-G120</f>
        <v>121174.64199999998</v>
      </c>
      <c r="H121">
        <f>G121*S6</f>
        <v>10542.193853999997</v>
      </c>
      <c r="I121" s="30" t="s">
        <v>393</v>
      </c>
    </row>
    <row r="122" spans="6:11" x14ac:dyDescent="0.35">
      <c r="F122" s="94" t="s">
        <v>392</v>
      </c>
      <c r="G122">
        <f>G118-G120</f>
        <v>101924.71196844698</v>
      </c>
      <c r="H122">
        <f>G122*S4</f>
        <v>15798.330355109281</v>
      </c>
      <c r="I122" s="30" t="s">
        <v>394</v>
      </c>
    </row>
    <row r="123" spans="6:11" x14ac:dyDescent="0.35">
      <c r="F123" s="94" t="s">
        <v>389</v>
      </c>
      <c r="G123">
        <f>G119+G120+G12+G121</f>
        <v>283820.00899999996</v>
      </c>
      <c r="I123" s="30"/>
    </row>
    <row r="124" spans="6:11" x14ac:dyDescent="0.35">
      <c r="F124" s="94" t="s">
        <v>390</v>
      </c>
      <c r="G124">
        <f>G120+G122</f>
        <v>168654.48596844697</v>
      </c>
      <c r="I124" s="30"/>
    </row>
    <row r="125" spans="6:11" ht="15" thickBot="1" x14ac:dyDescent="0.4">
      <c r="F125" s="95" t="s">
        <v>370</v>
      </c>
      <c r="G125" s="19"/>
      <c r="H125" s="19">
        <f>H119+H120+H121-H122</f>
        <v>14416.025168890717</v>
      </c>
      <c r="I125" s="20"/>
    </row>
  </sheetData>
  <mergeCells count="2">
    <mergeCell ref="R16:S16"/>
    <mergeCell ref="AH31:AK32"/>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E51F5-4E0D-439D-86EC-B26559F12832}">
  <dimension ref="A1:BA125"/>
  <sheetViews>
    <sheetView topLeftCell="V32" zoomScale="40" zoomScaleNormal="40" workbookViewId="0">
      <selection activeCell="AQ60" sqref="AQ60"/>
    </sheetView>
  </sheetViews>
  <sheetFormatPr defaultRowHeight="14.5" x14ac:dyDescent="0.35"/>
  <cols>
    <col min="1" max="1" width="23.26953125" style="1" bestFit="1" customWidth="1"/>
    <col min="2" max="2" width="25.54296875" style="1" bestFit="1" customWidth="1"/>
    <col min="3" max="3" width="16.7265625" bestFit="1" customWidth="1"/>
    <col min="4" max="8" width="16.7265625" customWidth="1"/>
    <col min="9" max="9" width="19.6328125" bestFit="1" customWidth="1"/>
    <col min="10" max="10" width="16.7265625" customWidth="1"/>
    <col min="11" max="11" width="19.6328125" bestFit="1" customWidth="1"/>
    <col min="12" max="12" width="20.54296875" customWidth="1"/>
    <col min="13" max="14" width="12" customWidth="1"/>
    <col min="15" max="16" width="12.26953125" customWidth="1"/>
    <col min="17" max="17" width="13" customWidth="1"/>
    <col min="18" max="18" width="8.7265625" customWidth="1"/>
    <col min="19" max="19" width="28.7265625" bestFit="1" customWidth="1"/>
    <col min="20" max="20" width="12.6328125" bestFit="1" customWidth="1"/>
    <col min="21" max="21" width="21.6328125" bestFit="1" customWidth="1"/>
    <col min="23" max="23" width="12.453125" customWidth="1"/>
    <col min="25" max="25" width="14.36328125" customWidth="1"/>
    <col min="26" max="26" width="10.36328125" customWidth="1"/>
    <col min="27" max="27" width="12.453125" customWidth="1"/>
    <col min="28" max="28" width="11.1796875" customWidth="1"/>
    <col min="30" max="30" width="14" customWidth="1"/>
    <col min="32" max="32" width="23" customWidth="1"/>
    <col min="33" max="33" width="20.54296875" customWidth="1"/>
    <col min="34" max="34" width="19.81640625" customWidth="1"/>
    <col min="35" max="35" width="18.1796875" customWidth="1"/>
    <col min="36" max="36" width="16" customWidth="1"/>
    <col min="37" max="37" width="15.26953125" bestFit="1" customWidth="1"/>
    <col min="38" max="38" width="14.81640625" bestFit="1" customWidth="1"/>
    <col min="42" max="42" width="9.81640625" bestFit="1" customWidth="1"/>
    <col min="43" max="43" width="14.08984375" customWidth="1"/>
    <col min="47" max="48" width="8.7265625" customWidth="1"/>
    <col min="49" max="49" width="27.26953125" customWidth="1"/>
    <col min="50" max="50" width="14.81640625" bestFit="1" customWidth="1"/>
    <col min="51" max="52" width="14.26953125" bestFit="1" customWidth="1"/>
  </cols>
  <sheetData>
    <row r="1" spans="1:53" ht="63" customHeight="1" x14ac:dyDescent="0.35">
      <c r="A1" s="57" t="s">
        <v>7</v>
      </c>
      <c r="B1" s="60" t="s">
        <v>8</v>
      </c>
      <c r="C1" s="60" t="s">
        <v>253</v>
      </c>
      <c r="D1" s="61" t="s">
        <v>281</v>
      </c>
      <c r="E1" s="61" t="s">
        <v>301</v>
      </c>
      <c r="F1" s="61" t="s">
        <v>308</v>
      </c>
      <c r="G1" s="61" t="s">
        <v>312</v>
      </c>
      <c r="H1" s="61" t="s">
        <v>309</v>
      </c>
      <c r="I1" s="61" t="s">
        <v>310</v>
      </c>
      <c r="J1" s="61" t="s">
        <v>311</v>
      </c>
      <c r="K1" s="60" t="s">
        <v>254</v>
      </c>
      <c r="L1" s="61" t="s">
        <v>255</v>
      </c>
      <c r="M1" s="61" t="s">
        <v>256</v>
      </c>
      <c r="N1" s="61" t="s">
        <v>340</v>
      </c>
      <c r="O1" s="61" t="s">
        <v>257</v>
      </c>
      <c r="P1" s="61" t="s">
        <v>282</v>
      </c>
      <c r="Q1" s="61" t="s">
        <v>275</v>
      </c>
      <c r="R1" s="69"/>
      <c r="S1" s="69"/>
      <c r="T1" s="69"/>
      <c r="U1" s="69"/>
      <c r="V1" s="69"/>
      <c r="W1" s="61" t="s">
        <v>276</v>
      </c>
      <c r="X1" s="61" t="s">
        <v>277</v>
      </c>
      <c r="Y1" s="61" t="s">
        <v>278</v>
      </c>
      <c r="Z1" s="61" t="s">
        <v>279</v>
      </c>
      <c r="AA1" s="61" t="s">
        <v>31</v>
      </c>
      <c r="AB1" s="12" t="s">
        <v>283</v>
      </c>
      <c r="AC1" s="1"/>
      <c r="AD1" s="6" t="s">
        <v>33</v>
      </c>
      <c r="AE1" s="6" t="s">
        <v>34</v>
      </c>
      <c r="AF1" s="6" t="s">
        <v>35</v>
      </c>
      <c r="AG1" s="6" t="s">
        <v>36</v>
      </c>
      <c r="AH1" s="6" t="s">
        <v>37</v>
      </c>
      <c r="AI1" s="6" t="s">
        <v>38</v>
      </c>
      <c r="AJ1" s="12" t="s">
        <v>39</v>
      </c>
      <c r="AK1" s="12" t="s">
        <v>40</v>
      </c>
      <c r="AL1" s="12" t="s">
        <v>41</v>
      </c>
      <c r="AQ1" s="86" t="s">
        <v>353</v>
      </c>
      <c r="AW1" s="6" t="s">
        <v>320</v>
      </c>
      <c r="AX1" s="86" t="s">
        <v>321</v>
      </c>
      <c r="AY1" s="86" t="s">
        <v>322</v>
      </c>
      <c r="AZ1" s="6" t="s">
        <v>322</v>
      </c>
    </row>
    <row r="2" spans="1:53" ht="15" thickBot="1" x14ac:dyDescent="0.4">
      <c r="A2" s="1">
        <v>1</v>
      </c>
      <c r="B2" s="62">
        <v>1079.529030351737</v>
      </c>
      <c r="C2" s="62">
        <v>2</v>
      </c>
      <c r="D2" s="62">
        <v>3494.71</v>
      </c>
      <c r="E2" s="62">
        <v>1079.53</v>
      </c>
      <c r="F2" s="62">
        <v>1395.84</v>
      </c>
      <c r="G2" s="62">
        <v>139.60599999999999</v>
      </c>
      <c r="H2" s="62">
        <v>1682.91</v>
      </c>
      <c r="I2" s="62">
        <v>473.57100000000003</v>
      </c>
      <c r="J2" s="62">
        <v>556.52700000000004</v>
      </c>
      <c r="K2" s="62">
        <v>5</v>
      </c>
      <c r="L2" s="62">
        <v>1.2</v>
      </c>
      <c r="M2" s="62">
        <f>((C2*$T$18*1000)+T29)</f>
        <v>7240</v>
      </c>
      <c r="N2" s="88">
        <f>(M2*(1-$T$53))</f>
        <v>3982.0000000000005</v>
      </c>
      <c r="O2" s="62">
        <f>$T$38*C2</f>
        <v>71.2</v>
      </c>
      <c r="P2" s="56">
        <f>O2/D2</f>
        <v>2.0373650460267088E-2</v>
      </c>
      <c r="Q2" s="56">
        <f t="shared" ref="Q2:Q46" si="0">O2*25</f>
        <v>1780</v>
      </c>
      <c r="R2" s="56"/>
      <c r="S2" s="56"/>
      <c r="T2" s="56"/>
      <c r="U2" s="56"/>
      <c r="V2" s="56"/>
      <c r="W2" s="1">
        <v>299.27118999999999</v>
      </c>
      <c r="X2" s="1">
        <f>W2-N2</f>
        <v>-3682.7288100000005</v>
      </c>
      <c r="Y2" s="1">
        <f t="shared" ref="Y2:Y65" si="1">W2*$T$47</f>
        <v>7481.7797499999997</v>
      </c>
      <c r="Z2" s="1">
        <f>Y2-N2</f>
        <v>3499.7797499999992</v>
      </c>
      <c r="AA2" s="1">
        <f>(N2/($T$47*B2))+P2</f>
        <v>0.16791947416831754</v>
      </c>
      <c r="AB2" s="1">
        <f>(N2/($T$50*B2))+P2</f>
        <v>0.29492422954654668</v>
      </c>
      <c r="AC2" s="1"/>
      <c r="AD2" s="1" t="s">
        <v>284</v>
      </c>
      <c r="AE2" s="1">
        <v>0</v>
      </c>
      <c r="AF2">
        <f>-AD5</f>
        <v>-375501.4</v>
      </c>
      <c r="AG2">
        <f>AF2</f>
        <v>-375501.4</v>
      </c>
      <c r="AI2">
        <f>AF2</f>
        <v>-375501.4</v>
      </c>
      <c r="AJ2">
        <f>AF2</f>
        <v>-375501.4</v>
      </c>
      <c r="AL2">
        <f>AF2</f>
        <v>-375501.4</v>
      </c>
      <c r="AQ2">
        <f>'LEM economic evaluation_v7 (2)'!AN29</f>
        <v>183654.12451318325</v>
      </c>
      <c r="AR2">
        <f>0.2*AQ2</f>
        <v>36730.824902636654</v>
      </c>
      <c r="AW2" s="1">
        <f>AL27+AL63</f>
        <v>332319.34989956114</v>
      </c>
      <c r="AX2">
        <f>B2/$B$102</f>
        <v>2.6692481992770093E-3</v>
      </c>
      <c r="AY2">
        <f>AX2*$AW$2</f>
        <v>887.04282630430998</v>
      </c>
      <c r="AZ2">
        <f>(AY2)*1.08</f>
        <v>958.00625240865486</v>
      </c>
      <c r="BA2">
        <f>AZ2-AY2</f>
        <v>70.963426104344876</v>
      </c>
    </row>
    <row r="3" spans="1:53" x14ac:dyDescent="0.35">
      <c r="A3" s="1">
        <v>2</v>
      </c>
      <c r="B3" s="62">
        <v>3886.3217817133332</v>
      </c>
      <c r="C3" s="62">
        <v>4</v>
      </c>
      <c r="D3" s="62">
        <v>6989.42</v>
      </c>
      <c r="E3" s="62">
        <v>3886.32</v>
      </c>
      <c r="F3" s="62">
        <v>2567.4899999999998</v>
      </c>
      <c r="G3" s="62">
        <v>253.81899999999999</v>
      </c>
      <c r="H3" s="62">
        <v>3085.9</v>
      </c>
      <c r="I3" s="62">
        <v>1442.46</v>
      </c>
      <c r="J3" s="62">
        <v>2007.51</v>
      </c>
      <c r="K3" s="62">
        <v>10</v>
      </c>
      <c r="L3" s="62">
        <v>3.3</v>
      </c>
      <c r="M3" s="62">
        <f>(C3*$T$18*1000)+T31</f>
        <v>14096</v>
      </c>
      <c r="N3" s="88">
        <f t="shared" ref="N3:N12" si="2">(M3*(1-$T$53))</f>
        <v>7752.8</v>
      </c>
      <c r="O3" s="62">
        <f>$T$38*C3</f>
        <v>142.4</v>
      </c>
      <c r="P3" s="56">
        <f t="shared" ref="P3:P46" si="3">O3/D3</f>
        <v>2.0373650460267088E-2</v>
      </c>
      <c r="Q3" s="56">
        <f t="shared" si="0"/>
        <v>3560</v>
      </c>
      <c r="R3" s="56"/>
      <c r="S3" s="80" t="s">
        <v>267</v>
      </c>
      <c r="T3" s="81"/>
      <c r="U3" s="82"/>
      <c r="V3" s="56"/>
      <c r="W3" s="1">
        <v>788.56434999999999</v>
      </c>
      <c r="X3" s="1">
        <f t="shared" ref="X3:X46" si="4">W3-N3</f>
        <v>-6964.2356500000005</v>
      </c>
      <c r="Y3" s="1">
        <f t="shared" si="1"/>
        <v>19714.108749999999</v>
      </c>
      <c r="Z3" s="1">
        <f t="shared" ref="Z3:Z46" si="5">Y3-N3</f>
        <v>11961.30875</v>
      </c>
      <c r="AA3" s="1">
        <f t="shared" ref="AA3:AA46" si="6">(N3/($T$47*B3))+P3</f>
        <v>0.10016941041488497</v>
      </c>
      <c r="AB3" s="1">
        <f t="shared" ref="AB3:AB46" si="7">(N3/($T$50*B3))+P3</f>
        <v>0.16885614595617146</v>
      </c>
      <c r="AC3" s="1"/>
      <c r="AD3" s="1"/>
      <c r="AE3" s="1">
        <v>1</v>
      </c>
      <c r="AF3">
        <f>AD8</f>
        <v>37299.235378106816</v>
      </c>
      <c r="AG3">
        <f>AG2+AF3</f>
        <v>-338202.1646218932</v>
      </c>
      <c r="AH3">
        <f t="shared" ref="AH3:AH27" si="8">AF3/(1+$T$20)^AE3</f>
        <v>35154.793004813211</v>
      </c>
      <c r="AI3">
        <f>AI2+AH3</f>
        <v>-340346.60699518683</v>
      </c>
      <c r="AJ3">
        <f t="shared" ref="AJ3:AJ27" si="9">$AD$8*((1+$T$44)^AE3)</f>
        <v>38231.716262559486</v>
      </c>
      <c r="AK3">
        <f t="shared" ref="AK3:AK27" si="10">AJ3/(1+$T$20)^AE3</f>
        <v>36033.662829933543</v>
      </c>
      <c r="AL3">
        <f>AL2+AK3</f>
        <v>-339467.73717006645</v>
      </c>
      <c r="AQ3" t="s">
        <v>354</v>
      </c>
      <c r="AW3" s="1"/>
      <c r="AX3">
        <f t="shared" ref="AX3:AX66" si="11">B3/$B$102</f>
        <v>9.6093362253253847E-3</v>
      </c>
      <c r="AY3">
        <f t="shared" ref="AY3:AY66" si="12">AX3*$AW$2</f>
        <v>3193.3683673664345</v>
      </c>
      <c r="AZ3">
        <f t="shared" ref="AZ3:AZ46" si="13">(AY3)*1.08</f>
        <v>3448.8378367557493</v>
      </c>
      <c r="BA3">
        <f t="shared" ref="BA3:BA46" si="14">AZ3-AY3</f>
        <v>255.46946938931478</v>
      </c>
    </row>
    <row r="4" spans="1:53" ht="29" x14ac:dyDescent="0.35">
      <c r="A4" s="1">
        <v>3</v>
      </c>
      <c r="B4" s="1">
        <v>3457.332910813851</v>
      </c>
      <c r="C4" s="1">
        <v>2</v>
      </c>
      <c r="D4" s="1">
        <v>3494.71</v>
      </c>
      <c r="E4" s="1">
        <v>3457.33</v>
      </c>
      <c r="F4" s="1">
        <v>613.53200000000004</v>
      </c>
      <c r="G4" s="1">
        <v>54.761099999999999</v>
      </c>
      <c r="H4" s="1">
        <v>1498.2</v>
      </c>
      <c r="I4" s="1">
        <v>1382.98</v>
      </c>
      <c r="J4" s="1">
        <v>2074.35</v>
      </c>
      <c r="K4" s="1">
        <v>5</v>
      </c>
      <c r="L4" s="1">
        <v>0</v>
      </c>
      <c r="M4" s="1">
        <f>C4*$T$18*1000</f>
        <v>5200</v>
      </c>
      <c r="N4" s="88">
        <f t="shared" si="2"/>
        <v>2860.0000000000005</v>
      </c>
      <c r="O4" s="1">
        <f>$T$19*C4</f>
        <v>53</v>
      </c>
      <c r="P4" s="4">
        <f t="shared" si="3"/>
        <v>1.5165779134749377E-2</v>
      </c>
      <c r="Q4" s="4">
        <f t="shared" si="0"/>
        <v>1325</v>
      </c>
      <c r="R4" s="4"/>
      <c r="S4" s="63" t="s">
        <v>302</v>
      </c>
      <c r="T4" s="4">
        <v>0.155</v>
      </c>
      <c r="U4" s="30"/>
      <c r="V4" s="4"/>
      <c r="W4" s="1">
        <v>590.64724999999999</v>
      </c>
      <c r="X4" s="1">
        <f t="shared" si="4"/>
        <v>-2269.3527500000005</v>
      </c>
      <c r="Y4" s="1">
        <f t="shared" si="1"/>
        <v>14766.18125</v>
      </c>
      <c r="Z4" s="1">
        <f t="shared" si="5"/>
        <v>11906.18125</v>
      </c>
      <c r="AA4" s="1">
        <f t="shared" si="6"/>
        <v>4.8254869179326663E-2</v>
      </c>
      <c r="AB4" s="1">
        <f t="shared" si="7"/>
        <v>7.6737354695929197E-2</v>
      </c>
      <c r="AC4" s="1"/>
      <c r="AD4" s="6" t="s">
        <v>285</v>
      </c>
      <c r="AE4" s="1">
        <f>AE3+1</f>
        <v>2</v>
      </c>
      <c r="AF4">
        <f>AF3</f>
        <v>37299.235378106816</v>
      </c>
      <c r="AG4">
        <f>AG3+AF4</f>
        <v>-300902.92924378638</v>
      </c>
      <c r="AH4">
        <f t="shared" si="8"/>
        <v>33133.640909343274</v>
      </c>
      <c r="AI4">
        <f t="shared" ref="AI4:AI27" si="15">AI3+AH4</f>
        <v>-307212.96608584357</v>
      </c>
      <c r="AJ4">
        <f t="shared" si="9"/>
        <v>39187.50916912347</v>
      </c>
      <c r="AK4">
        <f t="shared" si="10"/>
        <v>34811.03148037877</v>
      </c>
      <c r="AL4">
        <f t="shared" ref="AL4:AL27" si="16">AL3+AK4</f>
        <v>-304656.70568968769</v>
      </c>
      <c r="AW4" s="1"/>
      <c r="AX4">
        <f t="shared" si="11"/>
        <v>8.5486164679463485E-3</v>
      </c>
      <c r="AY4">
        <f t="shared" si="12"/>
        <v>2840.8706671686132</v>
      </c>
      <c r="AZ4">
        <f t="shared" si="13"/>
        <v>3068.1403205421025</v>
      </c>
      <c r="BA4">
        <f t="shared" si="14"/>
        <v>227.26965337348929</v>
      </c>
    </row>
    <row r="5" spans="1:53" x14ac:dyDescent="0.35">
      <c r="A5" s="1">
        <v>4</v>
      </c>
      <c r="B5" s="62">
        <v>1453.8912212817379</v>
      </c>
      <c r="C5" s="62">
        <v>2</v>
      </c>
      <c r="D5" s="62">
        <v>3494.71</v>
      </c>
      <c r="E5" s="62">
        <v>1453.89</v>
      </c>
      <c r="F5" s="62">
        <v>1292.6199999999999</v>
      </c>
      <c r="G5" s="62">
        <v>127.47</v>
      </c>
      <c r="H5" s="62">
        <v>1638.92</v>
      </c>
      <c r="I5" s="62">
        <v>615.08299999999997</v>
      </c>
      <c r="J5" s="62">
        <v>724.553</v>
      </c>
      <c r="K5" s="62">
        <v>5</v>
      </c>
      <c r="L5" s="62">
        <v>1.2</v>
      </c>
      <c r="M5" s="62">
        <f>(C5*$T$18*1000)+T29</f>
        <v>7240</v>
      </c>
      <c r="N5" s="88">
        <f t="shared" si="2"/>
        <v>3982.0000000000005</v>
      </c>
      <c r="O5" s="62">
        <f>$T$38*C5</f>
        <v>71.2</v>
      </c>
      <c r="P5" s="56">
        <f t="shared" si="3"/>
        <v>2.0373650460267088E-2</v>
      </c>
      <c r="Q5" s="56">
        <f t="shared" si="0"/>
        <v>1780</v>
      </c>
      <c r="R5" s="56"/>
      <c r="S5" s="83" t="s">
        <v>303</v>
      </c>
      <c r="T5" s="56">
        <v>0.129</v>
      </c>
      <c r="U5" s="46" t="s">
        <v>6</v>
      </c>
      <c r="V5" s="56"/>
      <c r="W5" s="1">
        <v>335.11357999999996</v>
      </c>
      <c r="X5" s="1">
        <f t="shared" si="4"/>
        <v>-3646.8864200000007</v>
      </c>
      <c r="Y5" s="1">
        <f t="shared" si="1"/>
        <v>8377.8394999999982</v>
      </c>
      <c r="Z5" s="1">
        <f t="shared" si="5"/>
        <v>4395.8394999999982</v>
      </c>
      <c r="AA5" s="1">
        <f t="shared" si="6"/>
        <v>0.12992792637066164</v>
      </c>
      <c r="AB5" s="1">
        <f t="shared" si="7"/>
        <v>0.22423024996722921</v>
      </c>
      <c r="AC5" s="1"/>
      <c r="AD5" s="1">
        <f>SUM(N2:N46) + (U10*45/99)+U39+U40+U11+U12+Q102</f>
        <v>375501.4</v>
      </c>
      <c r="AE5" s="1">
        <f t="shared" ref="AE5:AE27" si="17">AE4+1</f>
        <v>3</v>
      </c>
      <c r="AF5">
        <f t="shared" ref="AF5:AF27" si="18">AF4</f>
        <v>37299.235378106816</v>
      </c>
      <c r="AG5">
        <f t="shared" ref="AG5:AG27" si="19">AG4+AF5</f>
        <v>-263603.69386567955</v>
      </c>
      <c r="AH5">
        <f t="shared" si="8"/>
        <v>31228.690772236831</v>
      </c>
      <c r="AI5">
        <f t="shared" si="15"/>
        <v>-275984.27531360672</v>
      </c>
      <c r="AJ5">
        <f t="shared" si="9"/>
        <v>40167.196898351554</v>
      </c>
      <c r="AK5">
        <f t="shared" si="10"/>
        <v>33629.884323645849</v>
      </c>
      <c r="AL5">
        <f t="shared" si="16"/>
        <v>-271026.82136604184</v>
      </c>
      <c r="AW5" s="1" t="s">
        <v>324</v>
      </c>
      <c r="AX5">
        <f t="shared" si="11"/>
        <v>3.5948977889797666E-3</v>
      </c>
      <c r="AY5">
        <f t="shared" si="12"/>
        <v>1194.6540961891258</v>
      </c>
      <c r="AZ5">
        <f t="shared" si="13"/>
        <v>1290.2264238842558</v>
      </c>
      <c r="BA5">
        <f t="shared" si="14"/>
        <v>95.57232769513007</v>
      </c>
    </row>
    <row r="6" spans="1:53" x14ac:dyDescent="0.35">
      <c r="A6" s="1">
        <v>5</v>
      </c>
      <c r="B6" s="1">
        <v>3955.020115733626</v>
      </c>
      <c r="C6" s="1">
        <v>4</v>
      </c>
      <c r="D6" s="1">
        <v>6989.42</v>
      </c>
      <c r="E6" s="1">
        <v>3955.02</v>
      </c>
      <c r="F6" s="1">
        <v>1833.18</v>
      </c>
      <c r="G6" s="1">
        <v>168.476</v>
      </c>
      <c r="H6" s="1">
        <v>3471.67</v>
      </c>
      <c r="I6" s="1">
        <v>1684.57</v>
      </c>
      <c r="J6" s="1">
        <v>2270.4499999999998</v>
      </c>
      <c r="K6" s="1">
        <v>10</v>
      </c>
      <c r="L6" s="1">
        <v>0</v>
      </c>
      <c r="M6" s="1">
        <f>C6*$T$18*1000</f>
        <v>10400</v>
      </c>
      <c r="N6" s="88">
        <f t="shared" si="2"/>
        <v>5720.0000000000009</v>
      </c>
      <c r="O6" s="1">
        <f>$T$19*C6</f>
        <v>106</v>
      </c>
      <c r="P6" s="4">
        <f t="shared" si="3"/>
        <v>1.5165779134749377E-2</v>
      </c>
      <c r="Q6" s="4">
        <f t="shared" si="0"/>
        <v>2650</v>
      </c>
      <c r="R6" s="4"/>
      <c r="S6" s="63"/>
      <c r="T6" s="1"/>
      <c r="U6" s="78">
        <f>(M2*(1-$T$53))</f>
        <v>3982.0000000000005</v>
      </c>
      <c r="V6" s="4"/>
      <c r="W6" s="1">
        <v>781.50409999999988</v>
      </c>
      <c r="X6" s="1">
        <f t="shared" si="4"/>
        <v>-4938.4959000000008</v>
      </c>
      <c r="Y6" s="1">
        <f t="shared" si="1"/>
        <v>19537.602499999997</v>
      </c>
      <c r="Z6" s="1">
        <f t="shared" si="5"/>
        <v>13817.602499999997</v>
      </c>
      <c r="AA6" s="1">
        <f t="shared" si="6"/>
        <v>7.3016306642764192E-2</v>
      </c>
      <c r="AB6" s="1">
        <f t="shared" si="7"/>
        <v>0.12281298614211117</v>
      </c>
      <c r="AC6" s="1"/>
      <c r="AD6" s="1"/>
      <c r="AE6" s="1">
        <f t="shared" si="17"/>
        <v>4</v>
      </c>
      <c r="AF6">
        <f t="shared" si="18"/>
        <v>37299.235378106816</v>
      </c>
      <c r="AG6">
        <f t="shared" si="19"/>
        <v>-226304.45848757273</v>
      </c>
      <c r="AH6">
        <f t="shared" si="8"/>
        <v>29433.261802296729</v>
      </c>
      <c r="AI6">
        <f t="shared" si="15"/>
        <v>-246551.01351130998</v>
      </c>
      <c r="AJ6">
        <f t="shared" si="9"/>
        <v>41171.376820810343</v>
      </c>
      <c r="AK6">
        <f t="shared" si="10"/>
        <v>32488.813790515542</v>
      </c>
      <c r="AL6">
        <f t="shared" si="16"/>
        <v>-238538.00757552631</v>
      </c>
      <c r="AW6" s="1">
        <f>SUM(AZ2:AZ46)</f>
        <v>149669.02001875374</v>
      </c>
      <c r="AX6">
        <f t="shared" si="11"/>
        <v>9.7792000263176096E-3</v>
      </c>
      <c r="AY6">
        <f t="shared" si="12"/>
        <v>3249.8173952836391</v>
      </c>
      <c r="AZ6">
        <f t="shared" si="13"/>
        <v>3509.8027869063303</v>
      </c>
      <c r="BA6">
        <f t="shared" si="14"/>
        <v>259.98539162269117</v>
      </c>
    </row>
    <row r="7" spans="1:53" ht="29" x14ac:dyDescent="0.35">
      <c r="A7" s="1">
        <v>6</v>
      </c>
      <c r="B7" s="62">
        <v>2105.0165005377999</v>
      </c>
      <c r="C7" s="62">
        <v>2</v>
      </c>
      <c r="D7" s="62">
        <v>3494.71</v>
      </c>
      <c r="E7" s="62">
        <v>2105.02</v>
      </c>
      <c r="F7" s="62">
        <v>1453.58</v>
      </c>
      <c r="G7" s="62">
        <v>145.85</v>
      </c>
      <c r="H7" s="62">
        <v>1123.08</v>
      </c>
      <c r="I7" s="62">
        <v>912.81600000000003</v>
      </c>
      <c r="J7" s="62">
        <v>775.86</v>
      </c>
      <c r="K7" s="62">
        <v>5</v>
      </c>
      <c r="L7" s="62">
        <v>4.2</v>
      </c>
      <c r="M7" s="62">
        <f>(C7*$T$18*1000)+T32</f>
        <v>9904</v>
      </c>
      <c r="N7" s="88">
        <f t="shared" si="2"/>
        <v>5447.2000000000007</v>
      </c>
      <c r="O7" s="62">
        <f>$T$38*C7</f>
        <v>71.2</v>
      </c>
      <c r="P7" s="56">
        <f t="shared" si="3"/>
        <v>2.0373650460267088E-2</v>
      </c>
      <c r="Q7" s="56">
        <f t="shared" si="0"/>
        <v>1780</v>
      </c>
      <c r="R7" s="56"/>
      <c r="S7" s="84"/>
      <c r="T7" s="62"/>
      <c r="U7" s="85"/>
      <c r="V7" s="56"/>
      <c r="W7" s="1">
        <v>407.59478000000001</v>
      </c>
      <c r="X7" s="1">
        <f t="shared" si="4"/>
        <v>-5039.6052200000004</v>
      </c>
      <c r="Y7" s="1">
        <f t="shared" si="1"/>
        <v>10189.869500000001</v>
      </c>
      <c r="Z7" s="1">
        <f t="shared" si="5"/>
        <v>4742.6695</v>
      </c>
      <c r="AA7" s="1">
        <f t="shared" si="6"/>
        <v>0.12388257779852452</v>
      </c>
      <c r="AB7" s="1">
        <f t="shared" si="7"/>
        <v>0.21298117554718446</v>
      </c>
      <c r="AC7" s="1"/>
      <c r="AD7" s="6" t="s">
        <v>286</v>
      </c>
      <c r="AE7" s="1">
        <f t="shared" si="17"/>
        <v>5</v>
      </c>
      <c r="AF7">
        <f t="shared" si="18"/>
        <v>37299.235378106816</v>
      </c>
      <c r="AG7">
        <f t="shared" si="19"/>
        <v>-189005.22310946591</v>
      </c>
      <c r="AH7">
        <f t="shared" si="8"/>
        <v>27741.057306594466</v>
      </c>
      <c r="AI7">
        <f t="shared" si="15"/>
        <v>-218809.95620471551</v>
      </c>
      <c r="AJ7">
        <f t="shared" si="9"/>
        <v>42200.661241330592</v>
      </c>
      <c r="AK7">
        <f t="shared" si="10"/>
        <v>31386.460070950448</v>
      </c>
      <c r="AL7">
        <f t="shared" si="16"/>
        <v>-207151.54750457586</v>
      </c>
      <c r="AW7" s="1"/>
      <c r="AX7">
        <f t="shared" si="11"/>
        <v>5.2048730006623049E-3</v>
      </c>
      <c r="AY7">
        <f t="shared" si="12"/>
        <v>1729.6800118898752</v>
      </c>
      <c r="AZ7">
        <f t="shared" si="13"/>
        <v>1868.0544128410654</v>
      </c>
      <c r="BA7">
        <f t="shared" si="14"/>
        <v>138.37440095119018</v>
      </c>
    </row>
    <row r="8" spans="1:53" x14ac:dyDescent="0.35">
      <c r="A8" s="1">
        <v>7</v>
      </c>
      <c r="B8" s="1">
        <v>1617.7934488334181</v>
      </c>
      <c r="C8" s="1">
        <v>2</v>
      </c>
      <c r="D8" s="1">
        <v>3494.71</v>
      </c>
      <c r="E8" s="1">
        <v>1617.79</v>
      </c>
      <c r="F8" s="1">
        <v>1038.05</v>
      </c>
      <c r="G8" s="1">
        <v>96.850499999999997</v>
      </c>
      <c r="H8" s="1">
        <v>1831.46</v>
      </c>
      <c r="I8" s="1">
        <v>625.19600000000003</v>
      </c>
      <c r="J8" s="1">
        <v>992.59699999999998</v>
      </c>
      <c r="K8" s="1">
        <v>5</v>
      </c>
      <c r="L8" s="1">
        <v>0</v>
      </c>
      <c r="M8" s="1">
        <f>C8*$T$18*1000</f>
        <v>5200</v>
      </c>
      <c r="N8" s="88">
        <f t="shared" si="2"/>
        <v>2860.0000000000005</v>
      </c>
      <c r="O8" s="1">
        <f>$T$19*C8</f>
        <v>53</v>
      </c>
      <c r="P8" s="4">
        <f t="shared" si="3"/>
        <v>1.5165779134749377E-2</v>
      </c>
      <c r="Q8" s="4">
        <f t="shared" si="0"/>
        <v>1325</v>
      </c>
      <c r="R8" s="4"/>
      <c r="S8" s="65"/>
      <c r="T8" s="1"/>
      <c r="U8" s="78">
        <v>25</v>
      </c>
      <c r="V8" s="4"/>
      <c r="W8" s="1">
        <v>347.60841499999998</v>
      </c>
      <c r="X8" s="1">
        <f t="shared" si="4"/>
        <v>-2512.3915850000003</v>
      </c>
      <c r="Y8" s="1">
        <f t="shared" si="1"/>
        <v>8690.2103749999987</v>
      </c>
      <c r="Z8" s="1">
        <f t="shared" si="5"/>
        <v>5830.2103749999987</v>
      </c>
      <c r="AA8" s="1">
        <f t="shared" si="6"/>
        <v>8.5879379862019739E-2</v>
      </c>
      <c r="AB8" s="1">
        <f t="shared" si="7"/>
        <v>0.14674835830258481</v>
      </c>
      <c r="AC8" s="1"/>
      <c r="AD8" s="1">
        <f>H123</f>
        <v>37299.235378106816</v>
      </c>
      <c r="AE8" s="1">
        <f t="shared" si="17"/>
        <v>6</v>
      </c>
      <c r="AF8">
        <f t="shared" si="18"/>
        <v>37299.235378106816</v>
      </c>
      <c r="AG8">
        <f t="shared" si="19"/>
        <v>-151705.98773135908</v>
      </c>
      <c r="AH8">
        <f t="shared" si="8"/>
        <v>26146.142607534839</v>
      </c>
      <c r="AI8">
        <f t="shared" si="15"/>
        <v>-192663.81359718068</v>
      </c>
      <c r="AJ8">
        <f t="shared" si="9"/>
        <v>43255.677772363859</v>
      </c>
      <c r="AK8">
        <f t="shared" si="10"/>
        <v>30321.509493613768</v>
      </c>
      <c r="AL8">
        <f t="shared" si="16"/>
        <v>-176830.0380109621</v>
      </c>
      <c r="AW8" s="1"/>
      <c r="AX8">
        <f t="shared" si="11"/>
        <v>4.0001631532722544E-3</v>
      </c>
      <c r="AY8">
        <f t="shared" si="12"/>
        <v>1329.3316185876142</v>
      </c>
      <c r="AZ8">
        <f t="shared" si="13"/>
        <v>1435.6781480746236</v>
      </c>
      <c r="BA8">
        <f t="shared" si="14"/>
        <v>106.34652948700932</v>
      </c>
    </row>
    <row r="9" spans="1:53" x14ac:dyDescent="0.35">
      <c r="A9" s="1">
        <v>8</v>
      </c>
      <c r="B9" s="62">
        <v>10161.74794678937</v>
      </c>
      <c r="C9" s="62">
        <v>10</v>
      </c>
      <c r="D9" s="62">
        <v>17473.5</v>
      </c>
      <c r="E9" s="62">
        <v>10161.700000000001</v>
      </c>
      <c r="F9" s="62">
        <v>6690.31</v>
      </c>
      <c r="G9" s="62">
        <v>666.70799999999997</v>
      </c>
      <c r="H9" s="62">
        <v>7473.12</v>
      </c>
      <c r="I9" s="62">
        <v>3557.92</v>
      </c>
      <c r="J9" s="62">
        <v>5438.81</v>
      </c>
      <c r="K9" s="62">
        <v>25</v>
      </c>
      <c r="L9" s="62">
        <v>9.6999999999999993</v>
      </c>
      <c r="M9" s="62">
        <f>(C9*$T$18*1000)+T35</f>
        <v>34000</v>
      </c>
      <c r="N9" s="88">
        <f t="shared" si="2"/>
        <v>18700</v>
      </c>
      <c r="O9" s="62">
        <f>$T$38*C9</f>
        <v>356</v>
      </c>
      <c r="P9" s="56">
        <f t="shared" si="3"/>
        <v>2.0373708758977881E-2</v>
      </c>
      <c r="Q9" s="56">
        <f t="shared" si="0"/>
        <v>8900</v>
      </c>
      <c r="R9" s="56"/>
      <c r="S9" s="65"/>
      <c r="T9" s="1" t="s">
        <v>314</v>
      </c>
      <c r="U9" s="78" t="s">
        <v>315</v>
      </c>
      <c r="V9" s="56"/>
      <c r="W9" s="1">
        <v>2061.2011499999999</v>
      </c>
      <c r="X9" s="1">
        <f t="shared" si="4"/>
        <v>-16638.798849999999</v>
      </c>
      <c r="Y9" s="1">
        <f t="shared" si="1"/>
        <v>51530.028749999998</v>
      </c>
      <c r="Z9" s="1">
        <f t="shared" si="5"/>
        <v>32830.028749999998</v>
      </c>
      <c r="AA9" s="1">
        <f t="shared" si="6"/>
        <v>9.3983092097041546E-2</v>
      </c>
      <c r="AB9" s="1">
        <f t="shared" si="7"/>
        <v>0.15734470742064072</v>
      </c>
      <c r="AC9" s="1"/>
      <c r="AD9" s="1"/>
      <c r="AE9" s="1">
        <f t="shared" si="17"/>
        <v>7</v>
      </c>
      <c r="AF9">
        <f t="shared" si="18"/>
        <v>37299.235378106816</v>
      </c>
      <c r="AG9">
        <f t="shared" si="19"/>
        <v>-114406.75235325226</v>
      </c>
      <c r="AH9">
        <f t="shared" si="8"/>
        <v>24642.924229533313</v>
      </c>
      <c r="AI9">
        <f t="shared" si="15"/>
        <v>-168020.88936764735</v>
      </c>
      <c r="AJ9">
        <f t="shared" si="9"/>
        <v>44337.069716672959</v>
      </c>
      <c r="AK9">
        <f t="shared" si="10"/>
        <v>29292.692960371463</v>
      </c>
      <c r="AL9">
        <f t="shared" si="16"/>
        <v>-147537.34505059064</v>
      </c>
      <c r="AW9" s="73" t="s">
        <v>323</v>
      </c>
      <c r="AX9">
        <f t="shared" si="11"/>
        <v>2.512598239218878E-2</v>
      </c>
      <c r="AY9">
        <f t="shared" si="12"/>
        <v>8349.8501341599949</v>
      </c>
      <c r="AZ9">
        <f t="shared" si="13"/>
        <v>9017.8381448927958</v>
      </c>
      <c r="BA9">
        <f t="shared" si="14"/>
        <v>667.98801073280083</v>
      </c>
    </row>
    <row r="10" spans="1:53" x14ac:dyDescent="0.35">
      <c r="A10" s="1">
        <v>9</v>
      </c>
      <c r="B10" s="62">
        <v>5057.043251595851</v>
      </c>
      <c r="C10" s="62">
        <v>4</v>
      </c>
      <c r="D10" s="62">
        <v>6989.42</v>
      </c>
      <c r="E10" s="62">
        <v>5057.04</v>
      </c>
      <c r="F10" s="62">
        <v>2433.36</v>
      </c>
      <c r="G10" s="62">
        <v>235.053</v>
      </c>
      <c r="H10" s="62">
        <v>2459.33</v>
      </c>
      <c r="I10" s="62">
        <v>2123.7399999999998</v>
      </c>
      <c r="J10" s="62">
        <v>1740.61</v>
      </c>
      <c r="K10" s="62">
        <v>10</v>
      </c>
      <c r="L10" s="62">
        <v>6</v>
      </c>
      <c r="M10" s="62">
        <f>(C10*$T$18*1000)+T34</f>
        <v>14600</v>
      </c>
      <c r="N10" s="88">
        <f t="shared" si="2"/>
        <v>8030.0000000000009</v>
      </c>
      <c r="O10" s="62">
        <f>$T$38*C10</f>
        <v>142.4</v>
      </c>
      <c r="P10" s="56">
        <f t="shared" si="3"/>
        <v>2.0373650460267088E-2</v>
      </c>
      <c r="Q10" s="56">
        <f t="shared" si="0"/>
        <v>3560</v>
      </c>
      <c r="R10" s="56"/>
      <c r="S10" s="50" t="s">
        <v>319</v>
      </c>
      <c r="T10" s="1">
        <f>200+90</f>
        <v>290</v>
      </c>
      <c r="U10" s="78">
        <f>T10*99</f>
        <v>28710</v>
      </c>
      <c r="V10" s="56"/>
      <c r="W10" s="1">
        <v>834.02724999999998</v>
      </c>
      <c r="X10" s="1">
        <f t="shared" si="4"/>
        <v>-7195.9727500000008</v>
      </c>
      <c r="Y10" s="1">
        <f t="shared" si="1"/>
        <v>20850.681249999998</v>
      </c>
      <c r="Z10" s="1">
        <f t="shared" si="5"/>
        <v>12820.681249999998</v>
      </c>
      <c r="AA10" s="1">
        <f t="shared" si="6"/>
        <v>8.3889025753653979E-2</v>
      </c>
      <c r="AB10" s="1">
        <f t="shared" si="7"/>
        <v>0.13856190295995666</v>
      </c>
      <c r="AC10" s="1"/>
      <c r="AD10" s="1"/>
      <c r="AE10" s="1">
        <f t="shared" si="17"/>
        <v>8</v>
      </c>
      <c r="AF10">
        <f t="shared" si="18"/>
        <v>37299.235378106816</v>
      </c>
      <c r="AG10">
        <f t="shared" si="19"/>
        <v>-77107.516975145438</v>
      </c>
      <c r="AH10">
        <f t="shared" si="8"/>
        <v>23226.130282312264</v>
      </c>
      <c r="AI10">
        <f t="shared" si="15"/>
        <v>-144794.7590853351</v>
      </c>
      <c r="AJ10">
        <f t="shared" si="9"/>
        <v>45445.496459589776</v>
      </c>
      <c r="AK10">
        <f t="shared" si="10"/>
        <v>28298.784433912107</v>
      </c>
      <c r="AL10">
        <f t="shared" si="16"/>
        <v>-119238.56061667853</v>
      </c>
      <c r="AS10">
        <f>AL27-AL63</f>
        <v>144547.95445628671</v>
      </c>
      <c r="AW10" s="1">
        <f>AW2-AW6</f>
        <v>182650.3298808074</v>
      </c>
      <c r="AX10">
        <f t="shared" si="11"/>
        <v>1.2504067249205919E-2</v>
      </c>
      <c r="AY10">
        <f t="shared" si="12"/>
        <v>4155.3434993565052</v>
      </c>
      <c r="AZ10">
        <f t="shared" si="13"/>
        <v>4487.7709793050262</v>
      </c>
      <c r="BA10">
        <f t="shared" si="14"/>
        <v>332.42747994852107</v>
      </c>
    </row>
    <row r="11" spans="1:53" ht="43.5" x14ac:dyDescent="0.35">
      <c r="A11" s="1">
        <v>10</v>
      </c>
      <c r="B11" s="1">
        <v>507.10444675644749</v>
      </c>
      <c r="C11" s="1">
        <v>2</v>
      </c>
      <c r="D11" s="1">
        <v>3494.71</v>
      </c>
      <c r="E11" s="1">
        <v>507.10399999999998</v>
      </c>
      <c r="F11" s="1">
        <v>1300.33</v>
      </c>
      <c r="G11" s="1">
        <v>126.497</v>
      </c>
      <c r="H11" s="1">
        <v>1951.2</v>
      </c>
      <c r="I11" s="1">
        <v>243.18299999999999</v>
      </c>
      <c r="J11" s="1">
        <v>263.92099999999999</v>
      </c>
      <c r="K11" s="1">
        <v>5</v>
      </c>
      <c r="L11" s="1">
        <v>0</v>
      </c>
      <c r="M11" s="1">
        <f>C11*$T$18*1000</f>
        <v>5200</v>
      </c>
      <c r="N11" s="88">
        <f t="shared" si="2"/>
        <v>2860.0000000000005</v>
      </c>
      <c r="O11" s="1">
        <f>$T$19*C11</f>
        <v>53</v>
      </c>
      <c r="P11" s="4">
        <f t="shared" si="3"/>
        <v>1.5165779134749377E-2</v>
      </c>
      <c r="Q11" s="4">
        <f t="shared" si="0"/>
        <v>1325</v>
      </c>
      <c r="R11" s="4"/>
      <c r="S11" s="65" t="s">
        <v>316</v>
      </c>
      <c r="T11" s="1"/>
      <c r="U11" s="78">
        <v>0</v>
      </c>
      <c r="V11" s="4"/>
      <c r="W11" s="1">
        <v>205.09811999999999</v>
      </c>
      <c r="X11" s="1">
        <f t="shared" si="4"/>
        <v>-2654.9018800000003</v>
      </c>
      <c r="Y11" s="1">
        <f t="shared" si="1"/>
        <v>5127.4529999999995</v>
      </c>
      <c r="Z11" s="1">
        <f t="shared" si="5"/>
        <v>2267.4529999999991</v>
      </c>
      <c r="AA11" s="1">
        <f t="shared" si="6"/>
        <v>0.24076033018183204</v>
      </c>
      <c r="AB11" s="1">
        <f t="shared" si="7"/>
        <v>0.43494800727318217</v>
      </c>
      <c r="AC11" s="1"/>
      <c r="AD11" s="73" t="s">
        <v>352</v>
      </c>
      <c r="AE11" s="1">
        <f t="shared" si="17"/>
        <v>9</v>
      </c>
      <c r="AF11">
        <f t="shared" si="18"/>
        <v>37299.235378106816</v>
      </c>
      <c r="AG11">
        <f t="shared" si="19"/>
        <v>-39808.281597038622</v>
      </c>
      <c r="AH11">
        <f t="shared" si="8"/>
        <v>21890.791972019098</v>
      </c>
      <c r="AI11">
        <f t="shared" si="15"/>
        <v>-122903.967113316</v>
      </c>
      <c r="AJ11">
        <f t="shared" si="9"/>
        <v>46581.63387107951</v>
      </c>
      <c r="AK11">
        <f t="shared" si="10"/>
        <v>27338.599476682284</v>
      </c>
      <c r="AL11">
        <f t="shared" si="16"/>
        <v>-91899.961139996245</v>
      </c>
      <c r="AW11" s="1" t="s">
        <v>6</v>
      </c>
      <c r="AX11">
        <f t="shared" si="11"/>
        <v>1.2538686717011949E-3</v>
      </c>
      <c r="AY11">
        <f t="shared" si="12"/>
        <v>416.68482183916734</v>
      </c>
      <c r="AZ11">
        <f t="shared" si="13"/>
        <v>450.01960758630076</v>
      </c>
      <c r="BA11">
        <f t="shared" si="14"/>
        <v>33.334785747133424</v>
      </c>
    </row>
    <row r="12" spans="1:53" x14ac:dyDescent="0.35">
      <c r="A12" s="1">
        <v>11</v>
      </c>
      <c r="B12" s="1">
        <v>480.82648360578531</v>
      </c>
      <c r="C12" s="1">
        <v>2</v>
      </c>
      <c r="D12" s="1">
        <v>3494.71</v>
      </c>
      <c r="E12" s="1">
        <v>480.82600000000002</v>
      </c>
      <c r="F12" s="1">
        <v>1315.33</v>
      </c>
      <c r="G12" s="1">
        <v>128.179</v>
      </c>
      <c r="H12" s="1">
        <v>1959.92</v>
      </c>
      <c r="I12" s="1">
        <v>219.46199999999999</v>
      </c>
      <c r="J12" s="1">
        <v>261.36500000000001</v>
      </c>
      <c r="K12" s="1">
        <v>5</v>
      </c>
      <c r="L12" s="1">
        <v>0</v>
      </c>
      <c r="M12" s="1">
        <f>C12*$T$18*1000</f>
        <v>5200</v>
      </c>
      <c r="N12" s="88">
        <f t="shared" si="2"/>
        <v>2860.0000000000005</v>
      </c>
      <c r="O12" s="1">
        <f>$T$19*C12</f>
        <v>53</v>
      </c>
      <c r="P12" s="4">
        <f t="shared" si="3"/>
        <v>1.5165779134749377E-2</v>
      </c>
      <c r="Q12" s="4">
        <f t="shared" si="0"/>
        <v>1325</v>
      </c>
      <c r="R12" s="4"/>
      <c r="S12" s="65" t="s">
        <v>317</v>
      </c>
      <c r="T12" s="1"/>
      <c r="U12" s="78">
        <v>0</v>
      </c>
      <c r="V12" s="4"/>
      <c r="W12" s="1">
        <v>202.70718499999998</v>
      </c>
      <c r="X12" s="1">
        <f t="shared" si="4"/>
        <v>-2657.2928150000007</v>
      </c>
      <c r="Y12" s="1">
        <f t="shared" si="1"/>
        <v>5067.6796249999998</v>
      </c>
      <c r="Z12" s="1">
        <f t="shared" si="5"/>
        <v>2207.6796249999993</v>
      </c>
      <c r="AA12" s="1">
        <f t="shared" si="6"/>
        <v>0.25308944578076764</v>
      </c>
      <c r="AB12" s="1">
        <f t="shared" si="7"/>
        <v>0.45788980082748354</v>
      </c>
      <c r="AC12" s="1"/>
      <c r="AD12" s="1">
        <f>SUM(H2:H46)</f>
        <v>123333.31999999998</v>
      </c>
      <c r="AE12" s="1">
        <f t="shared" si="17"/>
        <v>10</v>
      </c>
      <c r="AF12">
        <f t="shared" si="18"/>
        <v>37299.235378106816</v>
      </c>
      <c r="AG12">
        <f t="shared" si="19"/>
        <v>-2509.0462189318059</v>
      </c>
      <c r="AH12">
        <f t="shared" si="8"/>
        <v>20632.226175324315</v>
      </c>
      <c r="AI12">
        <f t="shared" si="15"/>
        <v>-102271.74093799168</v>
      </c>
      <c r="AJ12">
        <f t="shared" si="9"/>
        <v>47746.174717856498</v>
      </c>
      <c r="AK12">
        <f t="shared" si="10"/>
        <v>26410.993839396171</v>
      </c>
      <c r="AL12">
        <f t="shared" si="16"/>
        <v>-65488.967300600074</v>
      </c>
      <c r="AW12" s="1"/>
      <c r="AX12">
        <f t="shared" si="11"/>
        <v>1.1888936651488298E-3</v>
      </c>
      <c r="AY12">
        <f t="shared" si="12"/>
        <v>395.09236990196564</v>
      </c>
      <c r="AZ12">
        <f t="shared" si="13"/>
        <v>426.69975949412293</v>
      </c>
      <c r="BA12">
        <f t="shared" si="14"/>
        <v>31.60738959215729</v>
      </c>
    </row>
    <row r="13" spans="1:53" x14ac:dyDescent="0.35">
      <c r="A13" s="1">
        <v>12</v>
      </c>
      <c r="B13" s="1">
        <v>569.06841271947087</v>
      </c>
      <c r="C13" s="1">
        <v>2</v>
      </c>
      <c r="D13" s="1">
        <v>3497.79</v>
      </c>
      <c r="E13" s="1">
        <v>569.06799999999998</v>
      </c>
      <c r="F13" s="1">
        <v>1277.03</v>
      </c>
      <c r="G13" s="1">
        <v>123.822</v>
      </c>
      <c r="H13" s="1">
        <v>1953.43</v>
      </c>
      <c r="I13" s="1">
        <v>267.33100000000002</v>
      </c>
      <c r="J13" s="1">
        <v>301.738</v>
      </c>
      <c r="K13" s="1">
        <v>5</v>
      </c>
      <c r="L13" s="1">
        <v>0</v>
      </c>
      <c r="M13" s="1">
        <f>C13*$T$18*1000</f>
        <v>5200</v>
      </c>
      <c r="N13" s="89">
        <f>(M13*(1-$T$54))</f>
        <v>2339.9999999999995</v>
      </c>
      <c r="O13" s="1">
        <f>$T$19*C13</f>
        <v>53</v>
      </c>
      <c r="P13" s="4">
        <f t="shared" si="3"/>
        <v>1.5152424816812901E-2</v>
      </c>
      <c r="Q13" s="4">
        <f t="shared" si="0"/>
        <v>1325</v>
      </c>
      <c r="R13" s="4"/>
      <c r="S13" s="65" t="s">
        <v>318</v>
      </c>
      <c r="U13" s="78">
        <v>0</v>
      </c>
      <c r="V13" s="4"/>
      <c r="W13" s="1">
        <v>212.02769499999999</v>
      </c>
      <c r="X13" s="1">
        <f t="shared" si="4"/>
        <v>-2127.9723049999993</v>
      </c>
      <c r="Y13" s="1">
        <f t="shared" si="1"/>
        <v>5300.6923749999996</v>
      </c>
      <c r="Z13" s="1">
        <f t="shared" si="5"/>
        <v>2960.6923750000001</v>
      </c>
      <c r="AA13" s="1">
        <f t="shared" si="6"/>
        <v>0.17963177019587406</v>
      </c>
      <c r="AB13" s="1">
        <f t="shared" si="7"/>
        <v>0.32121259234081928</v>
      </c>
      <c r="AC13" s="1"/>
      <c r="AE13" s="1">
        <f t="shared" si="17"/>
        <v>11</v>
      </c>
      <c r="AF13">
        <f t="shared" si="18"/>
        <v>37299.235378106816</v>
      </c>
      <c r="AG13">
        <f t="shared" si="19"/>
        <v>34790.18915917501</v>
      </c>
      <c r="AH13">
        <f t="shared" si="8"/>
        <v>19446.019015385787</v>
      </c>
      <c r="AI13">
        <f t="shared" si="15"/>
        <v>-82825.721922605895</v>
      </c>
      <c r="AJ13">
        <f t="shared" si="9"/>
        <v>48939.829085802914</v>
      </c>
      <c r="AK13">
        <f t="shared" si="10"/>
        <v>25514.862097437403</v>
      </c>
      <c r="AL13">
        <f t="shared" si="16"/>
        <v>-39974.105203162675</v>
      </c>
      <c r="AP13">
        <f>AL27-AL63</f>
        <v>144547.95445628671</v>
      </c>
      <c r="AW13" s="1" t="s">
        <v>346</v>
      </c>
      <c r="AX13">
        <f t="shared" si="11"/>
        <v>1.4070810447977958E-3</v>
      </c>
      <c r="AY13">
        <f t="shared" si="12"/>
        <v>467.60025806319879</v>
      </c>
      <c r="AZ13">
        <f t="shared" si="13"/>
        <v>505.00827870825475</v>
      </c>
      <c r="BA13">
        <f t="shared" si="14"/>
        <v>37.408020645055956</v>
      </c>
    </row>
    <row r="14" spans="1:53" x14ac:dyDescent="0.35">
      <c r="A14" s="1">
        <v>13</v>
      </c>
      <c r="B14" s="62">
        <v>4563.0069277860366</v>
      </c>
      <c r="C14" s="62">
        <v>6</v>
      </c>
      <c r="D14" s="62">
        <v>10493.4</v>
      </c>
      <c r="E14" s="62">
        <v>4563.01</v>
      </c>
      <c r="F14" s="62">
        <v>4058.52</v>
      </c>
      <c r="G14" s="62">
        <v>405.589</v>
      </c>
      <c r="H14" s="62">
        <v>4703.5600000000004</v>
      </c>
      <c r="I14" s="62">
        <v>1886.93</v>
      </c>
      <c r="J14" s="62">
        <v>2197.59</v>
      </c>
      <c r="K14" s="62">
        <v>15</v>
      </c>
      <c r="L14" s="62">
        <v>5</v>
      </c>
      <c r="M14" s="62">
        <f>(C14*$T$18*1000)+T33</f>
        <v>19100</v>
      </c>
      <c r="N14" s="89">
        <f t="shared" ref="N14:N23" si="20">(M14*(1-$T$54))</f>
        <v>8595</v>
      </c>
      <c r="O14" s="62">
        <f>$T$38*C14</f>
        <v>213.60000000000002</v>
      </c>
      <c r="P14" s="56">
        <f t="shared" si="3"/>
        <v>2.0355652124192353E-2</v>
      </c>
      <c r="Q14" s="56">
        <f t="shared" si="0"/>
        <v>5340.0000000000009</v>
      </c>
      <c r="R14" s="56"/>
      <c r="S14" s="65"/>
      <c r="T14" s="1"/>
      <c r="U14" s="78"/>
      <c r="V14" s="56"/>
      <c r="W14" s="1">
        <v>1038.6895999999999</v>
      </c>
      <c r="X14" s="1">
        <f t="shared" si="4"/>
        <v>-7556.3104000000003</v>
      </c>
      <c r="Y14" s="1">
        <f t="shared" si="1"/>
        <v>25967.239999999998</v>
      </c>
      <c r="Z14" s="1">
        <f t="shared" si="5"/>
        <v>17372.239999999998</v>
      </c>
      <c r="AA14" s="1">
        <f t="shared" si="6"/>
        <v>9.5700705384238832E-2</v>
      </c>
      <c r="AB14" s="1">
        <f t="shared" si="7"/>
        <v>0.16055635373648516</v>
      </c>
      <c r="AC14" s="1"/>
      <c r="AE14" s="1">
        <f t="shared" si="17"/>
        <v>12</v>
      </c>
      <c r="AF14">
        <f t="shared" si="18"/>
        <v>37299.235378106816</v>
      </c>
      <c r="AG14">
        <f t="shared" si="19"/>
        <v>72089.424537281826</v>
      </c>
      <c r="AH14">
        <f t="shared" si="8"/>
        <v>18328.01038207897</v>
      </c>
      <c r="AI14">
        <f t="shared" si="15"/>
        <v>-64497.711540526929</v>
      </c>
      <c r="AJ14">
        <f t="shared" si="9"/>
        <v>50163.324812947983</v>
      </c>
      <c r="AK14">
        <f t="shared" si="10"/>
        <v>24649.13633352812</v>
      </c>
      <c r="AL14">
        <f t="shared" si="16"/>
        <v>-15324.968869634555</v>
      </c>
      <c r="AW14" s="1">
        <f>AW6/45</f>
        <v>3325.9782226389721</v>
      </c>
      <c r="AX14">
        <f t="shared" si="11"/>
        <v>1.1282510875425851E-2</v>
      </c>
      <c r="AY14">
        <f t="shared" si="12"/>
        <v>3749.3966793562472</v>
      </c>
      <c r="AZ14">
        <f t="shared" si="13"/>
        <v>4049.3484137047471</v>
      </c>
      <c r="BA14">
        <f t="shared" si="14"/>
        <v>299.95173434849994</v>
      </c>
    </row>
    <row r="15" spans="1:53" x14ac:dyDescent="0.35">
      <c r="A15" s="1">
        <v>14</v>
      </c>
      <c r="B15" s="62">
        <v>2172.7675547581462</v>
      </c>
      <c r="C15" s="62">
        <v>2</v>
      </c>
      <c r="D15" s="62">
        <v>3497.79</v>
      </c>
      <c r="E15" s="62">
        <v>2172.77</v>
      </c>
      <c r="F15" s="62">
        <v>1243.8900000000001</v>
      </c>
      <c r="G15" s="62">
        <v>122.795</v>
      </c>
      <c r="H15" s="62">
        <v>1461.09</v>
      </c>
      <c r="I15" s="62">
        <v>834.95399999999995</v>
      </c>
      <c r="J15" s="62">
        <v>850.149</v>
      </c>
      <c r="K15" s="62">
        <v>5</v>
      </c>
      <c r="L15" s="62">
        <v>2</v>
      </c>
      <c r="M15" s="62">
        <f>(C15*$T$18*1000)+T30</f>
        <v>8600</v>
      </c>
      <c r="N15" s="89">
        <f t="shared" si="20"/>
        <v>3869.9999999999995</v>
      </c>
      <c r="O15" s="62">
        <f>$T$38*C15</f>
        <v>71.2</v>
      </c>
      <c r="P15" s="56">
        <f t="shared" si="3"/>
        <v>2.0355710319944882E-2</v>
      </c>
      <c r="Q15" s="56">
        <f t="shared" si="0"/>
        <v>1780</v>
      </c>
      <c r="R15" s="56"/>
      <c r="S15" s="63" t="s">
        <v>313</v>
      </c>
      <c r="T15" s="4">
        <v>45</v>
      </c>
      <c r="U15" s="46"/>
      <c r="V15" s="56"/>
      <c r="W15" s="1">
        <v>383.98596500000002</v>
      </c>
      <c r="X15" s="1">
        <f t="shared" si="4"/>
        <v>-3486.0140349999997</v>
      </c>
      <c r="Y15" s="1">
        <f t="shared" si="1"/>
        <v>9599.6491249999999</v>
      </c>
      <c r="Z15" s="1">
        <f t="shared" si="5"/>
        <v>5729.6491249999999</v>
      </c>
      <c r="AA15" s="1">
        <f t="shared" si="6"/>
        <v>9.1601251363211705E-2</v>
      </c>
      <c r="AB15" s="1">
        <f t="shared" si="7"/>
        <v>0.15292811433084158</v>
      </c>
      <c r="AC15" s="1"/>
      <c r="AE15" s="1">
        <f t="shared" si="17"/>
        <v>13</v>
      </c>
      <c r="AF15">
        <f t="shared" si="18"/>
        <v>37299.235378106816</v>
      </c>
      <c r="AG15">
        <f t="shared" si="19"/>
        <v>109388.65991538865</v>
      </c>
      <c r="AH15">
        <f t="shared" si="8"/>
        <v>17274.279342204492</v>
      </c>
      <c r="AI15">
        <f t="shared" si="15"/>
        <v>-47223.432198322436</v>
      </c>
      <c r="AJ15">
        <f t="shared" si="9"/>
        <v>51417.407933271679</v>
      </c>
      <c r="AK15">
        <f t="shared" si="10"/>
        <v>23812.784865095495</v>
      </c>
      <c r="AL15">
        <f t="shared" si="16"/>
        <v>8487.81599546094</v>
      </c>
      <c r="AW15" s="1"/>
      <c r="AX15">
        <f t="shared" si="11"/>
        <v>5.3723945534804394E-3</v>
      </c>
      <c r="AY15">
        <f t="shared" si="12"/>
        <v>1785.3506654165626</v>
      </c>
      <c r="AZ15">
        <f t="shared" si="13"/>
        <v>1928.1787186498877</v>
      </c>
      <c r="BA15">
        <f t="shared" si="14"/>
        <v>142.82805323332514</v>
      </c>
    </row>
    <row r="16" spans="1:53" x14ac:dyDescent="0.35">
      <c r="A16" s="1">
        <v>15</v>
      </c>
      <c r="B16" s="62">
        <v>4548.2349752288228</v>
      </c>
      <c r="C16" s="62">
        <v>4</v>
      </c>
      <c r="D16" s="62">
        <v>6995.57</v>
      </c>
      <c r="E16" s="62">
        <v>4548.2299999999996</v>
      </c>
      <c r="F16" s="62">
        <v>2204.15</v>
      </c>
      <c r="G16" s="62">
        <v>210.84200000000001</v>
      </c>
      <c r="H16" s="62">
        <v>2953.48</v>
      </c>
      <c r="I16" s="62">
        <v>1935.56</v>
      </c>
      <c r="J16" s="62">
        <v>1638.43</v>
      </c>
      <c r="K16" s="62">
        <v>10</v>
      </c>
      <c r="L16" s="62">
        <v>3.3</v>
      </c>
      <c r="M16" s="62">
        <f>(C16*$T$18*1000)+T31</f>
        <v>14096</v>
      </c>
      <c r="N16" s="89">
        <f t="shared" si="20"/>
        <v>6343.2</v>
      </c>
      <c r="O16" s="62">
        <f>$T$38*C16</f>
        <v>142.4</v>
      </c>
      <c r="P16" s="56">
        <f t="shared" si="3"/>
        <v>2.0355739417945929E-2</v>
      </c>
      <c r="Q16" s="56">
        <f t="shared" si="0"/>
        <v>3560</v>
      </c>
      <c r="R16" s="56"/>
      <c r="S16" s="106" t="s">
        <v>258</v>
      </c>
      <c r="T16" s="107"/>
      <c r="U16" s="46" t="s">
        <v>299</v>
      </c>
      <c r="V16" s="56"/>
      <c r="W16" s="1">
        <v>764.81044999999995</v>
      </c>
      <c r="X16" s="1">
        <f t="shared" si="4"/>
        <v>-5578.3895499999999</v>
      </c>
      <c r="Y16" s="1">
        <f t="shared" si="1"/>
        <v>19120.26125</v>
      </c>
      <c r="Z16" s="1">
        <f t="shared" si="5"/>
        <v>12777.061249999999</v>
      </c>
      <c r="AA16" s="1">
        <f t="shared" si="6"/>
        <v>7.614177540374828E-2</v>
      </c>
      <c r="AB16" s="1">
        <f t="shared" si="7"/>
        <v>0.12416137823518605</v>
      </c>
      <c r="AC16" s="1"/>
      <c r="AE16" s="1">
        <f t="shared" si="17"/>
        <v>14</v>
      </c>
      <c r="AF16">
        <f t="shared" si="18"/>
        <v>37299.235378106816</v>
      </c>
      <c r="AG16">
        <f t="shared" si="19"/>
        <v>146687.89529349547</v>
      </c>
      <c r="AH16">
        <f t="shared" si="8"/>
        <v>16281.13038850565</v>
      </c>
      <c r="AI16">
        <f t="shared" si="15"/>
        <v>-30942.301809816789</v>
      </c>
      <c r="AJ16">
        <f t="shared" si="9"/>
        <v>52702.843131603462</v>
      </c>
      <c r="AK16">
        <f t="shared" si="10"/>
        <v>23004.811014818923</v>
      </c>
      <c r="AL16">
        <f t="shared" si="16"/>
        <v>31492.627010279863</v>
      </c>
      <c r="AW16" s="1"/>
      <c r="AX16">
        <f t="shared" si="11"/>
        <v>1.1245985680961834E-2</v>
      </c>
      <c r="AY16">
        <f t="shared" si="12"/>
        <v>3737.2586504770102</v>
      </c>
      <c r="AZ16">
        <f t="shared" si="13"/>
        <v>4036.2393425151713</v>
      </c>
      <c r="BA16">
        <f t="shared" si="14"/>
        <v>298.98069203816112</v>
      </c>
    </row>
    <row r="17" spans="1:53" x14ac:dyDescent="0.35">
      <c r="A17" s="1">
        <v>16</v>
      </c>
      <c r="B17" s="1">
        <v>5476.90270703035</v>
      </c>
      <c r="C17" s="1">
        <v>4</v>
      </c>
      <c r="D17" s="1">
        <v>6995.57</v>
      </c>
      <c r="E17" s="1">
        <v>5476.9</v>
      </c>
      <c r="F17" s="1">
        <v>1485.71</v>
      </c>
      <c r="G17" s="1">
        <v>133.98400000000001</v>
      </c>
      <c r="H17" s="1">
        <v>3239.46</v>
      </c>
      <c r="I17" s="1">
        <v>2270.4</v>
      </c>
      <c r="J17" s="1">
        <v>3206.5</v>
      </c>
      <c r="K17" s="1">
        <v>10</v>
      </c>
      <c r="L17" s="1">
        <v>0</v>
      </c>
      <c r="M17" s="1">
        <f>C17*$T$18*1000</f>
        <v>10400</v>
      </c>
      <c r="N17" s="89">
        <f t="shared" si="20"/>
        <v>4679.9999999999991</v>
      </c>
      <c r="O17" s="1">
        <f>$T$19*C17</f>
        <v>106</v>
      </c>
      <c r="P17" s="4">
        <f t="shared" si="3"/>
        <v>1.5152446476841773E-2</v>
      </c>
      <c r="Q17" s="4">
        <f t="shared" si="0"/>
        <v>2650</v>
      </c>
      <c r="R17" s="4"/>
      <c r="S17" s="50" t="s">
        <v>245</v>
      </c>
      <c r="T17" s="2" t="s">
        <v>246</v>
      </c>
      <c r="U17" s="46">
        <v>1700</v>
      </c>
      <c r="V17" s="4"/>
      <c r="W17" s="1">
        <v>982.90350000000012</v>
      </c>
      <c r="X17" s="1">
        <f t="shared" si="4"/>
        <v>-3697.0964999999987</v>
      </c>
      <c r="Y17" s="1">
        <f t="shared" si="1"/>
        <v>24572.587500000001</v>
      </c>
      <c r="Z17" s="1">
        <f t="shared" si="5"/>
        <v>19892.587500000001</v>
      </c>
      <c r="AA17" s="1">
        <f t="shared" si="6"/>
        <v>4.9332348880385159E-2</v>
      </c>
      <c r="AB17" s="1">
        <f t="shared" si="7"/>
        <v>7.8753785790746988E-2</v>
      </c>
      <c r="AC17" s="1"/>
      <c r="AD17" t="s">
        <v>6</v>
      </c>
      <c r="AE17" s="1">
        <f t="shared" si="17"/>
        <v>15</v>
      </c>
      <c r="AF17">
        <f t="shared" si="18"/>
        <v>37299.235378106816</v>
      </c>
      <c r="AG17">
        <f t="shared" si="19"/>
        <v>183987.1306716023</v>
      </c>
      <c r="AH17">
        <f t="shared" si="8"/>
        <v>15345.080479270169</v>
      </c>
      <c r="AI17">
        <f t="shared" si="15"/>
        <v>-15597.221330546619</v>
      </c>
      <c r="AJ17">
        <f t="shared" si="9"/>
        <v>54020.414209893555</v>
      </c>
      <c r="AK17">
        <f t="shared" si="10"/>
        <v>22224.251922892934</v>
      </c>
      <c r="AL17">
        <f t="shared" si="16"/>
        <v>53716.878933172797</v>
      </c>
      <c r="AW17" s="1" t="s">
        <v>347</v>
      </c>
      <c r="AX17">
        <f t="shared" si="11"/>
        <v>1.3542213573999803E-2</v>
      </c>
      <c r="AY17">
        <f t="shared" si="12"/>
        <v>4500.3396111126267</v>
      </c>
      <c r="AZ17">
        <f t="shared" si="13"/>
        <v>4860.3667800016374</v>
      </c>
      <c r="BA17">
        <f t="shared" si="14"/>
        <v>360.02716888901068</v>
      </c>
    </row>
    <row r="18" spans="1:53" x14ac:dyDescent="0.35">
      <c r="A18" s="1">
        <v>17</v>
      </c>
      <c r="B18" s="62">
        <v>2180.0429312531028</v>
      </c>
      <c r="C18" s="62">
        <v>2</v>
      </c>
      <c r="D18" s="62">
        <v>3497.79</v>
      </c>
      <c r="E18" s="62">
        <v>2180.04</v>
      </c>
      <c r="F18" s="62">
        <v>1266.75</v>
      </c>
      <c r="G18" s="62">
        <v>125.211</v>
      </c>
      <c r="H18" s="62">
        <v>1479.9</v>
      </c>
      <c r="I18" s="62">
        <v>802.71100000000001</v>
      </c>
      <c r="J18" s="62">
        <v>951.178</v>
      </c>
      <c r="K18" s="62">
        <v>5</v>
      </c>
      <c r="L18" s="62">
        <v>2</v>
      </c>
      <c r="M18" s="62">
        <f>(C18*$T$18*1000)+T30</f>
        <v>8600</v>
      </c>
      <c r="N18" s="89">
        <f t="shared" si="20"/>
        <v>3869.9999999999995</v>
      </c>
      <c r="O18" s="62">
        <f>$T$38*C18</f>
        <v>71.2</v>
      </c>
      <c r="P18" s="56">
        <f t="shared" si="3"/>
        <v>2.0355710319944882E-2</v>
      </c>
      <c r="Q18" s="56">
        <f t="shared" si="0"/>
        <v>1780</v>
      </c>
      <c r="R18" s="56"/>
      <c r="S18" s="65" t="s">
        <v>247</v>
      </c>
      <c r="T18" s="1">
        <v>2.6</v>
      </c>
      <c r="U18" s="46">
        <v>1120</v>
      </c>
      <c r="V18" s="56"/>
      <c r="W18" s="1">
        <v>397.06379500000003</v>
      </c>
      <c r="X18" s="1">
        <f t="shared" si="4"/>
        <v>-3472.9362049999995</v>
      </c>
      <c r="Y18" s="1">
        <f t="shared" si="1"/>
        <v>9926.5948750000007</v>
      </c>
      <c r="Z18" s="1">
        <f t="shared" si="5"/>
        <v>6056.5948750000007</v>
      </c>
      <c r="AA18" s="1">
        <f t="shared" si="6"/>
        <v>9.1363486259026933E-2</v>
      </c>
      <c r="AB18" s="1">
        <f t="shared" si="7"/>
        <v>0.15248568535928625</v>
      </c>
      <c r="AC18" s="1"/>
      <c r="AE18" s="1">
        <f t="shared" si="17"/>
        <v>16</v>
      </c>
      <c r="AF18">
        <f t="shared" si="18"/>
        <v>37299.235378106816</v>
      </c>
      <c r="AG18">
        <f t="shared" si="19"/>
        <v>221286.36604970912</v>
      </c>
      <c r="AH18">
        <f t="shared" si="8"/>
        <v>14462.84682306331</v>
      </c>
      <c r="AI18">
        <f t="shared" si="15"/>
        <v>-1134.3745074833096</v>
      </c>
      <c r="AJ18">
        <f t="shared" si="9"/>
        <v>55370.924565140893</v>
      </c>
      <c r="AK18">
        <f t="shared" si="10"/>
        <v>21470.177399590251</v>
      </c>
      <c r="AL18">
        <f t="shared" si="16"/>
        <v>75187.056332763052</v>
      </c>
      <c r="AN18" t="s">
        <v>6</v>
      </c>
      <c r="AW18" s="4">
        <f>AW10/55</f>
        <v>3320.9150887419528</v>
      </c>
      <c r="AX18">
        <f t="shared" si="11"/>
        <v>5.3903836812039408E-3</v>
      </c>
      <c r="AY18">
        <f t="shared" si="12"/>
        <v>1791.3288006468968</v>
      </c>
      <c r="AZ18">
        <f t="shared" si="13"/>
        <v>1934.6351046986485</v>
      </c>
      <c r="BA18">
        <f t="shared" si="14"/>
        <v>143.30630405175179</v>
      </c>
    </row>
    <row r="19" spans="1:53" x14ac:dyDescent="0.35">
      <c r="A19" s="1">
        <v>18</v>
      </c>
      <c r="B19" s="62">
        <v>5524.0028847571884</v>
      </c>
      <c r="C19" s="62">
        <v>4</v>
      </c>
      <c r="D19" s="62">
        <v>6995.57</v>
      </c>
      <c r="E19" s="62">
        <v>5524</v>
      </c>
      <c r="F19" s="62">
        <v>2468.4299999999998</v>
      </c>
      <c r="G19" s="62">
        <v>237.523</v>
      </c>
      <c r="H19" s="62">
        <v>2577.7199999999998</v>
      </c>
      <c r="I19" s="62">
        <v>1982.7</v>
      </c>
      <c r="J19" s="62">
        <v>2035.42</v>
      </c>
      <c r="K19" s="62">
        <v>10</v>
      </c>
      <c r="L19" s="62">
        <v>6</v>
      </c>
      <c r="M19" s="62">
        <f>(C19*$T$18*1000)+T34</f>
        <v>14600</v>
      </c>
      <c r="N19" s="89">
        <f t="shared" si="20"/>
        <v>6569.9999999999991</v>
      </c>
      <c r="O19" s="62">
        <f>$T$38*C19</f>
        <v>142.4</v>
      </c>
      <c r="P19" s="56">
        <f t="shared" si="3"/>
        <v>2.0355739417945929E-2</v>
      </c>
      <c r="Q19" s="56">
        <f t="shared" si="0"/>
        <v>3560</v>
      </c>
      <c r="R19" s="56"/>
      <c r="S19" s="65" t="s">
        <v>248</v>
      </c>
      <c r="T19" s="1">
        <v>26.5</v>
      </c>
      <c r="U19" s="46">
        <v>700</v>
      </c>
      <c r="V19" s="56"/>
      <c r="W19" s="1">
        <v>860.33159999999998</v>
      </c>
      <c r="X19" s="1">
        <f t="shared" si="4"/>
        <v>-5709.6683999999987</v>
      </c>
      <c r="Y19" s="1">
        <f t="shared" si="1"/>
        <v>21508.29</v>
      </c>
      <c r="Z19" s="1">
        <f t="shared" si="5"/>
        <v>14938.29</v>
      </c>
      <c r="AA19" s="1">
        <f t="shared" si="6"/>
        <v>6.7929936152195378E-2</v>
      </c>
      <c r="AB19" s="1">
        <f t="shared" si="7"/>
        <v>0.10888093745267764</v>
      </c>
      <c r="AC19" s="1"/>
      <c r="AE19" s="1">
        <f t="shared" si="17"/>
        <v>17</v>
      </c>
      <c r="AF19">
        <f t="shared" si="18"/>
        <v>37299.235378106816</v>
      </c>
      <c r="AG19">
        <f t="shared" si="19"/>
        <v>258585.60142781594</v>
      </c>
      <c r="AH19">
        <f t="shared" si="8"/>
        <v>13631.335365752413</v>
      </c>
      <c r="AI19">
        <f t="shared" si="15"/>
        <v>12496.960858269103</v>
      </c>
      <c r="AJ19">
        <f t="shared" si="9"/>
        <v>56755.197679269404</v>
      </c>
      <c r="AK19">
        <f t="shared" si="10"/>
        <v>20741.688816757782</v>
      </c>
      <c r="AL19">
        <f t="shared" si="16"/>
        <v>95928.745149520837</v>
      </c>
      <c r="AX19">
        <f t="shared" si="11"/>
        <v>1.3658673679331133E-2</v>
      </c>
      <c r="AY19">
        <f t="shared" si="12"/>
        <v>4539.0415576055693</v>
      </c>
      <c r="AZ19">
        <f t="shared" si="13"/>
        <v>4902.1648822140151</v>
      </c>
      <c r="BA19">
        <f t="shared" si="14"/>
        <v>363.12332460844573</v>
      </c>
    </row>
    <row r="20" spans="1:53" x14ac:dyDescent="0.35">
      <c r="A20" s="1">
        <v>19</v>
      </c>
      <c r="B20" s="1">
        <v>6393.5501464958952</v>
      </c>
      <c r="C20" s="1">
        <v>4</v>
      </c>
      <c r="D20" s="1">
        <v>6995.57</v>
      </c>
      <c r="E20" s="1">
        <v>6393.55</v>
      </c>
      <c r="F20" s="1">
        <v>1450.97</v>
      </c>
      <c r="G20" s="1">
        <v>130.24100000000001</v>
      </c>
      <c r="H20" s="1">
        <v>3311.12</v>
      </c>
      <c r="I20" s="1">
        <v>2233.48</v>
      </c>
      <c r="J20" s="1">
        <v>4160.07</v>
      </c>
      <c r="K20" s="1">
        <v>10</v>
      </c>
      <c r="L20" s="1">
        <v>0</v>
      </c>
      <c r="M20" s="1">
        <f>C20*$T$18*1000</f>
        <v>10400</v>
      </c>
      <c r="N20" s="89">
        <f t="shared" si="20"/>
        <v>4679.9999999999991</v>
      </c>
      <c r="O20" s="1">
        <f>$T$19*C20</f>
        <v>106</v>
      </c>
      <c r="P20" s="4">
        <f t="shared" si="3"/>
        <v>1.5152446476841773E-2</v>
      </c>
      <c r="Q20" s="4">
        <f t="shared" si="0"/>
        <v>2650</v>
      </c>
      <c r="R20" s="4"/>
      <c r="S20" s="65" t="s">
        <v>250</v>
      </c>
      <c r="T20" s="1">
        <v>6.0999999999999999E-2</v>
      </c>
      <c r="U20" s="30" t="s">
        <v>300</v>
      </c>
      <c r="V20" s="4"/>
      <c r="W20" s="1">
        <v>1121.24125</v>
      </c>
      <c r="X20" s="1">
        <f t="shared" si="4"/>
        <v>-3558.7587499999991</v>
      </c>
      <c r="Y20" s="1">
        <f t="shared" si="1"/>
        <v>28031.03125</v>
      </c>
      <c r="Z20" s="1">
        <f t="shared" si="5"/>
        <v>23351.03125</v>
      </c>
      <c r="AA20" s="1">
        <f t="shared" si="6"/>
        <v>4.4431954060370843E-2</v>
      </c>
      <c r="AB20" s="1">
        <f t="shared" si="7"/>
        <v>6.9635220440849341E-2</v>
      </c>
      <c r="AC20" s="1"/>
      <c r="AE20" s="1">
        <f>AE19+1</f>
        <v>18</v>
      </c>
      <c r="AF20">
        <f t="shared" si="18"/>
        <v>37299.235378106816</v>
      </c>
      <c r="AG20">
        <f t="shared" si="19"/>
        <v>295884.83680592274</v>
      </c>
      <c r="AH20">
        <f t="shared" si="8"/>
        <v>12847.629939446195</v>
      </c>
      <c r="AI20">
        <f t="shared" si="15"/>
        <v>25344.590797715297</v>
      </c>
      <c r="AJ20">
        <f t="shared" si="9"/>
        <v>58174.077621251148</v>
      </c>
      <c r="AK20">
        <f t="shared" si="10"/>
        <v>20037.918036924344</v>
      </c>
      <c r="AL20">
        <f t="shared" si="16"/>
        <v>115966.66318644518</v>
      </c>
      <c r="AX20">
        <f t="shared" si="11"/>
        <v>1.5808720039664811E-2</v>
      </c>
      <c r="AY20">
        <f t="shared" si="12"/>
        <v>5253.5435663255748</v>
      </c>
      <c r="AZ20">
        <f t="shared" si="13"/>
        <v>5673.8270516316215</v>
      </c>
      <c r="BA20">
        <f t="shared" si="14"/>
        <v>420.28348530604671</v>
      </c>
    </row>
    <row r="21" spans="1:53" x14ac:dyDescent="0.35">
      <c r="A21" s="1">
        <v>20</v>
      </c>
      <c r="B21" s="62">
        <v>6287.6864400653858</v>
      </c>
      <c r="C21" s="62">
        <v>10</v>
      </c>
      <c r="D21" s="62">
        <v>17488.900000000001</v>
      </c>
      <c r="E21" s="62">
        <v>6287.69</v>
      </c>
      <c r="F21" s="62">
        <v>8120.34</v>
      </c>
      <c r="G21" s="62">
        <v>841.88900000000001</v>
      </c>
      <c r="H21" s="62">
        <v>7131.35</v>
      </c>
      <c r="I21" s="62">
        <v>2494.35</v>
      </c>
      <c r="J21" s="62">
        <v>3382.63</v>
      </c>
      <c r="K21" s="62">
        <v>25</v>
      </c>
      <c r="L21" s="62">
        <v>13.5</v>
      </c>
      <c r="M21" s="62">
        <f>(C21*$T$18*1000)+T36</f>
        <v>33300</v>
      </c>
      <c r="N21" s="89">
        <f t="shared" si="20"/>
        <v>14984.999999999998</v>
      </c>
      <c r="O21" s="62">
        <f>$T$38*C21</f>
        <v>356</v>
      </c>
      <c r="P21" s="56">
        <f t="shared" si="3"/>
        <v>2.0355768516030166E-2</v>
      </c>
      <c r="Q21" s="56">
        <f t="shared" si="0"/>
        <v>8900</v>
      </c>
      <c r="R21" s="56"/>
      <c r="S21" s="65" t="s">
        <v>251</v>
      </c>
      <c r="T21" s="1" t="s">
        <v>252</v>
      </c>
      <c r="U21" s="46">
        <v>1.2</v>
      </c>
      <c r="V21" s="56"/>
      <c r="W21" s="1">
        <v>1752.8208999999999</v>
      </c>
      <c r="X21" s="1">
        <f t="shared" si="4"/>
        <v>-13232.179099999998</v>
      </c>
      <c r="Y21" s="1">
        <f t="shared" si="1"/>
        <v>43820.522499999999</v>
      </c>
      <c r="Z21" s="1">
        <f t="shared" si="5"/>
        <v>28835.522499999999</v>
      </c>
      <c r="AA21" s="1">
        <f t="shared" si="6"/>
        <v>0.11568494972020082</v>
      </c>
      <c r="AB21" s="1">
        <f t="shared" si="7"/>
        <v>0.19774257110838234</v>
      </c>
      <c r="AC21" s="1"/>
      <c r="AE21" s="1">
        <f t="shared" si="17"/>
        <v>19</v>
      </c>
      <c r="AF21">
        <f t="shared" si="18"/>
        <v>37299.235378106816</v>
      </c>
      <c r="AG21">
        <f t="shared" si="19"/>
        <v>333184.07218402956</v>
      </c>
      <c r="AH21">
        <f t="shared" si="8"/>
        <v>12108.982035293306</v>
      </c>
      <c r="AI21">
        <f t="shared" si="15"/>
        <v>37453.572833008599</v>
      </c>
      <c r="AJ21">
        <f t="shared" si="9"/>
        <v>59628.429561782425</v>
      </c>
      <c r="AK21">
        <f t="shared" si="10"/>
        <v>19358.026378744067</v>
      </c>
      <c r="AL21">
        <f t="shared" si="16"/>
        <v>135324.68956518924</v>
      </c>
      <c r="AX21">
        <f t="shared" si="11"/>
        <v>1.5546960976394084E-2</v>
      </c>
      <c r="AY21">
        <f t="shared" si="12"/>
        <v>5166.5559645891281</v>
      </c>
      <c r="AZ21">
        <f t="shared" si="13"/>
        <v>5579.8804417562587</v>
      </c>
      <c r="BA21">
        <f t="shared" si="14"/>
        <v>413.32447716713068</v>
      </c>
    </row>
    <row r="22" spans="1:53" x14ac:dyDescent="0.35">
      <c r="A22" s="1">
        <v>21</v>
      </c>
      <c r="B22" s="62">
        <v>1195.617299383852</v>
      </c>
      <c r="C22" s="62">
        <v>2</v>
      </c>
      <c r="D22" s="62">
        <v>3497.79</v>
      </c>
      <c r="E22" s="62">
        <v>1195.6199999999999</v>
      </c>
      <c r="F22" s="62">
        <v>1334.89</v>
      </c>
      <c r="G22" s="62">
        <v>132.762</v>
      </c>
      <c r="H22" s="62">
        <v>1658.19</v>
      </c>
      <c r="I22" s="62">
        <v>558.10699999999997</v>
      </c>
      <c r="J22" s="62">
        <v>464.2</v>
      </c>
      <c r="K22" s="62">
        <v>5</v>
      </c>
      <c r="L22" s="62">
        <v>1.2</v>
      </c>
      <c r="M22" s="62">
        <f>(C22*$T$18*1000)+T29</f>
        <v>7240</v>
      </c>
      <c r="N22" s="89">
        <f t="shared" si="20"/>
        <v>3257.9999999999995</v>
      </c>
      <c r="O22" s="62">
        <f>$T$38*C22</f>
        <v>71.2</v>
      </c>
      <c r="P22" s="56">
        <f t="shared" si="3"/>
        <v>2.0355710319944882E-2</v>
      </c>
      <c r="Q22" s="56">
        <f t="shared" si="0"/>
        <v>1780</v>
      </c>
      <c r="R22" s="56"/>
      <c r="S22" s="65" t="s">
        <v>262</v>
      </c>
      <c r="T22" s="1">
        <v>7.0000000000000007E-2</v>
      </c>
      <c r="U22" s="46">
        <v>2</v>
      </c>
      <c r="V22" s="56"/>
      <c r="W22" s="1">
        <v>291.219585</v>
      </c>
      <c r="X22" s="1">
        <f t="shared" si="4"/>
        <v>-2966.7804149999997</v>
      </c>
      <c r="Y22" s="1">
        <f t="shared" si="1"/>
        <v>7280.4896250000002</v>
      </c>
      <c r="Z22" s="1">
        <f t="shared" si="5"/>
        <v>4022.4896250000006</v>
      </c>
      <c r="AA22" s="1">
        <f t="shared" si="6"/>
        <v>0.12935379864399216</v>
      </c>
      <c r="AB22" s="1">
        <f t="shared" si="7"/>
        <v>0.22317736610518976</v>
      </c>
      <c r="AC22" s="1"/>
      <c r="AD22" s="1"/>
      <c r="AE22" s="1">
        <f t="shared" si="17"/>
        <v>20</v>
      </c>
      <c r="AF22">
        <f t="shared" si="18"/>
        <v>37299.235378106816</v>
      </c>
      <c r="AG22">
        <f t="shared" si="19"/>
        <v>370483.30756213638</v>
      </c>
      <c r="AH22">
        <f t="shared" si="8"/>
        <v>11412.801164272671</v>
      </c>
      <c r="AI22">
        <f t="shared" si="15"/>
        <v>48866.373997281269</v>
      </c>
      <c r="AJ22">
        <f t="shared" si="9"/>
        <v>61119.140300826977</v>
      </c>
      <c r="AK22">
        <f t="shared" si="10"/>
        <v>18701.203617542567</v>
      </c>
      <c r="AL22">
        <f t="shared" si="16"/>
        <v>154025.89318273182</v>
      </c>
      <c r="AW22" s="1" t="s">
        <v>348</v>
      </c>
      <c r="AX22">
        <f t="shared" si="11"/>
        <v>2.9562885607299989E-3</v>
      </c>
      <c r="AY22">
        <f t="shared" si="12"/>
        <v>982.43189261730254</v>
      </c>
      <c r="AZ22">
        <f t="shared" si="13"/>
        <v>1061.0264440266867</v>
      </c>
      <c r="BA22">
        <f t="shared" si="14"/>
        <v>78.594551409384167</v>
      </c>
    </row>
    <row r="23" spans="1:53" x14ac:dyDescent="0.35">
      <c r="A23" s="1">
        <v>22</v>
      </c>
      <c r="B23" s="1">
        <v>4102.942217502793</v>
      </c>
      <c r="C23" s="1">
        <v>4</v>
      </c>
      <c r="D23" s="1">
        <v>6995.57</v>
      </c>
      <c r="E23" s="1">
        <v>4102.9399999999996</v>
      </c>
      <c r="F23" s="1">
        <v>1869.19</v>
      </c>
      <c r="G23" s="1">
        <v>171.71799999999999</v>
      </c>
      <c r="H23" s="1">
        <v>3587.24</v>
      </c>
      <c r="I23" s="1">
        <v>1539.14</v>
      </c>
      <c r="J23" s="1">
        <v>2563.8000000000002</v>
      </c>
      <c r="K23" s="1">
        <v>10</v>
      </c>
      <c r="L23" s="1">
        <v>0</v>
      </c>
      <c r="M23" s="1">
        <f>C23*$T$18*1000</f>
        <v>10400</v>
      </c>
      <c r="N23" s="89">
        <f t="shared" si="20"/>
        <v>4679.9999999999991</v>
      </c>
      <c r="O23" s="1">
        <f>$T$19*C23</f>
        <v>106</v>
      </c>
      <c r="P23" s="4">
        <f t="shared" si="3"/>
        <v>1.5152446476841773E-2</v>
      </c>
      <c r="Q23" s="4">
        <f t="shared" si="0"/>
        <v>2650</v>
      </c>
      <c r="R23" s="4"/>
      <c r="S23" s="65" t="s">
        <v>263</v>
      </c>
      <c r="T23" s="1">
        <v>2.5000000000000001E-2</v>
      </c>
      <c r="U23" s="46">
        <v>3.3</v>
      </c>
      <c r="V23" s="4"/>
      <c r="W23" s="1">
        <v>807.67370000000005</v>
      </c>
      <c r="X23" s="1">
        <f t="shared" si="4"/>
        <v>-3872.3262999999988</v>
      </c>
      <c r="Y23" s="1">
        <f t="shared" si="1"/>
        <v>20191.842500000002</v>
      </c>
      <c r="Z23" s="1">
        <f t="shared" si="5"/>
        <v>15511.842500000002</v>
      </c>
      <c r="AA23" s="1">
        <f t="shared" si="6"/>
        <v>6.0778241351900242E-2</v>
      </c>
      <c r="AB23" s="1">
        <f t="shared" si="7"/>
        <v>0.10005209385015899</v>
      </c>
      <c r="AC23" s="1"/>
      <c r="AD23" s="1"/>
      <c r="AE23" s="1">
        <f t="shared" si="17"/>
        <v>21</v>
      </c>
      <c r="AF23">
        <f t="shared" si="18"/>
        <v>37299.235378106816</v>
      </c>
      <c r="AG23">
        <f t="shared" si="19"/>
        <v>407782.54294024321</v>
      </c>
      <c r="AH23">
        <f t="shared" si="8"/>
        <v>10756.645772170285</v>
      </c>
      <c r="AI23">
        <f t="shared" si="15"/>
        <v>59623.019769451552</v>
      </c>
      <c r="AJ23">
        <f t="shared" si="9"/>
        <v>62647.118808347645</v>
      </c>
      <c r="AK23">
        <f t="shared" si="10"/>
        <v>18066.667019774864</v>
      </c>
      <c r="AL23">
        <f t="shared" si="16"/>
        <v>172092.56020250669</v>
      </c>
      <c r="AW23" s="1">
        <f>AL27/45</f>
        <v>5298.5256039538654</v>
      </c>
      <c r="AX23">
        <f t="shared" si="11"/>
        <v>1.0144952861748048E-2</v>
      </c>
      <c r="AY23">
        <f t="shared" si="12"/>
        <v>3371.3641397778038</v>
      </c>
      <c r="AZ23">
        <f t="shared" si="13"/>
        <v>3641.0732709600284</v>
      </c>
      <c r="BA23">
        <f t="shared" si="14"/>
        <v>269.70913118222461</v>
      </c>
    </row>
    <row r="24" spans="1:53" x14ac:dyDescent="0.35">
      <c r="A24" s="1">
        <v>23</v>
      </c>
      <c r="B24" s="62">
        <v>2916.9354826987528</v>
      </c>
      <c r="C24" s="62">
        <v>2</v>
      </c>
      <c r="D24" s="62">
        <v>3465.23</v>
      </c>
      <c r="E24" s="62">
        <v>2916.94</v>
      </c>
      <c r="F24" s="62">
        <v>1050.31</v>
      </c>
      <c r="G24" s="62">
        <v>98.870500000000007</v>
      </c>
      <c r="H24" s="62">
        <v>1426.38</v>
      </c>
      <c r="I24" s="62">
        <v>1031.08</v>
      </c>
      <c r="J24" s="62">
        <v>949.72299999999996</v>
      </c>
      <c r="K24" s="62">
        <v>5</v>
      </c>
      <c r="L24" s="62">
        <v>2</v>
      </c>
      <c r="M24" s="62">
        <f>(C24*$T$18*1000)+T30</f>
        <v>8600</v>
      </c>
      <c r="N24" s="90">
        <f>(M24*(1-$T$55))</f>
        <v>3010</v>
      </c>
      <c r="O24" s="62">
        <f>$T$38*C24</f>
        <v>71.2</v>
      </c>
      <c r="P24" s="56">
        <f t="shared" si="3"/>
        <v>2.0546976679758633E-2</v>
      </c>
      <c r="Q24" s="56">
        <f t="shared" si="0"/>
        <v>1780</v>
      </c>
      <c r="R24" s="56"/>
      <c r="S24" s="63"/>
      <c r="T24" s="4"/>
      <c r="U24" s="46">
        <v>4.2</v>
      </c>
      <c r="V24" s="56"/>
      <c r="W24" s="1">
        <v>405.89496500000001</v>
      </c>
      <c r="X24" s="1">
        <f t="shared" si="4"/>
        <v>-2604.105035</v>
      </c>
      <c r="Y24" s="1">
        <f t="shared" si="1"/>
        <v>10147.374125</v>
      </c>
      <c r="Z24" s="1">
        <f t="shared" si="5"/>
        <v>7137.3741250000003</v>
      </c>
      <c r="AA24" s="1">
        <f t="shared" si="6"/>
        <v>6.1823172438673996E-2</v>
      </c>
      <c r="AB24" s="1">
        <f t="shared" si="7"/>
        <v>9.7352969308274681E-2</v>
      </c>
      <c r="AC24" s="1"/>
      <c r="AD24" s="1"/>
      <c r="AE24" s="1">
        <f t="shared" si="17"/>
        <v>22</v>
      </c>
      <c r="AF24">
        <f t="shared" si="18"/>
        <v>37299.235378106816</v>
      </c>
      <c r="AG24">
        <f t="shared" si="19"/>
        <v>445081.77831835003</v>
      </c>
      <c r="AH24">
        <f t="shared" si="8"/>
        <v>10138.214676880569</v>
      </c>
      <c r="AI24">
        <f t="shared" si="15"/>
        <v>69761.234446332121</v>
      </c>
      <c r="AJ24">
        <f t="shared" si="9"/>
        <v>64213.296778556331</v>
      </c>
      <c r="AK24">
        <f t="shared" si="10"/>
        <v>17453.660410244327</v>
      </c>
      <c r="AL24">
        <f t="shared" si="16"/>
        <v>189546.22061275103</v>
      </c>
      <c r="AW24" s="1"/>
      <c r="AX24">
        <f t="shared" si="11"/>
        <v>7.2124274250077204E-3</v>
      </c>
      <c r="AY24">
        <f t="shared" si="12"/>
        <v>2396.8291930763316</v>
      </c>
      <c r="AZ24">
        <f t="shared" si="13"/>
        <v>2588.5755285224382</v>
      </c>
      <c r="BA24">
        <f t="shared" si="14"/>
        <v>191.74633544610651</v>
      </c>
    </row>
    <row r="25" spans="1:53" x14ac:dyDescent="0.35">
      <c r="A25" s="1">
        <v>24</v>
      </c>
      <c r="B25" s="62">
        <v>4395.7178346280416</v>
      </c>
      <c r="C25" s="62">
        <v>4</v>
      </c>
      <c r="D25" s="62">
        <v>6930.46</v>
      </c>
      <c r="E25" s="62">
        <v>4395.72</v>
      </c>
      <c r="F25" s="62">
        <v>2268.81</v>
      </c>
      <c r="G25" s="62">
        <v>218.07400000000001</v>
      </c>
      <c r="H25" s="62">
        <v>2973.31</v>
      </c>
      <c r="I25" s="62">
        <v>1797.8</v>
      </c>
      <c r="J25" s="62">
        <v>1736.79</v>
      </c>
      <c r="K25" s="62">
        <v>10</v>
      </c>
      <c r="L25" s="62">
        <v>3.3</v>
      </c>
      <c r="M25" s="62">
        <f>(C25*$T$18*1000)+T31</f>
        <v>14096</v>
      </c>
      <c r="N25" s="90">
        <f t="shared" ref="N25:N34" si="21">(M25*(1-$T$55))</f>
        <v>4933.5999999999995</v>
      </c>
      <c r="O25" s="62">
        <f>$T$38*C25</f>
        <v>142.4</v>
      </c>
      <c r="P25" s="56">
        <f t="shared" si="3"/>
        <v>2.0546976679758633E-2</v>
      </c>
      <c r="Q25" s="56">
        <f t="shared" si="0"/>
        <v>3560</v>
      </c>
      <c r="R25" s="56"/>
      <c r="S25" s="63"/>
      <c r="T25" s="4"/>
      <c r="U25" s="46">
        <v>5</v>
      </c>
      <c r="V25" s="56"/>
      <c r="W25" s="1">
        <v>765.93544999999995</v>
      </c>
      <c r="X25" s="1">
        <f t="shared" si="4"/>
        <v>-4167.6645499999995</v>
      </c>
      <c r="Y25" s="1">
        <f t="shared" si="1"/>
        <v>19148.38625</v>
      </c>
      <c r="Z25" s="1">
        <f t="shared" si="5"/>
        <v>14214.786250000001</v>
      </c>
      <c r="AA25" s="1">
        <f t="shared" si="6"/>
        <v>6.5441578067815864E-2</v>
      </c>
      <c r="AB25" s="1">
        <f t="shared" si="7"/>
        <v>0.1040860325416717</v>
      </c>
      <c r="AC25" s="1"/>
      <c r="AD25" s="1"/>
      <c r="AE25" s="1">
        <f t="shared" si="17"/>
        <v>23</v>
      </c>
      <c r="AF25">
        <f t="shared" si="18"/>
        <v>37299.235378106816</v>
      </c>
      <c r="AG25">
        <f t="shared" si="19"/>
        <v>482381.01369645685</v>
      </c>
      <c r="AH25">
        <f t="shared" si="8"/>
        <v>9555.338998002424</v>
      </c>
      <c r="AI25">
        <f t="shared" si="15"/>
        <v>79316.573444334543</v>
      </c>
      <c r="AJ25">
        <f t="shared" si="9"/>
        <v>65818.629198020251</v>
      </c>
      <c r="AK25">
        <f t="shared" si="10"/>
        <v>16861.4532709712</v>
      </c>
      <c r="AL25">
        <f t="shared" si="16"/>
        <v>206407.67388372222</v>
      </c>
      <c r="AW25" s="2"/>
      <c r="AX25">
        <f t="shared" si="11"/>
        <v>1.0868871132430546E-2</v>
      </c>
      <c r="AY25">
        <f t="shared" si="12"/>
        <v>3611.9361888714261</v>
      </c>
      <c r="AZ25">
        <f t="shared" si="13"/>
        <v>3900.8910839811406</v>
      </c>
      <c r="BA25">
        <f t="shared" si="14"/>
        <v>288.95489510971447</v>
      </c>
    </row>
    <row r="26" spans="1:53" x14ac:dyDescent="0.35">
      <c r="A26" s="1">
        <v>25</v>
      </c>
      <c r="B26" s="1">
        <v>3480.4540913845358</v>
      </c>
      <c r="C26" s="1">
        <v>2</v>
      </c>
      <c r="D26" s="1">
        <v>3465.23</v>
      </c>
      <c r="E26" s="1">
        <v>3480.45</v>
      </c>
      <c r="F26" s="1">
        <v>621.553</v>
      </c>
      <c r="G26" s="1">
        <v>55.542900000000003</v>
      </c>
      <c r="H26" s="1">
        <v>1519.54</v>
      </c>
      <c r="I26" s="1">
        <v>1324.14</v>
      </c>
      <c r="J26" s="1">
        <v>2156.31</v>
      </c>
      <c r="K26" s="1">
        <v>5</v>
      </c>
      <c r="L26" s="1">
        <v>0</v>
      </c>
      <c r="M26" s="1">
        <f>C26*$T$18*1000</f>
        <v>5200</v>
      </c>
      <c r="N26" s="90">
        <f t="shared" si="21"/>
        <v>1819.9999999999998</v>
      </c>
      <c r="O26" s="1">
        <f>$T$19*C26</f>
        <v>53</v>
      </c>
      <c r="P26" s="4">
        <f t="shared" si="3"/>
        <v>1.5294800056561902E-2</v>
      </c>
      <c r="Q26" s="4">
        <f t="shared" si="0"/>
        <v>1325</v>
      </c>
      <c r="R26" s="4"/>
      <c r="S26" s="63" t="s">
        <v>298</v>
      </c>
      <c r="T26" s="4">
        <v>1</v>
      </c>
      <c r="U26" s="46">
        <v>6</v>
      </c>
      <c r="V26" s="4"/>
      <c r="W26" s="1">
        <v>595.01265000000001</v>
      </c>
      <c r="X26" s="1">
        <f t="shared" si="4"/>
        <v>-1224.9873499999999</v>
      </c>
      <c r="Y26" s="1">
        <f t="shared" si="1"/>
        <v>14875.31625</v>
      </c>
      <c r="Z26" s="1">
        <f t="shared" si="5"/>
        <v>13055.31625</v>
      </c>
      <c r="AA26" s="1">
        <f t="shared" si="6"/>
        <v>3.6211610934834368E-2</v>
      </c>
      <c r="AB26" s="1">
        <f t="shared" si="7"/>
        <v>5.4216420438247856E-2</v>
      </c>
      <c r="AC26" s="1"/>
      <c r="AD26" s="2" t="s">
        <v>329</v>
      </c>
      <c r="AE26" s="1">
        <f>AE25+1</f>
        <v>24</v>
      </c>
      <c r="AF26">
        <f t="shared" si="18"/>
        <v>37299.235378106816</v>
      </c>
      <c r="AG26">
        <f t="shared" si="19"/>
        <v>519680.24907456368</v>
      </c>
      <c r="AH26">
        <f t="shared" si="8"/>
        <v>9005.974550426412</v>
      </c>
      <c r="AI26">
        <f t="shared" si="15"/>
        <v>88322.547994760956</v>
      </c>
      <c r="AJ26">
        <f t="shared" si="9"/>
        <v>67464.094927970742</v>
      </c>
      <c r="AK26">
        <f t="shared" si="10"/>
        <v>16289.339870636641</v>
      </c>
      <c r="AL26">
        <f t="shared" si="16"/>
        <v>222697.01375435886</v>
      </c>
      <c r="AW26" s="1" t="s">
        <v>349</v>
      </c>
      <c r="AX26">
        <f t="shared" si="11"/>
        <v>8.6057860000925569E-3</v>
      </c>
      <c r="AY26">
        <f t="shared" si="12"/>
        <v>2859.8692089255032</v>
      </c>
      <c r="AZ26">
        <f t="shared" si="13"/>
        <v>3088.6587456395437</v>
      </c>
      <c r="BA26">
        <f t="shared" si="14"/>
        <v>228.78953671404042</v>
      </c>
    </row>
    <row r="27" spans="1:53" x14ac:dyDescent="0.35">
      <c r="A27" s="1">
        <v>26</v>
      </c>
      <c r="B27" s="1">
        <v>5233.1130996820621</v>
      </c>
      <c r="C27" s="1">
        <v>4</v>
      </c>
      <c r="D27" s="1">
        <v>6930.46</v>
      </c>
      <c r="E27" s="1">
        <v>5233.1099999999997</v>
      </c>
      <c r="F27" s="1">
        <v>1642.54</v>
      </c>
      <c r="G27" s="1">
        <v>148.89400000000001</v>
      </c>
      <c r="H27" s="1">
        <v>3427.61</v>
      </c>
      <c r="I27" s="1">
        <v>1860.31</v>
      </c>
      <c r="J27" s="1">
        <v>3372.81</v>
      </c>
      <c r="K27" s="1">
        <v>10</v>
      </c>
      <c r="L27" s="1">
        <v>0</v>
      </c>
      <c r="M27" s="1">
        <f>C27*$T$18*1000</f>
        <v>10400</v>
      </c>
      <c r="N27" s="90">
        <f t="shared" si="21"/>
        <v>3639.9999999999995</v>
      </c>
      <c r="O27" s="1">
        <f>$T$19*C27</f>
        <v>106</v>
      </c>
      <c r="P27" s="4">
        <f t="shared" si="3"/>
        <v>1.5294800056561902E-2</v>
      </c>
      <c r="Q27" s="4">
        <f t="shared" si="0"/>
        <v>2650</v>
      </c>
      <c r="R27" s="4"/>
      <c r="S27" s="67" t="s">
        <v>259</v>
      </c>
      <c r="T27" s="76"/>
      <c r="U27" s="46"/>
      <c r="V27" s="4"/>
      <c r="W27" s="1">
        <v>960.02759999999989</v>
      </c>
      <c r="X27" s="1">
        <f t="shared" si="4"/>
        <v>-2679.9723999999997</v>
      </c>
      <c r="Y27" s="1">
        <f t="shared" si="1"/>
        <v>24000.69</v>
      </c>
      <c r="Z27" s="1">
        <f t="shared" si="5"/>
        <v>20360.689999999999</v>
      </c>
      <c r="AA27" s="1">
        <f t="shared" si="6"/>
        <v>4.3117626971739008E-2</v>
      </c>
      <c r="AB27" s="1">
        <f t="shared" si="7"/>
        <v>6.7067009187293219E-2</v>
      </c>
      <c r="AC27" s="1"/>
      <c r="AD27" s="1">
        <f>MIN(W2:W46)</f>
        <v>202.70718499999998</v>
      </c>
      <c r="AE27" s="1">
        <f t="shared" si="17"/>
        <v>25</v>
      </c>
      <c r="AF27">
        <f t="shared" si="18"/>
        <v>37299.235378106816</v>
      </c>
      <c r="AG27">
        <f t="shared" si="19"/>
        <v>556979.48445267044</v>
      </c>
      <c r="AH27">
        <f t="shared" si="8"/>
        <v>8488.1946752369586</v>
      </c>
      <c r="AI27">
        <f t="shared" si="15"/>
        <v>96810.742669997911</v>
      </c>
      <c r="AJ27">
        <f t="shared" si="9"/>
        <v>69150.697301170003</v>
      </c>
      <c r="AK27">
        <f t="shared" si="10"/>
        <v>15736.638423565084</v>
      </c>
      <c r="AL27">
        <f t="shared" si="16"/>
        <v>238433.65217792394</v>
      </c>
      <c r="AW27" s="1">
        <f>AL63/55</f>
        <v>1707.0126858479496</v>
      </c>
      <c r="AX27">
        <f t="shared" si="11"/>
        <v>1.2939418325219101E-2</v>
      </c>
      <c r="AY27">
        <f t="shared" si="12"/>
        <v>4300.0190859152799</v>
      </c>
      <c r="AZ27">
        <f t="shared" si="13"/>
        <v>4644.0206127885021</v>
      </c>
      <c r="BA27">
        <f t="shared" si="14"/>
        <v>344.00152687322225</v>
      </c>
    </row>
    <row r="28" spans="1:53" x14ac:dyDescent="0.35">
      <c r="A28" s="1">
        <v>27</v>
      </c>
      <c r="B28" s="1">
        <v>6696.2920887280334</v>
      </c>
      <c r="C28" s="1">
        <v>4</v>
      </c>
      <c r="D28" s="1">
        <v>6930.46</v>
      </c>
      <c r="E28" s="1">
        <v>6696.29</v>
      </c>
      <c r="F28" s="1">
        <v>1385.43</v>
      </c>
      <c r="G28" s="1">
        <v>124.053</v>
      </c>
      <c r="H28" s="1">
        <v>3240.4</v>
      </c>
      <c r="I28" s="1">
        <v>2304.63</v>
      </c>
      <c r="J28" s="1">
        <v>4391.67</v>
      </c>
      <c r="K28" s="1">
        <v>10</v>
      </c>
      <c r="L28" s="1">
        <v>0</v>
      </c>
      <c r="M28" s="1">
        <f>C28*$T$18*1000</f>
        <v>10400</v>
      </c>
      <c r="N28" s="90">
        <f t="shared" si="21"/>
        <v>3639.9999999999995</v>
      </c>
      <c r="O28" s="1">
        <f>$T$19*C28</f>
        <v>106</v>
      </c>
      <c r="P28" s="4">
        <f t="shared" si="3"/>
        <v>1.5294800056561902E-2</v>
      </c>
      <c r="Q28" s="4">
        <f t="shared" si="0"/>
        <v>2650</v>
      </c>
      <c r="R28" s="4"/>
      <c r="S28" s="50" t="s">
        <v>245</v>
      </c>
      <c r="T28" s="2" t="s">
        <v>246</v>
      </c>
      <c r="U28" s="46"/>
      <c r="V28" s="4"/>
      <c r="W28" s="1">
        <v>1161.9794999999999</v>
      </c>
      <c r="X28" s="1">
        <f t="shared" si="4"/>
        <v>-2478.0204999999996</v>
      </c>
      <c r="Y28" s="1">
        <f t="shared" si="1"/>
        <v>29049.487499999999</v>
      </c>
      <c r="Z28" s="1">
        <f t="shared" si="5"/>
        <v>25409.487499999999</v>
      </c>
      <c r="AA28" s="1">
        <f t="shared" si="6"/>
        <v>3.703817655071015E-2</v>
      </c>
      <c r="AB28" s="1">
        <f t="shared" si="7"/>
        <v>5.5754478668486471E-2</v>
      </c>
      <c r="AC28" s="1"/>
      <c r="AD28" s="1"/>
      <c r="AE28" s="1"/>
      <c r="AW28" s="2"/>
      <c r="AX28">
        <f t="shared" si="11"/>
        <v>1.6557281089371333E-2</v>
      </c>
      <c r="AY28">
        <f t="shared" si="12"/>
        <v>5502.304887724179</v>
      </c>
      <c r="AZ28">
        <f t="shared" si="13"/>
        <v>5942.489278742114</v>
      </c>
      <c r="BA28">
        <f t="shared" si="14"/>
        <v>440.18439101793501</v>
      </c>
    </row>
    <row r="29" spans="1:53" x14ac:dyDescent="0.35">
      <c r="A29" s="1">
        <v>28</v>
      </c>
      <c r="B29" s="62">
        <v>8230.4847304692612</v>
      </c>
      <c r="C29" s="62">
        <v>6</v>
      </c>
      <c r="D29" s="62">
        <v>10395.700000000001</v>
      </c>
      <c r="E29" s="62">
        <v>8230.48</v>
      </c>
      <c r="F29" s="62">
        <v>2928.68</v>
      </c>
      <c r="G29" s="62">
        <v>274</v>
      </c>
      <c r="H29" s="62">
        <v>4210.74</v>
      </c>
      <c r="I29" s="62">
        <v>3393.9</v>
      </c>
      <c r="J29" s="62">
        <v>2532.5700000000002</v>
      </c>
      <c r="K29" s="62">
        <v>15</v>
      </c>
      <c r="L29" s="62">
        <v>5</v>
      </c>
      <c r="M29" s="62">
        <f>(C29*$T$18*1000)+T33</f>
        <v>19100</v>
      </c>
      <c r="N29" s="90">
        <f t="shared" si="21"/>
        <v>6685</v>
      </c>
      <c r="O29" s="62">
        <f>$T$38*C29</f>
        <v>213.60000000000002</v>
      </c>
      <c r="P29" s="56">
        <f t="shared" si="3"/>
        <v>2.0546956914878269E-2</v>
      </c>
      <c r="Q29" s="56">
        <f t="shared" si="0"/>
        <v>5340.0000000000009</v>
      </c>
      <c r="R29" s="56"/>
      <c r="S29" s="63" t="s">
        <v>288</v>
      </c>
      <c r="T29" s="4">
        <f>(U21*U17*$T$26)</f>
        <v>2040</v>
      </c>
      <c r="U29" s="46" t="s">
        <v>289</v>
      </c>
      <c r="V29" s="56"/>
      <c r="W29" s="1">
        <v>1192.60285</v>
      </c>
      <c r="X29" s="1">
        <f t="shared" si="4"/>
        <v>-5492.3971499999998</v>
      </c>
      <c r="Y29" s="1">
        <f t="shared" si="1"/>
        <v>29815.071250000001</v>
      </c>
      <c r="Z29" s="1">
        <f t="shared" si="5"/>
        <v>23130.071250000001</v>
      </c>
      <c r="AA29" s="1">
        <f t="shared" si="6"/>
        <v>5.3035930378383403E-2</v>
      </c>
      <c r="AB29" s="1">
        <f t="shared" si="7"/>
        <v>8.1001846481755346E-2</v>
      </c>
      <c r="AC29" s="1"/>
      <c r="AD29" s="2" t="s">
        <v>330</v>
      </c>
      <c r="AF29" s="18" t="s">
        <v>51</v>
      </c>
      <c r="AG29" s="4">
        <f>AE5-(AG5/AF6)</f>
        <v>10.067268033607053</v>
      </c>
      <c r="AH29" s="4"/>
      <c r="AI29" s="10">
        <f>AE6-(AI6/AH7)</f>
        <v>12.887585313941914</v>
      </c>
      <c r="AJ29" s="10"/>
      <c r="AK29" s="10"/>
      <c r="AL29" s="10">
        <f>AE14-(AL14/AK15)</f>
        <v>12.643560547682842</v>
      </c>
      <c r="AW29" s="1"/>
      <c r="AX29">
        <f t="shared" si="11"/>
        <v>2.0350732521592207E-2</v>
      </c>
      <c r="AY29">
        <f t="shared" si="12"/>
        <v>6762.9422015553791</v>
      </c>
      <c r="AZ29">
        <f t="shared" si="13"/>
        <v>7303.9775776798097</v>
      </c>
      <c r="BA29">
        <f t="shared" si="14"/>
        <v>541.03537612443051</v>
      </c>
    </row>
    <row r="30" spans="1:53" ht="15" thickBot="1" x14ac:dyDescent="0.4">
      <c r="A30" s="1">
        <v>29</v>
      </c>
      <c r="B30" s="62">
        <v>3184.1460343074909</v>
      </c>
      <c r="C30" s="62">
        <v>2</v>
      </c>
      <c r="D30" s="62">
        <v>3465.23</v>
      </c>
      <c r="E30" s="62">
        <v>3184.15</v>
      </c>
      <c r="F30" s="62">
        <v>1055.81</v>
      </c>
      <c r="G30" s="62">
        <v>98.489099999999993</v>
      </c>
      <c r="H30" s="62">
        <v>1177.54</v>
      </c>
      <c r="I30" s="62">
        <v>1255.03</v>
      </c>
      <c r="J30" s="62">
        <v>807.74400000000003</v>
      </c>
      <c r="K30" s="62">
        <v>5</v>
      </c>
      <c r="L30" s="62">
        <v>3.3</v>
      </c>
      <c r="M30" s="62">
        <f>(C30*$T$18*1000)+T31</f>
        <v>8896</v>
      </c>
      <c r="N30" s="90">
        <f t="shared" si="21"/>
        <v>3113.6</v>
      </c>
      <c r="O30" s="62">
        <f>$T$38*C30</f>
        <v>71.2</v>
      </c>
      <c r="P30" s="56">
        <f t="shared" si="3"/>
        <v>2.0546976679758633E-2</v>
      </c>
      <c r="Q30" s="56">
        <f t="shared" si="0"/>
        <v>1780</v>
      </c>
      <c r="R30" s="56"/>
      <c r="S30" s="63" t="s">
        <v>288</v>
      </c>
      <c r="T30" s="4">
        <f>(U22*U17*$T$26)</f>
        <v>3400</v>
      </c>
      <c r="U30" s="46" t="s">
        <v>296</v>
      </c>
      <c r="V30" s="56"/>
      <c r="W30" s="1">
        <v>418.21906999999999</v>
      </c>
      <c r="X30" s="1">
        <f t="shared" si="4"/>
        <v>-2695.3809299999998</v>
      </c>
      <c r="Y30" s="1">
        <f t="shared" si="1"/>
        <v>10455.47675</v>
      </c>
      <c r="Z30" s="1">
        <f t="shared" si="5"/>
        <v>7341.8767499999994</v>
      </c>
      <c r="AA30" s="1">
        <f t="shared" si="6"/>
        <v>5.9660760613693888E-2</v>
      </c>
      <c r="AB30" s="1">
        <f t="shared" si="7"/>
        <v>9.3329192803789901E-2</v>
      </c>
      <c r="AC30" s="1"/>
      <c r="AD30" s="1">
        <f>MAX(W2:W46)</f>
        <v>2145.5556000000001</v>
      </c>
      <c r="AF30" s="4"/>
      <c r="AG30" s="4"/>
      <c r="AH30" s="4"/>
      <c r="AI30" s="4"/>
      <c r="AJ30" s="4"/>
      <c r="AK30" s="4"/>
      <c r="AL30" s="4"/>
      <c r="AQ30" t="s">
        <v>6</v>
      </c>
      <c r="AW30" s="1"/>
      <c r="AX30">
        <f t="shared" si="11"/>
        <v>7.8731334029442709E-3</v>
      </c>
      <c r="AY30">
        <f t="shared" si="12"/>
        <v>2616.3945741389598</v>
      </c>
      <c r="AZ30">
        <f t="shared" si="13"/>
        <v>2825.7061400700768</v>
      </c>
      <c r="BA30">
        <f t="shared" si="14"/>
        <v>209.311565931117</v>
      </c>
    </row>
    <row r="31" spans="1:53" ht="15" customHeight="1" thickBot="1" x14ac:dyDescent="0.4">
      <c r="A31" s="1">
        <v>30</v>
      </c>
      <c r="B31" s="62">
        <v>2455.556329062375</v>
      </c>
      <c r="C31" s="62">
        <v>2</v>
      </c>
      <c r="D31" s="62">
        <v>3465.23</v>
      </c>
      <c r="E31" s="62">
        <v>2455.56</v>
      </c>
      <c r="F31" s="62">
        <v>981.01199999999994</v>
      </c>
      <c r="G31" s="62">
        <v>91.956100000000006</v>
      </c>
      <c r="H31" s="62">
        <v>1498.17</v>
      </c>
      <c r="I31" s="62">
        <v>1029.33</v>
      </c>
      <c r="J31" s="62">
        <v>829.81899999999996</v>
      </c>
      <c r="K31" s="62">
        <v>5</v>
      </c>
      <c r="L31" s="62">
        <v>1.2</v>
      </c>
      <c r="M31" s="62">
        <f>(C31*$T$18*1000)+T29</f>
        <v>7240</v>
      </c>
      <c r="N31" s="90">
        <f t="shared" si="21"/>
        <v>2534</v>
      </c>
      <c r="O31" s="62">
        <f>$T$38*C31</f>
        <v>71.2</v>
      </c>
      <c r="P31" s="56">
        <f t="shared" si="3"/>
        <v>2.0546976679758633E-2</v>
      </c>
      <c r="Q31" s="56">
        <f t="shared" si="0"/>
        <v>1780</v>
      </c>
      <c r="R31" s="56"/>
      <c r="S31" s="63" t="s">
        <v>288</v>
      </c>
      <c r="T31" s="4">
        <f>(U23*U18*$T$26)</f>
        <v>3696</v>
      </c>
      <c r="U31" s="46" t="s">
        <v>290</v>
      </c>
      <c r="V31" s="56"/>
      <c r="W31" s="1">
        <v>380.12419499999999</v>
      </c>
      <c r="X31" s="1">
        <f t="shared" si="4"/>
        <v>-2153.8758050000001</v>
      </c>
      <c r="Y31" s="1">
        <f t="shared" si="1"/>
        <v>9503.1048749999991</v>
      </c>
      <c r="Z31" s="1">
        <f t="shared" si="5"/>
        <v>6969.1048749999991</v>
      </c>
      <c r="AA31" s="1">
        <f t="shared" si="6"/>
        <v>6.1824791731430899E-2</v>
      </c>
      <c r="AB31" s="1">
        <f t="shared" si="7"/>
        <v>9.7355982458718029E-2</v>
      </c>
      <c r="AC31" s="1"/>
      <c r="AD31" s="1"/>
      <c r="AF31" s="4" t="s">
        <v>53</v>
      </c>
      <c r="AG31" s="9">
        <f>IRR(AF2:AF27)</f>
        <v>8.6987196470602379E-2</v>
      </c>
      <c r="AH31" s="4"/>
      <c r="AI31" s="100" t="s">
        <v>54</v>
      </c>
      <c r="AJ31" s="101"/>
      <c r="AK31" s="101"/>
      <c r="AL31" s="102"/>
      <c r="AW31" s="2"/>
      <c r="AX31">
        <f t="shared" si="11"/>
        <v>6.0716193129492719E-3</v>
      </c>
      <c r="AY31">
        <f t="shared" si="12"/>
        <v>2017.7165829169221</v>
      </c>
      <c r="AZ31">
        <f t="shared" si="13"/>
        <v>2179.1339095502758</v>
      </c>
      <c r="BA31">
        <f t="shared" si="14"/>
        <v>161.4173266333537</v>
      </c>
    </row>
    <row r="32" spans="1:53" ht="15" thickBot="1" x14ac:dyDescent="0.4">
      <c r="A32" s="1">
        <v>31</v>
      </c>
      <c r="B32" s="1">
        <v>1553.515228702383</v>
      </c>
      <c r="C32" s="1">
        <v>2</v>
      </c>
      <c r="D32" s="1">
        <v>3465.23</v>
      </c>
      <c r="E32" s="1">
        <v>1553.52</v>
      </c>
      <c r="F32" s="1">
        <v>992.22699999999998</v>
      </c>
      <c r="G32" s="1">
        <v>92.273499999999999</v>
      </c>
      <c r="H32" s="1">
        <v>1784.82</v>
      </c>
      <c r="I32" s="1">
        <v>688.178</v>
      </c>
      <c r="J32" s="1">
        <v>865.33699999999999</v>
      </c>
      <c r="K32" s="1">
        <v>5</v>
      </c>
      <c r="L32" s="1">
        <v>0</v>
      </c>
      <c r="M32" s="1">
        <f>C32*$T$18*1000</f>
        <v>5200</v>
      </c>
      <c r="N32" s="90">
        <f t="shared" si="21"/>
        <v>1819.9999999999998</v>
      </c>
      <c r="O32" s="1">
        <f>$T$19*C32</f>
        <v>53</v>
      </c>
      <c r="P32" s="4">
        <f t="shared" si="3"/>
        <v>1.5294800056561902E-2</v>
      </c>
      <c r="Q32" s="4">
        <f t="shared" si="0"/>
        <v>1325</v>
      </c>
      <c r="R32" s="4"/>
      <c r="S32" s="63" t="s">
        <v>288</v>
      </c>
      <c r="T32" s="4">
        <f>(U24*U18*$T$26)</f>
        <v>4704</v>
      </c>
      <c r="U32" s="46" t="s">
        <v>291</v>
      </c>
      <c r="V32" s="4"/>
      <c r="W32" s="1">
        <v>333.06832499999996</v>
      </c>
      <c r="X32" s="1">
        <f t="shared" si="4"/>
        <v>-1486.9316749999998</v>
      </c>
      <c r="Y32" s="1">
        <f t="shared" si="1"/>
        <v>8326.7081249999992</v>
      </c>
      <c r="Z32" s="1">
        <f t="shared" si="5"/>
        <v>6506.7081249999992</v>
      </c>
      <c r="AA32" s="1">
        <f t="shared" si="6"/>
        <v>6.2156265367596053E-2</v>
      </c>
      <c r="AB32" s="1">
        <f t="shared" si="7"/>
        <v>0.10249376045163025</v>
      </c>
      <c r="AC32" s="1"/>
      <c r="AD32" s="2" t="s">
        <v>331</v>
      </c>
      <c r="AF32" s="4"/>
      <c r="AG32" s="8"/>
      <c r="AH32" s="4"/>
      <c r="AI32" s="103"/>
      <c r="AJ32" s="104"/>
      <c r="AK32" s="104"/>
      <c r="AL32" s="105"/>
      <c r="AW32" s="1"/>
      <c r="AX32">
        <f t="shared" si="11"/>
        <v>3.841228545203777E-3</v>
      </c>
      <c r="AY32">
        <f t="shared" si="12"/>
        <v>1276.5145729577562</v>
      </c>
      <c r="AZ32">
        <f t="shared" si="13"/>
        <v>1378.6357387943767</v>
      </c>
      <c r="BA32">
        <f t="shared" si="14"/>
        <v>102.12116583662055</v>
      </c>
    </row>
    <row r="33" spans="1:53" x14ac:dyDescent="0.35">
      <c r="A33" s="1">
        <v>32</v>
      </c>
      <c r="B33" s="62">
        <v>14627.53150971361</v>
      </c>
      <c r="C33" s="62">
        <v>10</v>
      </c>
      <c r="D33" s="62">
        <v>17326.099999999999</v>
      </c>
      <c r="E33" s="62">
        <v>14627.5</v>
      </c>
      <c r="F33" s="62">
        <v>6319.47</v>
      </c>
      <c r="G33" s="62">
        <v>606.04600000000005</v>
      </c>
      <c r="H33" s="62">
        <v>5835.93</v>
      </c>
      <c r="I33" s="62">
        <v>5167.72</v>
      </c>
      <c r="J33" s="62">
        <v>4764.6000000000004</v>
      </c>
      <c r="K33" s="62">
        <v>25</v>
      </c>
      <c r="L33" s="62">
        <f>19.4</f>
        <v>19.399999999999999</v>
      </c>
      <c r="M33" s="62">
        <f>(C33*$T$18*1000)+T37</f>
        <v>42000</v>
      </c>
      <c r="N33" s="90">
        <f t="shared" si="21"/>
        <v>14699.999999999998</v>
      </c>
      <c r="O33" s="62">
        <f>$T$38*C33</f>
        <v>356</v>
      </c>
      <c r="P33" s="56">
        <f t="shared" si="3"/>
        <v>2.0547035974627877E-2</v>
      </c>
      <c r="Q33" s="56">
        <f t="shared" si="0"/>
        <v>8900</v>
      </c>
      <c r="R33" s="56"/>
      <c r="S33" s="63" t="s">
        <v>288</v>
      </c>
      <c r="T33" s="4">
        <f>(U25*U19*$T$26)</f>
        <v>3500</v>
      </c>
      <c r="U33" s="46" t="s">
        <v>293</v>
      </c>
      <c r="V33" s="56"/>
      <c r="W33" s="1">
        <v>2145.5556000000001</v>
      </c>
      <c r="X33" s="1">
        <f t="shared" si="4"/>
        <v>-12554.444399999998</v>
      </c>
      <c r="Y33" s="1">
        <f t="shared" si="1"/>
        <v>53638.890000000007</v>
      </c>
      <c r="Z33" s="1">
        <f t="shared" si="5"/>
        <v>38938.890000000007</v>
      </c>
      <c r="AA33" s="1">
        <f t="shared" si="6"/>
        <v>6.0745206090312164E-2</v>
      </c>
      <c r="AB33" s="1">
        <f t="shared" si="7"/>
        <v>9.5347058137964291E-2</v>
      </c>
      <c r="AC33" s="1"/>
      <c r="AD33" s="1">
        <f>MIN(W47:W100)</f>
        <v>7.2637200000000002</v>
      </c>
      <c r="AX33">
        <f t="shared" si="11"/>
        <v>3.6168098350675297E-2</v>
      </c>
      <c r="AY33">
        <f t="shared" si="12"/>
        <v>12019.358930999804</v>
      </c>
      <c r="AZ33">
        <f t="shared" si="13"/>
        <v>12980.907645479789</v>
      </c>
      <c r="BA33">
        <f t="shared" si="14"/>
        <v>961.54871447998448</v>
      </c>
    </row>
    <row r="34" spans="1:53" x14ac:dyDescent="0.35">
      <c r="A34" s="1">
        <v>33</v>
      </c>
      <c r="B34" s="62">
        <v>4264.5516094210579</v>
      </c>
      <c r="C34" s="62">
        <v>4</v>
      </c>
      <c r="D34" s="62">
        <v>6930.46</v>
      </c>
      <c r="E34" s="62">
        <v>4264.55</v>
      </c>
      <c r="F34" s="62">
        <v>2602.7800000000002</v>
      </c>
      <c r="G34" s="62">
        <v>255.268</v>
      </c>
      <c r="H34" s="62">
        <v>2529.48</v>
      </c>
      <c r="I34" s="62">
        <v>1820.92</v>
      </c>
      <c r="J34" s="62">
        <v>1578.24</v>
      </c>
      <c r="K34" s="62">
        <v>10</v>
      </c>
      <c r="L34" s="62">
        <v>6</v>
      </c>
      <c r="M34" s="62">
        <f>(C34*$T$18*1000)+T34</f>
        <v>14600</v>
      </c>
      <c r="N34" s="90">
        <f t="shared" si="21"/>
        <v>5110</v>
      </c>
      <c r="O34" s="62">
        <f>$T$38*C34</f>
        <v>142.4</v>
      </c>
      <c r="P34" s="56">
        <f t="shared" si="3"/>
        <v>2.0546976679758633E-2</v>
      </c>
      <c r="Q34" s="56">
        <f t="shared" si="0"/>
        <v>3560</v>
      </c>
      <c r="R34" s="56"/>
      <c r="S34" s="63" t="s">
        <v>288</v>
      </c>
      <c r="T34" s="4">
        <f>(U26*U19*$T$26)</f>
        <v>4200</v>
      </c>
      <c r="U34" s="46" t="s">
        <v>292</v>
      </c>
      <c r="V34" s="56"/>
      <c r="W34" s="1">
        <v>782.13779999999997</v>
      </c>
      <c r="X34" s="1">
        <f t="shared" si="4"/>
        <v>-4327.8621999999996</v>
      </c>
      <c r="Y34" s="1">
        <f t="shared" si="1"/>
        <v>19553.445</v>
      </c>
      <c r="Z34" s="1">
        <f t="shared" si="5"/>
        <v>14443.445</v>
      </c>
      <c r="AA34" s="1">
        <f t="shared" si="6"/>
        <v>6.8476986378421589E-2</v>
      </c>
      <c r="AB34" s="1">
        <f t="shared" si="7"/>
        <v>0.10973426499241938</v>
      </c>
      <c r="AC34" s="1"/>
      <c r="AD34" s="1"/>
      <c r="AX34">
        <f t="shared" si="11"/>
        <v>1.0544548950630927E-2</v>
      </c>
      <c r="AY34">
        <f t="shared" si="12"/>
        <v>3504.1576522577693</v>
      </c>
      <c r="AZ34">
        <f t="shared" si="13"/>
        <v>3784.490264438391</v>
      </c>
      <c r="BA34">
        <f t="shared" si="14"/>
        <v>280.33261218062171</v>
      </c>
    </row>
    <row r="35" spans="1:53" x14ac:dyDescent="0.35">
      <c r="A35" s="1">
        <v>34</v>
      </c>
      <c r="B35" s="1">
        <v>5041.8344142687847</v>
      </c>
      <c r="C35" s="1">
        <v>4</v>
      </c>
      <c r="D35" s="1">
        <v>7106.6</v>
      </c>
      <c r="E35" s="1">
        <v>5041.83</v>
      </c>
      <c r="F35" s="1">
        <v>1667.85</v>
      </c>
      <c r="G35" s="1">
        <v>152.785</v>
      </c>
      <c r="H35" s="1">
        <v>3300.83</v>
      </c>
      <c r="I35" s="1">
        <v>2137.92</v>
      </c>
      <c r="J35" s="1">
        <v>2903.92</v>
      </c>
      <c r="K35" s="1">
        <v>10</v>
      </c>
      <c r="L35" s="1">
        <v>0</v>
      </c>
      <c r="M35" s="1">
        <f>C35*$T$18*1000</f>
        <v>10400</v>
      </c>
      <c r="N35" s="91">
        <f>(M35*(1-$T$56))</f>
        <v>2600</v>
      </c>
      <c r="O35" s="1">
        <f>$T$19*C35</f>
        <v>106</v>
      </c>
      <c r="P35" s="4">
        <f t="shared" si="3"/>
        <v>1.4915712154898262E-2</v>
      </c>
      <c r="Q35" s="4">
        <f t="shared" si="0"/>
        <v>2650</v>
      </c>
      <c r="R35" s="4"/>
      <c r="S35" s="63" t="s">
        <v>288</v>
      </c>
      <c r="T35" s="4">
        <f xml:space="preserve"> 8000 *T26</f>
        <v>8000</v>
      </c>
      <c r="U35" s="46" t="s">
        <v>294</v>
      </c>
      <c r="V35" s="4"/>
      <c r="W35" s="1">
        <v>934.27019999999993</v>
      </c>
      <c r="X35" s="1">
        <f t="shared" si="4"/>
        <v>-1665.7298000000001</v>
      </c>
      <c r="Y35" s="1">
        <f t="shared" si="1"/>
        <v>23356.754999999997</v>
      </c>
      <c r="Z35" s="1">
        <f t="shared" si="5"/>
        <v>20756.754999999997</v>
      </c>
      <c r="AA35" s="1">
        <f t="shared" si="6"/>
        <v>3.5543125007980444E-2</v>
      </c>
      <c r="AB35" s="1">
        <f t="shared" si="7"/>
        <v>5.3298825966858226E-2</v>
      </c>
      <c r="AC35" s="1"/>
      <c r="AD35" s="2" t="s">
        <v>332</v>
      </c>
      <c r="AX35">
        <f t="shared" si="11"/>
        <v>1.2466461811550257E-2</v>
      </c>
      <c r="AY35">
        <f t="shared" si="12"/>
        <v>4142.8464847620871</v>
      </c>
      <c r="AZ35">
        <f t="shared" si="13"/>
        <v>4474.2742035430547</v>
      </c>
      <c r="BA35">
        <f t="shared" si="14"/>
        <v>331.42771878096755</v>
      </c>
    </row>
    <row r="36" spans="1:53" x14ac:dyDescent="0.35">
      <c r="A36" s="1">
        <v>35</v>
      </c>
      <c r="B36" s="62">
        <v>1680.154057549307</v>
      </c>
      <c r="C36" s="62">
        <v>2</v>
      </c>
      <c r="D36" s="62">
        <v>3553.3</v>
      </c>
      <c r="E36" s="62">
        <v>1680.15</v>
      </c>
      <c r="F36" s="62">
        <v>1252.81</v>
      </c>
      <c r="G36" s="62">
        <v>122.58499999999999</v>
      </c>
      <c r="H36" s="62">
        <v>1604.06</v>
      </c>
      <c r="I36" s="62">
        <v>745.89400000000001</v>
      </c>
      <c r="J36" s="62">
        <v>657.86699999999996</v>
      </c>
      <c r="K36" s="62">
        <v>5</v>
      </c>
      <c r="L36" s="62">
        <v>1.2</v>
      </c>
      <c r="M36" s="62">
        <f>(C36*$T$18*1000)+T29</f>
        <v>7240</v>
      </c>
      <c r="N36" s="91">
        <f t="shared" ref="N36:N46" si="22">(M36*(1-$T$56))</f>
        <v>1810</v>
      </c>
      <c r="O36" s="62">
        <f>$T$38*C36</f>
        <v>71.2</v>
      </c>
      <c r="P36" s="56">
        <f t="shared" si="3"/>
        <v>2.0037711423184081E-2</v>
      </c>
      <c r="Q36" s="56">
        <f t="shared" si="0"/>
        <v>1780</v>
      </c>
      <c r="R36" s="56"/>
      <c r="S36" s="63" t="s">
        <v>288</v>
      </c>
      <c r="T36" s="4">
        <f>7300*T26</f>
        <v>7300</v>
      </c>
      <c r="U36" s="46" t="s">
        <v>295</v>
      </c>
      <c r="V36" s="56"/>
      <c r="W36" s="1">
        <v>340.16795500000001</v>
      </c>
      <c r="X36" s="1">
        <f t="shared" si="4"/>
        <v>-1469.8320450000001</v>
      </c>
      <c r="Y36" s="1">
        <f t="shared" si="1"/>
        <v>8504.198875</v>
      </c>
      <c r="Z36" s="1">
        <f t="shared" si="5"/>
        <v>6694.198875</v>
      </c>
      <c r="AA36" s="1">
        <f t="shared" si="6"/>
        <v>6.3128998007703316E-2</v>
      </c>
      <c r="AB36" s="1">
        <f t="shared" si="7"/>
        <v>0.1002211919719939</v>
      </c>
      <c r="AC36" s="1"/>
      <c r="AD36" s="1">
        <f>MAX(W47:W100)</f>
        <v>382.77600000000001</v>
      </c>
      <c r="AX36">
        <f t="shared" si="11"/>
        <v>4.1543562669733927E-3</v>
      </c>
      <c r="AY36">
        <f t="shared" si="12"/>
        <v>1380.5729738917655</v>
      </c>
      <c r="AZ36">
        <f t="shared" si="13"/>
        <v>1491.0188118031069</v>
      </c>
      <c r="BA36">
        <f t="shared" si="14"/>
        <v>110.44583791134141</v>
      </c>
    </row>
    <row r="37" spans="1:53" x14ac:dyDescent="0.35">
      <c r="A37" s="1">
        <v>36</v>
      </c>
      <c r="B37" s="1">
        <v>5659.8657296841702</v>
      </c>
      <c r="C37" s="1">
        <v>4</v>
      </c>
      <c r="D37" s="1">
        <v>7106.6</v>
      </c>
      <c r="E37" s="1">
        <v>5659.87</v>
      </c>
      <c r="F37" s="1">
        <v>1537.84</v>
      </c>
      <c r="G37" s="1">
        <v>139.857</v>
      </c>
      <c r="H37" s="1">
        <v>3205.84</v>
      </c>
      <c r="I37" s="1">
        <v>2362.91</v>
      </c>
      <c r="J37" s="1">
        <v>3296.95</v>
      </c>
      <c r="K37" s="1">
        <v>10</v>
      </c>
      <c r="L37" s="1">
        <v>0</v>
      </c>
      <c r="M37" s="1">
        <f>C37*$T$18*1000</f>
        <v>10400</v>
      </c>
      <c r="N37" s="91">
        <f t="shared" si="22"/>
        <v>2600</v>
      </c>
      <c r="O37" s="1">
        <f>$T$19*C37</f>
        <v>106</v>
      </c>
      <c r="P37" s="4">
        <f t="shared" si="3"/>
        <v>1.4915712154898262E-2</v>
      </c>
      <c r="Q37" s="4">
        <f t="shared" si="0"/>
        <v>2650</v>
      </c>
      <c r="R37" s="4"/>
      <c r="S37" s="63" t="s">
        <v>288</v>
      </c>
      <c r="T37" s="4">
        <f>16000*T26</f>
        <v>16000</v>
      </c>
      <c r="U37" s="46" t="s">
        <v>297</v>
      </c>
      <c r="V37" s="4"/>
      <c r="W37" s="1">
        <v>1017.1352999999999</v>
      </c>
      <c r="X37" s="1">
        <f t="shared" si="4"/>
        <v>-1582.8647000000001</v>
      </c>
      <c r="Y37" s="1">
        <f t="shared" si="1"/>
        <v>25428.3825</v>
      </c>
      <c r="Z37" s="1">
        <f t="shared" si="5"/>
        <v>22828.3825</v>
      </c>
      <c r="AA37" s="1">
        <f t="shared" si="6"/>
        <v>3.3290706362720815E-2</v>
      </c>
      <c r="AB37" s="1">
        <f t="shared" si="7"/>
        <v>4.9107566411966314E-2</v>
      </c>
      <c r="AC37" s="1"/>
      <c r="AX37">
        <f t="shared" si="11"/>
        <v>1.399460874358025E-2</v>
      </c>
      <c r="AY37">
        <f t="shared" si="12"/>
        <v>4650.6792797653025</v>
      </c>
      <c r="AZ37">
        <f t="shared" si="13"/>
        <v>5022.7336221465266</v>
      </c>
      <c r="BA37">
        <f t="shared" si="14"/>
        <v>372.05434238122416</v>
      </c>
    </row>
    <row r="38" spans="1:53" x14ac:dyDescent="0.35">
      <c r="A38" s="1">
        <v>37</v>
      </c>
      <c r="B38" s="62">
        <v>7074.8321611913698</v>
      </c>
      <c r="C38" s="62">
        <v>6</v>
      </c>
      <c r="D38" s="62">
        <v>10659.9</v>
      </c>
      <c r="E38" s="62">
        <v>7074.83</v>
      </c>
      <c r="F38" s="62">
        <v>3404.59</v>
      </c>
      <c r="G38" s="62">
        <v>327.08699999999999</v>
      </c>
      <c r="H38" s="62">
        <v>4373.93</v>
      </c>
      <c r="I38" s="62">
        <v>3025.14</v>
      </c>
      <c r="J38" s="62">
        <v>2437.81</v>
      </c>
      <c r="K38" s="62">
        <v>15</v>
      </c>
      <c r="L38" s="62">
        <v>5</v>
      </c>
      <c r="M38" s="62">
        <f>(C38*$T$18*1000)+T33</f>
        <v>19100</v>
      </c>
      <c r="N38" s="91">
        <f t="shared" si="22"/>
        <v>4775</v>
      </c>
      <c r="O38" s="62">
        <f>$T$38*C38</f>
        <v>213.60000000000002</v>
      </c>
      <c r="P38" s="56">
        <f t="shared" si="3"/>
        <v>2.0037711423184085E-2</v>
      </c>
      <c r="Q38" s="56">
        <f t="shared" si="0"/>
        <v>5340.0000000000009</v>
      </c>
      <c r="R38" s="56"/>
      <c r="S38" s="65" t="s">
        <v>248</v>
      </c>
      <c r="T38" s="1">
        <v>35.6</v>
      </c>
      <c r="U38" s="30"/>
      <c r="V38" s="56"/>
      <c r="W38" s="1">
        <v>1173.8442500000001</v>
      </c>
      <c r="X38" s="1">
        <f t="shared" si="4"/>
        <v>-3601.1557499999999</v>
      </c>
      <c r="Y38" s="1">
        <f t="shared" si="1"/>
        <v>29346.106250000004</v>
      </c>
      <c r="Z38" s="1">
        <f t="shared" si="5"/>
        <v>24571.106250000004</v>
      </c>
      <c r="AA38" s="1">
        <f t="shared" si="6"/>
        <v>4.7034818301241309E-2</v>
      </c>
      <c r="AB38" s="1">
        <f t="shared" si="7"/>
        <v>7.0273435761211381E-2</v>
      </c>
      <c r="AC38" s="1"/>
      <c r="AD38" s="1" t="s">
        <v>287</v>
      </c>
      <c r="AE38" s="1">
        <v>0</v>
      </c>
      <c r="AF38">
        <f>-AD41</f>
        <v>-15950</v>
      </c>
      <c r="AG38">
        <f>AF38</f>
        <v>-15950</v>
      </c>
      <c r="AI38">
        <f>AF38</f>
        <v>-15950</v>
      </c>
      <c r="AJ38">
        <f>AF38</f>
        <v>-15950</v>
      </c>
      <c r="AL38">
        <f>AF38</f>
        <v>-15950</v>
      </c>
      <c r="AX38">
        <f t="shared" si="11"/>
        <v>1.7493260927215738E-2</v>
      </c>
      <c r="AY38">
        <f t="shared" si="12"/>
        <v>5813.3490989557286</v>
      </c>
      <c r="AZ38">
        <f t="shared" si="13"/>
        <v>6278.4170268721873</v>
      </c>
      <c r="BA38">
        <f t="shared" si="14"/>
        <v>465.06792791645876</v>
      </c>
    </row>
    <row r="39" spans="1:53" x14ac:dyDescent="0.35">
      <c r="A39" s="1">
        <v>38</v>
      </c>
      <c r="B39" s="1">
        <v>1036.155497852058</v>
      </c>
      <c r="C39" s="1">
        <v>2</v>
      </c>
      <c r="D39" s="1">
        <v>3553.3</v>
      </c>
      <c r="E39" s="1">
        <v>1036.1600000000001</v>
      </c>
      <c r="F39" s="1">
        <v>1206.4100000000001</v>
      </c>
      <c r="G39" s="1">
        <v>115.129</v>
      </c>
      <c r="H39" s="1">
        <v>1906.9</v>
      </c>
      <c r="I39" s="1">
        <v>439.99</v>
      </c>
      <c r="J39" s="1">
        <v>596.16499999999996</v>
      </c>
      <c r="K39" s="1">
        <v>5</v>
      </c>
      <c r="L39" s="1">
        <v>0</v>
      </c>
      <c r="M39" s="1">
        <f>C39*$T$18*1000</f>
        <v>5200</v>
      </c>
      <c r="N39" s="91">
        <f t="shared" si="22"/>
        <v>1300</v>
      </c>
      <c r="O39" s="1">
        <f>$T$19*C39</f>
        <v>53</v>
      </c>
      <c r="P39" s="4">
        <f t="shared" si="3"/>
        <v>1.4915712154898262E-2</v>
      </c>
      <c r="Q39" s="4">
        <f t="shared" si="0"/>
        <v>1325</v>
      </c>
      <c r="R39" s="4"/>
      <c r="S39" s="68" t="s">
        <v>260</v>
      </c>
      <c r="T39" s="1">
        <v>220</v>
      </c>
      <c r="U39" s="78">
        <f>T39*T15</f>
        <v>9900</v>
      </c>
      <c r="V39" s="4"/>
      <c r="W39" s="1">
        <v>275.733025</v>
      </c>
      <c r="X39" s="1">
        <f t="shared" si="4"/>
        <v>-1024.266975</v>
      </c>
      <c r="Y39" s="1">
        <f t="shared" si="1"/>
        <v>6893.3256249999995</v>
      </c>
      <c r="Z39" s="1">
        <f t="shared" si="5"/>
        <v>5593.3256249999995</v>
      </c>
      <c r="AA39" s="1">
        <f t="shared" si="6"/>
        <v>6.5101229780192518E-2</v>
      </c>
      <c r="AB39" s="1">
        <f t="shared" si="7"/>
        <v>0.10830000850091163</v>
      </c>
      <c r="AC39" s="1"/>
      <c r="AD39" s="1"/>
      <c r="AE39" s="1">
        <v>1</v>
      </c>
      <c r="AF39">
        <f>AD44</f>
        <v>6672.9982718931824</v>
      </c>
      <c r="AG39">
        <f>AG38+AF39</f>
        <v>-9277.0017281068176</v>
      </c>
      <c r="AH39">
        <f t="shared" ref="AH39:AH63" si="23">AF39/(1+$T$20)^AE39</f>
        <v>6289.3480413696352</v>
      </c>
      <c r="AI39">
        <f>AI38+AH39</f>
        <v>-9660.6519586303657</v>
      </c>
      <c r="AJ39">
        <f>$AD$44*((1+$T$44)^AE39)</f>
        <v>6839.8232286905113</v>
      </c>
      <c r="AK39">
        <f t="shared" ref="AK39:AK63" si="24">AJ39/(1+$T$20)^AE39</f>
        <v>6446.5817424038751</v>
      </c>
      <c r="AL39">
        <f>AL38+AK39</f>
        <v>-9503.418257596124</v>
      </c>
      <c r="AX39">
        <f t="shared" si="11"/>
        <v>2.562002613224239E-3</v>
      </c>
      <c r="AY39">
        <f t="shared" si="12"/>
        <v>851.40304286765593</v>
      </c>
      <c r="AZ39">
        <f t="shared" si="13"/>
        <v>919.51528629706843</v>
      </c>
      <c r="BA39">
        <f t="shared" si="14"/>
        <v>68.112243429412501</v>
      </c>
    </row>
    <row r="40" spans="1:53" ht="29" x14ac:dyDescent="0.35">
      <c r="A40" s="1">
        <v>39</v>
      </c>
      <c r="B40" s="62">
        <v>1397.7981728371551</v>
      </c>
      <c r="C40" s="62">
        <v>2</v>
      </c>
      <c r="D40" s="62">
        <v>3553.3</v>
      </c>
      <c r="E40" s="62">
        <v>1397.8</v>
      </c>
      <c r="F40" s="62">
        <v>1337.82</v>
      </c>
      <c r="G40" s="62">
        <v>132.495</v>
      </c>
      <c r="H40" s="62">
        <v>1638.51</v>
      </c>
      <c r="I40" s="62">
        <v>629.24800000000005</v>
      </c>
      <c r="J40" s="62">
        <v>605.05899999999997</v>
      </c>
      <c r="K40" s="62">
        <v>5</v>
      </c>
      <c r="L40" s="62">
        <v>1.2</v>
      </c>
      <c r="M40" s="62">
        <f>(C40*$T$18*1000)+T29</f>
        <v>7240</v>
      </c>
      <c r="N40" s="91">
        <f t="shared" si="22"/>
        <v>1810</v>
      </c>
      <c r="O40" s="62">
        <f>$T$38*C40</f>
        <v>71.2</v>
      </c>
      <c r="P40" s="56">
        <f t="shared" si="3"/>
        <v>2.0037711423184081E-2</v>
      </c>
      <c r="Q40" s="56">
        <f t="shared" si="0"/>
        <v>1780</v>
      </c>
      <c r="R40" s="56"/>
      <c r="S40" s="68" t="s">
        <v>261</v>
      </c>
      <c r="T40" s="1">
        <v>165</v>
      </c>
      <c r="U40" s="78">
        <f>T40*T15</f>
        <v>7425</v>
      </c>
      <c r="V40" s="56"/>
      <c r="W40" s="1">
        <v>323.81258500000001</v>
      </c>
      <c r="X40" s="1">
        <f t="shared" si="4"/>
        <v>-1486.1874149999999</v>
      </c>
      <c r="Y40" s="1">
        <f t="shared" si="1"/>
        <v>8095.314625</v>
      </c>
      <c r="Z40" s="1">
        <f t="shared" si="5"/>
        <v>6285.314625</v>
      </c>
      <c r="AA40" s="1">
        <f t="shared" si="6"/>
        <v>7.1833458053076601E-2</v>
      </c>
      <c r="AB40" s="1">
        <f t="shared" si="7"/>
        <v>0.11641829254746908</v>
      </c>
      <c r="AC40" s="1"/>
      <c r="AD40" s="6" t="s">
        <v>285</v>
      </c>
      <c r="AE40" s="1">
        <f>AE39+1</f>
        <v>2</v>
      </c>
      <c r="AF40">
        <f>AF39</f>
        <v>6672.9982718931824</v>
      </c>
      <c r="AG40">
        <f>AG39+AF40</f>
        <v>-2604.0034562136352</v>
      </c>
      <c r="AH40">
        <f t="shared" si="23"/>
        <v>5927.7549871532847</v>
      </c>
      <c r="AI40">
        <f t="shared" ref="AI40:AI63" si="25">AI39+AH40</f>
        <v>-3732.896971477081</v>
      </c>
      <c r="AJ40">
        <f t="shared" ref="AJ40:AJ63" si="26">$AD$44*((1+$T$44)^AE40)</f>
        <v>7010.8188094077741</v>
      </c>
      <c r="AK40">
        <f t="shared" si="24"/>
        <v>6227.8475833779194</v>
      </c>
      <c r="AL40">
        <f>AL39+AK40</f>
        <v>-3275.5706742182047</v>
      </c>
      <c r="AX40">
        <f t="shared" si="11"/>
        <v>3.4562018722021732E-3</v>
      </c>
      <c r="AY40">
        <f t="shared" si="12"/>
        <v>1148.5627592918722</v>
      </c>
      <c r="AZ40">
        <f t="shared" si="13"/>
        <v>1240.4477800352222</v>
      </c>
      <c r="BA40">
        <f t="shared" si="14"/>
        <v>91.885020743349969</v>
      </c>
    </row>
    <row r="41" spans="1:53" x14ac:dyDescent="0.35">
      <c r="A41" s="1">
        <v>40</v>
      </c>
      <c r="B41" s="62">
        <v>2769.3097556877569</v>
      </c>
      <c r="C41" s="62">
        <v>2</v>
      </c>
      <c r="D41" s="62">
        <v>3553.3</v>
      </c>
      <c r="E41" s="62">
        <v>2769.31</v>
      </c>
      <c r="F41" s="62">
        <v>1224.25</v>
      </c>
      <c r="G41" s="62">
        <v>117.764</v>
      </c>
      <c r="H41" s="62">
        <v>1185.83</v>
      </c>
      <c r="I41" s="62">
        <v>1159.6300000000001</v>
      </c>
      <c r="J41" s="62">
        <v>850.86400000000003</v>
      </c>
      <c r="K41" s="62">
        <v>5</v>
      </c>
      <c r="L41" s="62">
        <v>3.3</v>
      </c>
      <c r="M41" s="62">
        <f>(C41*$T$18*1000)+T31</f>
        <v>8896</v>
      </c>
      <c r="N41" s="91">
        <f t="shared" si="22"/>
        <v>2224</v>
      </c>
      <c r="O41" s="62">
        <f>$T$38*C41</f>
        <v>71.2</v>
      </c>
      <c r="P41" s="56">
        <f t="shared" si="3"/>
        <v>2.0037711423184081E-2</v>
      </c>
      <c r="Q41" s="56">
        <f t="shared" si="0"/>
        <v>1780</v>
      </c>
      <c r="R41" s="56"/>
      <c r="S41" s="65" t="s">
        <v>250</v>
      </c>
      <c r="T41" s="1">
        <v>3.1E-2</v>
      </c>
      <c r="U41" s="30"/>
      <c r="V41" s="56"/>
      <c r="W41" s="1">
        <v>429.39057000000003</v>
      </c>
      <c r="X41" s="1">
        <f t="shared" si="4"/>
        <v>-1794.60943</v>
      </c>
      <c r="Y41" s="1">
        <f t="shared" si="1"/>
        <v>10734.76425</v>
      </c>
      <c r="Z41" s="1">
        <f t="shared" si="5"/>
        <v>8510.7642500000002</v>
      </c>
      <c r="AA41" s="1">
        <f t="shared" si="6"/>
        <v>5.2161239611856078E-2</v>
      </c>
      <c r="AB41" s="1">
        <f t="shared" si="7"/>
        <v>7.981258708449436E-2</v>
      </c>
      <c r="AC41" s="1"/>
      <c r="AD41" s="1">
        <f>(U10*55/99)</f>
        <v>15950</v>
      </c>
      <c r="AE41" s="1">
        <f t="shared" ref="AE41:AE55" si="27">AE40+1</f>
        <v>3</v>
      </c>
      <c r="AF41">
        <f t="shared" ref="AF41:AF63" si="28">AF40</f>
        <v>6672.9982718931824</v>
      </c>
      <c r="AG41">
        <f t="shared" ref="AG41:AG63" si="29">AG40+AF41</f>
        <v>4068.9948156795472</v>
      </c>
      <c r="AH41">
        <f t="shared" si="23"/>
        <v>5586.9509775243023</v>
      </c>
      <c r="AI41">
        <f t="shared" si="25"/>
        <v>1854.0540060472213</v>
      </c>
      <c r="AJ41">
        <f t="shared" si="26"/>
        <v>7186.089279642968</v>
      </c>
      <c r="AK41">
        <f t="shared" si="24"/>
        <v>6016.5351300305065</v>
      </c>
      <c r="AL41">
        <f t="shared" ref="AL41:AL63" si="30">AL40+AK41</f>
        <v>2740.9644558123018</v>
      </c>
      <c r="AX41">
        <f t="shared" si="11"/>
        <v>6.8474074070998467E-3</v>
      </c>
      <c r="AY41">
        <f t="shared" si="12"/>
        <v>2275.5259780248607</v>
      </c>
      <c r="AZ41">
        <f t="shared" si="13"/>
        <v>2457.5680562668499</v>
      </c>
      <c r="BA41">
        <f t="shared" si="14"/>
        <v>182.0420782419892</v>
      </c>
    </row>
    <row r="42" spans="1:53" x14ac:dyDescent="0.35">
      <c r="A42" s="1">
        <v>41</v>
      </c>
      <c r="B42" s="1">
        <v>975.76163139608616</v>
      </c>
      <c r="C42" s="1">
        <v>2</v>
      </c>
      <c r="D42" s="1">
        <v>3553.3</v>
      </c>
      <c r="E42" s="1">
        <v>975.76199999999994</v>
      </c>
      <c r="F42" s="1">
        <v>1216.8800000000001</v>
      </c>
      <c r="G42" s="1">
        <v>117.163</v>
      </c>
      <c r="H42" s="1">
        <v>1888.06</v>
      </c>
      <c r="I42" s="1">
        <v>448.36099999999999</v>
      </c>
      <c r="J42" s="1">
        <v>527.40099999999995</v>
      </c>
      <c r="K42" s="1">
        <v>5</v>
      </c>
      <c r="L42" s="1">
        <v>0</v>
      </c>
      <c r="M42" s="1">
        <f>C42*$T$18*1000</f>
        <v>5200</v>
      </c>
      <c r="N42" s="91">
        <f t="shared" si="22"/>
        <v>1300</v>
      </c>
      <c r="O42" s="1">
        <f>$T$19*C42</f>
        <v>53</v>
      </c>
      <c r="P42" s="4">
        <f t="shared" si="3"/>
        <v>1.4915712154898262E-2</v>
      </c>
      <c r="Q42" s="4">
        <f t="shared" si="0"/>
        <v>1325</v>
      </c>
      <c r="R42" s="4"/>
      <c r="S42" s="65" t="s">
        <v>251</v>
      </c>
      <c r="T42" s="1" t="s">
        <v>252</v>
      </c>
      <c r="U42" s="30"/>
      <c r="V42" s="4"/>
      <c r="W42" s="1">
        <v>268.40611000000001</v>
      </c>
      <c r="X42" s="1">
        <f t="shared" si="4"/>
        <v>-1031.5938900000001</v>
      </c>
      <c r="Y42" s="1">
        <f t="shared" si="1"/>
        <v>6710.1527500000002</v>
      </c>
      <c r="Z42" s="1">
        <f t="shared" si="5"/>
        <v>5410.1527500000002</v>
      </c>
      <c r="AA42" s="1">
        <f t="shared" si="6"/>
        <v>6.8207416119113573E-2</v>
      </c>
      <c r="AB42" s="1">
        <f t="shared" si="7"/>
        <v>0.11407994341650854</v>
      </c>
      <c r="AC42" s="1"/>
      <c r="AD42" s="1"/>
      <c r="AE42" s="1">
        <f t="shared" si="27"/>
        <v>4</v>
      </c>
      <c r="AF42">
        <f t="shared" si="28"/>
        <v>6672.9982718931824</v>
      </c>
      <c r="AG42">
        <f t="shared" si="29"/>
        <v>10741.99308757273</v>
      </c>
      <c r="AH42">
        <f t="shared" si="23"/>
        <v>5265.7407893725758</v>
      </c>
      <c r="AI42">
        <f t="shared" si="25"/>
        <v>7119.7947954197971</v>
      </c>
      <c r="AJ42">
        <f t="shared" si="26"/>
        <v>7365.7415116340417</v>
      </c>
      <c r="AK42">
        <f t="shared" si="24"/>
        <v>5812.3925619993106</v>
      </c>
      <c r="AL42">
        <f t="shared" si="30"/>
        <v>8553.3570178116133</v>
      </c>
      <c r="AX42">
        <f t="shared" si="11"/>
        <v>2.412672475031981E-3</v>
      </c>
      <c r="AY42">
        <f t="shared" si="12"/>
        <v>801.77774842319309</v>
      </c>
      <c r="AZ42">
        <f t="shared" si="13"/>
        <v>865.91996829704863</v>
      </c>
      <c r="BA42">
        <f t="shared" si="14"/>
        <v>64.142219873855538</v>
      </c>
    </row>
    <row r="43" spans="1:53" ht="29" x14ac:dyDescent="0.35">
      <c r="A43" s="1">
        <v>42</v>
      </c>
      <c r="B43" s="62">
        <v>1220.838737866377</v>
      </c>
      <c r="C43" s="62">
        <v>2</v>
      </c>
      <c r="D43" s="62">
        <v>3553.3</v>
      </c>
      <c r="E43" s="62">
        <v>1220.8399999999999</v>
      </c>
      <c r="F43" s="62">
        <v>1565.05</v>
      </c>
      <c r="G43" s="62">
        <v>159.86699999999999</v>
      </c>
      <c r="H43" s="62">
        <v>1546.75</v>
      </c>
      <c r="I43" s="62">
        <v>497.50700000000001</v>
      </c>
      <c r="J43" s="62">
        <v>659.64099999999996</v>
      </c>
      <c r="K43" s="62">
        <v>5</v>
      </c>
      <c r="L43" s="62">
        <v>2</v>
      </c>
      <c r="M43" s="62">
        <f>(C43*$T$18*1000)+T30</f>
        <v>8600</v>
      </c>
      <c r="N43" s="91">
        <f t="shared" si="22"/>
        <v>2150</v>
      </c>
      <c r="O43" s="62">
        <f>$T$38*C43</f>
        <v>71.2</v>
      </c>
      <c r="P43" s="56">
        <f t="shared" si="3"/>
        <v>2.0037711423184081E-2</v>
      </c>
      <c r="Q43" s="56">
        <f t="shared" si="0"/>
        <v>1780</v>
      </c>
      <c r="R43" s="56"/>
      <c r="S43" s="65" t="s">
        <v>262</v>
      </c>
      <c r="T43" s="1">
        <v>7.0000000000000007E-2</v>
      </c>
      <c r="U43" s="30"/>
      <c r="V43" s="56"/>
      <c r="W43" s="1">
        <v>339.22494</v>
      </c>
      <c r="X43" s="1">
        <f t="shared" si="4"/>
        <v>-1810.7750599999999</v>
      </c>
      <c r="Y43" s="1">
        <f t="shared" si="1"/>
        <v>8480.6234999999997</v>
      </c>
      <c r="Z43" s="1">
        <f t="shared" si="5"/>
        <v>6330.6234999999997</v>
      </c>
      <c r="AA43" s="1">
        <f t="shared" si="6"/>
        <v>9.0481085582739026E-2</v>
      </c>
      <c r="AB43" s="1">
        <f t="shared" si="7"/>
        <v>0.15111745791987888</v>
      </c>
      <c r="AC43" s="1"/>
      <c r="AD43" s="6" t="s">
        <v>328</v>
      </c>
      <c r="AE43" s="1">
        <f t="shared" si="27"/>
        <v>5</v>
      </c>
      <c r="AF43">
        <f t="shared" si="28"/>
        <v>6672.9982718931824</v>
      </c>
      <c r="AG43">
        <f t="shared" si="29"/>
        <v>17414.991359465912</v>
      </c>
      <c r="AH43">
        <f t="shared" si="23"/>
        <v>4962.9979164680262</v>
      </c>
      <c r="AI43">
        <f t="shared" si="25"/>
        <v>12082.792711887823</v>
      </c>
      <c r="AJ43">
        <f t="shared" si="26"/>
        <v>7549.8850494248918</v>
      </c>
      <c r="AK43">
        <f t="shared" si="24"/>
        <v>5615.1766032509831</v>
      </c>
      <c r="AL43">
        <f t="shared" si="30"/>
        <v>14168.533621062597</v>
      </c>
      <c r="AX43">
        <f t="shared" si="11"/>
        <v>3.018651199769655E-3</v>
      </c>
      <c r="AY43">
        <f t="shared" si="12"/>
        <v>1003.156204280982</v>
      </c>
      <c r="AZ43">
        <f t="shared" si="13"/>
        <v>1083.4087006234606</v>
      </c>
      <c r="BA43">
        <f t="shared" si="14"/>
        <v>80.252496342478594</v>
      </c>
    </row>
    <row r="44" spans="1:53" x14ac:dyDescent="0.35">
      <c r="A44" s="1">
        <v>43</v>
      </c>
      <c r="B44" s="62">
        <v>3438.0361146713012</v>
      </c>
      <c r="C44" s="62">
        <v>10</v>
      </c>
      <c r="D44" s="62">
        <v>17766.5</v>
      </c>
      <c r="E44" s="62">
        <v>3438.04</v>
      </c>
      <c r="F44" s="62">
        <v>8491</v>
      </c>
      <c r="G44" s="62">
        <v>881.13699999999994</v>
      </c>
      <c r="H44" s="62">
        <v>7948</v>
      </c>
      <c r="I44" s="62">
        <v>1634.71</v>
      </c>
      <c r="J44" s="62">
        <v>1636.63</v>
      </c>
      <c r="K44" s="62">
        <v>25</v>
      </c>
      <c r="L44" s="62">
        <v>9.6999999999999993</v>
      </c>
      <c r="M44" s="62">
        <f>(C44*$T$18*1000)+T35</f>
        <v>34000</v>
      </c>
      <c r="N44" s="91">
        <f t="shared" si="22"/>
        <v>8500</v>
      </c>
      <c r="O44" s="62">
        <f>$T$38*C44</f>
        <v>356</v>
      </c>
      <c r="P44" s="56">
        <f t="shared" si="3"/>
        <v>2.0037711423184081E-2</v>
      </c>
      <c r="Q44" s="56">
        <f t="shared" si="0"/>
        <v>8900</v>
      </c>
      <c r="R44" s="56"/>
      <c r="S44" s="65" t="s">
        <v>263</v>
      </c>
      <c r="T44" s="1">
        <v>2.5000000000000001E-2</v>
      </c>
      <c r="U44" s="46"/>
      <c r="V44" s="56"/>
      <c r="W44" s="1">
        <v>1388.1947</v>
      </c>
      <c r="X44" s="1">
        <f t="shared" si="4"/>
        <v>-7111.8053</v>
      </c>
      <c r="Y44" s="1">
        <f t="shared" si="1"/>
        <v>34704.8675</v>
      </c>
      <c r="Z44" s="1">
        <f t="shared" si="5"/>
        <v>26204.8675</v>
      </c>
      <c r="AA44" s="1">
        <f t="shared" si="6"/>
        <v>0.1189313788134425</v>
      </c>
      <c r="AB44" s="1">
        <f t="shared" si="7"/>
        <v>0.20405724493221647</v>
      </c>
      <c r="AC44" s="1"/>
      <c r="AD44" s="1">
        <f>H111</f>
        <v>6672.9982718931824</v>
      </c>
      <c r="AE44" s="1">
        <f t="shared" si="27"/>
        <v>6</v>
      </c>
      <c r="AF44">
        <f t="shared" si="28"/>
        <v>6672.9982718931824</v>
      </c>
      <c r="AG44">
        <f t="shared" si="29"/>
        <v>24087.989631359094</v>
      </c>
      <c r="AH44">
        <f t="shared" si="23"/>
        <v>4677.6606187257548</v>
      </c>
      <c r="AI44">
        <f t="shared" si="25"/>
        <v>16760.453330613578</v>
      </c>
      <c r="AJ44">
        <f t="shared" si="26"/>
        <v>7738.6321756605139</v>
      </c>
      <c r="AK44">
        <f t="shared" si="24"/>
        <v>5424.6522321698931</v>
      </c>
      <c r="AL44">
        <f t="shared" si="30"/>
        <v>19593.185853232491</v>
      </c>
      <c r="AX44">
        <f t="shared" si="11"/>
        <v>8.5009031254542674E-3</v>
      </c>
      <c r="AY44">
        <f t="shared" si="12"/>
        <v>2825.0146002101096</v>
      </c>
      <c r="AZ44">
        <f t="shared" si="13"/>
        <v>3051.0157682269187</v>
      </c>
      <c r="BA44">
        <f t="shared" si="14"/>
        <v>226.00116801680906</v>
      </c>
    </row>
    <row r="45" spans="1:53" x14ac:dyDescent="0.35">
      <c r="A45" s="1">
        <v>44</v>
      </c>
      <c r="B45" s="1">
        <v>1279.200878938675</v>
      </c>
      <c r="C45" s="1">
        <v>2</v>
      </c>
      <c r="D45" s="1">
        <v>3553.3</v>
      </c>
      <c r="E45" s="1">
        <v>1279.2</v>
      </c>
      <c r="F45" s="1">
        <v>1135.29</v>
      </c>
      <c r="G45" s="1">
        <v>107.304</v>
      </c>
      <c r="H45" s="1">
        <v>1864.24</v>
      </c>
      <c r="I45" s="1">
        <v>553.76199999999994</v>
      </c>
      <c r="J45" s="1">
        <v>725.43899999999996</v>
      </c>
      <c r="K45" s="1">
        <v>5</v>
      </c>
      <c r="L45" s="1">
        <v>0</v>
      </c>
      <c r="M45" s="1">
        <f>C45*$T$18*1000</f>
        <v>5200</v>
      </c>
      <c r="N45" s="91">
        <f t="shared" si="22"/>
        <v>1300</v>
      </c>
      <c r="O45" s="1">
        <f>$T$19*C45</f>
        <v>53</v>
      </c>
      <c r="P45" s="4">
        <f t="shared" si="3"/>
        <v>1.4915712154898262E-2</v>
      </c>
      <c r="Q45" s="4">
        <f t="shared" si="0"/>
        <v>1325</v>
      </c>
      <c r="R45" s="4"/>
      <c r="S45" s="63"/>
      <c r="T45" s="4"/>
      <c r="U45" s="30"/>
      <c r="V45" s="4"/>
      <c r="W45" s="1">
        <v>305.58015499999999</v>
      </c>
      <c r="X45" s="1">
        <f t="shared" si="4"/>
        <v>-994.41984500000001</v>
      </c>
      <c r="Y45" s="1">
        <f t="shared" si="1"/>
        <v>7639.5038749999994</v>
      </c>
      <c r="Z45" s="1">
        <f t="shared" si="5"/>
        <v>6339.5038749999994</v>
      </c>
      <c r="AA45" s="1">
        <f t="shared" si="6"/>
        <v>5.5566090728076903E-2</v>
      </c>
      <c r="AB45" s="1">
        <f t="shared" si="7"/>
        <v>9.0557195572457991E-2</v>
      </c>
      <c r="AC45" s="1"/>
      <c r="AD45" s="1"/>
      <c r="AE45" s="1">
        <f t="shared" si="27"/>
        <v>7</v>
      </c>
      <c r="AF45">
        <f t="shared" si="28"/>
        <v>6672.9982718931824</v>
      </c>
      <c r="AG45">
        <f t="shared" si="29"/>
        <v>30760.987903252277</v>
      </c>
      <c r="AH45">
        <f t="shared" si="23"/>
        <v>4408.7281986105145</v>
      </c>
      <c r="AI45">
        <f t="shared" si="25"/>
        <v>21169.181529224094</v>
      </c>
      <c r="AJ45">
        <f t="shared" si="26"/>
        <v>7932.0979800520272</v>
      </c>
      <c r="AK45">
        <f t="shared" si="24"/>
        <v>5240.5924014836401</v>
      </c>
      <c r="AL45">
        <f t="shared" si="30"/>
        <v>24833.778254716133</v>
      </c>
      <c r="AX45">
        <f t="shared" si="11"/>
        <v>3.1629576848971781E-3</v>
      </c>
      <c r="AY45">
        <f t="shared" si="12"/>
        <v>1051.1120416048511</v>
      </c>
      <c r="AZ45">
        <f t="shared" si="13"/>
        <v>1135.2010049332393</v>
      </c>
      <c r="BA45">
        <f t="shared" si="14"/>
        <v>84.088963328388218</v>
      </c>
    </row>
    <row r="46" spans="1:53" x14ac:dyDescent="0.35">
      <c r="A46" s="62">
        <v>45</v>
      </c>
      <c r="B46" s="62">
        <v>3266.9511427123548</v>
      </c>
      <c r="C46" s="62">
        <v>2</v>
      </c>
      <c r="D46" s="62">
        <v>3553.3</v>
      </c>
      <c r="E46" s="62">
        <v>3266.95</v>
      </c>
      <c r="F46" s="62">
        <v>1185.51</v>
      </c>
      <c r="G46" s="62">
        <v>112.761</v>
      </c>
      <c r="H46" s="62">
        <v>1014.2</v>
      </c>
      <c r="I46" s="62">
        <v>1335.02</v>
      </c>
      <c r="J46" s="62">
        <v>888.14800000000002</v>
      </c>
      <c r="K46" s="62">
        <v>5</v>
      </c>
      <c r="L46" s="62">
        <v>4.2</v>
      </c>
      <c r="M46" s="62">
        <f>(C46*$T$18*1000)+T32</f>
        <v>9904</v>
      </c>
      <c r="N46" s="91">
        <f t="shared" si="22"/>
        <v>2476</v>
      </c>
      <c r="O46" s="62">
        <f>$T$38*C46</f>
        <v>71.2</v>
      </c>
      <c r="P46" s="56">
        <f t="shared" si="3"/>
        <v>2.0037711423184081E-2</v>
      </c>
      <c r="Q46" s="56">
        <f t="shared" si="0"/>
        <v>1780</v>
      </c>
      <c r="R46" s="4"/>
      <c r="S46" s="63"/>
      <c r="T46" s="4"/>
      <c r="U46" s="30"/>
      <c r="V46" s="56"/>
      <c r="W46" s="1">
        <v>457.35203999999999</v>
      </c>
      <c r="X46" s="1">
        <f t="shared" si="4"/>
        <v>-2018.64796</v>
      </c>
      <c r="Y46" s="1">
        <f t="shared" si="1"/>
        <v>11433.800999999999</v>
      </c>
      <c r="Z46" s="1">
        <f t="shared" si="5"/>
        <v>8957.8009999999995</v>
      </c>
      <c r="AA46" s="1">
        <f t="shared" si="6"/>
        <v>5.0353438740052672E-2</v>
      </c>
      <c r="AB46" s="1">
        <f t="shared" si="7"/>
        <v>7.6448664177341114E-2</v>
      </c>
      <c r="AC46" s="1"/>
      <c r="AD46" s="1"/>
      <c r="AE46" s="1">
        <f t="shared" si="27"/>
        <v>8</v>
      </c>
      <c r="AF46">
        <f t="shared" si="28"/>
        <v>6672.9982718931824</v>
      </c>
      <c r="AG46">
        <f t="shared" si="29"/>
        <v>37433.986175145459</v>
      </c>
      <c r="AH46">
        <f t="shared" si="23"/>
        <v>4155.2574916215972</v>
      </c>
      <c r="AI46">
        <f t="shared" si="25"/>
        <v>25324.43902084569</v>
      </c>
      <c r="AJ46">
        <f t="shared" si="26"/>
        <v>8130.4004295533268</v>
      </c>
      <c r="AK46">
        <f t="shared" si="24"/>
        <v>5062.7777676915457</v>
      </c>
      <c r="AL46">
        <f t="shared" si="30"/>
        <v>29896.55602240768</v>
      </c>
      <c r="AX46" s="79">
        <f t="shared" si="11"/>
        <v>8.0778776759432135E-3</v>
      </c>
      <c r="AY46" s="79">
        <f t="shared" si="12"/>
        <v>2684.4350578376266</v>
      </c>
      <c r="AZ46">
        <f t="shared" si="13"/>
        <v>2899.1898624646369</v>
      </c>
      <c r="BA46" s="79">
        <f t="shared" si="14"/>
        <v>214.75480462701034</v>
      </c>
    </row>
    <row r="47" spans="1:53" x14ac:dyDescent="0.35">
      <c r="A47" s="70">
        <v>46</v>
      </c>
      <c r="B47" s="70">
        <v>1763.99702425654</v>
      </c>
      <c r="C47" s="70">
        <v>0</v>
      </c>
      <c r="D47" s="70"/>
      <c r="E47" s="70">
        <v>1764</v>
      </c>
      <c r="F47" s="70"/>
      <c r="G47" s="70"/>
      <c r="H47" s="70"/>
      <c r="I47" s="70"/>
      <c r="J47" s="70"/>
      <c r="K47" s="70">
        <v>0</v>
      </c>
      <c r="L47" s="70">
        <v>0</v>
      </c>
      <c r="M47" s="71">
        <f>T10</f>
        <v>290</v>
      </c>
      <c r="N47" s="71"/>
      <c r="O47" s="71">
        <f t="shared" ref="O47:P78" si="31">$T$19*C47</f>
        <v>0</v>
      </c>
      <c r="P47" s="71">
        <f t="shared" si="31"/>
        <v>0</v>
      </c>
      <c r="Q47" s="71">
        <f t="shared" ref="Q47:Q100" si="32">$T$19*K47</f>
        <v>0</v>
      </c>
      <c r="R47" s="71"/>
      <c r="S47" s="50" t="s">
        <v>49</v>
      </c>
      <c r="T47" s="4">
        <v>25</v>
      </c>
      <c r="U47" s="30"/>
      <c r="V47" s="71"/>
      <c r="W47" s="70">
        <v>36.3322</v>
      </c>
      <c r="X47" s="70">
        <f t="shared" ref="X47:X100" si="33">W47-M47</f>
        <v>-253.6678</v>
      </c>
      <c r="Y47" s="70">
        <f t="shared" si="1"/>
        <v>908.30500000000006</v>
      </c>
      <c r="Z47" s="70">
        <f t="shared" ref="Z47:Z80" si="34">Y47-M47</f>
        <v>618.30500000000006</v>
      </c>
      <c r="AA47" s="70">
        <f t="shared" ref="AA47:AA100" si="35">(M47/($T$47*B47))+P47</f>
        <v>6.5759748120260992E-3</v>
      </c>
      <c r="AB47" s="70">
        <f t="shared" ref="AB47:AB100" si="36">(M47/($T$50*B47))+P47</f>
        <v>1.223645405424E-2</v>
      </c>
      <c r="AC47" s="4"/>
      <c r="AD47" s="1"/>
      <c r="AE47" s="1">
        <f t="shared" si="27"/>
        <v>9</v>
      </c>
      <c r="AF47">
        <f t="shared" si="28"/>
        <v>6672.9982718931824</v>
      </c>
      <c r="AG47">
        <f t="shared" si="29"/>
        <v>44106.984447038645</v>
      </c>
      <c r="AH47">
        <f t="shared" si="23"/>
        <v>3916.3595585500443</v>
      </c>
      <c r="AI47">
        <f t="shared" si="25"/>
        <v>29240.798579395734</v>
      </c>
      <c r="AJ47">
        <f t="shared" si="26"/>
        <v>8333.6604402921585</v>
      </c>
      <c r="AK47">
        <f t="shared" si="24"/>
        <v>4890.9964296737362</v>
      </c>
      <c r="AL47">
        <f t="shared" si="30"/>
        <v>34787.552452081414</v>
      </c>
      <c r="AX47">
        <f t="shared" si="11"/>
        <v>4.3616667529474519E-3</v>
      </c>
      <c r="AY47">
        <f>AX47*$AW$2</f>
        <v>1449.4662598180271</v>
      </c>
      <c r="AZ47">
        <f t="shared" ref="AZ47:AZ103" si="37">AX47*$AW$10</f>
        <v>796.65987125600213</v>
      </c>
      <c r="BA47">
        <f>AY47-AZ47</f>
        <v>652.80638856202495</v>
      </c>
    </row>
    <row r="48" spans="1:53" x14ac:dyDescent="0.35">
      <c r="A48" s="1">
        <v>47</v>
      </c>
      <c r="B48" s="1">
        <v>2322.9032263370332</v>
      </c>
      <c r="C48" s="1">
        <v>0</v>
      </c>
      <c r="D48" s="1"/>
      <c r="E48" s="1">
        <v>2322.9</v>
      </c>
      <c r="F48" s="1"/>
      <c r="G48" s="1"/>
      <c r="H48" s="1"/>
      <c r="I48" s="1"/>
      <c r="J48" s="1"/>
      <c r="K48" s="1">
        <v>0</v>
      </c>
      <c r="L48" s="1">
        <v>0</v>
      </c>
      <c r="M48" s="4">
        <f>$T$10</f>
        <v>290</v>
      </c>
      <c r="N48" s="4"/>
      <c r="O48" s="4">
        <f t="shared" si="31"/>
        <v>0</v>
      </c>
      <c r="P48" s="4">
        <f t="shared" si="31"/>
        <v>0</v>
      </c>
      <c r="Q48" s="4">
        <f t="shared" si="32"/>
        <v>0</v>
      </c>
      <c r="R48" s="4"/>
      <c r="S48" s="65"/>
      <c r="T48" s="4"/>
      <c r="U48" s="46"/>
      <c r="V48" s="4"/>
      <c r="W48" s="1">
        <v>48.805199999999999</v>
      </c>
      <c r="X48" s="1">
        <f>W48-M48</f>
        <v>-241.19479999999999</v>
      </c>
      <c r="Y48" s="1">
        <f t="shared" si="1"/>
        <v>1220.1299999999999</v>
      </c>
      <c r="Z48" s="1">
        <f t="shared" si="34"/>
        <v>930.12999999999988</v>
      </c>
      <c r="AA48" s="1">
        <f t="shared" si="35"/>
        <v>4.9937508667943706E-3</v>
      </c>
      <c r="AB48" s="1">
        <f t="shared" si="36"/>
        <v>9.2922805799226307E-3</v>
      </c>
      <c r="AC48" s="4"/>
      <c r="AD48" s="1"/>
      <c r="AE48" s="1">
        <f t="shared" si="27"/>
        <v>10</v>
      </c>
      <c r="AF48">
        <f t="shared" si="28"/>
        <v>6672.9982718931824</v>
      </c>
      <c r="AG48">
        <f t="shared" si="29"/>
        <v>50779.982718931831</v>
      </c>
      <c r="AH48">
        <f t="shared" si="23"/>
        <v>3691.1965679076757</v>
      </c>
      <c r="AI48">
        <f t="shared" si="25"/>
        <v>32931.995147303409</v>
      </c>
      <c r="AJ48">
        <f t="shared" si="26"/>
        <v>8542.0019512994622</v>
      </c>
      <c r="AK48">
        <f t="shared" si="24"/>
        <v>4725.0436761692545</v>
      </c>
      <c r="AL48">
        <f t="shared" si="30"/>
        <v>39512.596128250669</v>
      </c>
      <c r="AX48">
        <f t="shared" si="11"/>
        <v>5.7436206712983317E-3</v>
      </c>
      <c r="AY48">
        <f t="shared" si="12"/>
        <v>1908.7162875555425</v>
      </c>
      <c r="AZ48">
        <f t="shared" si="37"/>
        <v>1049.0742103228647</v>
      </c>
      <c r="BA48">
        <f t="shared" ref="BA48:BA102" si="38">AY48-AZ48</f>
        <v>859.64207723267782</v>
      </c>
    </row>
    <row r="49" spans="1:53" x14ac:dyDescent="0.35">
      <c r="A49" s="1">
        <v>48</v>
      </c>
      <c r="B49" s="1">
        <v>1052.7350255677291</v>
      </c>
      <c r="C49" s="1">
        <v>0</v>
      </c>
      <c r="D49" s="1"/>
      <c r="E49" s="1">
        <v>1052.74</v>
      </c>
      <c r="F49" s="1"/>
      <c r="G49" s="1"/>
      <c r="H49" s="1"/>
      <c r="I49" s="1"/>
      <c r="J49" s="1"/>
      <c r="K49" s="1">
        <v>0</v>
      </c>
      <c r="L49" s="1">
        <v>0</v>
      </c>
      <c r="M49" s="4">
        <f t="shared" ref="M49:M100" si="39">$T$10</f>
        <v>290</v>
      </c>
      <c r="N49" s="4"/>
      <c r="O49" s="4">
        <f t="shared" si="31"/>
        <v>0</v>
      </c>
      <c r="P49" s="4">
        <f t="shared" si="31"/>
        <v>0</v>
      </c>
      <c r="Q49" s="4">
        <f t="shared" si="32"/>
        <v>0</v>
      </c>
      <c r="R49" s="4"/>
      <c r="S49" s="63"/>
      <c r="T49" s="4"/>
      <c r="U49" s="46"/>
      <c r="V49" s="4"/>
      <c r="W49" s="1">
        <v>22.118400000000001</v>
      </c>
      <c r="X49" s="1">
        <f t="shared" si="33"/>
        <v>-267.88159999999999</v>
      </c>
      <c r="Y49" s="1">
        <f t="shared" si="1"/>
        <v>552.96</v>
      </c>
      <c r="Z49" s="1">
        <f t="shared" si="34"/>
        <v>262.96000000000004</v>
      </c>
      <c r="AA49" s="1">
        <f t="shared" si="35"/>
        <v>1.1018917123750339E-2</v>
      </c>
      <c r="AB49" s="1">
        <f t="shared" si="36"/>
        <v>2.0503800115789474E-2</v>
      </c>
      <c r="AC49" s="4"/>
      <c r="AD49" s="1"/>
      <c r="AE49" s="1">
        <f t="shared" si="27"/>
        <v>11</v>
      </c>
      <c r="AF49">
        <f t="shared" si="28"/>
        <v>6672.9982718931824</v>
      </c>
      <c r="AG49">
        <f t="shared" si="29"/>
        <v>57452.980990825017</v>
      </c>
      <c r="AH49">
        <f t="shared" si="23"/>
        <v>3478.9788575944171</v>
      </c>
      <c r="AI49">
        <f t="shared" si="25"/>
        <v>36410.974004897827</v>
      </c>
      <c r="AJ49">
        <f t="shared" si="26"/>
        <v>8755.5520000819488</v>
      </c>
      <c r="AK49">
        <f t="shared" si="24"/>
        <v>4564.7217418223254</v>
      </c>
      <c r="AL49">
        <f t="shared" si="30"/>
        <v>44077.317870072991</v>
      </c>
      <c r="AX49">
        <f t="shared" si="11"/>
        <v>2.602997225926316E-3</v>
      </c>
      <c r="AY49">
        <f t="shared" si="12"/>
        <v>865.02634591019444</v>
      </c>
      <c r="AZ49">
        <f t="shared" si="37"/>
        <v>475.43830199426816</v>
      </c>
      <c r="BA49">
        <f t="shared" si="38"/>
        <v>389.58804391592628</v>
      </c>
    </row>
    <row r="50" spans="1:53" x14ac:dyDescent="0.35">
      <c r="A50" s="1">
        <v>49</v>
      </c>
      <c r="B50" s="1">
        <v>2650.8063291642311</v>
      </c>
      <c r="C50" s="1">
        <v>0</v>
      </c>
      <c r="D50" s="1"/>
      <c r="E50" s="1">
        <v>2650.81</v>
      </c>
      <c r="F50" s="1"/>
      <c r="G50" s="1"/>
      <c r="H50" s="1"/>
      <c r="I50" s="1"/>
      <c r="J50" s="1"/>
      <c r="K50" s="1">
        <v>0</v>
      </c>
      <c r="L50" s="1">
        <v>0</v>
      </c>
      <c r="M50" s="4">
        <f t="shared" si="39"/>
        <v>290</v>
      </c>
      <c r="N50" s="4"/>
      <c r="O50" s="4">
        <f t="shared" si="31"/>
        <v>0</v>
      </c>
      <c r="P50" s="4">
        <f t="shared" si="31"/>
        <v>0</v>
      </c>
      <c r="Q50" s="4">
        <f t="shared" si="32"/>
        <v>0</v>
      </c>
      <c r="R50" s="4"/>
      <c r="S50" s="50" t="s">
        <v>280</v>
      </c>
      <c r="T50" s="1">
        <f>1+((1-(1+$T$20)^(1-$T$47))/$T$20)</f>
        <v>13.43521330378282</v>
      </c>
      <c r="U50" s="46"/>
      <c r="V50" s="4"/>
      <c r="W50" s="4">
        <v>53.152200000000001</v>
      </c>
      <c r="X50" s="1">
        <f t="shared" si="33"/>
        <v>-236.84780000000001</v>
      </c>
      <c r="Y50" s="1">
        <f t="shared" si="1"/>
        <v>1328.8050000000001</v>
      </c>
      <c r="Z50" s="1">
        <f t="shared" si="34"/>
        <v>1038.8050000000001</v>
      </c>
      <c r="AA50" s="1">
        <f t="shared" si="35"/>
        <v>4.3760269742744084E-3</v>
      </c>
      <c r="AB50" s="1">
        <f t="shared" si="36"/>
        <v>8.1428312214482917E-3</v>
      </c>
      <c r="AC50" s="4"/>
      <c r="AD50" s="1"/>
      <c r="AE50" s="1">
        <f t="shared" si="27"/>
        <v>12</v>
      </c>
      <c r="AF50">
        <f t="shared" si="28"/>
        <v>6672.9982718931824</v>
      </c>
      <c r="AG50">
        <f t="shared" si="29"/>
        <v>64125.979262718203</v>
      </c>
      <c r="AH50">
        <f t="shared" si="23"/>
        <v>3278.9621654989792</v>
      </c>
      <c r="AI50">
        <f t="shared" si="25"/>
        <v>39689.93617039681</v>
      </c>
      <c r="AJ50">
        <f t="shared" si="26"/>
        <v>8974.4408000839976</v>
      </c>
      <c r="AK50">
        <f t="shared" si="24"/>
        <v>4409.839571506016</v>
      </c>
      <c r="AL50">
        <f t="shared" si="30"/>
        <v>48487.157441579009</v>
      </c>
      <c r="AX50">
        <f t="shared" si="11"/>
        <v>6.554395316676476E-3</v>
      </c>
      <c r="AY50">
        <f t="shared" si="12"/>
        <v>2178.1523906226548</v>
      </c>
      <c r="AZ50">
        <f t="shared" si="37"/>
        <v>1197.1624667601775</v>
      </c>
      <c r="BA50">
        <f t="shared" si="38"/>
        <v>980.98992386247733</v>
      </c>
    </row>
    <row r="51" spans="1:53" x14ac:dyDescent="0.35">
      <c r="A51" s="1">
        <v>50</v>
      </c>
      <c r="B51" s="1">
        <v>2336.365059758562</v>
      </c>
      <c r="C51" s="1">
        <v>0</v>
      </c>
      <c r="D51" s="1"/>
      <c r="E51" s="1">
        <v>2336.37</v>
      </c>
      <c r="F51" s="1"/>
      <c r="G51" s="1"/>
      <c r="H51" s="1"/>
      <c r="I51" s="1"/>
      <c r="J51" s="1"/>
      <c r="K51" s="1">
        <v>0</v>
      </c>
      <c r="L51" s="1">
        <v>0</v>
      </c>
      <c r="M51" s="4">
        <f t="shared" si="39"/>
        <v>290</v>
      </c>
      <c r="N51" s="4"/>
      <c r="O51" s="4">
        <f t="shared" si="31"/>
        <v>0</v>
      </c>
      <c r="P51" s="4">
        <f t="shared" si="31"/>
        <v>0</v>
      </c>
      <c r="Q51" s="4">
        <f t="shared" si="32"/>
        <v>0</v>
      </c>
      <c r="R51" s="4"/>
      <c r="S51" s="63"/>
      <c r="T51" s="4"/>
      <c r="U51" s="46"/>
      <c r="V51" s="4"/>
      <c r="W51" s="4">
        <v>49.088000000000001</v>
      </c>
      <c r="X51" s="1">
        <f t="shared" si="33"/>
        <v>-240.91200000000001</v>
      </c>
      <c r="Y51" s="1">
        <f t="shared" si="1"/>
        <v>1227.2</v>
      </c>
      <c r="Z51" s="1">
        <f t="shared" si="34"/>
        <v>937.2</v>
      </c>
      <c r="AA51" s="1">
        <f t="shared" si="35"/>
        <v>4.9649775199080972E-3</v>
      </c>
      <c r="AB51" s="1">
        <f t="shared" si="36"/>
        <v>9.2387396605570788E-3</v>
      </c>
      <c r="AC51" s="4"/>
      <c r="AD51" s="1"/>
      <c r="AE51" s="1">
        <f t="shared" si="27"/>
        <v>13</v>
      </c>
      <c r="AF51">
        <f t="shared" si="28"/>
        <v>6672.9982718931824</v>
      </c>
      <c r="AG51">
        <f t="shared" si="29"/>
        <v>70798.977534611389</v>
      </c>
      <c r="AH51">
        <f t="shared" si="23"/>
        <v>3090.4450193204325</v>
      </c>
      <c r="AI51">
        <f t="shared" si="25"/>
        <v>42780.381189717242</v>
      </c>
      <c r="AJ51">
        <f t="shared" si="26"/>
        <v>9198.801820086097</v>
      </c>
      <c r="AK51">
        <f t="shared" si="24"/>
        <v>4260.2125926424751</v>
      </c>
      <c r="AL51">
        <f t="shared" si="30"/>
        <v>52747.370034221487</v>
      </c>
      <c r="AX51">
        <f t="shared" si="11"/>
        <v>5.7769064594606701E-3</v>
      </c>
      <c r="AY51">
        <f t="shared" si="12"/>
        <v>1919.7777990385453</v>
      </c>
      <c r="AZ51">
        <f t="shared" si="37"/>
        <v>1055.1538705110586</v>
      </c>
      <c r="BA51">
        <f t="shared" si="38"/>
        <v>864.62392852748667</v>
      </c>
    </row>
    <row r="52" spans="1:53" x14ac:dyDescent="0.35">
      <c r="A52" s="1">
        <v>51</v>
      </c>
      <c r="B52" s="1">
        <v>586.05584352134008</v>
      </c>
      <c r="C52" s="1">
        <v>0</v>
      </c>
      <c r="D52" s="1"/>
      <c r="E52" s="1">
        <v>586.05600000000004</v>
      </c>
      <c r="F52" s="1"/>
      <c r="G52" s="1"/>
      <c r="H52" s="1"/>
      <c r="I52" s="1"/>
      <c r="J52" s="1"/>
      <c r="K52" s="1">
        <v>0</v>
      </c>
      <c r="L52" s="1">
        <v>0</v>
      </c>
      <c r="M52" s="4">
        <f t="shared" si="39"/>
        <v>290</v>
      </c>
      <c r="N52" s="4"/>
      <c r="O52" s="4">
        <f t="shared" si="31"/>
        <v>0</v>
      </c>
      <c r="P52" s="4">
        <f t="shared" si="31"/>
        <v>0</v>
      </c>
      <c r="Q52" s="4">
        <f t="shared" si="32"/>
        <v>0</v>
      </c>
      <c r="R52" s="4"/>
      <c r="S52" s="50" t="s">
        <v>339</v>
      </c>
      <c r="T52" s="1"/>
      <c r="U52" s="46"/>
      <c r="V52" s="4"/>
      <c r="W52" s="4">
        <v>11.751200000000001</v>
      </c>
      <c r="X52" s="1">
        <f t="shared" si="33"/>
        <v>-278.24880000000002</v>
      </c>
      <c r="Y52" s="1">
        <f t="shared" si="1"/>
        <v>293.78000000000003</v>
      </c>
      <c r="Z52" s="1">
        <f t="shared" si="34"/>
        <v>3.7800000000000296</v>
      </c>
      <c r="AA52" s="1">
        <f t="shared" si="35"/>
        <v>1.9793335615085644E-2</v>
      </c>
      <c r="AB52" s="1">
        <f t="shared" si="36"/>
        <v>3.683107809221129E-2</v>
      </c>
      <c r="AC52" s="4"/>
      <c r="AD52" s="1" t="s">
        <v>6</v>
      </c>
      <c r="AE52" s="1">
        <f t="shared" si="27"/>
        <v>14</v>
      </c>
      <c r="AF52">
        <f t="shared" si="28"/>
        <v>6672.9982718931824</v>
      </c>
      <c r="AG52">
        <f t="shared" si="29"/>
        <v>77471.975806504575</v>
      </c>
      <c r="AH52">
        <f t="shared" si="23"/>
        <v>2912.7662764565812</v>
      </c>
      <c r="AI52">
        <f t="shared" si="25"/>
        <v>45693.147466173825</v>
      </c>
      <c r="AJ52">
        <f t="shared" si="26"/>
        <v>9428.7718655882491</v>
      </c>
      <c r="AK52">
        <f t="shared" si="24"/>
        <v>4115.6624952483853</v>
      </c>
      <c r="AL52">
        <f t="shared" si="30"/>
        <v>56863.03252946987</v>
      </c>
      <c r="AX52">
        <f t="shared" si="11"/>
        <v>1.4490842404538294E-3</v>
      </c>
      <c r="AY52">
        <f t="shared" si="12"/>
        <v>481.55873273731595</v>
      </c>
      <c r="AZ52">
        <f t="shared" si="37"/>
        <v>264.6757145439712</v>
      </c>
      <c r="BA52">
        <f t="shared" si="38"/>
        <v>216.88301819334475</v>
      </c>
    </row>
    <row r="53" spans="1:53" x14ac:dyDescent="0.35">
      <c r="A53" s="1">
        <v>52</v>
      </c>
      <c r="B53" s="1">
        <v>5329.6971333659421</v>
      </c>
      <c r="C53" s="1">
        <v>0</v>
      </c>
      <c r="D53" s="1"/>
      <c r="E53" s="1">
        <v>5329.7</v>
      </c>
      <c r="F53" s="1"/>
      <c r="G53" s="1"/>
      <c r="H53" s="1"/>
      <c r="I53" s="1"/>
      <c r="J53" s="1"/>
      <c r="K53" s="1">
        <v>0</v>
      </c>
      <c r="L53" s="1">
        <v>0</v>
      </c>
      <c r="M53" s="4">
        <f t="shared" si="39"/>
        <v>290</v>
      </c>
      <c r="N53" s="4"/>
      <c r="O53" s="4">
        <f t="shared" si="31"/>
        <v>0</v>
      </c>
      <c r="P53" s="4">
        <f t="shared" si="31"/>
        <v>0</v>
      </c>
      <c r="Q53" s="4">
        <f t="shared" si="32"/>
        <v>0</v>
      </c>
      <c r="R53" s="4"/>
      <c r="S53" s="65" t="s">
        <v>342</v>
      </c>
      <c r="T53" s="1">
        <v>0.45</v>
      </c>
      <c r="U53" s="30"/>
      <c r="V53" s="4"/>
      <c r="W53" s="4">
        <v>110.047</v>
      </c>
      <c r="X53" s="1">
        <f t="shared" si="33"/>
        <v>-179.953</v>
      </c>
      <c r="Y53" s="1">
        <f t="shared" si="1"/>
        <v>2751.1749999999997</v>
      </c>
      <c r="Z53" s="1">
        <f t="shared" si="34"/>
        <v>2461.1749999999997</v>
      </c>
      <c r="AA53" s="1">
        <f t="shared" si="35"/>
        <v>2.1764838995033254E-3</v>
      </c>
      <c r="AB53" s="1">
        <f t="shared" si="36"/>
        <v>4.0499615642323183E-3</v>
      </c>
      <c r="AC53" s="4"/>
      <c r="AD53" s="1"/>
      <c r="AE53" s="1">
        <f t="shared" si="27"/>
        <v>15</v>
      </c>
      <c r="AF53">
        <f t="shared" si="28"/>
        <v>6672.9982718931824</v>
      </c>
      <c r="AG53">
        <f t="shared" si="29"/>
        <v>84144.974078397761</v>
      </c>
      <c r="AH53">
        <f t="shared" si="23"/>
        <v>2745.3028053313678</v>
      </c>
      <c r="AI53">
        <f t="shared" si="25"/>
        <v>48438.450271505193</v>
      </c>
      <c r="AJ53">
        <f t="shared" si="26"/>
        <v>9664.491162227956</v>
      </c>
      <c r="AK53">
        <f t="shared" si="24"/>
        <v>3976.0170194435395</v>
      </c>
      <c r="AL53">
        <f t="shared" si="30"/>
        <v>60839.049548913412</v>
      </c>
      <c r="AX53">
        <f t="shared" si="11"/>
        <v>1.3178232429093275E-2</v>
      </c>
      <c r="AY53">
        <f t="shared" si="12"/>
        <v>4379.3816336615919</v>
      </c>
      <c r="AZ53">
        <f t="shared" si="37"/>
        <v>2407.0085004198404</v>
      </c>
      <c r="BA53">
        <f t="shared" si="38"/>
        <v>1972.3731332417515</v>
      </c>
    </row>
    <row r="54" spans="1:53" x14ac:dyDescent="0.35">
      <c r="A54" s="1">
        <v>53</v>
      </c>
      <c r="B54" s="1">
        <v>5328.3833046167756</v>
      </c>
      <c r="C54" s="1">
        <v>0</v>
      </c>
      <c r="D54" s="1"/>
      <c r="E54" s="1">
        <v>5328.38</v>
      </c>
      <c r="F54" s="1"/>
      <c r="G54" s="1"/>
      <c r="H54" s="1"/>
      <c r="I54" s="1"/>
      <c r="J54" s="1"/>
      <c r="K54" s="1">
        <v>0</v>
      </c>
      <c r="L54" s="1">
        <v>0</v>
      </c>
      <c r="M54" s="4">
        <f t="shared" si="39"/>
        <v>290</v>
      </c>
      <c r="N54" s="4"/>
      <c r="O54" s="4">
        <f t="shared" si="31"/>
        <v>0</v>
      </c>
      <c r="P54" s="4">
        <f t="shared" si="31"/>
        <v>0</v>
      </c>
      <c r="Q54" s="4">
        <f t="shared" si="32"/>
        <v>0</v>
      </c>
      <c r="R54" s="4"/>
      <c r="S54" s="65" t="s">
        <v>343</v>
      </c>
      <c r="T54" s="1">
        <v>0.55000000000000004</v>
      </c>
      <c r="U54" s="30"/>
      <c r="V54" s="4"/>
      <c r="W54" s="4">
        <v>104.018</v>
      </c>
      <c r="X54" s="1">
        <f t="shared" si="33"/>
        <v>-185.982</v>
      </c>
      <c r="Y54" s="1">
        <f t="shared" si="1"/>
        <v>2600.4499999999998</v>
      </c>
      <c r="Z54" s="1">
        <f t="shared" si="34"/>
        <v>2310.4499999999998</v>
      </c>
      <c r="AA54" s="1">
        <f t="shared" si="35"/>
        <v>2.1770205589281061E-3</v>
      </c>
      <c r="AB54" s="1">
        <f t="shared" si="36"/>
        <v>4.0509601703069787E-3</v>
      </c>
      <c r="AC54" s="4"/>
      <c r="AD54" s="1"/>
      <c r="AE54" s="1">
        <f t="shared" si="27"/>
        <v>16</v>
      </c>
      <c r="AF54">
        <f t="shared" si="28"/>
        <v>6672.9982718931824</v>
      </c>
      <c r="AG54">
        <f t="shared" si="29"/>
        <v>90817.972350290947</v>
      </c>
      <c r="AH54">
        <f t="shared" si="23"/>
        <v>2587.4673000295647</v>
      </c>
      <c r="AI54">
        <f t="shared" si="25"/>
        <v>51025.917571534759</v>
      </c>
      <c r="AJ54">
        <f t="shared" si="26"/>
        <v>9906.1034412836543</v>
      </c>
      <c r="AK54">
        <f t="shared" si="24"/>
        <v>3841.1097501693007</v>
      </c>
      <c r="AL54">
        <f t="shared" si="30"/>
        <v>64680.159299082712</v>
      </c>
      <c r="AX54">
        <f t="shared" si="11"/>
        <v>1.3174983850385086E-2</v>
      </c>
      <c r="AY54">
        <f t="shared" si="12"/>
        <v>4378.3020680971886</v>
      </c>
      <c r="AZ54">
        <f t="shared" si="37"/>
        <v>2406.4151464471461</v>
      </c>
      <c r="BA54">
        <f t="shared" si="38"/>
        <v>1971.8869216500425</v>
      </c>
    </row>
    <row r="55" spans="1:53" x14ac:dyDescent="0.35">
      <c r="A55" s="1">
        <v>54</v>
      </c>
      <c r="B55" s="1">
        <v>1132.850191183687</v>
      </c>
      <c r="C55" s="1">
        <v>0</v>
      </c>
      <c r="D55" s="1"/>
      <c r="E55" s="1">
        <v>1132.8499999999999</v>
      </c>
      <c r="F55" s="1"/>
      <c r="G55" s="1"/>
      <c r="H55" s="1"/>
      <c r="I55" s="1"/>
      <c r="J55" s="1"/>
      <c r="K55" s="1">
        <v>0</v>
      </c>
      <c r="L55" s="1">
        <v>0</v>
      </c>
      <c r="M55" s="4">
        <f t="shared" si="39"/>
        <v>290</v>
      </c>
      <c r="N55" s="4"/>
      <c r="O55" s="4">
        <f t="shared" si="31"/>
        <v>0</v>
      </c>
      <c r="P55" s="4">
        <f t="shared" si="31"/>
        <v>0</v>
      </c>
      <c r="Q55" s="4">
        <f t="shared" si="32"/>
        <v>0</v>
      </c>
      <c r="R55" s="4"/>
      <c r="S55" s="65" t="s">
        <v>344</v>
      </c>
      <c r="T55" s="1">
        <v>0.65</v>
      </c>
      <c r="U55" s="30"/>
      <c r="V55" s="4"/>
      <c r="W55" s="4">
        <v>23.8017</v>
      </c>
      <c r="X55" s="1">
        <f t="shared" si="33"/>
        <v>-266.19830000000002</v>
      </c>
      <c r="Y55" s="1">
        <f t="shared" si="1"/>
        <v>595.04250000000002</v>
      </c>
      <c r="Z55" s="1">
        <f t="shared" si="34"/>
        <v>305.04250000000002</v>
      </c>
      <c r="AA55" s="1">
        <f t="shared" si="35"/>
        <v>1.0239659303830322E-2</v>
      </c>
      <c r="AB55" s="1">
        <f t="shared" si="36"/>
        <v>1.9053771369873306E-2</v>
      </c>
      <c r="AC55" s="4"/>
      <c r="AD55" s="1"/>
      <c r="AE55" s="1">
        <f t="shared" si="27"/>
        <v>17</v>
      </c>
      <c r="AF55">
        <f t="shared" si="28"/>
        <v>6672.9982718931824</v>
      </c>
      <c r="AG55">
        <f t="shared" si="29"/>
        <v>97490.970622184133</v>
      </c>
      <c r="AH55">
        <f t="shared" si="23"/>
        <v>2438.7062205745192</v>
      </c>
      <c r="AI55">
        <f t="shared" si="25"/>
        <v>53464.623792109276</v>
      </c>
      <c r="AJ55">
        <f t="shared" si="26"/>
        <v>10153.756027315743</v>
      </c>
      <c r="AK55">
        <f t="shared" si="24"/>
        <v>3710.7799188723211</v>
      </c>
      <c r="AL55">
        <f t="shared" si="30"/>
        <v>68390.939217955034</v>
      </c>
      <c r="AX55">
        <f t="shared" si="11"/>
        <v>2.8010903346271524E-3</v>
      </c>
      <c r="AY55">
        <f t="shared" si="12"/>
        <v>930.85651901323945</v>
      </c>
      <c r="AZ55">
        <f t="shared" si="37"/>
        <v>511.62007364559059</v>
      </c>
      <c r="BA55">
        <f t="shared" si="38"/>
        <v>419.23644536764886</v>
      </c>
    </row>
    <row r="56" spans="1:53" x14ac:dyDescent="0.35">
      <c r="A56" s="1">
        <v>55</v>
      </c>
      <c r="B56" s="1">
        <v>1734.337401732017</v>
      </c>
      <c r="C56" s="1">
        <v>0</v>
      </c>
      <c r="D56" s="1"/>
      <c r="E56" s="1">
        <v>1734.34</v>
      </c>
      <c r="F56" s="1"/>
      <c r="G56" s="1"/>
      <c r="H56" s="1"/>
      <c r="I56" s="1"/>
      <c r="J56" s="1"/>
      <c r="K56" s="1">
        <v>0</v>
      </c>
      <c r="L56" s="1">
        <v>0</v>
      </c>
      <c r="M56" s="4">
        <f t="shared" si="39"/>
        <v>290</v>
      </c>
      <c r="N56" s="4"/>
      <c r="O56" s="4">
        <f t="shared" si="31"/>
        <v>0</v>
      </c>
      <c r="P56" s="4">
        <f t="shared" si="31"/>
        <v>0</v>
      </c>
      <c r="Q56" s="4">
        <f t="shared" si="32"/>
        <v>0</v>
      </c>
      <c r="R56" s="4"/>
      <c r="S56" s="65" t="s">
        <v>345</v>
      </c>
      <c r="T56" s="1">
        <v>0.75</v>
      </c>
      <c r="U56" s="30"/>
      <c r="V56" s="4"/>
      <c r="W56" s="4">
        <v>36.4392</v>
      </c>
      <c r="X56" s="1">
        <f t="shared" si="33"/>
        <v>-253.5608</v>
      </c>
      <c r="Y56" s="1">
        <f t="shared" si="1"/>
        <v>910.98</v>
      </c>
      <c r="Z56" s="1">
        <f t="shared" si="34"/>
        <v>620.98</v>
      </c>
      <c r="AA56" s="1">
        <f t="shared" si="35"/>
        <v>6.6884332820220096E-3</v>
      </c>
      <c r="AB56" s="1">
        <f t="shared" si="36"/>
        <v>1.2445714725159618E-2</v>
      </c>
      <c r="AC56" s="4"/>
      <c r="AD56" s="1"/>
      <c r="AE56" s="1">
        <f>AE55+1</f>
        <v>18</v>
      </c>
      <c r="AF56">
        <f t="shared" si="28"/>
        <v>6672.9982718931824</v>
      </c>
      <c r="AG56">
        <f t="shared" si="29"/>
        <v>104163.96889407732</v>
      </c>
      <c r="AH56">
        <f t="shared" si="23"/>
        <v>2298.4978516253718</v>
      </c>
      <c r="AI56">
        <f t="shared" si="25"/>
        <v>55763.121643734645</v>
      </c>
      <c r="AJ56">
        <f t="shared" si="26"/>
        <v>10407.599927998637</v>
      </c>
      <c r="AK56">
        <f t="shared" si="24"/>
        <v>3584.8722119171812</v>
      </c>
      <c r="AL56">
        <f t="shared" si="30"/>
        <v>71975.811429872221</v>
      </c>
      <c r="AX56">
        <f t="shared" si="11"/>
        <v>4.2883302406453942E-3</v>
      </c>
      <c r="AY56">
        <f t="shared" si="12"/>
        <v>1425.095117725906</v>
      </c>
      <c r="AZ56">
        <f t="shared" si="37"/>
        <v>783.26493309172349</v>
      </c>
      <c r="BA56">
        <f t="shared" si="38"/>
        <v>641.8301846341825</v>
      </c>
    </row>
    <row r="57" spans="1:53" x14ac:dyDescent="0.35">
      <c r="A57" s="1">
        <v>56</v>
      </c>
      <c r="B57" s="1">
        <v>1696.5437943175671</v>
      </c>
      <c r="C57" s="1">
        <v>0</v>
      </c>
      <c r="D57" s="1"/>
      <c r="E57" s="1">
        <v>1696.54</v>
      </c>
      <c r="F57" s="1"/>
      <c r="G57" s="1"/>
      <c r="H57" s="1"/>
      <c r="I57" s="1"/>
      <c r="J57" s="1"/>
      <c r="K57" s="1">
        <v>0</v>
      </c>
      <c r="L57" s="1">
        <v>0</v>
      </c>
      <c r="M57" s="4">
        <f t="shared" si="39"/>
        <v>290</v>
      </c>
      <c r="N57" s="4"/>
      <c r="O57" s="4">
        <f t="shared" si="31"/>
        <v>0</v>
      </c>
      <c r="P57" s="4">
        <f t="shared" si="31"/>
        <v>0</v>
      </c>
      <c r="Q57" s="4">
        <f t="shared" si="32"/>
        <v>0</v>
      </c>
      <c r="R57" s="4"/>
      <c r="S57" s="72"/>
      <c r="U57" s="30"/>
      <c r="V57" s="4"/>
      <c r="W57" s="4">
        <v>33.6798</v>
      </c>
      <c r="X57" s="1">
        <f t="shared" si="33"/>
        <v>-256.3202</v>
      </c>
      <c r="Y57" s="1">
        <f t="shared" si="1"/>
        <v>841.995</v>
      </c>
      <c r="Z57" s="1">
        <f t="shared" si="34"/>
        <v>551.995</v>
      </c>
      <c r="AA57" s="1">
        <f t="shared" si="35"/>
        <v>6.837430332687691E-3</v>
      </c>
      <c r="AB57" s="1">
        <f t="shared" si="36"/>
        <v>1.272296572091368E-2</v>
      </c>
      <c r="AC57" s="4"/>
      <c r="AD57" s="1"/>
      <c r="AE57" s="1">
        <f t="shared" ref="AE57:AE61" si="40">AE56+1</f>
        <v>19</v>
      </c>
      <c r="AF57">
        <f t="shared" si="28"/>
        <v>6672.9982718931824</v>
      </c>
      <c r="AG57">
        <f t="shared" si="29"/>
        <v>110836.96716597051</v>
      </c>
      <c r="AH57">
        <f t="shared" si="23"/>
        <v>2166.3504727854588</v>
      </c>
      <c r="AI57">
        <f t="shared" si="25"/>
        <v>57929.472116520104</v>
      </c>
      <c r="AJ57">
        <f t="shared" si="26"/>
        <v>10667.789926198604</v>
      </c>
      <c r="AK57">
        <f t="shared" si="24"/>
        <v>3463.2365854996337</v>
      </c>
      <c r="AL57">
        <f t="shared" si="30"/>
        <v>75439.048015371853</v>
      </c>
      <c r="AX57">
        <f t="shared" si="11"/>
        <v>4.1948816017492885E-3</v>
      </c>
      <c r="AY57">
        <f t="shared" si="12"/>
        <v>1394.0403267989534</v>
      </c>
      <c r="AZ57">
        <f t="shared" si="37"/>
        <v>766.1965083704373</v>
      </c>
      <c r="BA57">
        <f t="shared" si="38"/>
        <v>627.8438184285161</v>
      </c>
    </row>
    <row r="58" spans="1:53" x14ac:dyDescent="0.35">
      <c r="A58" s="1">
        <v>57</v>
      </c>
      <c r="B58" s="1">
        <v>2227.6855671211929</v>
      </c>
      <c r="C58" s="1">
        <v>0</v>
      </c>
      <c r="D58" s="1"/>
      <c r="E58" s="1">
        <v>2227.69</v>
      </c>
      <c r="F58" s="1"/>
      <c r="G58" s="1"/>
      <c r="H58" s="1"/>
      <c r="I58" s="1"/>
      <c r="J58" s="1"/>
      <c r="K58" s="1">
        <v>0</v>
      </c>
      <c r="L58" s="1">
        <v>0</v>
      </c>
      <c r="M58" s="4">
        <f t="shared" si="39"/>
        <v>290</v>
      </c>
      <c r="N58" s="4"/>
      <c r="O58" s="4">
        <f t="shared" si="31"/>
        <v>0</v>
      </c>
      <c r="P58" s="4">
        <f t="shared" si="31"/>
        <v>0</v>
      </c>
      <c r="Q58" s="4">
        <f t="shared" si="32"/>
        <v>0</v>
      </c>
      <c r="R58" s="4"/>
      <c r="S58" s="72"/>
      <c r="U58" s="30"/>
      <c r="V58" s="4"/>
      <c r="W58" s="4">
        <v>43.985100000000003</v>
      </c>
      <c r="X58" s="1">
        <f t="shared" si="33"/>
        <v>-246.01490000000001</v>
      </c>
      <c r="Y58" s="1">
        <f t="shared" si="1"/>
        <v>1099.6275000000001</v>
      </c>
      <c r="Z58" s="1">
        <f t="shared" si="34"/>
        <v>809.62750000000005</v>
      </c>
      <c r="AA58" s="1">
        <f t="shared" si="35"/>
        <v>5.2071980764280476E-3</v>
      </c>
      <c r="AB58" s="1">
        <f t="shared" si="36"/>
        <v>9.6894592565975636E-3</v>
      </c>
      <c r="AC58" s="4"/>
      <c r="AD58" s="1"/>
      <c r="AE58" s="1">
        <f t="shared" si="40"/>
        <v>20</v>
      </c>
      <c r="AF58">
        <f t="shared" si="28"/>
        <v>6672.9982718931824</v>
      </c>
      <c r="AG58">
        <f t="shared" si="29"/>
        <v>117509.96543786369</v>
      </c>
      <c r="AH58">
        <f t="shared" si="23"/>
        <v>2041.8006341050507</v>
      </c>
      <c r="AI58">
        <f t="shared" si="25"/>
        <v>59971.272750625154</v>
      </c>
      <c r="AJ58">
        <f t="shared" si="26"/>
        <v>10934.484674353567</v>
      </c>
      <c r="AK58">
        <f t="shared" si="24"/>
        <v>3345.7280868398902</v>
      </c>
      <c r="AL58">
        <f t="shared" si="30"/>
        <v>78784.776102211748</v>
      </c>
      <c r="AX58">
        <f t="shared" si="11"/>
        <v>5.5081850709065181E-3</v>
      </c>
      <c r="AY58">
        <f t="shared" si="12"/>
        <v>1830.4764818901222</v>
      </c>
      <c r="AZ58">
        <f t="shared" si="37"/>
        <v>1006.071820245614</v>
      </c>
      <c r="BA58">
        <f t="shared" si="38"/>
        <v>824.40466164450811</v>
      </c>
    </row>
    <row r="59" spans="1:53" x14ac:dyDescent="0.35">
      <c r="A59" s="1">
        <v>58</v>
      </c>
      <c r="B59" s="1">
        <v>404.30530639696019</v>
      </c>
      <c r="C59" s="1">
        <v>0</v>
      </c>
      <c r="D59" s="1"/>
      <c r="E59" s="1">
        <v>404.30500000000001</v>
      </c>
      <c r="F59" s="1"/>
      <c r="G59" s="1"/>
      <c r="H59" s="1"/>
      <c r="I59" s="1"/>
      <c r="J59" s="1"/>
      <c r="K59" s="1">
        <v>0</v>
      </c>
      <c r="L59" s="1">
        <v>0</v>
      </c>
      <c r="M59" s="4">
        <f t="shared" si="39"/>
        <v>290</v>
      </c>
      <c r="N59" s="4"/>
      <c r="O59" s="4">
        <f t="shared" si="31"/>
        <v>0</v>
      </c>
      <c r="P59" s="4">
        <f t="shared" si="31"/>
        <v>0</v>
      </c>
      <c r="Q59" s="4">
        <f t="shared" si="32"/>
        <v>0</v>
      </c>
      <c r="R59" s="4"/>
      <c r="S59" s="63"/>
      <c r="T59" s="4"/>
      <c r="U59" s="46"/>
      <c r="V59" s="4"/>
      <c r="W59" s="4">
        <v>7.2637200000000002</v>
      </c>
      <c r="X59" s="1">
        <f t="shared" si="33"/>
        <v>-282.73628000000002</v>
      </c>
      <c r="Y59" s="1">
        <f t="shared" si="1"/>
        <v>181.59300000000002</v>
      </c>
      <c r="Z59" s="1">
        <f t="shared" si="34"/>
        <v>-108.40699999999998</v>
      </c>
      <c r="AA59" s="1">
        <f t="shared" si="35"/>
        <v>2.8691189100077601E-2</v>
      </c>
      <c r="AB59" s="1">
        <f t="shared" si="36"/>
        <v>5.3388041654685352E-2</v>
      </c>
      <c r="AC59" s="4"/>
      <c r="AD59" s="1"/>
      <c r="AE59" s="1">
        <f t="shared" si="40"/>
        <v>21</v>
      </c>
      <c r="AF59">
        <f t="shared" si="28"/>
        <v>6672.9982718931824</v>
      </c>
      <c r="AG59">
        <f t="shared" si="29"/>
        <v>124182.96370975688</v>
      </c>
      <c r="AH59">
        <f t="shared" si="23"/>
        <v>1924.4115307304908</v>
      </c>
      <c r="AI59">
        <f t="shared" si="25"/>
        <v>61895.684281355643</v>
      </c>
      <c r="AJ59">
        <f t="shared" si="26"/>
        <v>11207.846791212405</v>
      </c>
      <c r="AK59">
        <f t="shared" si="24"/>
        <v>3232.2066814428722</v>
      </c>
      <c r="AL59">
        <f t="shared" si="30"/>
        <v>82016.982783654617</v>
      </c>
      <c r="AX59">
        <f t="shared" si="11"/>
        <v>9.9968706789348551E-4</v>
      </c>
      <c r="AY59">
        <f t="shared" si="12"/>
        <v>332.21535650536157</v>
      </c>
      <c r="AZ59">
        <f t="shared" si="37"/>
        <v>182.59317272832223</v>
      </c>
      <c r="BA59">
        <f t="shared" si="38"/>
        <v>149.62218377703934</v>
      </c>
    </row>
    <row r="60" spans="1:53" x14ac:dyDescent="0.35">
      <c r="A60" s="1">
        <v>59</v>
      </c>
      <c r="B60" s="1">
        <v>3141.552121160008</v>
      </c>
      <c r="C60" s="1">
        <v>0</v>
      </c>
      <c r="D60" s="1"/>
      <c r="E60" s="1">
        <v>3141.55</v>
      </c>
      <c r="F60" s="1"/>
      <c r="G60" s="1"/>
      <c r="H60" s="1"/>
      <c r="I60" s="1"/>
      <c r="J60" s="1"/>
      <c r="K60" s="1">
        <v>0</v>
      </c>
      <c r="L60" s="1">
        <v>0</v>
      </c>
      <c r="M60" s="4">
        <f t="shared" si="39"/>
        <v>290</v>
      </c>
      <c r="N60" s="4"/>
      <c r="O60" s="4">
        <f t="shared" si="31"/>
        <v>0</v>
      </c>
      <c r="P60" s="4">
        <f t="shared" si="31"/>
        <v>0</v>
      </c>
      <c r="Q60" s="4">
        <f t="shared" si="32"/>
        <v>0</v>
      </c>
      <c r="R60" s="4"/>
      <c r="S60" s="63"/>
      <c r="T60" s="4"/>
      <c r="U60" s="46"/>
      <c r="V60" s="4"/>
      <c r="W60" s="4">
        <v>63.6265</v>
      </c>
      <c r="X60" s="1">
        <f t="shared" si="33"/>
        <v>-226.37350000000001</v>
      </c>
      <c r="Y60" s="1">
        <f t="shared" si="1"/>
        <v>1590.6624999999999</v>
      </c>
      <c r="Z60" s="1">
        <f t="shared" si="34"/>
        <v>1300.6624999999999</v>
      </c>
      <c r="AA60" s="1">
        <f t="shared" si="35"/>
        <v>3.6924423191542453E-3</v>
      </c>
      <c r="AB60" s="1">
        <f t="shared" si="36"/>
        <v>6.8708293565287156E-3</v>
      </c>
      <c r="AC60" s="4"/>
      <c r="AD60" s="1"/>
      <c r="AE60" s="1">
        <f t="shared" si="40"/>
        <v>22</v>
      </c>
      <c r="AF60">
        <f t="shared" si="28"/>
        <v>6672.9982718931824</v>
      </c>
      <c r="AG60">
        <f t="shared" si="29"/>
        <v>130855.96198165006</v>
      </c>
      <c r="AH60">
        <f t="shared" si="23"/>
        <v>1813.7714709995198</v>
      </c>
      <c r="AI60">
        <f t="shared" si="25"/>
        <v>63709.455752355163</v>
      </c>
      <c r="AJ60">
        <f t="shared" si="26"/>
        <v>11488.042960992716</v>
      </c>
      <c r="AK60">
        <f t="shared" si="24"/>
        <v>3122.5370862195514</v>
      </c>
      <c r="AL60">
        <f t="shared" si="30"/>
        <v>85139.519869874173</v>
      </c>
      <c r="AX60">
        <f t="shared" si="11"/>
        <v>7.7678155071096069E-3</v>
      </c>
      <c r="AY60">
        <f t="shared" si="12"/>
        <v>2581.3953994623944</v>
      </c>
      <c r="AZ60">
        <f t="shared" si="37"/>
        <v>1418.7940648268209</v>
      </c>
      <c r="BA60">
        <f t="shared" si="38"/>
        <v>1162.6013346355735</v>
      </c>
    </row>
    <row r="61" spans="1:53" x14ac:dyDescent="0.35">
      <c r="A61" s="1">
        <v>60</v>
      </c>
      <c r="B61" s="1">
        <v>2862.8042339526478</v>
      </c>
      <c r="C61" s="1">
        <v>0</v>
      </c>
      <c r="D61" s="1"/>
      <c r="E61" s="1">
        <v>2862.8</v>
      </c>
      <c r="F61" s="1"/>
      <c r="G61" s="1"/>
      <c r="H61" s="1"/>
      <c r="I61" s="1"/>
      <c r="J61" s="1"/>
      <c r="K61" s="1">
        <v>0</v>
      </c>
      <c r="L61" s="1">
        <v>0</v>
      </c>
      <c r="M61" s="4">
        <f t="shared" si="39"/>
        <v>290</v>
      </c>
      <c r="N61" s="4"/>
      <c r="O61" s="4">
        <f t="shared" si="31"/>
        <v>0</v>
      </c>
      <c r="P61" s="4">
        <f t="shared" si="31"/>
        <v>0</v>
      </c>
      <c r="Q61" s="4">
        <f t="shared" si="32"/>
        <v>0</v>
      </c>
      <c r="R61" s="4"/>
      <c r="S61" s="63" t="s">
        <v>341</v>
      </c>
      <c r="T61" s="4"/>
      <c r="U61" s="46"/>
      <c r="V61" s="4"/>
      <c r="W61" s="4">
        <v>59.825899999999997</v>
      </c>
      <c r="X61" s="1">
        <f t="shared" si="33"/>
        <v>-230.17410000000001</v>
      </c>
      <c r="Y61" s="1">
        <f t="shared" si="1"/>
        <v>1495.6475</v>
      </c>
      <c r="Z61" s="1">
        <f t="shared" si="34"/>
        <v>1205.6475</v>
      </c>
      <c r="AA61" s="1">
        <f t="shared" si="35"/>
        <v>4.0519710926876706E-3</v>
      </c>
      <c r="AB61" s="1">
        <f t="shared" si="36"/>
        <v>7.539833944331195E-3</v>
      </c>
      <c r="AC61" s="4"/>
      <c r="AD61" s="1"/>
      <c r="AE61" s="1">
        <f t="shared" si="40"/>
        <v>23</v>
      </c>
      <c r="AF61">
        <f t="shared" si="28"/>
        <v>6672.9982718931824</v>
      </c>
      <c r="AG61">
        <f t="shared" si="29"/>
        <v>137528.96025354325</v>
      </c>
      <c r="AH61">
        <f t="shared" si="23"/>
        <v>1709.4924326102926</v>
      </c>
      <c r="AI61">
        <f t="shared" si="25"/>
        <v>65418.948184965455</v>
      </c>
      <c r="AJ61">
        <f t="shared" si="26"/>
        <v>11775.244035017533</v>
      </c>
      <c r="AK61">
        <f t="shared" si="24"/>
        <v>3016.5886082705379</v>
      </c>
      <c r="AL61">
        <f t="shared" si="30"/>
        <v>88156.108478144713</v>
      </c>
      <c r="AX61">
        <f t="shared" si="11"/>
        <v>7.0785822627399868E-3</v>
      </c>
      <c r="AY61">
        <f t="shared" si="12"/>
        <v>2352.349855764317</v>
      </c>
      <c r="AZ61">
        <f t="shared" si="37"/>
        <v>1292.9053853778908</v>
      </c>
      <c r="BA61">
        <f t="shared" si="38"/>
        <v>1059.4444703864262</v>
      </c>
    </row>
    <row r="62" spans="1:53" x14ac:dyDescent="0.35">
      <c r="A62" s="1">
        <v>61</v>
      </c>
      <c r="B62" s="1">
        <v>2954.0094942934988</v>
      </c>
      <c r="C62" s="1">
        <v>0</v>
      </c>
      <c r="D62" s="1"/>
      <c r="E62" s="1">
        <v>2954.01</v>
      </c>
      <c r="F62" s="1"/>
      <c r="G62" s="1"/>
      <c r="H62" s="1"/>
      <c r="I62" s="1"/>
      <c r="J62" s="1"/>
      <c r="K62" s="1">
        <v>0</v>
      </c>
      <c r="L62" s="1">
        <v>0</v>
      </c>
      <c r="M62" s="4">
        <f t="shared" si="39"/>
        <v>290</v>
      </c>
      <c r="N62" s="4"/>
      <c r="O62" s="4">
        <f t="shared" si="31"/>
        <v>0</v>
      </c>
      <c r="P62" s="4">
        <f t="shared" si="31"/>
        <v>0</v>
      </c>
      <c r="Q62" s="4">
        <f t="shared" si="32"/>
        <v>0</v>
      </c>
      <c r="R62" s="4"/>
      <c r="S62" s="87" t="s">
        <v>333</v>
      </c>
      <c r="T62" s="4">
        <v>650</v>
      </c>
      <c r="U62" s="46" t="s">
        <v>337</v>
      </c>
      <c r="V62" s="4"/>
      <c r="W62" s="4">
        <v>64.215500000000006</v>
      </c>
      <c r="X62" s="1">
        <f t="shared" si="33"/>
        <v>-225.78449999999998</v>
      </c>
      <c r="Y62" s="1">
        <f t="shared" si="1"/>
        <v>1605.3875</v>
      </c>
      <c r="Z62" s="1">
        <f t="shared" si="34"/>
        <v>1315.3875</v>
      </c>
      <c r="AA62" s="1">
        <f t="shared" si="35"/>
        <v>3.9268661872646883E-3</v>
      </c>
      <c r="AB62" s="1">
        <f t="shared" si="36"/>
        <v>7.3070410169056238E-3</v>
      </c>
      <c r="AC62" s="4"/>
      <c r="AD62" s="1"/>
      <c r="AE62" s="1">
        <f>AE61+1</f>
        <v>24</v>
      </c>
      <c r="AF62">
        <f t="shared" si="28"/>
        <v>6672.9982718931824</v>
      </c>
      <c r="AG62">
        <f t="shared" si="29"/>
        <v>144201.95852543644</v>
      </c>
      <c r="AH62">
        <f t="shared" si="23"/>
        <v>1611.2087018004643</v>
      </c>
      <c r="AI62">
        <f t="shared" si="25"/>
        <v>67030.156886765923</v>
      </c>
      <c r="AJ62">
        <f t="shared" si="26"/>
        <v>12069.625135892971</v>
      </c>
      <c r="AK62">
        <f t="shared" si="24"/>
        <v>2914.2349891397748</v>
      </c>
      <c r="AL62">
        <f t="shared" si="30"/>
        <v>91070.343467284489</v>
      </c>
      <c r="AX62">
        <f t="shared" si="11"/>
        <v>7.3040967881345346E-3</v>
      </c>
      <c r="AY62">
        <f t="shared" si="12"/>
        <v>2427.2926962363413</v>
      </c>
      <c r="AZ62">
        <f t="shared" si="37"/>
        <v>1334.0956878341185</v>
      </c>
      <c r="BA62">
        <f t="shared" si="38"/>
        <v>1093.1970084022228</v>
      </c>
    </row>
    <row r="63" spans="1:53" x14ac:dyDescent="0.35">
      <c r="A63" s="1">
        <v>62</v>
      </c>
      <c r="B63" s="1">
        <v>1204.0745303370161</v>
      </c>
      <c r="C63" s="1">
        <v>0</v>
      </c>
      <c r="D63" s="1"/>
      <c r="E63" s="1">
        <v>1204.07</v>
      </c>
      <c r="F63" s="1"/>
      <c r="G63" s="1"/>
      <c r="H63" s="1"/>
      <c r="I63" s="1"/>
      <c r="J63" s="1"/>
      <c r="K63" s="1">
        <v>0</v>
      </c>
      <c r="L63" s="1">
        <v>0</v>
      </c>
      <c r="M63" s="4">
        <f t="shared" si="39"/>
        <v>290</v>
      </c>
      <c r="N63" s="4"/>
      <c r="O63" s="4">
        <f t="shared" si="31"/>
        <v>0</v>
      </c>
      <c r="P63" s="4">
        <f t="shared" si="31"/>
        <v>0</v>
      </c>
      <c r="Q63" s="4">
        <f t="shared" si="32"/>
        <v>0</v>
      </c>
      <c r="R63" s="4"/>
      <c r="S63" s="87" t="s">
        <v>334</v>
      </c>
      <c r="T63" s="4">
        <v>350</v>
      </c>
      <c r="U63" s="46" t="s">
        <v>337</v>
      </c>
      <c r="V63" s="4"/>
      <c r="W63" s="4">
        <v>25.6633</v>
      </c>
      <c r="X63" s="1">
        <f t="shared" si="33"/>
        <v>-264.33670000000001</v>
      </c>
      <c r="Y63" s="1">
        <f t="shared" si="1"/>
        <v>641.58249999999998</v>
      </c>
      <c r="Z63" s="1">
        <f>Y63-M63</f>
        <v>351.58249999999998</v>
      </c>
      <c r="AA63" s="1">
        <f t="shared" si="35"/>
        <v>9.6339551312934115E-3</v>
      </c>
      <c r="AB63" s="1">
        <f t="shared" si="36"/>
        <v>1.7926688087231323E-2</v>
      </c>
      <c r="AC63" s="4"/>
      <c r="AD63" s="1"/>
      <c r="AE63" s="1">
        <f t="shared" ref="AE63" si="41">AE62+1</f>
        <v>25</v>
      </c>
      <c r="AF63">
        <f t="shared" si="28"/>
        <v>6672.9982718931824</v>
      </c>
      <c r="AG63">
        <f t="shared" si="29"/>
        <v>150874.95679732962</v>
      </c>
      <c r="AH63">
        <f t="shared" si="23"/>
        <v>1518.5755907638681</v>
      </c>
      <c r="AI63">
        <f t="shared" si="25"/>
        <v>68548.732477529789</v>
      </c>
      <c r="AJ63">
        <f t="shared" si="26"/>
        <v>12371.365764290293</v>
      </c>
      <c r="AK63">
        <f t="shared" si="24"/>
        <v>2815.354254352751</v>
      </c>
      <c r="AL63">
        <f t="shared" si="30"/>
        <v>93885.697721637232</v>
      </c>
      <c r="AX63">
        <f t="shared" si="11"/>
        <v>2.9771999469529777E-3</v>
      </c>
      <c r="AY63">
        <f t="shared" si="12"/>
        <v>989.38115089242149</v>
      </c>
      <c r="AZ63">
        <f t="shared" si="37"/>
        <v>543.78655243208368</v>
      </c>
      <c r="BA63">
        <f t="shared" si="38"/>
        <v>445.59459846033781</v>
      </c>
    </row>
    <row r="64" spans="1:53" x14ac:dyDescent="0.35">
      <c r="A64" s="1">
        <v>63</v>
      </c>
      <c r="B64" s="1">
        <v>13474.18710799874</v>
      </c>
      <c r="C64" s="1">
        <v>0</v>
      </c>
      <c r="D64" s="1"/>
      <c r="E64" s="1">
        <v>13474.2</v>
      </c>
      <c r="F64" s="1"/>
      <c r="G64" s="1"/>
      <c r="H64" s="1"/>
      <c r="I64" s="1"/>
      <c r="J64" s="1"/>
      <c r="K64" s="1">
        <v>0</v>
      </c>
      <c r="L64" s="1">
        <v>0</v>
      </c>
      <c r="M64" s="4">
        <f t="shared" si="39"/>
        <v>290</v>
      </c>
      <c r="N64" s="4"/>
      <c r="O64" s="4">
        <f t="shared" si="31"/>
        <v>0</v>
      </c>
      <c r="P64" s="4">
        <f t="shared" si="31"/>
        <v>0</v>
      </c>
      <c r="Q64" s="4">
        <f t="shared" si="32"/>
        <v>0</v>
      </c>
      <c r="R64" s="4"/>
      <c r="S64" s="87"/>
      <c r="T64" s="4"/>
      <c r="U64" s="46"/>
      <c r="V64" s="4"/>
      <c r="W64" s="4">
        <v>279.54399999999998</v>
      </c>
      <c r="X64" s="1">
        <f t="shared" si="33"/>
        <v>-10.456000000000017</v>
      </c>
      <c r="Y64" s="1">
        <f t="shared" si="1"/>
        <v>6988.5999999999995</v>
      </c>
      <c r="Z64" s="1">
        <f t="shared" si="34"/>
        <v>6698.5999999999995</v>
      </c>
      <c r="AA64" s="1">
        <f t="shared" si="35"/>
        <v>8.6090536720496047E-4</v>
      </c>
      <c r="AB64" s="1">
        <f t="shared" si="36"/>
        <v>1.6019570135193983E-3</v>
      </c>
      <c r="AC64" s="4"/>
      <c r="AX64">
        <f t="shared" si="11"/>
        <v>3.33163339415046E-2</v>
      </c>
      <c r="AY64">
        <f t="shared" si="12"/>
        <v>11071.662436477493</v>
      </c>
      <c r="AZ64">
        <f t="shared" si="37"/>
        <v>6085.2393848349557</v>
      </c>
      <c r="BA64">
        <f t="shared" si="38"/>
        <v>4986.4230516425368</v>
      </c>
    </row>
    <row r="65" spans="1:53" x14ac:dyDescent="0.35">
      <c r="A65" s="1">
        <v>64</v>
      </c>
      <c r="B65" s="1">
        <v>3713.6923624805509</v>
      </c>
      <c r="C65" s="1">
        <v>0</v>
      </c>
      <c r="D65" s="1"/>
      <c r="E65" s="1">
        <v>3713.69</v>
      </c>
      <c r="F65" s="1"/>
      <c r="G65" s="1"/>
      <c r="H65" s="1"/>
      <c r="I65" s="1"/>
      <c r="J65" s="1"/>
      <c r="K65" s="1">
        <v>0</v>
      </c>
      <c r="L65" s="1">
        <v>0</v>
      </c>
      <c r="M65" s="4">
        <f t="shared" si="39"/>
        <v>290</v>
      </c>
      <c r="N65" s="4"/>
      <c r="O65" s="4">
        <f t="shared" si="31"/>
        <v>0</v>
      </c>
      <c r="P65" s="4">
        <f t="shared" si="31"/>
        <v>0</v>
      </c>
      <c r="Q65" s="4">
        <f t="shared" si="32"/>
        <v>0</v>
      </c>
      <c r="R65" s="4"/>
      <c r="S65" s="87" t="s">
        <v>335</v>
      </c>
      <c r="T65" s="4">
        <v>890</v>
      </c>
      <c r="U65" s="46" t="s">
        <v>338</v>
      </c>
      <c r="V65" s="4"/>
      <c r="W65" s="4">
        <v>78.026300000000006</v>
      </c>
      <c r="X65" s="1">
        <f t="shared" si="33"/>
        <v>-211.97370000000001</v>
      </c>
      <c r="Y65" s="1">
        <f t="shared" si="1"/>
        <v>1950.6575000000003</v>
      </c>
      <c r="Z65" s="1">
        <f t="shared" si="34"/>
        <v>1660.6575000000003</v>
      </c>
      <c r="AA65" s="1">
        <f t="shared" si="35"/>
        <v>3.1235759098397187E-3</v>
      </c>
      <c r="AB65" s="1">
        <f t="shared" si="36"/>
        <v>5.8122931121611671E-3</v>
      </c>
      <c r="AC65" s="4"/>
      <c r="AF65" s="18" t="s">
        <v>51</v>
      </c>
      <c r="AG65" s="4">
        <f>AE41-(AG41/AF42)</f>
        <v>2.3902299011797674</v>
      </c>
      <c r="AH65" s="4"/>
      <c r="AI65" s="10">
        <f>AE42-(AI42/AH43)</f>
        <v>2.5654245850486515</v>
      </c>
      <c r="AJ65" s="10"/>
      <c r="AK65" s="10"/>
      <c r="AL65" s="10">
        <f>AE41-(AL41/AK42)</f>
        <v>2.528427506130198</v>
      </c>
      <c r="AX65">
        <f t="shared" si="11"/>
        <v>9.1824919687339673E-3</v>
      </c>
      <c r="AY65">
        <f t="shared" si="12"/>
        <v>3051.5197615076136</v>
      </c>
      <c r="AZ65">
        <f t="shared" si="37"/>
        <v>1677.1851872171237</v>
      </c>
      <c r="BA65">
        <f t="shared" si="38"/>
        <v>1374.3345742904899</v>
      </c>
    </row>
    <row r="66" spans="1:53" x14ac:dyDescent="0.35">
      <c r="A66" s="1">
        <v>65</v>
      </c>
      <c r="B66" s="1">
        <v>1118.1009256975681</v>
      </c>
      <c r="C66" s="1">
        <v>0</v>
      </c>
      <c r="D66" s="1"/>
      <c r="E66" s="1">
        <v>1118.0999999999999</v>
      </c>
      <c r="F66" s="1"/>
      <c r="G66" s="1"/>
      <c r="H66" s="1"/>
      <c r="I66" s="1"/>
      <c r="J66" s="1"/>
      <c r="K66" s="1">
        <v>0</v>
      </c>
      <c r="L66" s="1">
        <v>0</v>
      </c>
      <c r="M66" s="4">
        <f t="shared" si="39"/>
        <v>290</v>
      </c>
      <c r="N66" s="4"/>
      <c r="O66" s="4">
        <f t="shared" si="31"/>
        <v>0</v>
      </c>
      <c r="P66" s="4">
        <f t="shared" si="31"/>
        <v>0</v>
      </c>
      <c r="Q66" s="4">
        <f t="shared" si="32"/>
        <v>0</v>
      </c>
      <c r="R66" s="4"/>
      <c r="S66" s="87" t="s">
        <v>336</v>
      </c>
      <c r="T66" s="4">
        <v>820</v>
      </c>
      <c r="U66" s="46" t="s">
        <v>338</v>
      </c>
      <c r="V66" s="4"/>
      <c r="W66" s="4">
        <v>23.491800000000001</v>
      </c>
      <c r="X66" s="1">
        <f t="shared" si="33"/>
        <v>-266.50819999999999</v>
      </c>
      <c r="Y66" s="1">
        <f t="shared" ref="Y66:Y100" si="42">W66*$T$47</f>
        <v>587.29500000000007</v>
      </c>
      <c r="Z66" s="1">
        <f t="shared" si="34"/>
        <v>297.29500000000007</v>
      </c>
      <c r="AA66" s="1">
        <f t="shared" si="35"/>
        <v>1.0374734277912271E-2</v>
      </c>
      <c r="AB66" s="1">
        <f t="shared" si="36"/>
        <v>1.9305116419311256E-2</v>
      </c>
      <c r="AC66" s="4"/>
      <c r="AX66">
        <f t="shared" si="11"/>
        <v>2.7646212363142946E-3</v>
      </c>
      <c r="AY66">
        <f t="shared" si="12"/>
        <v>918.73713197048744</v>
      </c>
      <c r="AZ66">
        <f t="shared" si="37"/>
        <v>504.95898080829153</v>
      </c>
      <c r="BA66">
        <f t="shared" si="38"/>
        <v>413.77815116219591</v>
      </c>
    </row>
    <row r="67" spans="1:53" x14ac:dyDescent="0.35">
      <c r="A67" s="1">
        <v>66</v>
      </c>
      <c r="B67" s="1">
        <v>789.18834550043005</v>
      </c>
      <c r="C67" s="1">
        <v>0</v>
      </c>
      <c r="D67" s="1"/>
      <c r="E67" s="1">
        <v>789.18799999999999</v>
      </c>
      <c r="F67" s="1"/>
      <c r="G67" s="1"/>
      <c r="H67" s="1"/>
      <c r="I67" s="1"/>
      <c r="J67" s="1"/>
      <c r="K67" s="1">
        <v>0</v>
      </c>
      <c r="L67" s="1">
        <v>0</v>
      </c>
      <c r="M67" s="4">
        <f t="shared" si="39"/>
        <v>290</v>
      </c>
      <c r="N67" s="4"/>
      <c r="O67" s="4">
        <f t="shared" si="31"/>
        <v>0</v>
      </c>
      <c r="P67" s="4">
        <f t="shared" si="31"/>
        <v>0</v>
      </c>
      <c r="Q67" s="4">
        <f t="shared" si="32"/>
        <v>0</v>
      </c>
      <c r="R67" s="4"/>
      <c r="S67" s="65" t="s">
        <v>247</v>
      </c>
      <c r="T67" s="1">
        <v>24000</v>
      </c>
      <c r="U67" s="46" t="s">
        <v>268</v>
      </c>
      <c r="V67" s="4"/>
      <c r="W67" s="4">
        <v>16.784199999999998</v>
      </c>
      <c r="X67" s="1">
        <f t="shared" si="33"/>
        <v>-273.2158</v>
      </c>
      <c r="Y67" s="1">
        <f t="shared" si="42"/>
        <v>419.60499999999996</v>
      </c>
      <c r="Z67" s="1">
        <f t="shared" si="34"/>
        <v>129.60499999999996</v>
      </c>
      <c r="AA67" s="1">
        <f t="shared" si="35"/>
        <v>1.469864585068645E-2</v>
      </c>
      <c r="AB67" s="1">
        <f t="shared" si="36"/>
        <v>2.7350972251679651E-2</v>
      </c>
      <c r="AC67" s="4"/>
      <c r="AX67">
        <f t="shared" ref="AX67:AX103" si="43">B67/$B$102</f>
        <v>1.9513505527786158E-3</v>
      </c>
      <c r="AY67">
        <f t="shared" ref="AY67:AY103" si="44">AX67*$AW$2</f>
        <v>648.4715471255389</v>
      </c>
      <c r="AZ67">
        <f t="shared" si="37"/>
        <v>356.41482217811006</v>
      </c>
      <c r="BA67">
        <f t="shared" si="38"/>
        <v>292.05672494742885</v>
      </c>
    </row>
    <row r="68" spans="1:53" x14ac:dyDescent="0.35">
      <c r="A68" s="1">
        <v>67</v>
      </c>
      <c r="B68" s="1">
        <v>1631.3808757786551</v>
      </c>
      <c r="C68" s="1">
        <v>0</v>
      </c>
      <c r="D68" s="1"/>
      <c r="E68" s="1">
        <v>1631.38</v>
      </c>
      <c r="F68" s="1"/>
      <c r="G68" s="1"/>
      <c r="H68" s="1"/>
      <c r="I68" s="1"/>
      <c r="J68" s="1"/>
      <c r="K68" s="1">
        <v>0</v>
      </c>
      <c r="L68" s="1">
        <v>0</v>
      </c>
      <c r="M68" s="4">
        <f t="shared" si="39"/>
        <v>290</v>
      </c>
      <c r="N68" s="4"/>
      <c r="O68" s="4">
        <f t="shared" si="31"/>
        <v>0</v>
      </c>
      <c r="P68" s="4">
        <f t="shared" si="31"/>
        <v>0</v>
      </c>
      <c r="Q68" s="4">
        <f t="shared" si="32"/>
        <v>0</v>
      </c>
      <c r="R68" s="4"/>
      <c r="S68" s="63" t="s">
        <v>247</v>
      </c>
      <c r="T68" s="4">
        <v>26000</v>
      </c>
      <c r="U68" s="46" t="s">
        <v>264</v>
      </c>
      <c r="V68" s="4"/>
      <c r="W68" s="4">
        <v>31.626000000000001</v>
      </c>
      <c r="X68" s="1">
        <f t="shared" si="33"/>
        <v>-258.37400000000002</v>
      </c>
      <c r="Y68" s="1">
        <f t="shared" si="42"/>
        <v>790.65</v>
      </c>
      <c r="Z68" s="1">
        <f t="shared" si="34"/>
        <v>500.65</v>
      </c>
      <c r="AA68" s="1">
        <f t="shared" si="35"/>
        <v>7.1105406298595606E-3</v>
      </c>
      <c r="AB68" s="1">
        <f t="shared" si="36"/>
        <v>1.3231164383258278E-2</v>
      </c>
      <c r="AC68" s="4"/>
      <c r="AX68">
        <f t="shared" si="43"/>
        <v>4.0337594845303078E-3</v>
      </c>
      <c r="AY68">
        <f t="shared" si="44"/>
        <v>1340.4963295503007</v>
      </c>
      <c r="AZ68">
        <f t="shared" si="37"/>
        <v>736.76750050929638</v>
      </c>
      <c r="BA68">
        <f t="shared" si="38"/>
        <v>603.72882904100436</v>
      </c>
    </row>
    <row r="69" spans="1:53" x14ac:dyDescent="0.35">
      <c r="A69" s="1">
        <v>68</v>
      </c>
      <c r="B69" s="1">
        <v>4258.9353884654111</v>
      </c>
      <c r="C69" s="1">
        <v>0</v>
      </c>
      <c r="D69" s="1"/>
      <c r="E69" s="1">
        <v>4258.9399999999996</v>
      </c>
      <c r="F69" s="1"/>
      <c r="G69" s="1"/>
      <c r="H69" s="1"/>
      <c r="I69" s="1"/>
      <c r="J69" s="1"/>
      <c r="K69" s="1">
        <v>0</v>
      </c>
      <c r="L69" s="1">
        <v>0</v>
      </c>
      <c r="M69" s="4">
        <f t="shared" si="39"/>
        <v>290</v>
      </c>
      <c r="N69" s="4"/>
      <c r="O69" s="4">
        <f t="shared" si="31"/>
        <v>0</v>
      </c>
      <c r="P69" s="4">
        <f t="shared" si="31"/>
        <v>0</v>
      </c>
      <c r="Q69" s="4">
        <f t="shared" si="32"/>
        <v>0</v>
      </c>
      <c r="R69" s="4"/>
      <c r="S69" s="63" t="s">
        <v>247</v>
      </c>
      <c r="T69" s="4">
        <v>32500</v>
      </c>
      <c r="U69" s="46" t="s">
        <v>265</v>
      </c>
      <c r="V69" s="4"/>
      <c r="W69" s="4">
        <v>86.851900000000001</v>
      </c>
      <c r="X69" s="1">
        <f t="shared" si="33"/>
        <v>-203.1481</v>
      </c>
      <c r="Y69" s="1">
        <f t="shared" si="42"/>
        <v>2171.2975000000001</v>
      </c>
      <c r="Z69" s="1">
        <f t="shared" si="34"/>
        <v>1881.2975000000001</v>
      </c>
      <c r="AA69" s="1">
        <f t="shared" si="35"/>
        <v>2.7236853678073145E-3</v>
      </c>
      <c r="AB69" s="1">
        <f t="shared" si="36"/>
        <v>5.068184081306013E-3</v>
      </c>
      <c r="AC69" s="4"/>
      <c r="AX69">
        <f t="shared" si="43"/>
        <v>1.053066225814641E-2</v>
      </c>
      <c r="AY69">
        <f t="shared" si="44"/>
        <v>3499.5428356390594</v>
      </c>
      <c r="AZ69">
        <f t="shared" si="37"/>
        <v>1923.4289353138099</v>
      </c>
      <c r="BA69">
        <f t="shared" si="38"/>
        <v>1576.1139003252495</v>
      </c>
    </row>
    <row r="70" spans="1:53" x14ac:dyDescent="0.35">
      <c r="A70" s="1">
        <v>69</v>
      </c>
      <c r="B70" s="1">
        <v>4490.8701254733214</v>
      </c>
      <c r="C70" s="1">
        <v>0</v>
      </c>
      <c r="D70" s="1"/>
      <c r="E70" s="1">
        <v>4490.87</v>
      </c>
      <c r="F70" s="1"/>
      <c r="G70" s="1"/>
      <c r="H70" s="1"/>
      <c r="I70" s="1"/>
      <c r="J70" s="1"/>
      <c r="K70" s="1">
        <v>0</v>
      </c>
      <c r="L70" s="1">
        <v>0</v>
      </c>
      <c r="M70" s="4">
        <f t="shared" si="39"/>
        <v>290</v>
      </c>
      <c r="N70" s="4"/>
      <c r="O70" s="4">
        <f t="shared" si="31"/>
        <v>0</v>
      </c>
      <c r="P70" s="4">
        <f t="shared" si="31"/>
        <v>0</v>
      </c>
      <c r="Q70" s="4">
        <f t="shared" si="32"/>
        <v>0</v>
      </c>
      <c r="R70" s="4"/>
      <c r="S70" s="63" t="s">
        <v>247</v>
      </c>
      <c r="T70" s="4">
        <v>34600</v>
      </c>
      <c r="U70" s="46" t="s">
        <v>266</v>
      </c>
      <c r="V70" s="4"/>
      <c r="W70" s="4">
        <v>90.9893</v>
      </c>
      <c r="X70" s="1">
        <f t="shared" si="33"/>
        <v>-199.01069999999999</v>
      </c>
      <c r="Y70" s="1">
        <f t="shared" si="42"/>
        <v>2274.7325000000001</v>
      </c>
      <c r="Z70" s="1">
        <f t="shared" si="34"/>
        <v>1984.7325000000001</v>
      </c>
      <c r="AA70" s="1">
        <f t="shared" si="35"/>
        <v>2.5830183630120903E-3</v>
      </c>
      <c r="AB70" s="1">
        <f t="shared" si="36"/>
        <v>4.8064334830560818E-3</v>
      </c>
      <c r="AC70" s="4"/>
      <c r="AX70">
        <f t="shared" si="43"/>
        <v>1.1104145102703576E-2</v>
      </c>
      <c r="AY70">
        <f t="shared" si="44"/>
        <v>3690.1222817208482</v>
      </c>
      <c r="AZ70">
        <f t="shared" si="37"/>
        <v>2028.17576605316</v>
      </c>
      <c r="BA70">
        <f t="shared" si="38"/>
        <v>1661.9465156676881</v>
      </c>
    </row>
    <row r="71" spans="1:53" x14ac:dyDescent="0.35">
      <c r="A71" s="1">
        <v>70</v>
      </c>
      <c r="B71" s="1">
        <v>6097.7538980173758</v>
      </c>
      <c r="C71" s="1">
        <v>0</v>
      </c>
      <c r="D71" s="1"/>
      <c r="E71" s="1">
        <v>6097.75</v>
      </c>
      <c r="F71" s="1"/>
      <c r="G71" s="1"/>
      <c r="H71" s="1"/>
      <c r="I71" s="1"/>
      <c r="J71" s="1"/>
      <c r="K71" s="1">
        <v>0</v>
      </c>
      <c r="L71" s="1">
        <v>0</v>
      </c>
      <c r="M71" s="4">
        <f t="shared" si="39"/>
        <v>290</v>
      </c>
      <c r="N71" s="4"/>
      <c r="O71" s="4">
        <f t="shared" si="31"/>
        <v>0</v>
      </c>
      <c r="P71" s="4">
        <f t="shared" si="31"/>
        <v>0</v>
      </c>
      <c r="Q71" s="4">
        <f t="shared" si="32"/>
        <v>0</v>
      </c>
      <c r="R71" s="4"/>
      <c r="S71" s="63"/>
      <c r="T71" s="4"/>
      <c r="U71" s="46"/>
      <c r="V71" s="4"/>
      <c r="W71" s="4">
        <v>124.14400000000001</v>
      </c>
      <c r="X71" s="1">
        <f t="shared" si="33"/>
        <v>-165.85599999999999</v>
      </c>
      <c r="Y71" s="1">
        <f t="shared" si="42"/>
        <v>3103.6000000000004</v>
      </c>
      <c r="Z71" s="1">
        <f t="shared" si="34"/>
        <v>2813.6000000000004</v>
      </c>
      <c r="AA71" s="1">
        <f t="shared" si="35"/>
        <v>1.9023398113478512E-3</v>
      </c>
      <c r="AB71" s="1">
        <f t="shared" si="36"/>
        <v>3.5398392424708064E-3</v>
      </c>
      <c r="AC71" s="4"/>
      <c r="AX71">
        <f t="shared" si="43"/>
        <v>1.5077332942694453E-2</v>
      </c>
      <c r="AY71">
        <f t="shared" si="44"/>
        <v>5010.489481735458</v>
      </c>
      <c r="AZ71">
        <f t="shared" si="37"/>
        <v>2753.8798357059063</v>
      </c>
      <c r="BA71">
        <f t="shared" si="38"/>
        <v>2256.6096460295516</v>
      </c>
    </row>
    <row r="72" spans="1:53" x14ac:dyDescent="0.35">
      <c r="A72" s="1">
        <v>71</v>
      </c>
      <c r="B72" s="1">
        <v>4593.5313049109664</v>
      </c>
      <c r="C72" s="1">
        <v>0</v>
      </c>
      <c r="D72" s="1"/>
      <c r="E72" s="1">
        <v>4593.53</v>
      </c>
      <c r="F72" s="1"/>
      <c r="G72" s="1"/>
      <c r="H72" s="1"/>
      <c r="I72" s="1"/>
      <c r="J72" s="1"/>
      <c r="K72" s="1">
        <v>0</v>
      </c>
      <c r="L72" s="1">
        <v>0</v>
      </c>
      <c r="M72" s="4">
        <f t="shared" si="39"/>
        <v>290</v>
      </c>
      <c r="N72" s="4"/>
      <c r="O72" s="4">
        <f t="shared" si="31"/>
        <v>0</v>
      </c>
      <c r="P72" s="4">
        <f t="shared" si="31"/>
        <v>0</v>
      </c>
      <c r="Q72" s="4">
        <f t="shared" si="32"/>
        <v>0</v>
      </c>
      <c r="R72" s="4"/>
      <c r="S72" s="63"/>
      <c r="T72" s="4"/>
      <c r="U72" s="46"/>
      <c r="V72" s="4"/>
      <c r="W72" s="4">
        <v>96.512100000000004</v>
      </c>
      <c r="X72" s="1">
        <f t="shared" si="33"/>
        <v>-193.4879</v>
      </c>
      <c r="Y72" s="1">
        <f t="shared" si="42"/>
        <v>2412.8025000000002</v>
      </c>
      <c r="Z72" s="1">
        <f t="shared" si="34"/>
        <v>2122.8025000000002</v>
      </c>
      <c r="AA72" s="1">
        <f t="shared" si="35"/>
        <v>2.5252902897599464E-3</v>
      </c>
      <c r="AB72" s="1">
        <f t="shared" si="36"/>
        <v>4.6990141366957784E-3</v>
      </c>
      <c r="AC72" s="4"/>
      <c r="AX72">
        <f t="shared" si="43"/>
        <v>1.1357985583732882E-2</v>
      </c>
      <c r="AY72">
        <f t="shared" si="44"/>
        <v>3774.4783853546992</v>
      </c>
      <c r="AZ72">
        <f t="shared" si="37"/>
        <v>2074.5398136502658</v>
      </c>
      <c r="BA72">
        <f t="shared" si="38"/>
        <v>1699.9385717044333</v>
      </c>
    </row>
    <row r="73" spans="1:53" x14ac:dyDescent="0.35">
      <c r="A73" s="1">
        <v>72</v>
      </c>
      <c r="B73" s="1">
        <v>8062.2213477933838</v>
      </c>
      <c r="C73" s="1">
        <v>0</v>
      </c>
      <c r="D73" s="1"/>
      <c r="E73" s="1">
        <v>8062.22</v>
      </c>
      <c r="F73" s="1"/>
      <c r="G73" s="1"/>
      <c r="H73" s="1"/>
      <c r="I73" s="1"/>
      <c r="J73" s="1"/>
      <c r="K73" s="1">
        <v>0</v>
      </c>
      <c r="L73" s="1">
        <v>0</v>
      </c>
      <c r="M73" s="4">
        <f t="shared" si="39"/>
        <v>290</v>
      </c>
      <c r="N73" s="4"/>
      <c r="O73" s="4">
        <f t="shared" si="31"/>
        <v>0</v>
      </c>
      <c r="P73" s="4">
        <f t="shared" si="31"/>
        <v>0</v>
      </c>
      <c r="Q73" s="4">
        <f t="shared" si="32"/>
        <v>0</v>
      </c>
      <c r="R73" s="4"/>
      <c r="S73" s="63"/>
      <c r="T73" s="4"/>
      <c r="U73" s="46"/>
      <c r="V73" s="4"/>
      <c r="W73" s="4">
        <v>174.48599999999999</v>
      </c>
      <c r="X73" s="1">
        <f t="shared" si="33"/>
        <v>-115.51400000000001</v>
      </c>
      <c r="Y73" s="1">
        <f t="shared" si="42"/>
        <v>4362.1499999999996</v>
      </c>
      <c r="Z73" s="1">
        <f t="shared" si="34"/>
        <v>4072.1499999999996</v>
      </c>
      <c r="AA73" s="1">
        <f t="shared" si="35"/>
        <v>1.4388094173543003E-3</v>
      </c>
      <c r="AB73" s="1">
        <f t="shared" si="36"/>
        <v>2.6773103352017288E-3</v>
      </c>
      <c r="AC73" s="4"/>
      <c r="AX73">
        <f t="shared" si="43"/>
        <v>1.9934683746076182E-2</v>
      </c>
      <c r="AY73">
        <f t="shared" si="44"/>
        <v>6624.6811429493846</v>
      </c>
      <c r="AZ73">
        <f t="shared" si="37"/>
        <v>3641.0765622903841</v>
      </c>
      <c r="BA73">
        <f t="shared" si="38"/>
        <v>2983.6045806590005</v>
      </c>
    </row>
    <row r="74" spans="1:53" x14ac:dyDescent="0.35">
      <c r="A74" s="1">
        <v>73</v>
      </c>
      <c r="B74" s="1">
        <v>4657.9117518025187</v>
      </c>
      <c r="C74" s="1">
        <v>0</v>
      </c>
      <c r="D74" s="1"/>
      <c r="E74" s="1">
        <v>4657.91</v>
      </c>
      <c r="F74" s="1"/>
      <c r="G74" s="1"/>
      <c r="H74" s="1"/>
      <c r="I74" s="1"/>
      <c r="J74" s="1"/>
      <c r="K74" s="1">
        <v>0</v>
      </c>
      <c r="L74" s="1">
        <v>0</v>
      </c>
      <c r="M74" s="4">
        <f t="shared" si="39"/>
        <v>290</v>
      </c>
      <c r="N74" s="4"/>
      <c r="O74" s="4">
        <f t="shared" si="31"/>
        <v>0</v>
      </c>
      <c r="P74" s="4">
        <f t="shared" si="31"/>
        <v>0</v>
      </c>
      <c r="Q74" s="4">
        <f t="shared" si="32"/>
        <v>0</v>
      </c>
      <c r="R74" s="4"/>
      <c r="S74" s="63"/>
      <c r="T74" s="4"/>
      <c r="U74" s="46"/>
      <c r="V74" s="4"/>
      <c r="W74" s="4">
        <v>98.659400000000005</v>
      </c>
      <c r="X74" s="1">
        <f t="shared" si="33"/>
        <v>-191.34059999999999</v>
      </c>
      <c r="Y74" s="1">
        <f t="shared" si="42"/>
        <v>2466.4850000000001</v>
      </c>
      <c r="Z74" s="1">
        <f t="shared" si="34"/>
        <v>2176.4850000000001</v>
      </c>
      <c r="AA74" s="1">
        <f t="shared" si="35"/>
        <v>2.4903863830204667E-3</v>
      </c>
      <c r="AB74" s="1">
        <f t="shared" si="36"/>
        <v>4.6340655833117163E-3</v>
      </c>
      <c r="AC74" s="4"/>
      <c r="AX74">
        <f t="shared" si="43"/>
        <v>1.1517172958136269E-2</v>
      </c>
      <c r="AY74">
        <f t="shared" si="44"/>
        <v>3827.3794301286507</v>
      </c>
      <c r="AZ74">
        <f t="shared" si="37"/>
        <v>2103.615440097904</v>
      </c>
      <c r="BA74">
        <f t="shared" si="38"/>
        <v>1723.7639900307468</v>
      </c>
    </row>
    <row r="75" spans="1:53" x14ac:dyDescent="0.35">
      <c r="A75" s="1">
        <v>74</v>
      </c>
      <c r="B75" s="1">
        <v>4129.0607113934348</v>
      </c>
      <c r="C75" s="1">
        <v>0</v>
      </c>
      <c r="D75" s="1"/>
      <c r="E75" s="1">
        <v>4129.0600000000004</v>
      </c>
      <c r="F75" s="1"/>
      <c r="G75" s="1"/>
      <c r="H75" s="1"/>
      <c r="I75" s="1"/>
      <c r="J75" s="1"/>
      <c r="K75" s="1">
        <v>0</v>
      </c>
      <c r="L75" s="1">
        <v>0</v>
      </c>
      <c r="M75" s="4">
        <f t="shared" si="39"/>
        <v>290</v>
      </c>
      <c r="N75" s="4"/>
      <c r="O75" s="4">
        <f t="shared" si="31"/>
        <v>0</v>
      </c>
      <c r="P75" s="4">
        <f t="shared" si="31"/>
        <v>0</v>
      </c>
      <c r="Q75" s="4">
        <f t="shared" si="32"/>
        <v>0</v>
      </c>
      <c r="R75" s="4"/>
      <c r="S75" s="63"/>
      <c r="T75" s="4"/>
      <c r="U75" s="46"/>
      <c r="V75" s="4"/>
      <c r="W75" s="4">
        <v>86.753399999999999</v>
      </c>
      <c r="X75" s="1">
        <f t="shared" si="33"/>
        <v>-203.2466</v>
      </c>
      <c r="Y75" s="1">
        <f t="shared" si="42"/>
        <v>2168.835</v>
      </c>
      <c r="Z75" s="1">
        <f t="shared" si="34"/>
        <v>1878.835</v>
      </c>
      <c r="AA75" s="1">
        <f t="shared" si="35"/>
        <v>2.8093556406162275E-3</v>
      </c>
      <c r="AB75" s="1">
        <f t="shared" si="36"/>
        <v>5.2275977632324326E-3</v>
      </c>
      <c r="AC75" s="4"/>
      <c r="AX75">
        <f t="shared" si="43"/>
        <v>1.0209533563911015E-2</v>
      </c>
      <c r="AY75">
        <f t="shared" si="44"/>
        <v>3392.8255567366582</v>
      </c>
      <c r="AZ75">
        <f t="shared" si="37"/>
        <v>1864.774673377522</v>
      </c>
      <c r="BA75">
        <f t="shared" si="38"/>
        <v>1528.0508833591362</v>
      </c>
    </row>
    <row r="76" spans="1:53" x14ac:dyDescent="0.35">
      <c r="A76" s="1">
        <v>75</v>
      </c>
      <c r="B76" s="1">
        <v>14350.316193396229</v>
      </c>
      <c r="C76" s="1">
        <v>0</v>
      </c>
      <c r="D76" s="1"/>
      <c r="E76" s="1">
        <v>14350.3</v>
      </c>
      <c r="F76" s="1"/>
      <c r="G76" s="1"/>
      <c r="H76" s="1"/>
      <c r="I76" s="1"/>
      <c r="J76" s="1"/>
      <c r="K76" s="1">
        <v>0</v>
      </c>
      <c r="L76" s="1">
        <v>0</v>
      </c>
      <c r="M76" s="4">
        <f t="shared" si="39"/>
        <v>290</v>
      </c>
      <c r="N76" s="4"/>
      <c r="O76" s="4">
        <f t="shared" si="31"/>
        <v>0</v>
      </c>
      <c r="P76" s="4">
        <f t="shared" si="31"/>
        <v>0</v>
      </c>
      <c r="Q76" s="4">
        <f t="shared" si="32"/>
        <v>0</v>
      </c>
      <c r="R76" s="4"/>
      <c r="S76" s="63"/>
      <c r="T76" s="4"/>
      <c r="U76" s="46"/>
      <c r="V76" s="4"/>
      <c r="W76" s="4">
        <v>250.209</v>
      </c>
      <c r="X76" s="1">
        <f t="shared" si="33"/>
        <v>-39.790999999999997</v>
      </c>
      <c r="Y76" s="1">
        <f t="shared" si="42"/>
        <v>6255.2250000000004</v>
      </c>
      <c r="Z76" s="1">
        <f t="shared" si="34"/>
        <v>5965.2250000000004</v>
      </c>
      <c r="AA76" s="1">
        <f t="shared" si="35"/>
        <v>8.0834455796438282E-4</v>
      </c>
      <c r="AB76" s="1">
        <f t="shared" si="36"/>
        <v>1.5041528178357712E-3</v>
      </c>
      <c r="AC76" s="4"/>
      <c r="AX76">
        <f t="shared" si="43"/>
        <v>3.5482654547787408E-2</v>
      </c>
      <c r="AY76">
        <f t="shared" si="44"/>
        <v>11791.572692031417</v>
      </c>
      <c r="AZ76">
        <f t="shared" si="37"/>
        <v>6480.918558200101</v>
      </c>
      <c r="BA76">
        <f t="shared" si="38"/>
        <v>5310.6541338313164</v>
      </c>
    </row>
    <row r="77" spans="1:53" x14ac:dyDescent="0.35">
      <c r="A77" s="1">
        <v>76</v>
      </c>
      <c r="B77" s="1">
        <v>5149.4780654648821</v>
      </c>
      <c r="C77" s="1">
        <v>0</v>
      </c>
      <c r="D77" s="1"/>
      <c r="E77" s="1">
        <v>5149.4799999999996</v>
      </c>
      <c r="F77" s="1"/>
      <c r="G77" s="1"/>
      <c r="H77" s="1"/>
      <c r="I77" s="1"/>
      <c r="J77" s="1"/>
      <c r="K77" s="1">
        <v>0</v>
      </c>
      <c r="L77" s="1">
        <v>0</v>
      </c>
      <c r="M77" s="4">
        <f t="shared" si="39"/>
        <v>290</v>
      </c>
      <c r="N77" s="4"/>
      <c r="O77" s="4">
        <f t="shared" si="31"/>
        <v>0</v>
      </c>
      <c r="P77" s="4">
        <f t="shared" si="31"/>
        <v>0</v>
      </c>
      <c r="Q77" s="4">
        <f t="shared" si="32"/>
        <v>0</v>
      </c>
      <c r="R77" s="4"/>
      <c r="S77" s="63"/>
      <c r="T77" s="4"/>
      <c r="U77" s="46"/>
      <c r="V77" s="4"/>
      <c r="W77" s="4">
        <v>108.91500000000001</v>
      </c>
      <c r="X77" s="1">
        <f t="shared" si="33"/>
        <v>-181.08499999999998</v>
      </c>
      <c r="Y77" s="1">
        <f t="shared" si="42"/>
        <v>2722.875</v>
      </c>
      <c r="Z77" s="1">
        <f t="shared" si="34"/>
        <v>2432.875</v>
      </c>
      <c r="AA77" s="1">
        <f t="shared" si="35"/>
        <v>2.2526554832412479E-3</v>
      </c>
      <c r="AB77" s="1">
        <f t="shared" si="36"/>
        <v>4.1917002586907004E-3</v>
      </c>
      <c r="AC77" s="4"/>
      <c r="AX77">
        <f t="shared" si="43"/>
        <v>1.2732621974028859E-2</v>
      </c>
      <c r="AY77">
        <f t="shared" si="44"/>
        <v>4231.2966569261371</v>
      </c>
      <c r="AZ77">
        <f t="shared" si="37"/>
        <v>2325.617603803988</v>
      </c>
      <c r="BA77">
        <f t="shared" si="38"/>
        <v>1905.6790531221491</v>
      </c>
    </row>
    <row r="78" spans="1:53" x14ac:dyDescent="0.35">
      <c r="A78" s="1">
        <v>77</v>
      </c>
      <c r="B78" s="1">
        <v>4612.9275296437472</v>
      </c>
      <c r="C78" s="1">
        <v>0</v>
      </c>
      <c r="D78" s="1"/>
      <c r="E78" s="1">
        <v>4612.93</v>
      </c>
      <c r="F78" s="1"/>
      <c r="G78" s="1"/>
      <c r="H78" s="1"/>
      <c r="I78" s="1"/>
      <c r="J78" s="1"/>
      <c r="K78" s="1">
        <v>0</v>
      </c>
      <c r="L78" s="1">
        <v>0</v>
      </c>
      <c r="M78" s="4">
        <f t="shared" si="39"/>
        <v>290</v>
      </c>
      <c r="N78" s="4"/>
      <c r="O78" s="4">
        <f t="shared" si="31"/>
        <v>0</v>
      </c>
      <c r="P78" s="4">
        <f t="shared" si="31"/>
        <v>0</v>
      </c>
      <c r="Q78" s="4">
        <f t="shared" si="32"/>
        <v>0</v>
      </c>
      <c r="R78" s="4"/>
      <c r="S78" s="63"/>
      <c r="T78" s="4"/>
      <c r="U78" s="46"/>
      <c r="V78" s="4"/>
      <c r="W78" s="4">
        <v>98.416499999999999</v>
      </c>
      <c r="X78" s="1">
        <f t="shared" si="33"/>
        <v>-191.58350000000002</v>
      </c>
      <c r="Y78" s="1">
        <f t="shared" si="42"/>
        <v>2460.4124999999999</v>
      </c>
      <c r="Z78" s="1">
        <f t="shared" si="34"/>
        <v>2170.4124999999999</v>
      </c>
      <c r="AA78" s="1">
        <f t="shared" si="35"/>
        <v>2.5146720657230571E-3</v>
      </c>
      <c r="AB78" s="1">
        <f t="shared" si="36"/>
        <v>4.6792559389716307E-3</v>
      </c>
      <c r="AC78" s="4"/>
      <c r="AX78">
        <f t="shared" si="43"/>
        <v>1.1405944773791791E-2</v>
      </c>
      <c r="AY78">
        <f t="shared" si="44"/>
        <v>3790.4161522167847</v>
      </c>
      <c r="AZ78">
        <f t="shared" si="37"/>
        <v>2083.2995755353418</v>
      </c>
      <c r="BA78">
        <f t="shared" si="38"/>
        <v>1707.1165766814429</v>
      </c>
    </row>
    <row r="79" spans="1:53" x14ac:dyDescent="0.35">
      <c r="A79" s="1">
        <v>78</v>
      </c>
      <c r="B79" s="1">
        <v>4299.5858542619962</v>
      </c>
      <c r="C79" s="1">
        <v>0</v>
      </c>
      <c r="D79" s="1"/>
      <c r="E79" s="1">
        <v>4299.59</v>
      </c>
      <c r="F79" s="1"/>
      <c r="G79" s="1"/>
      <c r="H79" s="1"/>
      <c r="I79" s="1"/>
      <c r="J79" s="1"/>
      <c r="K79" s="1">
        <v>0</v>
      </c>
      <c r="L79" s="1">
        <v>0</v>
      </c>
      <c r="M79" s="4">
        <f t="shared" si="39"/>
        <v>290</v>
      </c>
      <c r="N79" s="4"/>
      <c r="O79" s="4">
        <f t="shared" ref="O79:P100" si="45">$T$19*C79</f>
        <v>0</v>
      </c>
      <c r="P79" s="4">
        <f t="shared" si="45"/>
        <v>0</v>
      </c>
      <c r="Q79" s="4">
        <f t="shared" si="32"/>
        <v>0</v>
      </c>
      <c r="R79" s="4"/>
      <c r="S79" s="63"/>
      <c r="T79" s="4"/>
      <c r="U79" s="46"/>
      <c r="V79" s="4"/>
      <c r="W79" s="4">
        <v>78.811800000000005</v>
      </c>
      <c r="X79" s="1">
        <f t="shared" si="33"/>
        <v>-211.18819999999999</v>
      </c>
      <c r="Y79" s="1">
        <f t="shared" si="42"/>
        <v>1970.2950000000001</v>
      </c>
      <c r="Z79" s="1">
        <f t="shared" si="34"/>
        <v>1680.2950000000001</v>
      </c>
      <c r="AA79" s="1">
        <f t="shared" si="35"/>
        <v>2.6979342646458416E-3</v>
      </c>
      <c r="AB79" s="1">
        <f t="shared" si="36"/>
        <v>5.0202668979699239E-3</v>
      </c>
      <c r="AC79" s="4"/>
      <c r="AX79">
        <f t="shared" si="43"/>
        <v>1.0631174777566062E-2</v>
      </c>
      <c r="AY79">
        <f t="shared" si="44"/>
        <v>3532.9450907493651</v>
      </c>
      <c r="AZ79">
        <f t="shared" si="37"/>
        <v>1941.7875801429605</v>
      </c>
      <c r="BA79">
        <f t="shared" si="38"/>
        <v>1591.1575106064047</v>
      </c>
    </row>
    <row r="80" spans="1:53" x14ac:dyDescent="0.35">
      <c r="A80" s="1">
        <v>79</v>
      </c>
      <c r="B80" s="1">
        <v>3153.09355833985</v>
      </c>
      <c r="C80" s="1">
        <v>0</v>
      </c>
      <c r="D80" s="1"/>
      <c r="E80" s="1">
        <v>3153.09</v>
      </c>
      <c r="F80" s="1"/>
      <c r="G80" s="1"/>
      <c r="H80" s="1"/>
      <c r="I80" s="1"/>
      <c r="J80" s="1"/>
      <c r="K80" s="1">
        <v>0</v>
      </c>
      <c r="L80" s="1">
        <v>0</v>
      </c>
      <c r="M80" s="4">
        <f t="shared" si="39"/>
        <v>290</v>
      </c>
      <c r="N80" s="4"/>
      <c r="O80" s="4">
        <f t="shared" si="45"/>
        <v>0</v>
      </c>
      <c r="P80" s="4">
        <f t="shared" si="45"/>
        <v>0</v>
      </c>
      <c r="Q80" s="4">
        <f t="shared" si="32"/>
        <v>0</v>
      </c>
      <c r="R80" s="4"/>
      <c r="S80" s="63"/>
      <c r="T80" s="4"/>
      <c r="U80" s="46"/>
      <c r="V80" s="4"/>
      <c r="W80" s="4">
        <v>66.247900000000001</v>
      </c>
      <c r="X80" s="1">
        <f t="shared" si="33"/>
        <v>-223.75209999999998</v>
      </c>
      <c r="Y80" s="1">
        <f t="shared" si="42"/>
        <v>1656.1975</v>
      </c>
      <c r="Z80" s="1">
        <f t="shared" si="34"/>
        <v>1366.1975</v>
      </c>
      <c r="AA80" s="1">
        <f t="shared" si="35"/>
        <v>3.6789266748264741E-3</v>
      </c>
      <c r="AB80" s="1">
        <f t="shared" si="36"/>
        <v>6.8456796919454848E-3</v>
      </c>
      <c r="AC80" s="4"/>
      <c r="AX80">
        <f t="shared" si="43"/>
        <v>7.7963529151303286E-3</v>
      </c>
      <c r="AY80">
        <f t="shared" si="44"/>
        <v>2590.878932343659</v>
      </c>
      <c r="AZ80">
        <f t="shared" si="37"/>
        <v>1424.006431815749</v>
      </c>
      <c r="BA80">
        <f t="shared" si="38"/>
        <v>1166.87250052791</v>
      </c>
    </row>
    <row r="81" spans="1:53" x14ac:dyDescent="0.35">
      <c r="A81" s="1">
        <v>80</v>
      </c>
      <c r="B81" s="1">
        <v>4296.4999200900902</v>
      </c>
      <c r="C81" s="1">
        <v>0</v>
      </c>
      <c r="D81" s="1"/>
      <c r="E81" s="1">
        <v>4296.5</v>
      </c>
      <c r="F81" s="1"/>
      <c r="G81" s="1"/>
      <c r="H81" s="1"/>
      <c r="I81" s="1"/>
      <c r="J81" s="1"/>
      <c r="K81" s="1">
        <v>0</v>
      </c>
      <c r="L81" s="1">
        <v>0</v>
      </c>
      <c r="M81" s="4">
        <f t="shared" si="39"/>
        <v>290</v>
      </c>
      <c r="N81" s="4"/>
      <c r="O81" s="4">
        <f t="shared" si="45"/>
        <v>0</v>
      </c>
      <c r="P81" s="4">
        <f t="shared" si="45"/>
        <v>0</v>
      </c>
      <c r="Q81" s="4">
        <f t="shared" si="32"/>
        <v>0</v>
      </c>
      <c r="R81" s="4"/>
      <c r="S81" s="63"/>
      <c r="T81" s="4"/>
      <c r="U81" s="46"/>
      <c r="V81" s="4"/>
      <c r="W81" s="4">
        <v>89.923500000000004</v>
      </c>
      <c r="X81" s="1">
        <f t="shared" si="33"/>
        <v>-200.07650000000001</v>
      </c>
      <c r="Y81" s="1">
        <f t="shared" si="42"/>
        <v>2248.0875000000001</v>
      </c>
      <c r="Z81" s="1">
        <f>Y81-M81</f>
        <v>1958.0875000000001</v>
      </c>
      <c r="AA81" s="1">
        <f t="shared" si="35"/>
        <v>2.6998720390426002E-3</v>
      </c>
      <c r="AB81" s="1">
        <f t="shared" si="36"/>
        <v>5.0238726732429765E-3</v>
      </c>
      <c r="AC81" s="4"/>
      <c r="AX81">
        <f t="shared" si="43"/>
        <v>1.0623544483243395E-2</v>
      </c>
      <c r="AY81">
        <f t="shared" si="44"/>
        <v>3530.4093963005143</v>
      </c>
      <c r="AZ81">
        <f t="shared" si="37"/>
        <v>1940.3939043678379</v>
      </c>
      <c r="BA81">
        <f t="shared" si="38"/>
        <v>1590.0154919326765</v>
      </c>
    </row>
    <row r="82" spans="1:53" x14ac:dyDescent="0.35">
      <c r="A82" s="1">
        <v>81</v>
      </c>
      <c r="B82" s="1">
        <v>1722.7511821559251</v>
      </c>
      <c r="C82" s="1">
        <v>0</v>
      </c>
      <c r="D82" s="1"/>
      <c r="E82" s="1">
        <v>1722.75</v>
      </c>
      <c r="F82" s="1"/>
      <c r="G82" s="1"/>
      <c r="H82" s="1"/>
      <c r="I82" s="1"/>
      <c r="J82" s="1"/>
      <c r="K82" s="1">
        <v>0</v>
      </c>
      <c r="L82" s="1">
        <v>0</v>
      </c>
      <c r="M82" s="4">
        <f t="shared" si="39"/>
        <v>290</v>
      </c>
      <c r="N82" s="4"/>
      <c r="O82" s="4">
        <f t="shared" si="45"/>
        <v>0</v>
      </c>
      <c r="P82" s="4">
        <f t="shared" si="45"/>
        <v>0</v>
      </c>
      <c r="Q82" s="4">
        <f t="shared" si="32"/>
        <v>0</v>
      </c>
      <c r="R82" s="4"/>
      <c r="S82" s="63"/>
      <c r="T82" s="4"/>
      <c r="U82" s="46"/>
      <c r="V82" s="4"/>
      <c r="W82" s="4">
        <v>30.037500000000001</v>
      </c>
      <c r="X82" s="1">
        <f t="shared" si="33"/>
        <v>-259.96249999999998</v>
      </c>
      <c r="Y82" s="1">
        <f t="shared" si="42"/>
        <v>750.9375</v>
      </c>
      <c r="Z82" s="1">
        <f t="shared" ref="Z82:Z96" si="46">Y82-M82</f>
        <v>460.9375</v>
      </c>
      <c r="AA82" s="1">
        <f t="shared" si="35"/>
        <v>6.7334157829357921E-3</v>
      </c>
      <c r="AB82" s="1">
        <f t="shared" si="36"/>
        <v>1.2529417342856647E-2</v>
      </c>
      <c r="AC82" s="4"/>
      <c r="AX82">
        <f t="shared" si="43"/>
        <v>4.2596821034759516E-3</v>
      </c>
      <c r="AY82">
        <f t="shared" si="44"/>
        <v>1415.5747874059234</v>
      </c>
      <c r="AZ82">
        <f t="shared" si="37"/>
        <v>778.03234138725418</v>
      </c>
      <c r="BA82">
        <f t="shared" si="38"/>
        <v>637.54244601866924</v>
      </c>
    </row>
    <row r="83" spans="1:53" x14ac:dyDescent="0.35">
      <c r="A83" s="1">
        <v>82</v>
      </c>
      <c r="B83" s="1">
        <v>8378.7212496204556</v>
      </c>
      <c r="C83" s="1">
        <v>0</v>
      </c>
      <c r="D83" s="1"/>
      <c r="E83" s="1">
        <v>8378.7199999999993</v>
      </c>
      <c r="F83" s="1"/>
      <c r="G83" s="1"/>
      <c r="H83" s="1"/>
      <c r="I83" s="1"/>
      <c r="J83" s="1"/>
      <c r="K83" s="1">
        <v>0</v>
      </c>
      <c r="L83" s="1">
        <v>0</v>
      </c>
      <c r="M83" s="4">
        <f t="shared" si="39"/>
        <v>290</v>
      </c>
      <c r="N83" s="4"/>
      <c r="O83" s="4">
        <f t="shared" si="45"/>
        <v>0</v>
      </c>
      <c r="P83" s="4">
        <f t="shared" si="45"/>
        <v>0</v>
      </c>
      <c r="Q83" s="4">
        <f t="shared" si="32"/>
        <v>0</v>
      </c>
      <c r="R83" s="4"/>
      <c r="S83" s="63"/>
      <c r="T83" s="4"/>
      <c r="U83" s="46"/>
      <c r="V83" s="4"/>
      <c r="W83" s="4">
        <v>122.405</v>
      </c>
      <c r="X83" s="1">
        <f t="shared" si="33"/>
        <v>-167.595</v>
      </c>
      <c r="Y83" s="1">
        <f t="shared" si="42"/>
        <v>3060.125</v>
      </c>
      <c r="Z83" s="1">
        <f t="shared" si="46"/>
        <v>2770.125</v>
      </c>
      <c r="AA83" s="1">
        <f t="shared" si="35"/>
        <v>1.384459472324069E-3</v>
      </c>
      <c r="AB83" s="1">
        <f t="shared" si="36"/>
        <v>2.5761769482555599E-3</v>
      </c>
      <c r="AC83" s="4"/>
      <c r="AX83">
        <f t="shared" si="43"/>
        <v>2.0717262786815824E-2</v>
      </c>
      <c r="AY83">
        <f t="shared" si="44"/>
        <v>6884.7473010130052</v>
      </c>
      <c r="AZ83">
        <f t="shared" si="37"/>
        <v>3784.0148822392857</v>
      </c>
      <c r="BA83">
        <f t="shared" si="38"/>
        <v>3100.7324187737195</v>
      </c>
    </row>
    <row r="84" spans="1:53" x14ac:dyDescent="0.35">
      <c r="A84" s="1">
        <v>83</v>
      </c>
      <c r="B84" s="1">
        <v>4180.060549855245</v>
      </c>
      <c r="C84" s="1">
        <v>0</v>
      </c>
      <c r="D84" s="1"/>
      <c r="E84" s="1">
        <v>4180.0600000000004</v>
      </c>
      <c r="F84" s="1"/>
      <c r="G84" s="1"/>
      <c r="H84" s="1"/>
      <c r="I84" s="1"/>
      <c r="J84" s="1"/>
      <c r="K84" s="1">
        <v>0</v>
      </c>
      <c r="L84" s="1">
        <v>0</v>
      </c>
      <c r="M84" s="4">
        <f t="shared" si="39"/>
        <v>290</v>
      </c>
      <c r="N84" s="4"/>
      <c r="O84" s="4">
        <f t="shared" si="45"/>
        <v>0</v>
      </c>
      <c r="P84" s="4">
        <f t="shared" si="45"/>
        <v>0</v>
      </c>
      <c r="Q84" s="4">
        <f t="shared" si="32"/>
        <v>0</v>
      </c>
      <c r="R84" s="4"/>
      <c r="S84" s="63"/>
      <c r="T84" s="4"/>
      <c r="U84" s="46"/>
      <c r="V84" s="4"/>
      <c r="W84" s="4">
        <v>92.304299999999998</v>
      </c>
      <c r="X84" s="1">
        <f t="shared" si="33"/>
        <v>-197.69569999999999</v>
      </c>
      <c r="Y84" s="1">
        <f t="shared" si="42"/>
        <v>2307.6075000000001</v>
      </c>
      <c r="Z84" s="1">
        <f t="shared" si="46"/>
        <v>2017.6075000000001</v>
      </c>
      <c r="AA84" s="1">
        <f t="shared" si="35"/>
        <v>2.77507941850309E-3</v>
      </c>
      <c r="AB84" s="1">
        <f t="shared" si="36"/>
        <v>5.1638171939587633E-3</v>
      </c>
      <c r="AC84" s="4"/>
      <c r="AX84">
        <f t="shared" si="43"/>
        <v>1.0335635987421803E-2</v>
      </c>
      <c r="AY84">
        <f t="shared" si="44"/>
        <v>3434.7318321385223</v>
      </c>
      <c r="AZ84">
        <f t="shared" si="37"/>
        <v>1887.8073226305369</v>
      </c>
      <c r="BA84">
        <f t="shared" si="38"/>
        <v>1546.9245095079855</v>
      </c>
    </row>
    <row r="85" spans="1:53" x14ac:dyDescent="0.35">
      <c r="A85" s="1">
        <v>84</v>
      </c>
      <c r="B85" s="1">
        <v>3330.950005722922</v>
      </c>
      <c r="C85" s="1">
        <v>0</v>
      </c>
      <c r="D85" s="1"/>
      <c r="E85" s="1">
        <v>3330.95</v>
      </c>
      <c r="F85" s="1"/>
      <c r="G85" s="1"/>
      <c r="H85" s="1"/>
      <c r="I85" s="1"/>
      <c r="J85" s="1"/>
      <c r="K85" s="1">
        <v>0</v>
      </c>
      <c r="L85" s="1">
        <v>0</v>
      </c>
      <c r="M85" s="4">
        <f t="shared" si="39"/>
        <v>290</v>
      </c>
      <c r="N85" s="4"/>
      <c r="O85" s="4">
        <f t="shared" si="45"/>
        <v>0</v>
      </c>
      <c r="P85" s="4">
        <f t="shared" si="45"/>
        <v>0</v>
      </c>
      <c r="Q85" s="4">
        <f t="shared" si="32"/>
        <v>0</v>
      </c>
      <c r="R85" s="4"/>
      <c r="S85" s="63"/>
      <c r="T85" s="4"/>
      <c r="U85" s="46"/>
      <c r="V85" s="4"/>
      <c r="W85" s="4">
        <v>57.065800000000003</v>
      </c>
      <c r="X85" s="1">
        <f t="shared" si="33"/>
        <v>-232.9342</v>
      </c>
      <c r="Y85" s="1">
        <f t="shared" si="42"/>
        <v>1426.645</v>
      </c>
      <c r="Z85" s="1">
        <f t="shared" si="46"/>
        <v>1136.645</v>
      </c>
      <c r="AA85" s="1">
        <f t="shared" si="35"/>
        <v>3.4824899743526568E-3</v>
      </c>
      <c r="AB85" s="1">
        <f t="shared" si="36"/>
        <v>6.4801538606240935E-3</v>
      </c>
      <c r="AC85" s="4"/>
      <c r="AX85">
        <f t="shared" si="43"/>
        <v>8.2361215443744976E-3</v>
      </c>
      <c r="AY85">
        <f t="shared" si="44"/>
        <v>2737.0225573203024</v>
      </c>
      <c r="AZ85">
        <f t="shared" si="37"/>
        <v>1504.330317018427</v>
      </c>
      <c r="BA85">
        <f t="shared" si="38"/>
        <v>1232.6922403018755</v>
      </c>
    </row>
    <row r="86" spans="1:53" x14ac:dyDescent="0.35">
      <c r="A86" s="1">
        <v>85</v>
      </c>
      <c r="B86" s="1">
        <v>2875.5642031497382</v>
      </c>
      <c r="C86" s="1">
        <v>0</v>
      </c>
      <c r="D86" s="1"/>
      <c r="E86" s="1">
        <v>2875.56</v>
      </c>
      <c r="F86" s="1"/>
      <c r="G86" s="1"/>
      <c r="H86" s="1"/>
      <c r="I86" s="1"/>
      <c r="J86" s="1"/>
      <c r="K86" s="1">
        <v>0</v>
      </c>
      <c r="L86" s="1">
        <v>0</v>
      </c>
      <c r="M86" s="4">
        <f t="shared" si="39"/>
        <v>290</v>
      </c>
      <c r="N86" s="4"/>
      <c r="O86" s="4">
        <f t="shared" si="45"/>
        <v>0</v>
      </c>
      <c r="P86" s="4">
        <f t="shared" si="45"/>
        <v>0</v>
      </c>
      <c r="Q86" s="4">
        <f t="shared" si="32"/>
        <v>0</v>
      </c>
      <c r="R86" s="4"/>
      <c r="S86" s="63"/>
      <c r="T86" s="4"/>
      <c r="U86" s="46"/>
      <c r="V86" s="4"/>
      <c r="W86" s="4">
        <v>62.269399999999997</v>
      </c>
      <c r="X86" s="1">
        <f t="shared" si="33"/>
        <v>-227.73060000000001</v>
      </c>
      <c r="Y86" s="1">
        <f t="shared" si="42"/>
        <v>1556.7349999999999</v>
      </c>
      <c r="Z86" s="1">
        <f t="shared" si="46"/>
        <v>1266.7349999999999</v>
      </c>
      <c r="AA86" s="1">
        <f t="shared" si="35"/>
        <v>4.0339909598589331E-3</v>
      </c>
      <c r="AB86" s="1">
        <f t="shared" si="36"/>
        <v>7.5063768409302477E-3</v>
      </c>
      <c r="AC86" s="4"/>
      <c r="AX86">
        <f t="shared" si="43"/>
        <v>7.1101326183529955E-3</v>
      </c>
      <c r="AY86">
        <f t="shared" si="44"/>
        <v>2362.834649430732</v>
      </c>
      <c r="AZ86">
        <f t="shared" si="37"/>
        <v>1298.6680682384635</v>
      </c>
      <c r="BA86">
        <f t="shared" si="38"/>
        <v>1064.1665811922685</v>
      </c>
    </row>
    <row r="87" spans="1:53" ht="15" thickBot="1" x14ac:dyDescent="0.4">
      <c r="A87" s="1">
        <v>86</v>
      </c>
      <c r="B87" s="1">
        <v>2673.7959050516761</v>
      </c>
      <c r="C87" s="1">
        <v>0</v>
      </c>
      <c r="D87" s="1"/>
      <c r="E87" s="1">
        <v>2673.8</v>
      </c>
      <c r="F87" s="1"/>
      <c r="G87" s="1"/>
      <c r="H87" s="1"/>
      <c r="I87" s="1"/>
      <c r="J87" s="1"/>
      <c r="K87" s="1">
        <v>0</v>
      </c>
      <c r="L87" s="1">
        <v>0</v>
      </c>
      <c r="M87" s="4">
        <f t="shared" si="39"/>
        <v>290</v>
      </c>
      <c r="N87" s="4"/>
      <c r="O87" s="4">
        <f t="shared" si="45"/>
        <v>0</v>
      </c>
      <c r="P87" s="4">
        <f t="shared" si="45"/>
        <v>0</v>
      </c>
      <c r="Q87" s="4">
        <f t="shared" si="32"/>
        <v>0</v>
      </c>
      <c r="R87" s="4"/>
      <c r="S87" s="66"/>
      <c r="T87" s="52"/>
      <c r="U87" s="53"/>
      <c r="V87" s="4"/>
      <c r="W87" s="4">
        <v>54.038899999999998</v>
      </c>
      <c r="X87" s="1">
        <f t="shared" si="33"/>
        <v>-235.96109999999999</v>
      </c>
      <c r="Y87" s="1">
        <f t="shared" si="42"/>
        <v>1350.9724999999999</v>
      </c>
      <c r="Z87" s="1">
        <f t="shared" si="46"/>
        <v>1060.9724999999999</v>
      </c>
      <c r="AA87" s="1">
        <f t="shared" si="35"/>
        <v>4.3384014382263809E-3</v>
      </c>
      <c r="AB87" s="1">
        <f t="shared" si="36"/>
        <v>8.0728183098605147E-3</v>
      </c>
      <c r="AC87" s="4"/>
      <c r="AX87">
        <f t="shared" si="43"/>
        <v>6.611239442507637E-3</v>
      </c>
      <c r="AY87">
        <f t="shared" si="44"/>
        <v>2197.0427935644748</v>
      </c>
      <c r="AZ87">
        <f t="shared" si="37"/>
        <v>1207.5450650950252</v>
      </c>
      <c r="BA87">
        <f t="shared" si="38"/>
        <v>989.49772846944961</v>
      </c>
    </row>
    <row r="88" spans="1:53" x14ac:dyDescent="0.35">
      <c r="A88" s="1">
        <v>87</v>
      </c>
      <c r="B88" s="1">
        <v>19513.44492845656</v>
      </c>
      <c r="C88" s="1">
        <v>0</v>
      </c>
      <c r="D88" s="1"/>
      <c r="E88" s="1">
        <v>19513.400000000001</v>
      </c>
      <c r="F88" s="1"/>
      <c r="G88" s="1"/>
      <c r="H88" s="1"/>
      <c r="I88" s="1"/>
      <c r="J88" s="1"/>
      <c r="K88" s="1">
        <v>0</v>
      </c>
      <c r="L88" s="1">
        <v>0</v>
      </c>
      <c r="M88" s="4">
        <f t="shared" si="39"/>
        <v>290</v>
      </c>
      <c r="N88" s="4"/>
      <c r="O88" s="4">
        <f t="shared" si="45"/>
        <v>0</v>
      </c>
      <c r="P88" s="4">
        <f t="shared" si="45"/>
        <v>0</v>
      </c>
      <c r="Q88" s="4">
        <f t="shared" si="32"/>
        <v>0</v>
      </c>
      <c r="R88" s="4"/>
      <c r="S88" s="4"/>
      <c r="T88" s="4"/>
      <c r="U88" s="4"/>
      <c r="V88" s="4"/>
      <c r="W88" s="4">
        <v>382.77600000000001</v>
      </c>
      <c r="X88" s="1">
        <f t="shared" si="33"/>
        <v>92.77600000000001</v>
      </c>
      <c r="Y88" s="1">
        <f t="shared" si="42"/>
        <v>9569.4</v>
      </c>
      <c r="Z88" s="1">
        <f t="shared" si="46"/>
        <v>9279.4</v>
      </c>
      <c r="AA88" s="1">
        <f t="shared" si="35"/>
        <v>5.9446192317808835E-4</v>
      </c>
      <c r="AB88" s="1">
        <f t="shared" si="36"/>
        <v>1.1061639099743798E-3</v>
      </c>
      <c r="AC88" s="4"/>
      <c r="AX88">
        <f t="shared" si="43"/>
        <v>4.8249029227127677E-2</v>
      </c>
      <c r="AY88">
        <f t="shared" si="44"/>
        <v>16034.086026043995</v>
      </c>
      <c r="AZ88">
        <f t="shared" si="37"/>
        <v>8812.7011047635879</v>
      </c>
      <c r="BA88">
        <f t="shared" si="38"/>
        <v>7221.3849212804071</v>
      </c>
    </row>
    <row r="89" spans="1:53" x14ac:dyDescent="0.35">
      <c r="A89" s="1">
        <v>88</v>
      </c>
      <c r="B89" s="1">
        <v>5533.3813285011611</v>
      </c>
      <c r="C89" s="1">
        <v>0</v>
      </c>
      <c r="D89" s="1"/>
      <c r="E89" s="1">
        <v>5533.38</v>
      </c>
      <c r="F89" s="1"/>
      <c r="G89" s="1"/>
      <c r="H89" s="1"/>
      <c r="I89" s="1"/>
      <c r="J89" s="1"/>
      <c r="K89" s="1">
        <v>0</v>
      </c>
      <c r="L89" s="1">
        <v>0</v>
      </c>
      <c r="M89" s="4">
        <f t="shared" si="39"/>
        <v>290</v>
      </c>
      <c r="N89" s="4"/>
      <c r="O89" s="4">
        <f t="shared" si="45"/>
        <v>0</v>
      </c>
      <c r="P89" s="4">
        <f t="shared" si="45"/>
        <v>0</v>
      </c>
      <c r="Q89" s="4">
        <f t="shared" si="32"/>
        <v>0</v>
      </c>
      <c r="R89" s="4"/>
      <c r="S89" s="4"/>
      <c r="T89" s="4"/>
      <c r="U89" s="4"/>
      <c r="V89" s="4"/>
      <c r="W89" s="4">
        <v>110.304</v>
      </c>
      <c r="X89" s="1">
        <f t="shared" si="33"/>
        <v>-179.696</v>
      </c>
      <c r="Y89" s="1">
        <f t="shared" si="42"/>
        <v>2757.6</v>
      </c>
      <c r="Z89" s="1">
        <f t="shared" si="46"/>
        <v>2467.6</v>
      </c>
      <c r="AA89" s="1">
        <f t="shared" si="35"/>
        <v>2.0963673586439986E-3</v>
      </c>
      <c r="AB89" s="1">
        <f t="shared" si="36"/>
        <v>3.9008821654765713E-3</v>
      </c>
      <c r="AC89" s="4"/>
      <c r="AX89">
        <f t="shared" si="43"/>
        <v>1.3681862860327463E-2</v>
      </c>
      <c r="AY89">
        <f t="shared" si="44"/>
        <v>4546.7477711589727</v>
      </c>
      <c r="AZ89">
        <f t="shared" si="37"/>
        <v>2498.9967648227785</v>
      </c>
      <c r="BA89">
        <f t="shared" si="38"/>
        <v>2047.7510063361942</v>
      </c>
    </row>
    <row r="90" spans="1:53" x14ac:dyDescent="0.35">
      <c r="A90" s="1">
        <v>89</v>
      </c>
      <c r="B90" s="1">
        <v>7532.7075080212007</v>
      </c>
      <c r="C90" s="1">
        <v>0</v>
      </c>
      <c r="D90" s="1"/>
      <c r="E90" s="1">
        <v>7532.71</v>
      </c>
      <c r="F90" s="1"/>
      <c r="G90" s="1"/>
      <c r="H90" s="1"/>
      <c r="I90" s="1"/>
      <c r="J90" s="1"/>
      <c r="K90" s="1">
        <v>0</v>
      </c>
      <c r="L90" s="1">
        <v>0</v>
      </c>
      <c r="M90" s="4">
        <f t="shared" si="39"/>
        <v>290</v>
      </c>
      <c r="N90" s="4"/>
      <c r="O90" s="4">
        <f t="shared" si="45"/>
        <v>0</v>
      </c>
      <c r="P90" s="4">
        <f t="shared" si="45"/>
        <v>0</v>
      </c>
      <c r="Q90" s="4">
        <f t="shared" si="32"/>
        <v>0</v>
      </c>
      <c r="R90" s="4"/>
      <c r="S90" s="4"/>
      <c r="T90" s="4"/>
      <c r="U90" s="4"/>
      <c r="V90" s="4"/>
      <c r="W90" s="4">
        <v>158.81</v>
      </c>
      <c r="X90" s="1">
        <f t="shared" si="33"/>
        <v>-131.19</v>
      </c>
      <c r="Y90" s="1">
        <f t="shared" si="42"/>
        <v>3970.25</v>
      </c>
      <c r="Z90" s="1">
        <f t="shared" si="46"/>
        <v>3680.25</v>
      </c>
      <c r="AA90" s="1">
        <f t="shared" si="35"/>
        <v>1.53995093897483E-3</v>
      </c>
      <c r="AB90" s="1">
        <f t="shared" si="36"/>
        <v>2.8655126348854491E-3</v>
      </c>
      <c r="AC90" s="4"/>
      <c r="AX90">
        <f t="shared" si="43"/>
        <v>1.8625405511248506E-2</v>
      </c>
      <c r="AY90">
        <f t="shared" si="44"/>
        <v>6189.5826511138066</v>
      </c>
      <c r="AZ90">
        <f t="shared" si="37"/>
        <v>3401.936460793348</v>
      </c>
      <c r="BA90">
        <f t="shared" si="38"/>
        <v>2787.6461903204586</v>
      </c>
    </row>
    <row r="91" spans="1:53" x14ac:dyDescent="0.35">
      <c r="A91" s="1">
        <v>90</v>
      </c>
      <c r="B91" s="1">
        <v>4797.2959806436729</v>
      </c>
      <c r="C91" s="1">
        <v>0</v>
      </c>
      <c r="D91" s="1"/>
      <c r="E91" s="1">
        <v>4797.3</v>
      </c>
      <c r="F91" s="1"/>
      <c r="G91" s="1"/>
      <c r="H91" s="1"/>
      <c r="I91" s="1"/>
      <c r="J91" s="1"/>
      <c r="K91" s="1">
        <v>0</v>
      </c>
      <c r="L91" s="1">
        <v>0</v>
      </c>
      <c r="M91" s="4">
        <f t="shared" si="39"/>
        <v>290</v>
      </c>
      <c r="N91" s="4"/>
      <c r="O91" s="4">
        <f t="shared" si="45"/>
        <v>0</v>
      </c>
      <c r="P91" s="4">
        <f t="shared" si="45"/>
        <v>0</v>
      </c>
      <c r="Q91" s="4">
        <f t="shared" si="32"/>
        <v>0</v>
      </c>
      <c r="R91" s="4"/>
      <c r="S91" s="4"/>
      <c r="T91" s="4"/>
      <c r="U91" s="4"/>
      <c r="V91" s="4"/>
      <c r="W91" s="4">
        <v>100.91</v>
      </c>
      <c r="X91" s="1">
        <f t="shared" si="33"/>
        <v>-189.09</v>
      </c>
      <c r="Y91" s="1">
        <f t="shared" si="42"/>
        <v>2522.75</v>
      </c>
      <c r="Z91" s="1">
        <f t="shared" si="46"/>
        <v>2232.75</v>
      </c>
      <c r="AA91" s="1">
        <f t="shared" si="35"/>
        <v>2.418028832659931E-3</v>
      </c>
      <c r="AB91" s="1">
        <f t="shared" si="36"/>
        <v>4.4994239726344927E-3</v>
      </c>
      <c r="AC91" s="4"/>
      <c r="AX91">
        <f t="shared" si="43"/>
        <v>1.1861815011644215E-2</v>
      </c>
      <c r="AY91">
        <f t="shared" si="44"/>
        <v>3941.9106532984606</v>
      </c>
      <c r="AZ91">
        <f t="shared" si="37"/>
        <v>2166.5644248619292</v>
      </c>
      <c r="BA91">
        <f t="shared" si="38"/>
        <v>1775.3462284365314</v>
      </c>
    </row>
    <row r="92" spans="1:53" x14ac:dyDescent="0.35">
      <c r="A92" s="1">
        <v>91</v>
      </c>
      <c r="B92" s="1">
        <v>5147.5629031179114</v>
      </c>
      <c r="C92" s="1">
        <v>0</v>
      </c>
      <c r="D92" s="1"/>
      <c r="E92" s="1">
        <v>5147.5600000000004</v>
      </c>
      <c r="F92" s="1"/>
      <c r="G92" s="1"/>
      <c r="H92" s="1"/>
      <c r="I92" s="1"/>
      <c r="J92" s="1"/>
      <c r="K92" s="1">
        <v>0</v>
      </c>
      <c r="L92" s="1">
        <v>0</v>
      </c>
      <c r="M92" s="4">
        <f t="shared" si="39"/>
        <v>290</v>
      </c>
      <c r="N92" s="4"/>
      <c r="O92" s="4">
        <f t="shared" si="45"/>
        <v>0</v>
      </c>
      <c r="P92" s="4">
        <f t="shared" si="45"/>
        <v>0</v>
      </c>
      <c r="Q92" s="4">
        <f t="shared" si="32"/>
        <v>0</v>
      </c>
      <c r="R92" s="4"/>
      <c r="S92" s="4"/>
      <c r="T92" s="4"/>
      <c r="U92" s="4" t="s">
        <v>6</v>
      </c>
      <c r="V92" s="4"/>
      <c r="W92" s="4">
        <v>83.866</v>
      </c>
      <c r="X92" s="1">
        <f t="shared" si="33"/>
        <v>-206.13400000000001</v>
      </c>
      <c r="Y92" s="1">
        <f t="shared" si="42"/>
        <v>2096.65</v>
      </c>
      <c r="Z92" s="1">
        <f t="shared" si="46"/>
        <v>1806.65</v>
      </c>
      <c r="AA92" s="1">
        <f t="shared" si="35"/>
        <v>2.2534935887765077E-3</v>
      </c>
      <c r="AB92" s="1">
        <f t="shared" si="36"/>
        <v>4.1932597901925637E-3</v>
      </c>
      <c r="AC92" s="4"/>
      <c r="AX92">
        <f t="shared" si="43"/>
        <v>1.2727886535238195E-2</v>
      </c>
      <c r="AY92">
        <f t="shared" si="44"/>
        <v>4229.7229789857347</v>
      </c>
      <c r="AZ92">
        <f t="shared" si="37"/>
        <v>2324.7526743467429</v>
      </c>
      <c r="BA92">
        <f t="shared" si="38"/>
        <v>1904.9703046389918</v>
      </c>
    </row>
    <row r="93" spans="1:53" x14ac:dyDescent="0.35">
      <c r="A93" s="1">
        <v>92</v>
      </c>
      <c r="B93" s="1">
        <v>2534.563494353717</v>
      </c>
      <c r="C93" s="1">
        <v>0</v>
      </c>
      <c r="D93" s="1"/>
      <c r="E93" s="1">
        <v>2534.56</v>
      </c>
      <c r="F93" s="1"/>
      <c r="G93" s="1"/>
      <c r="H93" s="1"/>
      <c r="I93" s="1"/>
      <c r="J93" s="1"/>
      <c r="K93" s="1">
        <v>0</v>
      </c>
      <c r="L93" s="1">
        <v>0</v>
      </c>
      <c r="M93" s="4">
        <f t="shared" si="39"/>
        <v>290</v>
      </c>
      <c r="N93" s="4"/>
      <c r="O93" s="4">
        <f t="shared" si="45"/>
        <v>0</v>
      </c>
      <c r="P93" s="4">
        <f t="shared" si="45"/>
        <v>0</v>
      </c>
      <c r="Q93" s="4">
        <f t="shared" si="32"/>
        <v>0</v>
      </c>
      <c r="R93" s="4"/>
      <c r="S93" s="4"/>
      <c r="T93" s="4"/>
      <c r="U93" s="4"/>
      <c r="V93" s="4"/>
      <c r="W93" s="4">
        <v>53.252299999999998</v>
      </c>
      <c r="X93" s="1">
        <f t="shared" si="33"/>
        <v>-236.74770000000001</v>
      </c>
      <c r="Y93" s="1">
        <f t="shared" si="42"/>
        <v>1331.3074999999999</v>
      </c>
      <c r="Z93" s="1">
        <f t="shared" si="46"/>
        <v>1041.3074999999999</v>
      </c>
      <c r="AA93" s="1">
        <f t="shared" si="35"/>
        <v>4.576724957114503E-3</v>
      </c>
      <c r="AB93" s="1">
        <f t="shared" si="36"/>
        <v>8.5162863693162942E-3</v>
      </c>
      <c r="AC93" s="4"/>
      <c r="AX93">
        <f t="shared" si="43"/>
        <v>6.2669727752041804E-3</v>
      </c>
      <c r="AY93">
        <f t="shared" si="44"/>
        <v>2082.6363184941019</v>
      </c>
      <c r="AZ93">
        <f t="shared" si="37"/>
        <v>1144.6646447450826</v>
      </c>
      <c r="BA93">
        <f t="shared" si="38"/>
        <v>937.97167374901937</v>
      </c>
    </row>
    <row r="94" spans="1:53" x14ac:dyDescent="0.35">
      <c r="A94" s="1">
        <v>93</v>
      </c>
      <c r="B94" s="1">
        <v>5159.4345472126533</v>
      </c>
      <c r="C94" s="1">
        <v>0</v>
      </c>
      <c r="D94" s="1"/>
      <c r="E94" s="1">
        <v>5159.43</v>
      </c>
      <c r="F94" s="1"/>
      <c r="G94" s="1"/>
      <c r="H94" s="1"/>
      <c r="I94" s="1"/>
      <c r="J94" s="1"/>
      <c r="K94" s="1">
        <v>0</v>
      </c>
      <c r="L94" s="1">
        <v>0</v>
      </c>
      <c r="M94" s="4">
        <f t="shared" si="39"/>
        <v>290</v>
      </c>
      <c r="N94" s="4"/>
      <c r="O94" s="4">
        <f t="shared" si="45"/>
        <v>0</v>
      </c>
      <c r="P94" s="4">
        <f t="shared" si="45"/>
        <v>0</v>
      </c>
      <c r="Q94" s="4">
        <f t="shared" si="32"/>
        <v>0</v>
      </c>
      <c r="R94" s="4"/>
      <c r="S94" s="4"/>
      <c r="T94" s="4"/>
      <c r="U94" s="4"/>
      <c r="V94" s="4"/>
      <c r="W94" s="4">
        <v>109.45699999999999</v>
      </c>
      <c r="X94" s="1">
        <f t="shared" si="33"/>
        <v>-180.54300000000001</v>
      </c>
      <c r="Y94" s="1">
        <f t="shared" si="42"/>
        <v>2736.4249999999997</v>
      </c>
      <c r="Z94" s="1">
        <f t="shared" si="46"/>
        <v>2446.4249999999997</v>
      </c>
      <c r="AA94" s="1">
        <f t="shared" si="35"/>
        <v>2.248308393846534E-3</v>
      </c>
      <c r="AB94" s="1">
        <f t="shared" si="36"/>
        <v>4.1836112739897843E-3</v>
      </c>
      <c r="AC94" s="4"/>
      <c r="AX94">
        <f t="shared" si="43"/>
        <v>1.2757240414320097E-2</v>
      </c>
      <c r="AY94">
        <f t="shared" si="44"/>
        <v>4239.4778409992623</v>
      </c>
      <c r="AZ94">
        <f t="shared" si="37"/>
        <v>2330.1141700443336</v>
      </c>
      <c r="BA94">
        <f t="shared" si="38"/>
        <v>1909.3636709549287</v>
      </c>
    </row>
    <row r="95" spans="1:53" x14ac:dyDescent="0.35">
      <c r="A95" s="1">
        <v>94</v>
      </c>
      <c r="B95" s="1">
        <v>4317.7330751348463</v>
      </c>
      <c r="C95" s="1">
        <v>0</v>
      </c>
      <c r="D95" s="1"/>
      <c r="E95" s="1">
        <v>4317.7299999999996</v>
      </c>
      <c r="F95" s="1"/>
      <c r="G95" s="1"/>
      <c r="H95" s="1"/>
      <c r="I95" s="1"/>
      <c r="J95" s="1"/>
      <c r="K95" s="1">
        <v>0</v>
      </c>
      <c r="L95" s="1">
        <v>0</v>
      </c>
      <c r="M95" s="4">
        <f t="shared" si="39"/>
        <v>290</v>
      </c>
      <c r="N95" s="4"/>
      <c r="O95" s="4">
        <f t="shared" si="45"/>
        <v>0</v>
      </c>
      <c r="P95" s="4">
        <f t="shared" si="45"/>
        <v>0</v>
      </c>
      <c r="Q95" s="4">
        <f t="shared" si="32"/>
        <v>0</v>
      </c>
      <c r="R95" s="4"/>
      <c r="S95" s="4"/>
      <c r="T95" s="4"/>
      <c r="U95" s="4"/>
      <c r="V95" s="4"/>
      <c r="W95" s="4">
        <v>97.187200000000004</v>
      </c>
      <c r="X95" s="1">
        <f t="shared" si="33"/>
        <v>-192.81279999999998</v>
      </c>
      <c r="Y95" s="1">
        <f t="shared" si="42"/>
        <v>2429.6800000000003</v>
      </c>
      <c r="Z95" s="1">
        <f t="shared" si="46"/>
        <v>2139.6800000000003</v>
      </c>
      <c r="AA95" s="1">
        <f t="shared" si="35"/>
        <v>2.6865949789260011E-3</v>
      </c>
      <c r="AB95" s="1">
        <f t="shared" si="36"/>
        <v>4.999166961810653E-3</v>
      </c>
      <c r="AC95" s="4"/>
      <c r="AX95">
        <f t="shared" si="43"/>
        <v>1.067604567522127E-2</v>
      </c>
      <c r="AY95">
        <f t="shared" si="44"/>
        <v>3547.8565582875535</v>
      </c>
      <c r="AZ95">
        <f t="shared" si="37"/>
        <v>1949.9832644017322</v>
      </c>
      <c r="BA95">
        <f t="shared" si="38"/>
        <v>1597.8732938858213</v>
      </c>
    </row>
    <row r="96" spans="1:53" x14ac:dyDescent="0.35">
      <c r="A96" s="1">
        <v>95</v>
      </c>
      <c r="B96" s="1">
        <v>6988.6643510423764</v>
      </c>
      <c r="C96" s="1">
        <v>0</v>
      </c>
      <c r="D96" s="1"/>
      <c r="E96" s="1">
        <v>6988.66</v>
      </c>
      <c r="F96" s="1"/>
      <c r="G96" s="1"/>
      <c r="H96" s="1"/>
      <c r="I96" s="1"/>
      <c r="J96" s="1"/>
      <c r="K96" s="1">
        <v>0</v>
      </c>
      <c r="L96" s="1">
        <v>0</v>
      </c>
      <c r="M96" s="4">
        <f t="shared" si="39"/>
        <v>290</v>
      </c>
      <c r="N96" s="4"/>
      <c r="O96" s="4">
        <f t="shared" si="45"/>
        <v>0</v>
      </c>
      <c r="P96" s="4">
        <f t="shared" si="45"/>
        <v>0</v>
      </c>
      <c r="Q96" s="4">
        <f t="shared" si="32"/>
        <v>0</v>
      </c>
      <c r="R96" s="4"/>
      <c r="S96" s="4"/>
      <c r="T96" s="4"/>
      <c r="U96" s="4"/>
      <c r="V96" s="4"/>
      <c r="W96" s="4">
        <v>114.952</v>
      </c>
      <c r="X96" s="1">
        <f t="shared" si="33"/>
        <v>-175.048</v>
      </c>
      <c r="Y96" s="1">
        <f t="shared" si="42"/>
        <v>2873.8</v>
      </c>
      <c r="Z96" s="1">
        <f t="shared" si="46"/>
        <v>2583.8000000000002</v>
      </c>
      <c r="AA96" s="1">
        <f t="shared" si="35"/>
        <v>1.6598307512464569E-3</v>
      </c>
      <c r="AB96" s="1">
        <f t="shared" si="36"/>
        <v>3.0885828042252123E-3</v>
      </c>
      <c r="AC96" s="4"/>
      <c r="AX96">
        <f t="shared" si="43"/>
        <v>1.7280202023185243E-2</v>
      </c>
      <c r="AY96">
        <f t="shared" si="44"/>
        <v>5742.5455024780013</v>
      </c>
      <c r="AZ96">
        <f t="shared" si="37"/>
        <v>3156.2345999417803</v>
      </c>
      <c r="BA96">
        <f t="shared" si="38"/>
        <v>2586.310902536221</v>
      </c>
    </row>
    <row r="97" spans="1:53" x14ac:dyDescent="0.35">
      <c r="A97" s="1">
        <v>96</v>
      </c>
      <c r="B97" s="1">
        <v>2938.8092172996649</v>
      </c>
      <c r="C97" s="1">
        <v>0</v>
      </c>
      <c r="D97" s="1"/>
      <c r="E97" s="1">
        <v>2938.81</v>
      </c>
      <c r="F97" s="1"/>
      <c r="G97" s="1"/>
      <c r="H97" s="1"/>
      <c r="I97" s="1"/>
      <c r="J97" s="1"/>
      <c r="K97" s="1">
        <v>0</v>
      </c>
      <c r="L97" s="1">
        <v>0</v>
      </c>
      <c r="M97" s="4">
        <f t="shared" si="39"/>
        <v>290</v>
      </c>
      <c r="N97" s="4"/>
      <c r="O97" s="4">
        <f t="shared" si="45"/>
        <v>0</v>
      </c>
      <c r="P97" s="4">
        <f t="shared" si="45"/>
        <v>0</v>
      </c>
      <c r="Q97" s="4">
        <f t="shared" si="32"/>
        <v>0</v>
      </c>
      <c r="R97" s="4"/>
      <c r="S97" s="4"/>
      <c r="T97" s="4"/>
      <c r="U97" s="4"/>
      <c r="V97" s="4"/>
      <c r="W97" s="4">
        <v>61.982599999999998</v>
      </c>
      <c r="X97" s="1">
        <f t="shared" si="33"/>
        <v>-228.01740000000001</v>
      </c>
      <c r="Y97" s="1">
        <f t="shared" si="42"/>
        <v>1549.5650000000001</v>
      </c>
      <c r="Z97" s="1">
        <f>Y97-M97</f>
        <v>1259.5650000000001</v>
      </c>
      <c r="AA97" s="1">
        <f t="shared" si="35"/>
        <v>3.9471769489884409E-3</v>
      </c>
      <c r="AB97" s="1">
        <f t="shared" si="36"/>
        <v>7.3448349120684838E-3</v>
      </c>
      <c r="AC97" s="4"/>
      <c r="AX97">
        <f t="shared" si="43"/>
        <v>7.2665125167962422E-3</v>
      </c>
      <c r="AY97">
        <f t="shared" si="44"/>
        <v>2414.8027156187509</v>
      </c>
      <c r="AZ97">
        <f t="shared" si="37"/>
        <v>1327.2309082758497</v>
      </c>
      <c r="BA97">
        <f t="shared" si="38"/>
        <v>1087.5718073429011</v>
      </c>
    </row>
    <row r="98" spans="1:53" x14ac:dyDescent="0.35">
      <c r="A98" s="1">
        <v>97</v>
      </c>
      <c r="B98" s="1">
        <v>6184.3427862351964</v>
      </c>
      <c r="C98" s="1">
        <v>0</v>
      </c>
      <c r="D98" s="1"/>
      <c r="E98" s="1">
        <v>6184.34</v>
      </c>
      <c r="F98" s="1"/>
      <c r="G98" s="1"/>
      <c r="H98" s="1"/>
      <c r="I98" s="1"/>
      <c r="J98" s="1"/>
      <c r="K98" s="1">
        <v>0</v>
      </c>
      <c r="L98" s="1">
        <v>0</v>
      </c>
      <c r="M98" s="4">
        <f t="shared" si="39"/>
        <v>290</v>
      </c>
      <c r="N98" s="4"/>
      <c r="O98" s="4">
        <f t="shared" si="45"/>
        <v>0</v>
      </c>
      <c r="P98" s="4">
        <f t="shared" si="45"/>
        <v>0</v>
      </c>
      <c r="Q98" s="4">
        <f t="shared" si="32"/>
        <v>0</v>
      </c>
      <c r="R98" s="4"/>
      <c r="S98" s="4"/>
      <c r="T98" s="4"/>
      <c r="U98" s="4"/>
      <c r="V98" s="4"/>
      <c r="W98" s="4">
        <v>129.93600000000001</v>
      </c>
      <c r="X98" s="1">
        <f t="shared" si="33"/>
        <v>-160.06399999999999</v>
      </c>
      <c r="Y98" s="1">
        <f t="shared" si="42"/>
        <v>3248.4</v>
      </c>
      <c r="Z98" s="1">
        <f t="shared" ref="Z98:Z100" si="47">Y98-M98</f>
        <v>2958.4</v>
      </c>
      <c r="AA98" s="1">
        <f t="shared" si="35"/>
        <v>1.8757045657007733E-3</v>
      </c>
      <c r="AB98" s="1">
        <f t="shared" si="36"/>
        <v>3.4902768629148776E-3</v>
      </c>
      <c r="AC98" s="4"/>
      <c r="AX98">
        <f t="shared" si="43"/>
        <v>1.5291433006198544E-2</v>
      </c>
      <c r="AY98">
        <f t="shared" si="44"/>
        <v>5081.6390756525916</v>
      </c>
      <c r="AZ98">
        <f t="shared" si="37"/>
        <v>2792.9852829324304</v>
      </c>
      <c r="BA98">
        <f t="shared" si="38"/>
        <v>2288.6537927201612</v>
      </c>
    </row>
    <row r="99" spans="1:53" x14ac:dyDescent="0.35">
      <c r="A99" s="1">
        <v>98</v>
      </c>
      <c r="B99" s="1">
        <v>3973.5840486666689</v>
      </c>
      <c r="C99" s="1">
        <v>0</v>
      </c>
      <c r="D99" s="1"/>
      <c r="E99" s="1">
        <v>3973.58</v>
      </c>
      <c r="F99" s="1"/>
      <c r="G99" s="1"/>
      <c r="H99" s="1"/>
      <c r="I99" s="1"/>
      <c r="J99" s="1"/>
      <c r="K99" s="1">
        <v>0</v>
      </c>
      <c r="L99" s="1">
        <v>0</v>
      </c>
      <c r="M99" s="4">
        <f t="shared" si="39"/>
        <v>290</v>
      </c>
      <c r="N99" s="4"/>
      <c r="O99" s="4">
        <f t="shared" si="45"/>
        <v>0</v>
      </c>
      <c r="P99" s="4">
        <f t="shared" si="45"/>
        <v>0</v>
      </c>
      <c r="Q99" s="4">
        <f t="shared" si="32"/>
        <v>0</v>
      </c>
      <c r="R99" s="4"/>
      <c r="S99" s="4"/>
      <c r="T99" s="4"/>
      <c r="U99" s="4"/>
      <c r="V99" s="4"/>
      <c r="W99" s="4">
        <v>82.931700000000006</v>
      </c>
      <c r="X99" s="1">
        <f t="shared" si="33"/>
        <v>-207.06829999999999</v>
      </c>
      <c r="Y99" s="1">
        <f t="shared" si="42"/>
        <v>2073.2925</v>
      </c>
      <c r="Z99" s="1">
        <f t="shared" si="47"/>
        <v>1783.2925</v>
      </c>
      <c r="AA99" s="1">
        <f t="shared" si="35"/>
        <v>2.9192788822202881E-3</v>
      </c>
      <c r="AB99" s="1">
        <f t="shared" si="36"/>
        <v>5.4321409273761509E-3</v>
      </c>
      <c r="AC99" s="4"/>
      <c r="AX99">
        <f t="shared" si="43"/>
        <v>9.8251012880343769E-3</v>
      </c>
      <c r="AY99">
        <f t="shared" si="44"/>
        <v>3265.071272736925</v>
      </c>
      <c r="AZ99">
        <f t="shared" si="37"/>
        <v>1794.5579913718248</v>
      </c>
      <c r="BA99">
        <f t="shared" si="38"/>
        <v>1470.5132813651003</v>
      </c>
    </row>
    <row r="100" spans="1:53" x14ac:dyDescent="0.35">
      <c r="A100" s="1">
        <v>99</v>
      </c>
      <c r="B100" s="1">
        <v>6386.1720264839241</v>
      </c>
      <c r="C100" s="1">
        <v>0</v>
      </c>
      <c r="D100" s="1"/>
      <c r="E100" s="1">
        <v>6386.17</v>
      </c>
      <c r="F100" s="1"/>
      <c r="G100" s="1"/>
      <c r="H100" s="1"/>
      <c r="I100" s="1"/>
      <c r="J100" s="1"/>
      <c r="K100" s="1">
        <v>0</v>
      </c>
      <c r="L100" s="1">
        <v>0</v>
      </c>
      <c r="M100" s="4">
        <f t="shared" si="39"/>
        <v>290</v>
      </c>
      <c r="N100" s="4"/>
      <c r="O100" s="4">
        <f t="shared" si="45"/>
        <v>0</v>
      </c>
      <c r="P100" s="4">
        <f t="shared" si="45"/>
        <v>0</v>
      </c>
      <c r="Q100" s="4">
        <f t="shared" si="32"/>
        <v>0</v>
      </c>
      <c r="R100" s="4"/>
      <c r="S100" s="4"/>
      <c r="T100" s="4"/>
      <c r="U100" s="4"/>
      <c r="V100" s="4"/>
      <c r="W100" s="4">
        <v>106.389</v>
      </c>
      <c r="X100" s="1">
        <f t="shared" si="33"/>
        <v>-183.61099999999999</v>
      </c>
      <c r="Y100" s="1">
        <f t="shared" si="42"/>
        <v>2659.7249999999999</v>
      </c>
      <c r="Z100" s="1">
        <f t="shared" si="47"/>
        <v>2369.7249999999999</v>
      </c>
      <c r="AA100" s="1">
        <f t="shared" si="35"/>
        <v>1.8164246048953815E-3</v>
      </c>
      <c r="AB100" s="1">
        <f t="shared" si="36"/>
        <v>3.3799697924854471E-3</v>
      </c>
      <c r="AC100" s="4"/>
      <c r="AX100">
        <f t="shared" si="43"/>
        <v>1.5790476867872029E-2</v>
      </c>
      <c r="AY100">
        <f t="shared" si="44"/>
        <v>5247.481007335291</v>
      </c>
      <c r="AZ100">
        <f t="shared" si="37"/>
        <v>2884.1358088920847</v>
      </c>
      <c r="BA100">
        <f t="shared" si="38"/>
        <v>2363.3451984432063</v>
      </c>
    </row>
    <row r="101" spans="1:53" x14ac:dyDescent="0.35">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X101">
        <f t="shared" si="43"/>
        <v>0</v>
      </c>
      <c r="AY101">
        <f t="shared" si="44"/>
        <v>0</v>
      </c>
      <c r="AZ101">
        <f t="shared" si="37"/>
        <v>0</v>
      </c>
      <c r="BA101">
        <f t="shared" si="38"/>
        <v>0</v>
      </c>
    </row>
    <row r="102" spans="1:53" x14ac:dyDescent="0.35">
      <c r="A102" s="1" t="s">
        <v>57</v>
      </c>
      <c r="B102" s="1">
        <f>SUM(B2:B100)</f>
        <v>404431.86611276446</v>
      </c>
      <c r="C102" s="1">
        <f t="shared" ref="C102:Z102" si="48">SUM(C2:C100)</f>
        <v>162</v>
      </c>
      <c r="D102" s="1">
        <f t="shared" si="48"/>
        <v>283691.82999999996</v>
      </c>
      <c r="E102" s="1">
        <f t="shared" si="48"/>
        <v>404431.70899999997</v>
      </c>
      <c r="F102" s="1">
        <f t="shared" si="48"/>
        <v>95787.414000000004</v>
      </c>
      <c r="G102" s="1">
        <f t="shared" si="48"/>
        <v>9329.0467000000008</v>
      </c>
      <c r="H102" s="1">
        <f t="shared" si="48"/>
        <v>123333.31999999998</v>
      </c>
      <c r="I102" s="1">
        <f t="shared" si="48"/>
        <v>66729.77399999999</v>
      </c>
      <c r="J102" s="1">
        <f t="shared" si="48"/>
        <v>78629.764999999985</v>
      </c>
      <c r="K102" s="1">
        <f t="shared" si="48"/>
        <v>405</v>
      </c>
      <c r="L102" s="1">
        <f t="shared" si="48"/>
        <v>125.40000000000002</v>
      </c>
      <c r="M102" s="1">
        <f t="shared" si="48"/>
        <v>552988</v>
      </c>
      <c r="N102" s="1"/>
      <c r="O102" s="1">
        <f t="shared" si="48"/>
        <v>5293.9999999999991</v>
      </c>
      <c r="P102" s="1"/>
      <c r="Q102" s="1">
        <f t="shared" si="48"/>
        <v>132350</v>
      </c>
      <c r="R102" s="1">
        <f t="shared" si="48"/>
        <v>0</v>
      </c>
      <c r="S102" s="1">
        <f t="shared" si="48"/>
        <v>0</v>
      </c>
      <c r="T102" s="1">
        <f t="shared" si="48"/>
        <v>173477.1012133038</v>
      </c>
      <c r="U102" s="1">
        <f t="shared" si="48"/>
        <v>53583.7</v>
      </c>
      <c r="V102" s="1">
        <f t="shared" si="48"/>
        <v>0</v>
      </c>
      <c r="W102" s="1">
        <f t="shared" si="48"/>
        <v>36544.854965000006</v>
      </c>
      <c r="X102" s="1">
        <f t="shared" si="48"/>
        <v>-191891.5450350001</v>
      </c>
      <c r="Y102" s="1">
        <f t="shared" si="48"/>
        <v>913621.37412499986</v>
      </c>
      <c r="Z102" s="1">
        <f t="shared" si="48"/>
        <v>685184.97412500007</v>
      </c>
      <c r="AA102" s="1"/>
      <c r="AB102" s="1"/>
      <c r="AC102" s="4"/>
      <c r="AX102">
        <f t="shared" si="43"/>
        <v>1</v>
      </c>
      <c r="AY102">
        <f t="shared" si="44"/>
        <v>332319.34989956114</v>
      </c>
      <c r="AZ102">
        <f t="shared" si="37"/>
        <v>182650.3298808074</v>
      </c>
      <c r="BA102">
        <f t="shared" si="38"/>
        <v>149669.02001875374</v>
      </c>
    </row>
    <row r="103" spans="1:53" x14ac:dyDescent="0.35">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X103">
        <f t="shared" si="43"/>
        <v>0</v>
      </c>
      <c r="AY103">
        <f t="shared" si="44"/>
        <v>0</v>
      </c>
      <c r="AZ103">
        <f t="shared" si="37"/>
        <v>0</v>
      </c>
    </row>
    <row r="104" spans="1:53" ht="15" thickBot="1" x14ac:dyDescent="0.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1:53" x14ac:dyDescent="0.35">
      <c r="F105" s="93" t="s">
        <v>368</v>
      </c>
      <c r="G105" s="74"/>
      <c r="H105" s="74" t="s">
        <v>357</v>
      </c>
      <c r="I105" s="75" t="s">
        <v>6</v>
      </c>
    </row>
    <row r="106" spans="1:53" x14ac:dyDescent="0.35">
      <c r="F106" s="94" t="s">
        <v>383</v>
      </c>
      <c r="G106">
        <f>SUM(B47:B100)</f>
        <v>235777.38014431737</v>
      </c>
      <c r="H106">
        <f>G106*T4</f>
        <v>36545.493922369191</v>
      </c>
      <c r="I106" s="30" t="s">
        <v>380</v>
      </c>
    </row>
    <row r="107" spans="1:53" x14ac:dyDescent="0.35">
      <c r="E107">
        <f>G107+G108+G109</f>
        <v>235777.38014431737</v>
      </c>
      <c r="F107" s="94" t="s">
        <v>363</v>
      </c>
      <c r="G107">
        <f>F102</f>
        <v>95787.414000000004</v>
      </c>
      <c r="H107">
        <f>G102</f>
        <v>9329.0467000000008</v>
      </c>
      <c r="I107" s="30" t="s">
        <v>377</v>
      </c>
      <c r="L107" t="s">
        <v>6</v>
      </c>
    </row>
    <row r="108" spans="1:53" x14ac:dyDescent="0.35">
      <c r="F108" s="94" t="s">
        <v>361</v>
      </c>
      <c r="G108">
        <f>G106-G107-G109</f>
        <v>120740.03611276436</v>
      </c>
      <c r="H108">
        <f>G108*T4</f>
        <v>18714.705597478474</v>
      </c>
      <c r="I108" s="30" t="s">
        <v>376</v>
      </c>
    </row>
    <row r="109" spans="1:53" x14ac:dyDescent="0.35">
      <c r="F109" s="94" t="s">
        <v>369</v>
      </c>
      <c r="G109">
        <f>G120</f>
        <v>19249.930031552998</v>
      </c>
      <c r="H109">
        <f>G109*K120</f>
        <v>1828.7433529975349</v>
      </c>
      <c r="I109" s="30" t="s">
        <v>384</v>
      </c>
    </row>
    <row r="110" spans="1:53" x14ac:dyDescent="0.35">
      <c r="F110" s="94" t="s">
        <v>365</v>
      </c>
      <c r="I110" s="30"/>
    </row>
    <row r="111" spans="1:53" ht="15" thickBot="1" x14ac:dyDescent="0.4">
      <c r="F111" s="95" t="s">
        <v>370</v>
      </c>
      <c r="G111" s="19"/>
      <c r="H111" s="19">
        <f>H106-H107-H108-H109</f>
        <v>6672.9982718931824</v>
      </c>
      <c r="I111" s="20"/>
    </row>
    <row r="114" spans="5:11" ht="15" thickBot="1" x14ac:dyDescent="0.4"/>
    <row r="115" spans="5:11" x14ac:dyDescent="0.35">
      <c r="F115" s="93" t="s">
        <v>368</v>
      </c>
      <c r="G115" s="74"/>
      <c r="H115" s="74" t="s">
        <v>357</v>
      </c>
      <c r="I115" s="75"/>
    </row>
    <row r="116" spans="5:11" x14ac:dyDescent="0.35">
      <c r="F116" s="94" t="s">
        <v>373</v>
      </c>
      <c r="G116">
        <f>SUM(D2:D46)</f>
        <v>283691.82999999996</v>
      </c>
      <c r="H116">
        <f>G116*T4</f>
        <v>43972.233649999995</v>
      </c>
      <c r="I116" s="30" t="s">
        <v>380</v>
      </c>
    </row>
    <row r="117" spans="5:11" x14ac:dyDescent="0.35">
      <c r="F117" s="94" t="s">
        <v>375</v>
      </c>
      <c r="G117">
        <f>SUM(B2:B46)</f>
        <v>168654.48596844697</v>
      </c>
      <c r="H117">
        <f>G117*T4</f>
        <v>26141.445325109282</v>
      </c>
      <c r="I117" s="30" t="s">
        <v>380</v>
      </c>
    </row>
    <row r="118" spans="5:11" x14ac:dyDescent="0.35">
      <c r="F118" s="94" t="s">
        <v>358</v>
      </c>
      <c r="G118">
        <f>F102</f>
        <v>95787.414000000004</v>
      </c>
      <c r="H118">
        <f>G102</f>
        <v>9329.0467000000008</v>
      </c>
      <c r="I118" s="30" t="s">
        <v>377</v>
      </c>
    </row>
    <row r="119" spans="5:11" x14ac:dyDescent="0.35">
      <c r="F119" s="94" t="s">
        <v>306</v>
      </c>
      <c r="G119">
        <f>I102</f>
        <v>66729.77399999999</v>
      </c>
      <c r="H119">
        <f>G119*T4</f>
        <v>10343.114969999999</v>
      </c>
      <c r="I119" s="30" t="s">
        <v>379</v>
      </c>
      <c r="K119" t="s">
        <v>391</v>
      </c>
    </row>
    <row r="120" spans="5:11" x14ac:dyDescent="0.35">
      <c r="E120" s="13" t="s">
        <v>381</v>
      </c>
      <c r="F120" s="94" t="s">
        <v>372</v>
      </c>
      <c r="G120">
        <f>G116-G118-G119-G121</f>
        <v>19249.930031552998</v>
      </c>
      <c r="H120">
        <f>G120*K120</f>
        <v>1828.7433529975349</v>
      </c>
      <c r="I120" s="30" t="s">
        <v>384</v>
      </c>
      <c r="K120" s="4">
        <v>9.5000000000000001E-2</v>
      </c>
    </row>
    <row r="121" spans="5:11" x14ac:dyDescent="0.35">
      <c r="E121" s="13" t="s">
        <v>382</v>
      </c>
      <c r="F121" s="94" t="s">
        <v>374</v>
      </c>
      <c r="G121">
        <f>G117-G119</f>
        <v>101924.71196844698</v>
      </c>
      <c r="H121">
        <f>G121*T4</f>
        <v>15798.330355109281</v>
      </c>
      <c r="I121" s="30" t="s">
        <v>378</v>
      </c>
    </row>
    <row r="122" spans="5:11" x14ac:dyDescent="0.35">
      <c r="F122" s="94" t="s">
        <v>365</v>
      </c>
      <c r="I122" s="30"/>
    </row>
    <row r="123" spans="5:11" ht="15" thickBot="1" x14ac:dyDescent="0.4">
      <c r="F123" s="95" t="s">
        <v>370</v>
      </c>
      <c r="G123" s="19"/>
      <c r="H123" s="19">
        <f>H118+H119+H120+H121</f>
        <v>37299.235378106816</v>
      </c>
      <c r="I123" s="20"/>
    </row>
    <row r="125" spans="5:11" x14ac:dyDescent="0.35">
      <c r="E125" t="s">
        <v>6</v>
      </c>
    </row>
  </sheetData>
  <mergeCells count="2">
    <mergeCell ref="S16:T16"/>
    <mergeCell ref="AI31:AL32"/>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A186-D2B5-494D-B426-ADF992D511BA}">
  <dimension ref="A1:BA180"/>
  <sheetViews>
    <sheetView topLeftCell="AD1" zoomScale="80" zoomScaleNormal="80" workbookViewId="0">
      <selection activeCell="AQ19" sqref="AQ19"/>
    </sheetView>
  </sheetViews>
  <sheetFormatPr defaultRowHeight="14.5" x14ac:dyDescent="0.35"/>
  <cols>
    <col min="1" max="1" width="23.26953125" style="1" bestFit="1" customWidth="1"/>
    <col min="2" max="2" width="25.54296875" style="1" bestFit="1" customWidth="1"/>
    <col min="3" max="3" width="16.7265625" bestFit="1" customWidth="1"/>
    <col min="4" max="6" width="16.7265625" customWidth="1"/>
    <col min="7" max="7" width="18.6328125" bestFit="1" customWidth="1"/>
    <col min="8" max="8" width="16.1796875" bestFit="1" customWidth="1"/>
    <col min="9" max="10" width="16.7265625" customWidth="1"/>
    <col min="11" max="11" width="19.6328125" bestFit="1" customWidth="1"/>
    <col min="12" max="12" width="20.54296875" customWidth="1"/>
    <col min="13" max="13" width="12" customWidth="1"/>
    <col min="14" max="15" width="12.26953125" customWidth="1"/>
    <col min="16" max="16" width="13" customWidth="1"/>
    <col min="17" max="17" width="8.7265625" customWidth="1"/>
    <col min="18" max="18" width="28.7265625" bestFit="1" customWidth="1"/>
    <col min="19" max="19" width="12.6328125" bestFit="1" customWidth="1"/>
    <col min="20" max="20" width="21.6328125" bestFit="1" customWidth="1"/>
    <col min="22" max="22" width="12.453125" customWidth="1"/>
    <col min="23" max="23" width="9.453125" bestFit="1" customWidth="1"/>
    <col min="24" max="24" width="14.36328125" customWidth="1"/>
    <col min="25" max="25" width="10.36328125" customWidth="1"/>
    <col min="26" max="26" width="12.453125" customWidth="1"/>
    <col min="27" max="27" width="11.1796875" customWidth="1"/>
    <col min="28" max="28" width="10.54296875" customWidth="1"/>
    <col min="29" max="29" width="14" customWidth="1"/>
    <col min="31" max="31" width="23" customWidth="1"/>
    <col min="32" max="32" width="20.54296875" customWidth="1"/>
    <col min="33" max="33" width="19.81640625" customWidth="1"/>
    <col min="34" max="34" width="18.1796875" customWidth="1"/>
    <col min="35" max="35" width="16" customWidth="1"/>
    <col min="36" max="36" width="15.26953125" bestFit="1" customWidth="1"/>
    <col min="37" max="37" width="14.81640625" bestFit="1" customWidth="1"/>
    <col min="39" max="39" width="23.26953125" customWidth="1"/>
    <col min="40" max="40" width="21.453125" customWidth="1"/>
    <col min="48" max="48" width="23.26953125" customWidth="1"/>
    <col min="49" max="49" width="16.90625" customWidth="1"/>
    <col min="50" max="50" width="17.36328125" customWidth="1"/>
    <col min="51" max="51" width="22.54296875" customWidth="1"/>
    <col min="52" max="52" width="13.54296875" customWidth="1"/>
    <col min="53" max="53" width="23.453125" customWidth="1"/>
  </cols>
  <sheetData>
    <row r="1" spans="1:52" ht="63" customHeight="1" x14ac:dyDescent="0.35">
      <c r="A1" s="57" t="s">
        <v>7</v>
      </c>
      <c r="B1" s="60" t="s">
        <v>8</v>
      </c>
      <c r="C1" s="60" t="s">
        <v>253</v>
      </c>
      <c r="D1" s="61" t="s">
        <v>281</v>
      </c>
      <c r="E1" s="61" t="s">
        <v>301</v>
      </c>
      <c r="F1" s="61" t="s">
        <v>308</v>
      </c>
      <c r="G1" s="61" t="s">
        <v>312</v>
      </c>
      <c r="H1" s="61" t="s">
        <v>309</v>
      </c>
      <c r="I1" s="61" t="s">
        <v>310</v>
      </c>
      <c r="J1" s="61" t="s">
        <v>311</v>
      </c>
      <c r="K1" s="60" t="s">
        <v>254</v>
      </c>
      <c r="L1" s="61" t="s">
        <v>255</v>
      </c>
      <c r="M1" s="61" t="s">
        <v>256</v>
      </c>
      <c r="N1" s="61" t="s">
        <v>257</v>
      </c>
      <c r="O1" s="61" t="s">
        <v>282</v>
      </c>
      <c r="P1" s="61" t="s">
        <v>275</v>
      </c>
      <c r="Q1" s="69"/>
      <c r="R1" s="69"/>
      <c r="S1" s="69"/>
      <c r="T1" s="69"/>
      <c r="U1" s="69"/>
      <c r="V1" s="61" t="s">
        <v>276</v>
      </c>
      <c r="W1" s="61" t="s">
        <v>277</v>
      </c>
      <c r="X1" s="61" t="s">
        <v>278</v>
      </c>
      <c r="Y1" s="61" t="s">
        <v>279</v>
      </c>
      <c r="Z1" s="61" t="s">
        <v>31</v>
      </c>
      <c r="AA1" s="12" t="s">
        <v>283</v>
      </c>
      <c r="AB1" s="1"/>
      <c r="AC1" s="6" t="s">
        <v>33</v>
      </c>
      <c r="AD1" s="6" t="s">
        <v>34</v>
      </c>
      <c r="AE1" s="6" t="s">
        <v>35</v>
      </c>
      <c r="AF1" s="6" t="s">
        <v>36</v>
      </c>
      <c r="AG1" s="6" t="s">
        <v>37</v>
      </c>
      <c r="AH1" s="6" t="s">
        <v>38</v>
      </c>
      <c r="AI1" s="12" t="s">
        <v>39</v>
      </c>
      <c r="AJ1" s="12" t="s">
        <v>40</v>
      </c>
      <c r="AK1" s="12" t="s">
        <v>41</v>
      </c>
      <c r="AM1" s="12" t="s">
        <v>351</v>
      </c>
      <c r="AN1" s="12" t="s">
        <v>350</v>
      </c>
      <c r="AV1" s="6" t="s">
        <v>320</v>
      </c>
      <c r="AW1" s="86" t="s">
        <v>321</v>
      </c>
      <c r="AX1" s="86" t="s">
        <v>322</v>
      </c>
      <c r="AY1" s="6" t="s">
        <v>322</v>
      </c>
    </row>
    <row r="2" spans="1:52" ht="15" thickBot="1" x14ac:dyDescent="0.4">
      <c r="A2" s="1">
        <v>1</v>
      </c>
      <c r="B2" s="62">
        <v>1079.529030351737</v>
      </c>
      <c r="C2" s="62">
        <v>2</v>
      </c>
      <c r="D2" s="62">
        <v>3494.71</v>
      </c>
      <c r="E2" s="62">
        <v>1079.53</v>
      </c>
      <c r="F2" s="62">
        <v>1395.84</v>
      </c>
      <c r="G2" s="62">
        <v>139.60599999999999</v>
      </c>
      <c r="H2" s="62">
        <v>1682.91</v>
      </c>
      <c r="I2" s="62">
        <v>473.57100000000003</v>
      </c>
      <c r="J2" s="62">
        <v>556.52700000000004</v>
      </c>
      <c r="K2" s="62">
        <v>5</v>
      </c>
      <c r="L2" s="62">
        <v>1.2</v>
      </c>
      <c r="M2" s="62">
        <f>(C2*$S$18*1000)+S29</f>
        <v>7240</v>
      </c>
      <c r="N2" s="62">
        <f>$S$38*C2</f>
        <v>71.2</v>
      </c>
      <c r="O2" s="56">
        <f>N2/D2</f>
        <v>2.0373650460267088E-2</v>
      </c>
      <c r="P2" s="56">
        <f t="shared" ref="P2:P46" si="0">N2*25</f>
        <v>1780</v>
      </c>
      <c r="Q2" s="56"/>
      <c r="R2" s="56"/>
      <c r="S2" s="56"/>
      <c r="T2" s="56"/>
      <c r="U2" s="56"/>
      <c r="V2" s="1">
        <f>G2+(I2*$S$4)+(J2*$S$4)</f>
        <v>299.27118999999999</v>
      </c>
      <c r="W2" s="1">
        <f>V2-M2</f>
        <v>-6940.7288099999996</v>
      </c>
      <c r="X2" s="1">
        <f t="shared" ref="X2:X65" si="1">V2*$S$47</f>
        <v>7481.7797499999997</v>
      </c>
      <c r="Y2" s="1">
        <f>X2-M2</f>
        <v>241.77974999999969</v>
      </c>
      <c r="Z2" s="1">
        <f t="shared" ref="Z2:Z65" si="2">(M2/($S$47*B2))+O2</f>
        <v>0.28863878447490421</v>
      </c>
      <c r="AA2" s="1">
        <f t="shared" ref="AA2:AA65" si="3">(M2/($S$50*B2))+O2</f>
        <v>0.51955652152622989</v>
      </c>
      <c r="AB2" s="1" t="s">
        <v>327</v>
      </c>
      <c r="AC2" s="1" t="s">
        <v>284</v>
      </c>
      <c r="AD2" s="1">
        <v>0</v>
      </c>
      <c r="AE2">
        <f>-AC5</f>
        <v>-700053</v>
      </c>
      <c r="AF2">
        <f>AE2</f>
        <v>-700053</v>
      </c>
      <c r="AH2">
        <f>AE2</f>
        <v>-700053</v>
      </c>
      <c r="AI2">
        <f>AE2</f>
        <v>-700053</v>
      </c>
      <c r="AK2">
        <f>AE2</f>
        <v>-700053</v>
      </c>
      <c r="AV2" s="1">
        <f>AK27+AK63</f>
        <v>7767.7498995612259</v>
      </c>
      <c r="AW2">
        <f>B2/$B$102</f>
        <v>2.6692481992770093E-3</v>
      </c>
      <c r="AX2">
        <f>AW2*$AV$2</f>
        <v>20.734052431837974</v>
      </c>
      <c r="AY2">
        <f>(AW2*$AV$2)*1.1</f>
        <v>22.807457675021773</v>
      </c>
      <c r="AZ2">
        <f>AY2-AX2</f>
        <v>2.0734052431837995</v>
      </c>
    </row>
    <row r="3" spans="1:52" x14ac:dyDescent="0.35">
      <c r="A3" s="1">
        <v>2</v>
      </c>
      <c r="B3" s="62">
        <v>3886.3217817133332</v>
      </c>
      <c r="C3" s="62">
        <v>4</v>
      </c>
      <c r="D3" s="62">
        <v>6989.42</v>
      </c>
      <c r="E3" s="62">
        <v>3886.32</v>
      </c>
      <c r="F3" s="62">
        <v>2567.4899999999998</v>
      </c>
      <c r="G3" s="62">
        <v>253.81899999999999</v>
      </c>
      <c r="H3" s="62">
        <v>3085.9</v>
      </c>
      <c r="I3" s="62">
        <v>1442.46</v>
      </c>
      <c r="J3" s="62">
        <v>2007.51</v>
      </c>
      <c r="K3" s="62">
        <v>10</v>
      </c>
      <c r="L3" s="62">
        <v>3.3</v>
      </c>
      <c r="M3" s="62">
        <f>(C3*$S$18*1000)+S31</f>
        <v>14096</v>
      </c>
      <c r="N3" s="62">
        <f>$S$38*C3</f>
        <v>142.4</v>
      </c>
      <c r="O3" s="56">
        <f t="shared" ref="O3:O46" si="4">N3/D3</f>
        <v>2.0373650460267088E-2</v>
      </c>
      <c r="P3" s="56">
        <f t="shared" si="0"/>
        <v>3560</v>
      </c>
      <c r="Q3" s="56"/>
      <c r="R3" s="80" t="s">
        <v>267</v>
      </c>
      <c r="S3" s="81"/>
      <c r="T3" s="82"/>
      <c r="U3" s="56"/>
      <c r="V3" s="1">
        <f>G3+(I3*$S$4)+(J3*$S$4)</f>
        <v>788.56434999999999</v>
      </c>
      <c r="W3" s="1">
        <f t="shared" ref="W3:W66" si="5">V3-M3</f>
        <v>-13307.435649999999</v>
      </c>
      <c r="X3" s="1">
        <f t="shared" si="1"/>
        <v>19714.108749999999</v>
      </c>
      <c r="Y3" s="1">
        <f t="shared" ref="Y3:Y66" si="6">X3-M3</f>
        <v>5618.1087499999994</v>
      </c>
      <c r="Z3" s="1">
        <f t="shared" si="2"/>
        <v>0.16545685037775415</v>
      </c>
      <c r="AA3" s="1">
        <f t="shared" si="3"/>
        <v>0.29034182408918408</v>
      </c>
      <c r="AB3" s="1">
        <f>SUM(AA2:AA46)/45</f>
        <v>0.31865353451977457</v>
      </c>
      <c r="AC3" s="1"/>
      <c r="AD3" s="1">
        <v>1</v>
      </c>
      <c r="AE3">
        <f>AC8</f>
        <v>37299.235378106816</v>
      </c>
      <c r="AF3">
        <f>AF2+AE3</f>
        <v>-662753.76462189318</v>
      </c>
      <c r="AG3">
        <f t="shared" ref="AG3:AG27" si="7">AE3/(1+$S$20)^AD3</f>
        <v>35154.793004813211</v>
      </c>
      <c r="AH3">
        <f>AH2+AG3</f>
        <v>-664898.20699518675</v>
      </c>
      <c r="AI3">
        <f t="shared" ref="AI3:AI27" si="8">$AC$8*((1+$S$44)^AD3)</f>
        <v>38231.716262559486</v>
      </c>
      <c r="AJ3">
        <f t="shared" ref="AJ3:AJ27" si="9">AI3/(1+$S$20)^AD3</f>
        <v>36033.662829933543</v>
      </c>
      <c r="AK3">
        <f>AK2+AJ3</f>
        <v>-664019.33717006643</v>
      </c>
      <c r="AM3" s="1">
        <f>$AC$12*((1+$S$44)^AD3)</f>
        <v>11436.734804322474</v>
      </c>
      <c r="AN3">
        <f>AM3/(1+$S$20)^AD3</f>
        <v>10779.203397099411</v>
      </c>
      <c r="AV3" s="1"/>
      <c r="AW3">
        <f t="shared" ref="AW3:AW66" si="10">B3/$B$102</f>
        <v>9.6093362253253847E-3</v>
      </c>
      <c r="AX3">
        <f t="shared" ref="AX3:AX66" si="11">AW3*$AV$2</f>
        <v>74.642920499121303</v>
      </c>
      <c r="AY3">
        <f>(AW3*$AV$2)*1.1</f>
        <v>82.107212549033434</v>
      </c>
      <c r="AZ3">
        <f t="shared" ref="AZ3:AZ46" si="12">AY3-AX3</f>
        <v>7.4642920499121317</v>
      </c>
    </row>
    <row r="4" spans="1:52" ht="29" x14ac:dyDescent="0.35">
      <c r="A4" s="1">
        <v>3</v>
      </c>
      <c r="B4" s="1">
        <v>3457.332910813851</v>
      </c>
      <c r="C4" s="1">
        <v>2</v>
      </c>
      <c r="D4" s="1">
        <v>3494.71</v>
      </c>
      <c r="E4" s="1">
        <v>3457.33</v>
      </c>
      <c r="F4" s="1">
        <v>613.53200000000004</v>
      </c>
      <c r="G4" s="1">
        <v>54.761099999999999</v>
      </c>
      <c r="H4" s="1">
        <v>1498.2</v>
      </c>
      <c r="I4" s="1">
        <v>1382.98</v>
      </c>
      <c r="J4" s="1">
        <v>2074.35</v>
      </c>
      <c r="K4" s="1">
        <v>5</v>
      </c>
      <c r="L4" s="1">
        <v>0</v>
      </c>
      <c r="M4" s="1">
        <f>C4*$S$18*1000</f>
        <v>5200</v>
      </c>
      <c r="N4" s="1">
        <f>$S$19*C4</f>
        <v>53</v>
      </c>
      <c r="O4" s="4">
        <f t="shared" si="4"/>
        <v>1.5165779134749377E-2</v>
      </c>
      <c r="P4" s="4">
        <f t="shared" si="0"/>
        <v>1325</v>
      </c>
      <c r="Q4" s="4"/>
      <c r="R4" s="63" t="s">
        <v>302</v>
      </c>
      <c r="S4" s="4">
        <v>0.155</v>
      </c>
      <c r="T4" s="30"/>
      <c r="U4" s="4"/>
      <c r="V4" s="1">
        <f t="shared" ref="V4:V46" si="13">G4+(I4*$S$4)+(J4*$S$4)</f>
        <v>590.64724999999999</v>
      </c>
      <c r="W4" s="1">
        <f t="shared" si="5"/>
        <v>-4609.35275</v>
      </c>
      <c r="X4" s="1">
        <f t="shared" si="1"/>
        <v>14766.18125</v>
      </c>
      <c r="Y4" s="1">
        <f t="shared" si="6"/>
        <v>9566.1812499999996</v>
      </c>
      <c r="Z4" s="1">
        <f t="shared" si="2"/>
        <v>7.5327761033980797E-2</v>
      </c>
      <c r="AA4" s="1">
        <f t="shared" si="3"/>
        <v>0.12711409833689449</v>
      </c>
      <c r="AB4" s="1"/>
      <c r="AC4" s="73" t="s">
        <v>285</v>
      </c>
      <c r="AD4" s="1">
        <f>AD3+1</f>
        <v>2</v>
      </c>
      <c r="AE4">
        <f>AE3</f>
        <v>37299.235378106816</v>
      </c>
      <c r="AF4">
        <f>AF3+AE4</f>
        <v>-625454.52924378635</v>
      </c>
      <c r="AG4">
        <f t="shared" si="7"/>
        <v>33133.640909343274</v>
      </c>
      <c r="AH4">
        <f t="shared" ref="AH4:AH27" si="14">AH3+AG4</f>
        <v>-631764.56608584349</v>
      </c>
      <c r="AI4">
        <f t="shared" si="8"/>
        <v>39187.50916912347</v>
      </c>
      <c r="AJ4">
        <f t="shared" si="9"/>
        <v>34811.03148037877</v>
      </c>
      <c r="AK4">
        <f t="shared" ref="AK4:AK27" si="15">AK3+AJ4</f>
        <v>-629208.30568968761</v>
      </c>
      <c r="AM4" s="1">
        <f t="shared" ref="AM4:AM27" si="16">$AC$12*((1+$S$44)^AD4)</f>
        <v>11722.653174430536</v>
      </c>
      <c r="AN4">
        <f t="shared" ref="AN4:AN27" si="17">AM4/(1+$S$20)^AD4</f>
        <v>10413.462282777469</v>
      </c>
      <c r="AV4" s="1"/>
      <c r="AW4">
        <f t="shared" si="10"/>
        <v>8.5486164679463485E-3</v>
      </c>
      <c r="AX4">
        <f t="shared" si="11"/>
        <v>66.40351471027769</v>
      </c>
      <c r="AY4">
        <f t="shared" ref="AY4:AY46" si="18">(AW4*$AV$2)*1.1</f>
        <v>73.043866181305461</v>
      </c>
      <c r="AZ4">
        <f t="shared" si="12"/>
        <v>6.6403514710277705</v>
      </c>
    </row>
    <row r="5" spans="1:52" x14ac:dyDescent="0.35">
      <c r="A5" s="1">
        <v>4</v>
      </c>
      <c r="B5" s="62">
        <v>1453.8912212817379</v>
      </c>
      <c r="C5" s="62">
        <v>2</v>
      </c>
      <c r="D5" s="62">
        <v>3494.71</v>
      </c>
      <c r="E5" s="62">
        <v>1453.89</v>
      </c>
      <c r="F5" s="62">
        <v>1292.6199999999999</v>
      </c>
      <c r="G5" s="62">
        <v>127.47</v>
      </c>
      <c r="H5" s="62">
        <v>1638.92</v>
      </c>
      <c r="I5" s="62">
        <v>615.08299999999997</v>
      </c>
      <c r="J5" s="62">
        <v>724.553</v>
      </c>
      <c r="K5" s="62">
        <v>5</v>
      </c>
      <c r="L5" s="62">
        <v>1.2</v>
      </c>
      <c r="M5" s="62">
        <f>(C5*$S$18*1000)+S29</f>
        <v>7240</v>
      </c>
      <c r="N5" s="62">
        <f>$S$38*C5</f>
        <v>71.2</v>
      </c>
      <c r="O5" s="56">
        <f t="shared" si="4"/>
        <v>2.0373650460267088E-2</v>
      </c>
      <c r="P5" s="56">
        <f t="shared" si="0"/>
        <v>1780</v>
      </c>
      <c r="Q5" s="56"/>
      <c r="R5" s="83" t="s">
        <v>303</v>
      </c>
      <c r="S5" s="56">
        <v>0.129</v>
      </c>
      <c r="T5" s="46" t="s">
        <v>6</v>
      </c>
      <c r="U5" s="56"/>
      <c r="V5" s="1">
        <f t="shared" si="13"/>
        <v>335.11357999999996</v>
      </c>
      <c r="W5" s="1">
        <f t="shared" si="5"/>
        <v>-6904.8864199999998</v>
      </c>
      <c r="X5" s="1">
        <f t="shared" si="1"/>
        <v>8377.8394999999982</v>
      </c>
      <c r="Y5" s="1">
        <f t="shared" si="6"/>
        <v>1137.8394999999982</v>
      </c>
      <c r="Z5" s="1">
        <f t="shared" si="2"/>
        <v>0.2195632430246208</v>
      </c>
      <c r="AA5" s="1">
        <f t="shared" si="3"/>
        <v>0.39102201320019814</v>
      </c>
      <c r="AB5" s="1"/>
      <c r="AC5" s="1">
        <f>SUM(M2:M46) + (T10*45/99)+T39+T40+T11+T12+P102</f>
        <v>700053</v>
      </c>
      <c r="AD5" s="1">
        <f t="shared" ref="AD5:AD27" si="19">AD4+1</f>
        <v>3</v>
      </c>
      <c r="AE5">
        <f t="shared" ref="AE5:AE27" si="20">AE4</f>
        <v>37299.235378106816</v>
      </c>
      <c r="AF5">
        <f t="shared" ref="AF5:AF27" si="21">AF4+AE5</f>
        <v>-588155.29386567953</v>
      </c>
      <c r="AG5">
        <f t="shared" si="7"/>
        <v>31228.690772236831</v>
      </c>
      <c r="AH5">
        <f t="shared" si="14"/>
        <v>-600535.8753136067</v>
      </c>
      <c r="AI5">
        <f t="shared" si="8"/>
        <v>40167.196898351554</v>
      </c>
      <c r="AJ5">
        <f t="shared" si="9"/>
        <v>33629.884323645849</v>
      </c>
      <c r="AK5">
        <f t="shared" si="15"/>
        <v>-595578.42136604176</v>
      </c>
      <c r="AM5" s="1">
        <f t="shared" si="16"/>
        <v>12015.719503791299</v>
      </c>
      <c r="AN5">
        <f t="shared" si="17"/>
        <v>10060.130857537142</v>
      </c>
      <c r="AV5" s="2" t="s">
        <v>324</v>
      </c>
      <c r="AW5">
        <f t="shared" si="10"/>
        <v>3.5948977889797666E-3</v>
      </c>
      <c r="AX5">
        <f t="shared" si="11"/>
        <v>27.924266939280454</v>
      </c>
      <c r="AY5">
        <f t="shared" si="18"/>
        <v>30.7166936332085</v>
      </c>
      <c r="AZ5">
        <f t="shared" si="12"/>
        <v>2.7924266939280464</v>
      </c>
    </row>
    <row r="6" spans="1:52" x14ac:dyDescent="0.35">
      <c r="A6" s="1">
        <v>5</v>
      </c>
      <c r="B6" s="1">
        <v>3955.020115733626</v>
      </c>
      <c r="C6" s="1">
        <v>4</v>
      </c>
      <c r="D6" s="1">
        <v>6989.42</v>
      </c>
      <c r="E6" s="1">
        <v>3955.02</v>
      </c>
      <c r="F6" s="1">
        <v>1833.18</v>
      </c>
      <c r="G6" s="1">
        <v>168.476</v>
      </c>
      <c r="H6" s="1">
        <v>3471.67</v>
      </c>
      <c r="I6" s="1">
        <v>1684.57</v>
      </c>
      <c r="J6" s="1">
        <v>2270.4499999999998</v>
      </c>
      <c r="K6" s="1">
        <v>10</v>
      </c>
      <c r="L6" s="1">
        <v>0</v>
      </c>
      <c r="M6" s="1">
        <f>C6*$S$18*1000</f>
        <v>10400</v>
      </c>
      <c r="N6" s="1">
        <f>$S$19*C6</f>
        <v>106</v>
      </c>
      <c r="O6" s="4">
        <f t="shared" si="4"/>
        <v>1.5165779134749377E-2</v>
      </c>
      <c r="P6" s="4">
        <f t="shared" si="0"/>
        <v>2650</v>
      </c>
      <c r="Q6" s="4"/>
      <c r="R6" s="63"/>
      <c r="S6" s="1"/>
      <c r="T6" s="78">
        <f>(T10*45/99)</f>
        <v>13050</v>
      </c>
      <c r="U6" s="4"/>
      <c r="V6" s="1">
        <f t="shared" si="13"/>
        <v>781.50409999999988</v>
      </c>
      <c r="W6" s="1">
        <f t="shared" si="5"/>
        <v>-9618.4958999999999</v>
      </c>
      <c r="X6" s="1">
        <f t="shared" si="1"/>
        <v>19537.602499999997</v>
      </c>
      <c r="Y6" s="1">
        <f t="shared" si="6"/>
        <v>9137.6024999999972</v>
      </c>
      <c r="Z6" s="1">
        <f t="shared" si="2"/>
        <v>0.12034855642204902</v>
      </c>
      <c r="AA6" s="1">
        <f t="shared" si="3"/>
        <v>0.21088797369358894</v>
      </c>
      <c r="AB6" s="1"/>
      <c r="AC6" s="1"/>
      <c r="AD6" s="1">
        <f t="shared" si="19"/>
        <v>4</v>
      </c>
      <c r="AE6">
        <f t="shared" si="20"/>
        <v>37299.235378106816</v>
      </c>
      <c r="AF6">
        <f t="shared" si="21"/>
        <v>-550856.05848757271</v>
      </c>
      <c r="AG6">
        <f t="shared" si="7"/>
        <v>29433.261802296729</v>
      </c>
      <c r="AH6">
        <f t="shared" si="14"/>
        <v>-571102.61351130996</v>
      </c>
      <c r="AI6">
        <f t="shared" si="8"/>
        <v>41171.376820810343</v>
      </c>
      <c r="AJ6">
        <f t="shared" si="9"/>
        <v>32488.813790515542</v>
      </c>
      <c r="AK6">
        <f t="shared" si="15"/>
        <v>-563089.60757552623</v>
      </c>
      <c r="AM6" s="1">
        <f t="shared" si="16"/>
        <v>12316.112491386079</v>
      </c>
      <c r="AN6">
        <f t="shared" si="17"/>
        <v>9718.7880574699029</v>
      </c>
      <c r="AV6" s="1">
        <f>SUM(AY2:AY46)</f>
        <v>3563.2020467060506</v>
      </c>
      <c r="AW6">
        <f t="shared" si="10"/>
        <v>9.7792000263176096E-3</v>
      </c>
      <c r="AX6">
        <f t="shared" si="11"/>
        <v>75.962380022217744</v>
      </c>
      <c r="AY6">
        <f t="shared" si="18"/>
        <v>83.558618024439525</v>
      </c>
      <c r="AZ6">
        <f t="shared" si="12"/>
        <v>7.5962380022217815</v>
      </c>
    </row>
    <row r="7" spans="1:52" ht="29" x14ac:dyDescent="0.35">
      <c r="A7" s="1">
        <v>6</v>
      </c>
      <c r="B7" s="62">
        <v>2105.0165005377999</v>
      </c>
      <c r="C7" s="62">
        <v>2</v>
      </c>
      <c r="D7" s="62">
        <v>3494.71</v>
      </c>
      <c r="E7" s="62">
        <v>2105.02</v>
      </c>
      <c r="F7" s="62">
        <v>1453.58</v>
      </c>
      <c r="G7" s="62">
        <v>145.85</v>
      </c>
      <c r="H7" s="62">
        <v>1123.08</v>
      </c>
      <c r="I7" s="62">
        <v>912.81600000000003</v>
      </c>
      <c r="J7" s="62">
        <v>775.86</v>
      </c>
      <c r="K7" s="62">
        <v>5</v>
      </c>
      <c r="L7" s="62">
        <v>4.2</v>
      </c>
      <c r="M7" s="62">
        <f>(C7*$S$18*1000)+S32</f>
        <v>9904</v>
      </c>
      <c r="N7" s="62">
        <f>$S$38*C7</f>
        <v>71.2</v>
      </c>
      <c r="O7" s="56">
        <f t="shared" si="4"/>
        <v>2.0373650460267088E-2</v>
      </c>
      <c r="P7" s="56">
        <f t="shared" si="0"/>
        <v>1780</v>
      </c>
      <c r="Q7" s="56"/>
      <c r="R7" s="84"/>
      <c r="S7" s="62"/>
      <c r="T7" s="85"/>
      <c r="U7" s="56"/>
      <c r="V7" s="1">
        <f t="shared" si="13"/>
        <v>407.59478000000001</v>
      </c>
      <c r="W7" s="1">
        <f t="shared" si="5"/>
        <v>-9496.4052200000006</v>
      </c>
      <c r="X7" s="1">
        <f t="shared" si="1"/>
        <v>10189.869500000001</v>
      </c>
      <c r="Y7" s="1">
        <f t="shared" si="6"/>
        <v>285.8695000000007</v>
      </c>
      <c r="Z7" s="1">
        <f t="shared" si="2"/>
        <v>0.20857170016618964</v>
      </c>
      <c r="AA7" s="1">
        <f t="shared" si="3"/>
        <v>0.37056915061829859</v>
      </c>
      <c r="AB7" s="1"/>
      <c r="AC7" s="73" t="s">
        <v>286</v>
      </c>
      <c r="AD7" s="1">
        <f t="shared" si="19"/>
        <v>5</v>
      </c>
      <c r="AE7">
        <f t="shared" si="20"/>
        <v>37299.235378106816</v>
      </c>
      <c r="AF7">
        <f t="shared" si="21"/>
        <v>-513556.82310946588</v>
      </c>
      <c r="AG7">
        <f t="shared" si="7"/>
        <v>27741.057306594466</v>
      </c>
      <c r="AH7">
        <f t="shared" si="14"/>
        <v>-543361.55620471551</v>
      </c>
      <c r="AI7">
        <f t="shared" si="8"/>
        <v>42200.661241330592</v>
      </c>
      <c r="AJ7">
        <f t="shared" si="9"/>
        <v>31386.460070950448</v>
      </c>
      <c r="AK7">
        <f t="shared" si="15"/>
        <v>-531703.14750457578</v>
      </c>
      <c r="AM7" s="1">
        <f t="shared" si="16"/>
        <v>12624.015303670731</v>
      </c>
      <c r="AN7">
        <f t="shared" si="17"/>
        <v>9389.0271054728109</v>
      </c>
      <c r="AV7" s="1"/>
      <c r="AW7">
        <f t="shared" si="10"/>
        <v>5.2048730006623049E-3</v>
      </c>
      <c r="AX7">
        <f t="shared" si="11"/>
        <v>40.430151728123555</v>
      </c>
      <c r="AY7">
        <f t="shared" si="18"/>
        <v>44.473166900935915</v>
      </c>
      <c r="AZ7">
        <f t="shared" si="12"/>
        <v>4.0430151728123604</v>
      </c>
    </row>
    <row r="8" spans="1:52" x14ac:dyDescent="0.35">
      <c r="A8" s="1">
        <v>7</v>
      </c>
      <c r="B8" s="1">
        <v>1617.7934488334181</v>
      </c>
      <c r="C8" s="1">
        <v>2</v>
      </c>
      <c r="D8" s="1">
        <v>3494.71</v>
      </c>
      <c r="E8" s="1">
        <v>1617.79</v>
      </c>
      <c r="F8" s="1">
        <v>1038.05</v>
      </c>
      <c r="G8" s="1">
        <v>96.850499999999997</v>
      </c>
      <c r="H8" s="1">
        <v>1831.46</v>
      </c>
      <c r="I8" s="1">
        <v>625.19600000000003</v>
      </c>
      <c r="J8" s="1">
        <v>992.59699999999998</v>
      </c>
      <c r="K8" s="1">
        <v>5</v>
      </c>
      <c r="L8" s="1">
        <v>0</v>
      </c>
      <c r="M8" s="1">
        <f>C8*$S$18*1000</f>
        <v>5200</v>
      </c>
      <c r="N8" s="1">
        <f>$S$19*C8</f>
        <v>53</v>
      </c>
      <c r="O8" s="4">
        <f t="shared" si="4"/>
        <v>1.5165779134749377E-2</v>
      </c>
      <c r="P8" s="4">
        <f t="shared" si="0"/>
        <v>1325</v>
      </c>
      <c r="Q8" s="4"/>
      <c r="R8" s="65"/>
      <c r="S8" s="1"/>
      <c r="T8" s="78">
        <v>25</v>
      </c>
      <c r="U8" s="4"/>
      <c r="V8" s="1">
        <f t="shared" si="13"/>
        <v>347.60841499999998</v>
      </c>
      <c r="W8" s="1">
        <f t="shared" si="5"/>
        <v>-4852.3915850000003</v>
      </c>
      <c r="X8" s="1">
        <f t="shared" si="1"/>
        <v>8690.2103749999987</v>
      </c>
      <c r="Y8" s="1">
        <f t="shared" si="6"/>
        <v>3490.2103749999987</v>
      </c>
      <c r="Z8" s="1">
        <f t="shared" si="2"/>
        <v>0.14373596227524091</v>
      </c>
      <c r="AA8" s="1">
        <f t="shared" si="3"/>
        <v>0.25440683216717741</v>
      </c>
      <c r="AB8" s="1"/>
      <c r="AC8" s="1">
        <f>J131</f>
        <v>37299.235378106816</v>
      </c>
      <c r="AD8" s="1">
        <f t="shared" si="19"/>
        <v>6</v>
      </c>
      <c r="AE8">
        <f t="shared" si="20"/>
        <v>37299.235378106816</v>
      </c>
      <c r="AF8">
        <f t="shared" si="21"/>
        <v>-476257.58773135906</v>
      </c>
      <c r="AG8">
        <f t="shared" si="7"/>
        <v>26146.142607534839</v>
      </c>
      <c r="AH8">
        <f t="shared" si="14"/>
        <v>-517215.41359718068</v>
      </c>
      <c r="AI8">
        <f t="shared" si="8"/>
        <v>43255.677772363859</v>
      </c>
      <c r="AJ8">
        <f t="shared" si="9"/>
        <v>30321.509493613768</v>
      </c>
      <c r="AK8">
        <f t="shared" si="15"/>
        <v>-501381.63801096199</v>
      </c>
      <c r="AM8" s="1">
        <f t="shared" si="16"/>
        <v>12939.615686262498</v>
      </c>
      <c r="AN8">
        <f t="shared" si="17"/>
        <v>9070.4550264935242</v>
      </c>
      <c r="AV8" s="1"/>
      <c r="AW8">
        <f t="shared" si="10"/>
        <v>4.0001631532722544E-3</v>
      </c>
      <c r="AX8">
        <f t="shared" si="11"/>
        <v>31.072266932059073</v>
      </c>
      <c r="AY8">
        <f t="shared" si="18"/>
        <v>34.179493625264982</v>
      </c>
      <c r="AZ8">
        <f t="shared" si="12"/>
        <v>3.1072266932059094</v>
      </c>
    </row>
    <row r="9" spans="1:52" x14ac:dyDescent="0.35">
      <c r="A9" s="1">
        <v>8</v>
      </c>
      <c r="B9" s="62">
        <v>10161.74794678937</v>
      </c>
      <c r="C9" s="62">
        <v>10</v>
      </c>
      <c r="D9" s="62">
        <v>17473.5</v>
      </c>
      <c r="E9" s="62">
        <v>10161.700000000001</v>
      </c>
      <c r="F9" s="62">
        <v>6690.31</v>
      </c>
      <c r="G9" s="62">
        <v>666.70799999999997</v>
      </c>
      <c r="H9" s="62">
        <v>7473.12</v>
      </c>
      <c r="I9" s="62">
        <v>3557.92</v>
      </c>
      <c r="J9" s="62">
        <v>5438.81</v>
      </c>
      <c r="K9" s="62">
        <v>25</v>
      </c>
      <c r="L9" s="62">
        <v>9.6999999999999993</v>
      </c>
      <c r="M9" s="62">
        <f>(C9*$S$18*1000)+S35</f>
        <v>34000</v>
      </c>
      <c r="N9" s="62">
        <f>$S$38*C9</f>
        <v>356</v>
      </c>
      <c r="O9" s="56">
        <f t="shared" si="4"/>
        <v>2.0373708758977881E-2</v>
      </c>
      <c r="P9" s="56">
        <f t="shared" si="0"/>
        <v>8900</v>
      </c>
      <c r="Q9" s="56"/>
      <c r="R9" s="65"/>
      <c r="S9" s="1" t="s">
        <v>314</v>
      </c>
      <c r="T9" s="78" t="s">
        <v>315</v>
      </c>
      <c r="U9" s="56"/>
      <c r="V9" s="1">
        <f t="shared" si="13"/>
        <v>2061.2011499999999</v>
      </c>
      <c r="W9" s="1">
        <f t="shared" si="5"/>
        <v>-31938.798849999999</v>
      </c>
      <c r="X9" s="1">
        <f t="shared" si="1"/>
        <v>51530.028749999998</v>
      </c>
      <c r="Y9" s="1">
        <f t="shared" si="6"/>
        <v>17530.028749999998</v>
      </c>
      <c r="Z9" s="1">
        <f t="shared" si="2"/>
        <v>0.15420895119182088</v>
      </c>
      <c r="AA9" s="1">
        <f t="shared" si="3"/>
        <v>0.26941188814381944</v>
      </c>
      <c r="AB9" s="1"/>
      <c r="AC9" s="1"/>
      <c r="AD9" s="1">
        <f t="shared" si="19"/>
        <v>7</v>
      </c>
      <c r="AE9">
        <f t="shared" si="20"/>
        <v>37299.235378106816</v>
      </c>
      <c r="AF9">
        <f t="shared" si="21"/>
        <v>-438958.35235325224</v>
      </c>
      <c r="AG9">
        <f t="shared" si="7"/>
        <v>24642.924229533313</v>
      </c>
      <c r="AH9">
        <f t="shared" si="14"/>
        <v>-492572.48936764739</v>
      </c>
      <c r="AI9">
        <f t="shared" si="8"/>
        <v>44337.069716672959</v>
      </c>
      <c r="AJ9">
        <f t="shared" si="9"/>
        <v>29292.692960371463</v>
      </c>
      <c r="AK9">
        <f t="shared" si="15"/>
        <v>-472088.94505059056</v>
      </c>
      <c r="AM9" s="1">
        <f t="shared" si="16"/>
        <v>13263.106078419061</v>
      </c>
      <c r="AN9">
        <f t="shared" si="17"/>
        <v>8762.6921792232461</v>
      </c>
      <c r="AV9" s="6" t="s">
        <v>323</v>
      </c>
      <c r="AW9">
        <f t="shared" si="10"/>
        <v>2.512598239218878E-2</v>
      </c>
      <c r="AX9">
        <f t="shared" si="11"/>
        <v>195.17234720330151</v>
      </c>
      <c r="AY9">
        <f t="shared" si="18"/>
        <v>214.68958192363169</v>
      </c>
      <c r="AZ9">
        <f t="shared" si="12"/>
        <v>19.51723472033018</v>
      </c>
    </row>
    <row r="10" spans="1:52" x14ac:dyDescent="0.35">
      <c r="A10" s="1">
        <v>9</v>
      </c>
      <c r="B10" s="62">
        <v>5057.043251595851</v>
      </c>
      <c r="C10" s="62">
        <v>4</v>
      </c>
      <c r="D10" s="62">
        <v>6989.42</v>
      </c>
      <c r="E10" s="62">
        <v>5057.04</v>
      </c>
      <c r="F10" s="62">
        <v>2433.36</v>
      </c>
      <c r="G10" s="62">
        <v>235.053</v>
      </c>
      <c r="H10" s="62">
        <v>2459.33</v>
      </c>
      <c r="I10" s="62">
        <v>2123.7399999999998</v>
      </c>
      <c r="J10" s="62">
        <v>1740.61</v>
      </c>
      <c r="K10" s="62">
        <v>10</v>
      </c>
      <c r="L10" s="62">
        <v>6</v>
      </c>
      <c r="M10" s="62">
        <f>(C10*$S$18*1000)+S34</f>
        <v>14600</v>
      </c>
      <c r="N10" s="62">
        <f>$S$38*C10</f>
        <v>142.4</v>
      </c>
      <c r="O10" s="56">
        <f t="shared" si="4"/>
        <v>2.0373650460267088E-2</v>
      </c>
      <c r="P10" s="56">
        <f t="shared" si="0"/>
        <v>3560</v>
      </c>
      <c r="Q10" s="56"/>
      <c r="R10" s="50" t="s">
        <v>319</v>
      </c>
      <c r="S10" s="1">
        <f>200+90</f>
        <v>290</v>
      </c>
      <c r="T10" s="78">
        <f>S10*99</f>
        <v>28710</v>
      </c>
      <c r="U10" s="56"/>
      <c r="V10" s="1">
        <f t="shared" si="13"/>
        <v>834.02724999999998</v>
      </c>
      <c r="W10" s="1">
        <f t="shared" si="5"/>
        <v>-13765.972750000001</v>
      </c>
      <c r="X10" s="1">
        <f t="shared" si="1"/>
        <v>20850.681249999998</v>
      </c>
      <c r="Y10" s="1">
        <f t="shared" si="6"/>
        <v>6250.6812499999978</v>
      </c>
      <c r="Z10" s="1">
        <f t="shared" si="2"/>
        <v>0.1358561509936978</v>
      </c>
      <c r="AA10" s="1">
        <f t="shared" si="3"/>
        <v>0.23526138227788448</v>
      </c>
      <c r="AB10" s="1"/>
      <c r="AC10" s="1"/>
      <c r="AD10" s="1">
        <f t="shared" si="19"/>
        <v>8</v>
      </c>
      <c r="AE10">
        <f t="shared" si="20"/>
        <v>37299.235378106816</v>
      </c>
      <c r="AF10">
        <f t="shared" si="21"/>
        <v>-401659.11697514541</v>
      </c>
      <c r="AG10">
        <f t="shared" si="7"/>
        <v>23226.130282312264</v>
      </c>
      <c r="AH10">
        <f t="shared" si="14"/>
        <v>-469346.35908533511</v>
      </c>
      <c r="AI10">
        <f t="shared" si="8"/>
        <v>45445.496459589776</v>
      </c>
      <c r="AJ10">
        <f t="shared" si="9"/>
        <v>28298.784433912107</v>
      </c>
      <c r="AK10">
        <f t="shared" si="15"/>
        <v>-443790.16061667842</v>
      </c>
      <c r="AM10" s="1">
        <f t="shared" si="16"/>
        <v>13594.683730379536</v>
      </c>
      <c r="AN10">
        <f t="shared" si="17"/>
        <v>8465.3718036793853</v>
      </c>
      <c r="AV10" s="1">
        <f>AV2-AV6</f>
        <v>4204.5478528551757</v>
      </c>
      <c r="AW10">
        <f t="shared" si="10"/>
        <v>1.2504067249205919E-2</v>
      </c>
      <c r="AX10">
        <f t="shared" si="11"/>
        <v>97.128467119126086</v>
      </c>
      <c r="AY10">
        <f t="shared" si="18"/>
        <v>106.8413138310387</v>
      </c>
      <c r="AZ10">
        <f t="shared" si="12"/>
        <v>9.7128467119126185</v>
      </c>
    </row>
    <row r="11" spans="1:52" ht="43.5" x14ac:dyDescent="0.35">
      <c r="A11" s="1">
        <v>10</v>
      </c>
      <c r="B11" s="1">
        <v>507.10444675644749</v>
      </c>
      <c r="C11" s="1">
        <v>2</v>
      </c>
      <c r="D11" s="1">
        <v>3494.71</v>
      </c>
      <c r="E11" s="1">
        <v>507.10399999999998</v>
      </c>
      <c r="F11" s="1">
        <v>1300.33</v>
      </c>
      <c r="G11" s="1">
        <v>126.497</v>
      </c>
      <c r="H11" s="1">
        <v>1951.2</v>
      </c>
      <c r="I11" s="1">
        <v>243.18299999999999</v>
      </c>
      <c r="J11" s="1">
        <v>263.92099999999999</v>
      </c>
      <c r="K11" s="1">
        <v>5</v>
      </c>
      <c r="L11" s="1">
        <v>0</v>
      </c>
      <c r="M11" s="1">
        <f>C11*$S$18*1000</f>
        <v>5200</v>
      </c>
      <c r="N11" s="1">
        <f>$S$19*C11</f>
        <v>53</v>
      </c>
      <c r="O11" s="4">
        <f t="shared" si="4"/>
        <v>1.5165779134749377E-2</v>
      </c>
      <c r="P11" s="4">
        <f t="shared" si="0"/>
        <v>1325</v>
      </c>
      <c r="Q11" s="4"/>
      <c r="R11" s="65" t="s">
        <v>316</v>
      </c>
      <c r="S11" s="1"/>
      <c r="T11" s="78">
        <v>0</v>
      </c>
      <c r="U11" s="4"/>
      <c r="V11" s="1">
        <f t="shared" si="13"/>
        <v>205.09811999999999</v>
      </c>
      <c r="W11" s="1">
        <f t="shared" si="5"/>
        <v>-4994.9018800000003</v>
      </c>
      <c r="X11" s="1">
        <f t="shared" si="1"/>
        <v>5127.4529999999995</v>
      </c>
      <c r="Y11" s="1">
        <f t="shared" si="6"/>
        <v>-72.54700000000048</v>
      </c>
      <c r="Z11" s="1">
        <f t="shared" si="2"/>
        <v>0.42533769012944511</v>
      </c>
      <c r="AA11" s="1">
        <f t="shared" si="3"/>
        <v>0.7784061939318998</v>
      </c>
      <c r="AB11" s="1"/>
      <c r="AC11" s="73" t="s">
        <v>352</v>
      </c>
      <c r="AD11" s="1">
        <f t="shared" si="19"/>
        <v>9</v>
      </c>
      <c r="AE11">
        <f t="shared" si="20"/>
        <v>37299.235378106816</v>
      </c>
      <c r="AF11">
        <f t="shared" si="21"/>
        <v>-364359.88159703859</v>
      </c>
      <c r="AG11">
        <f t="shared" si="7"/>
        <v>21890.791972019098</v>
      </c>
      <c r="AH11">
        <f t="shared" si="14"/>
        <v>-447455.56711331604</v>
      </c>
      <c r="AI11">
        <f t="shared" si="8"/>
        <v>46581.63387107951</v>
      </c>
      <c r="AJ11">
        <f t="shared" si="9"/>
        <v>27338.599476682284</v>
      </c>
      <c r="AK11">
        <f t="shared" si="15"/>
        <v>-416451.56113999616</v>
      </c>
      <c r="AM11" s="1">
        <f t="shared" si="16"/>
        <v>13934.550823639021</v>
      </c>
      <c r="AN11">
        <f t="shared" si="17"/>
        <v>8178.1395841388949</v>
      </c>
      <c r="AV11" s="1" t="s">
        <v>6</v>
      </c>
      <c r="AW11">
        <f t="shared" si="10"/>
        <v>1.2538686717011949E-3</v>
      </c>
      <c r="AX11">
        <f t="shared" si="11"/>
        <v>9.7397382486699247</v>
      </c>
      <c r="AY11">
        <f t="shared" si="18"/>
        <v>10.713712073536918</v>
      </c>
      <c r="AZ11">
        <f t="shared" si="12"/>
        <v>0.97397382486699335</v>
      </c>
    </row>
    <row r="12" spans="1:52" x14ac:dyDescent="0.35">
      <c r="A12" s="1">
        <v>11</v>
      </c>
      <c r="B12" s="1">
        <v>480.82648360578531</v>
      </c>
      <c r="C12" s="1">
        <v>2</v>
      </c>
      <c r="D12" s="1">
        <v>3494.71</v>
      </c>
      <c r="E12" s="1">
        <v>480.82600000000002</v>
      </c>
      <c r="F12" s="1">
        <v>1315.33</v>
      </c>
      <c r="G12" s="1">
        <v>128.179</v>
      </c>
      <c r="H12" s="1">
        <v>1959.92</v>
      </c>
      <c r="I12" s="1">
        <v>219.46199999999999</v>
      </c>
      <c r="J12" s="1">
        <v>261.36500000000001</v>
      </c>
      <c r="K12" s="1">
        <v>5</v>
      </c>
      <c r="L12" s="1">
        <v>0</v>
      </c>
      <c r="M12" s="1">
        <f>C12*$S$18*1000</f>
        <v>5200</v>
      </c>
      <c r="N12" s="1">
        <f>$S$19*C12</f>
        <v>53</v>
      </c>
      <c r="O12" s="4">
        <f t="shared" si="4"/>
        <v>1.5165779134749377E-2</v>
      </c>
      <c r="P12" s="4">
        <f t="shared" si="0"/>
        <v>1325</v>
      </c>
      <c r="Q12" s="4"/>
      <c r="R12" s="65" t="s">
        <v>317</v>
      </c>
      <c r="S12" s="1"/>
      <c r="T12" s="78">
        <v>0</v>
      </c>
      <c r="U12" s="4"/>
      <c r="V12" s="1">
        <f t="shared" si="13"/>
        <v>202.70718499999998</v>
      </c>
      <c r="W12" s="1">
        <f t="shared" si="5"/>
        <v>-4997.2928149999998</v>
      </c>
      <c r="X12" s="1">
        <f t="shared" si="1"/>
        <v>5067.6796249999998</v>
      </c>
      <c r="Y12" s="1">
        <f t="shared" si="6"/>
        <v>-132.32037500000024</v>
      </c>
      <c r="Z12" s="1">
        <f t="shared" si="2"/>
        <v>0.44775426394569157</v>
      </c>
      <c r="AA12" s="1">
        <f t="shared" si="3"/>
        <v>0.82011854584881139</v>
      </c>
      <c r="AB12" s="1"/>
      <c r="AC12" s="1">
        <f>SUM(G2:G46)+J128</f>
        <v>11157.790052997536</v>
      </c>
      <c r="AD12" s="1">
        <f t="shared" si="19"/>
        <v>10</v>
      </c>
      <c r="AE12">
        <f t="shared" si="20"/>
        <v>37299.235378106816</v>
      </c>
      <c r="AF12">
        <f t="shared" si="21"/>
        <v>-327060.64621893177</v>
      </c>
      <c r="AG12">
        <f t="shared" si="7"/>
        <v>20632.226175324315</v>
      </c>
      <c r="AH12">
        <f t="shared" si="14"/>
        <v>-426823.34093799174</v>
      </c>
      <c r="AI12">
        <f t="shared" si="8"/>
        <v>47746.174717856498</v>
      </c>
      <c r="AJ12">
        <f t="shared" si="9"/>
        <v>26410.993839396171</v>
      </c>
      <c r="AK12">
        <f t="shared" si="15"/>
        <v>-390040.5673006</v>
      </c>
      <c r="AM12" s="1">
        <f t="shared" si="16"/>
        <v>14282.914594229998</v>
      </c>
      <c r="AN12">
        <f t="shared" si="17"/>
        <v>7900.6532269013833</v>
      </c>
      <c r="AV12" s="1"/>
      <c r="AW12">
        <f t="shared" si="10"/>
        <v>1.1888936651488298E-3</v>
      </c>
      <c r="AX12">
        <f t="shared" si="11"/>
        <v>9.2350286480488002</v>
      </c>
      <c r="AY12">
        <f t="shared" si="18"/>
        <v>10.158531512853681</v>
      </c>
      <c r="AZ12">
        <f t="shared" si="12"/>
        <v>0.92350286480488109</v>
      </c>
    </row>
    <row r="13" spans="1:52" x14ac:dyDescent="0.35">
      <c r="A13" s="1">
        <v>12</v>
      </c>
      <c r="B13" s="1">
        <v>569.06841271947087</v>
      </c>
      <c r="C13" s="1">
        <v>2</v>
      </c>
      <c r="D13" s="1">
        <v>3497.79</v>
      </c>
      <c r="E13" s="1">
        <v>569.06799999999998</v>
      </c>
      <c r="F13" s="1">
        <v>1277.03</v>
      </c>
      <c r="G13" s="1">
        <v>123.822</v>
      </c>
      <c r="H13" s="1">
        <v>1953.43</v>
      </c>
      <c r="I13" s="1">
        <v>267.33100000000002</v>
      </c>
      <c r="J13" s="1">
        <v>301.738</v>
      </c>
      <c r="K13" s="1">
        <v>5</v>
      </c>
      <c r="L13" s="1">
        <v>0</v>
      </c>
      <c r="M13" s="1">
        <f>C13*$S$18*1000</f>
        <v>5200</v>
      </c>
      <c r="N13" s="1">
        <f>$S$19*C13</f>
        <v>53</v>
      </c>
      <c r="O13" s="4">
        <f t="shared" si="4"/>
        <v>1.5152424816812901E-2</v>
      </c>
      <c r="P13" s="4">
        <f t="shared" si="0"/>
        <v>1325</v>
      </c>
      <c r="Q13" s="4"/>
      <c r="R13" s="65" t="s">
        <v>318</v>
      </c>
      <c r="T13" s="78">
        <v>0</v>
      </c>
      <c r="U13" s="4"/>
      <c r="V13" s="1">
        <f t="shared" si="13"/>
        <v>212.02769499999999</v>
      </c>
      <c r="W13" s="1">
        <f t="shared" si="5"/>
        <v>-4987.9723050000002</v>
      </c>
      <c r="X13" s="1">
        <f t="shared" si="1"/>
        <v>5300.6923749999996</v>
      </c>
      <c r="Y13" s="1">
        <f t="shared" si="6"/>
        <v>100.69237499999963</v>
      </c>
      <c r="Z13" s="1">
        <f t="shared" si="2"/>
        <v>0.38066208121472672</v>
      </c>
      <c r="AA13" s="1">
        <f t="shared" si="3"/>
        <v>0.69528613042571619</v>
      </c>
      <c r="AB13" s="1"/>
      <c r="AC13" s="1"/>
      <c r="AD13" s="1">
        <f t="shared" si="19"/>
        <v>11</v>
      </c>
      <c r="AE13">
        <f t="shared" si="20"/>
        <v>37299.235378106816</v>
      </c>
      <c r="AF13">
        <f t="shared" si="21"/>
        <v>-289761.41084082494</v>
      </c>
      <c r="AG13">
        <f t="shared" si="7"/>
        <v>19446.019015385787</v>
      </c>
      <c r="AH13">
        <f t="shared" si="14"/>
        <v>-407377.32192260597</v>
      </c>
      <c r="AI13">
        <f t="shared" si="8"/>
        <v>48939.829085802914</v>
      </c>
      <c r="AJ13">
        <f t="shared" si="9"/>
        <v>25514.862097437403</v>
      </c>
      <c r="AK13">
        <f t="shared" si="15"/>
        <v>-364525.70520316262</v>
      </c>
      <c r="AM13" s="1">
        <f t="shared" si="16"/>
        <v>14639.987459085747</v>
      </c>
      <c r="AN13">
        <f t="shared" si="17"/>
        <v>7632.5820523788116</v>
      </c>
      <c r="AR13" t="s">
        <v>398</v>
      </c>
      <c r="AV13" s="2" t="s">
        <v>325</v>
      </c>
      <c r="AW13">
        <f t="shared" si="10"/>
        <v>1.4070810447977958E-3</v>
      </c>
      <c r="AX13">
        <f t="shared" si="11"/>
        <v>10.929853644402582</v>
      </c>
      <c r="AY13">
        <f t="shared" si="18"/>
        <v>12.022839008842842</v>
      </c>
      <c r="AZ13">
        <f t="shared" si="12"/>
        <v>1.0929853644402598</v>
      </c>
    </row>
    <row r="14" spans="1:52" x14ac:dyDescent="0.35">
      <c r="A14" s="1">
        <v>13</v>
      </c>
      <c r="B14" s="62">
        <v>4563.0069277860366</v>
      </c>
      <c r="C14" s="62">
        <v>6</v>
      </c>
      <c r="D14" s="62">
        <v>10493.4</v>
      </c>
      <c r="E14" s="62">
        <v>4563.01</v>
      </c>
      <c r="F14" s="62">
        <v>4058.52</v>
      </c>
      <c r="G14" s="62">
        <v>405.589</v>
      </c>
      <c r="H14" s="62">
        <v>4703.5600000000004</v>
      </c>
      <c r="I14" s="62">
        <v>1886.93</v>
      </c>
      <c r="J14" s="62">
        <v>2197.59</v>
      </c>
      <c r="K14" s="62">
        <v>15</v>
      </c>
      <c r="L14" s="62">
        <v>5</v>
      </c>
      <c r="M14" s="62">
        <f>(C14*$S$18*1000)+S33</f>
        <v>19100</v>
      </c>
      <c r="N14" s="62">
        <f>$S$38*C14</f>
        <v>213.60000000000002</v>
      </c>
      <c r="O14" s="56">
        <f t="shared" si="4"/>
        <v>2.0355652124192353E-2</v>
      </c>
      <c r="P14" s="56">
        <f t="shared" si="0"/>
        <v>5340.0000000000009</v>
      </c>
      <c r="Q14" s="56"/>
      <c r="R14" s="65"/>
      <c r="S14" s="1"/>
      <c r="T14" s="78"/>
      <c r="U14" s="56"/>
      <c r="V14" s="1">
        <f t="shared" si="13"/>
        <v>1038.6895999999999</v>
      </c>
      <c r="W14" s="1">
        <f t="shared" si="5"/>
        <v>-18061.310399999998</v>
      </c>
      <c r="X14" s="1">
        <f t="shared" si="1"/>
        <v>25967.239999999998</v>
      </c>
      <c r="Y14" s="1">
        <f t="shared" si="6"/>
        <v>6867.239999999998</v>
      </c>
      <c r="Z14" s="1">
        <f t="shared" si="2"/>
        <v>0.18778910381318453</v>
      </c>
      <c r="AA14" s="1">
        <f t="shared" si="3"/>
        <v>0.33191276681817639</v>
      </c>
      <c r="AB14" s="1"/>
      <c r="AC14" s="1"/>
      <c r="AD14" s="1">
        <f t="shared" si="19"/>
        <v>12</v>
      </c>
      <c r="AE14">
        <f t="shared" si="20"/>
        <v>37299.235378106816</v>
      </c>
      <c r="AF14">
        <f t="shared" si="21"/>
        <v>-252462.17546271812</v>
      </c>
      <c r="AG14">
        <f t="shared" si="7"/>
        <v>18328.01038207897</v>
      </c>
      <c r="AH14">
        <f t="shared" si="14"/>
        <v>-389049.31154052698</v>
      </c>
      <c r="AI14">
        <f t="shared" si="8"/>
        <v>50163.324812947983</v>
      </c>
      <c r="AJ14">
        <f t="shared" si="9"/>
        <v>24649.13633352812</v>
      </c>
      <c r="AK14">
        <f t="shared" si="15"/>
        <v>-339876.56886963453</v>
      </c>
      <c r="AM14" s="1">
        <f t="shared" si="16"/>
        <v>15005.987145562889</v>
      </c>
      <c r="AN14">
        <f t="shared" si="17"/>
        <v>7373.6066010257118</v>
      </c>
      <c r="AV14" s="1">
        <f>AV6/45</f>
        <v>79.182267704578905</v>
      </c>
      <c r="AW14">
        <f t="shared" si="10"/>
        <v>1.1282510875425851E-2</v>
      </c>
      <c r="AX14">
        <f t="shared" si="11"/>
        <v>87.639722719387592</v>
      </c>
      <c r="AY14">
        <f t="shared" si="18"/>
        <v>96.403694991326361</v>
      </c>
      <c r="AZ14">
        <f t="shared" si="12"/>
        <v>8.7639722719387692</v>
      </c>
    </row>
    <row r="15" spans="1:52" x14ac:dyDescent="0.35">
      <c r="A15" s="1">
        <v>14</v>
      </c>
      <c r="B15" s="62">
        <v>2172.7675547581462</v>
      </c>
      <c r="C15" s="62">
        <v>2</v>
      </c>
      <c r="D15" s="62">
        <v>3497.79</v>
      </c>
      <c r="E15" s="62">
        <v>2172.77</v>
      </c>
      <c r="F15" s="62">
        <v>1243.8900000000001</v>
      </c>
      <c r="G15" s="62">
        <v>122.795</v>
      </c>
      <c r="H15" s="62">
        <v>1461.09</v>
      </c>
      <c r="I15" s="62">
        <v>834.95399999999995</v>
      </c>
      <c r="J15" s="62">
        <v>850.149</v>
      </c>
      <c r="K15" s="62">
        <v>5</v>
      </c>
      <c r="L15" s="62">
        <v>2</v>
      </c>
      <c r="M15" s="62">
        <f>(C15*$S$18*1000)+S30</f>
        <v>8600</v>
      </c>
      <c r="N15" s="62">
        <f>$S$38*C15</f>
        <v>71.2</v>
      </c>
      <c r="O15" s="56">
        <f t="shared" si="4"/>
        <v>2.0355710319944882E-2</v>
      </c>
      <c r="P15" s="56">
        <f t="shared" si="0"/>
        <v>1780</v>
      </c>
      <c r="Q15" s="56"/>
      <c r="R15" s="63" t="s">
        <v>313</v>
      </c>
      <c r="S15" s="4">
        <v>45</v>
      </c>
      <c r="T15" s="46"/>
      <c r="U15" s="56"/>
      <c r="V15" s="1">
        <f t="shared" si="13"/>
        <v>383.98596500000002</v>
      </c>
      <c r="W15" s="1">
        <f t="shared" si="5"/>
        <v>-8216.0140350000001</v>
      </c>
      <c r="X15" s="1">
        <f t="shared" si="1"/>
        <v>9599.6491249999999</v>
      </c>
      <c r="Y15" s="1">
        <f t="shared" si="6"/>
        <v>999.64912499999991</v>
      </c>
      <c r="Z15" s="1">
        <f t="shared" si="2"/>
        <v>0.1786791348605378</v>
      </c>
      <c r="AA15" s="1">
        <f t="shared" si="3"/>
        <v>0.31496105256638202</v>
      </c>
      <c r="AB15" s="1"/>
      <c r="AC15" s="1"/>
      <c r="AD15" s="1">
        <f t="shared" si="19"/>
        <v>13</v>
      </c>
      <c r="AE15">
        <f t="shared" si="20"/>
        <v>37299.235378106816</v>
      </c>
      <c r="AF15">
        <f t="shared" si="21"/>
        <v>-215162.9400846113</v>
      </c>
      <c r="AG15">
        <f t="shared" si="7"/>
        <v>17274.279342204492</v>
      </c>
      <c r="AH15">
        <f t="shared" si="14"/>
        <v>-371775.03219832247</v>
      </c>
      <c r="AI15">
        <f t="shared" si="8"/>
        <v>51417.407933271679</v>
      </c>
      <c r="AJ15">
        <f t="shared" si="9"/>
        <v>23812.784865095495</v>
      </c>
      <c r="AK15">
        <f t="shared" si="15"/>
        <v>-316063.78400453902</v>
      </c>
      <c r="AM15" s="1">
        <f t="shared" si="16"/>
        <v>15381.136824201962</v>
      </c>
      <c r="AN15">
        <f t="shared" si="17"/>
        <v>7123.4182526402956</v>
      </c>
      <c r="AV15" s="1"/>
      <c r="AW15">
        <f t="shared" si="10"/>
        <v>5.3723945534804394E-3</v>
      </c>
      <c r="AX15">
        <f t="shared" si="11"/>
        <v>41.731417253200959</v>
      </c>
      <c r="AY15">
        <f t="shared" si="18"/>
        <v>45.904558978521059</v>
      </c>
      <c r="AZ15">
        <f t="shared" si="12"/>
        <v>4.1731417253201002</v>
      </c>
    </row>
    <row r="16" spans="1:52" x14ac:dyDescent="0.35">
      <c r="A16" s="1">
        <v>15</v>
      </c>
      <c r="B16" s="62">
        <v>4548.2349752288228</v>
      </c>
      <c r="C16" s="62">
        <v>4</v>
      </c>
      <c r="D16" s="62">
        <v>6995.57</v>
      </c>
      <c r="E16" s="62">
        <v>4548.2299999999996</v>
      </c>
      <c r="F16" s="62">
        <v>2204.15</v>
      </c>
      <c r="G16" s="62">
        <v>210.84200000000001</v>
      </c>
      <c r="H16" s="62">
        <v>2953.48</v>
      </c>
      <c r="I16" s="62">
        <v>1935.56</v>
      </c>
      <c r="J16" s="62">
        <v>1638.43</v>
      </c>
      <c r="K16" s="62">
        <v>10</v>
      </c>
      <c r="L16" s="62">
        <v>3.3</v>
      </c>
      <c r="M16" s="62">
        <f>(C16*$S$18*1000)+S31</f>
        <v>14096</v>
      </c>
      <c r="N16" s="62">
        <f>$S$38*C16</f>
        <v>142.4</v>
      </c>
      <c r="O16" s="56">
        <f t="shared" si="4"/>
        <v>2.0355739417945929E-2</v>
      </c>
      <c r="P16" s="56">
        <f t="shared" si="0"/>
        <v>3560</v>
      </c>
      <c r="Q16" s="56"/>
      <c r="R16" s="106" t="s">
        <v>258</v>
      </c>
      <c r="S16" s="107"/>
      <c r="T16" s="46" t="s">
        <v>299</v>
      </c>
      <c r="U16" s="56"/>
      <c r="V16" s="1">
        <f t="shared" si="13"/>
        <v>764.81044999999995</v>
      </c>
      <c r="W16" s="1">
        <f t="shared" si="5"/>
        <v>-13331.189549999999</v>
      </c>
      <c r="X16" s="1">
        <f t="shared" si="1"/>
        <v>19120.26125</v>
      </c>
      <c r="Y16" s="1">
        <f t="shared" si="6"/>
        <v>5024.2612499999996</v>
      </c>
      <c r="Z16" s="1">
        <f t="shared" si="2"/>
        <v>0.14432470827528449</v>
      </c>
      <c r="AA16" s="1">
        <f t="shared" si="3"/>
        <v>0.25103493678959066</v>
      </c>
      <c r="AB16" s="1"/>
      <c r="AC16" s="1"/>
      <c r="AD16" s="1">
        <f t="shared" si="19"/>
        <v>14</v>
      </c>
      <c r="AE16">
        <f t="shared" si="20"/>
        <v>37299.235378106816</v>
      </c>
      <c r="AF16">
        <f t="shared" si="21"/>
        <v>-177863.70470650448</v>
      </c>
      <c r="AG16">
        <f t="shared" si="7"/>
        <v>16281.13038850565</v>
      </c>
      <c r="AH16">
        <f t="shared" si="14"/>
        <v>-355493.90180981683</v>
      </c>
      <c r="AI16">
        <f t="shared" si="8"/>
        <v>52702.843131603462</v>
      </c>
      <c r="AJ16">
        <f t="shared" si="9"/>
        <v>23004.811014818923</v>
      </c>
      <c r="AK16">
        <f t="shared" si="15"/>
        <v>-293058.97298972012</v>
      </c>
      <c r="AM16" s="1">
        <f t="shared" si="16"/>
        <v>15765.665244807009</v>
      </c>
      <c r="AN16">
        <f t="shared" si="17"/>
        <v>6881.7188585827553</v>
      </c>
      <c r="AV16" s="2" t="s">
        <v>326</v>
      </c>
      <c r="AW16">
        <f t="shared" si="10"/>
        <v>1.1245985680961834E-2</v>
      </c>
      <c r="AX16">
        <f t="shared" si="11"/>
        <v>87.35600414375827</v>
      </c>
      <c r="AY16">
        <f t="shared" si="18"/>
        <v>96.091604558134108</v>
      </c>
      <c r="AZ16">
        <f t="shared" si="12"/>
        <v>8.7356004143758383</v>
      </c>
    </row>
    <row r="17" spans="1:53" x14ac:dyDescent="0.35">
      <c r="A17" s="1">
        <v>16</v>
      </c>
      <c r="B17" s="1">
        <v>5476.90270703035</v>
      </c>
      <c r="C17" s="1">
        <v>4</v>
      </c>
      <c r="D17" s="1">
        <v>6995.57</v>
      </c>
      <c r="E17" s="1">
        <v>5476.9</v>
      </c>
      <c r="F17" s="1">
        <v>1485.71</v>
      </c>
      <c r="G17" s="1">
        <v>133.98400000000001</v>
      </c>
      <c r="H17" s="1">
        <v>3239.46</v>
      </c>
      <c r="I17" s="1">
        <v>2270.4</v>
      </c>
      <c r="J17" s="1">
        <v>3206.5</v>
      </c>
      <c r="K17" s="1">
        <v>10</v>
      </c>
      <c r="L17" s="1">
        <v>0</v>
      </c>
      <c r="M17" s="1">
        <f>C17*$S$18*1000</f>
        <v>10400</v>
      </c>
      <c r="N17" s="1">
        <f>$S$19*C17</f>
        <v>106</v>
      </c>
      <c r="O17" s="4">
        <f t="shared" si="4"/>
        <v>1.5152446476841773E-2</v>
      </c>
      <c r="P17" s="4">
        <f t="shared" si="0"/>
        <v>2650</v>
      </c>
      <c r="Q17" s="4"/>
      <c r="R17" s="50" t="s">
        <v>245</v>
      </c>
      <c r="S17" s="2" t="s">
        <v>246</v>
      </c>
      <c r="T17" s="46">
        <v>1700</v>
      </c>
      <c r="U17" s="4"/>
      <c r="V17" s="1">
        <f t="shared" si="13"/>
        <v>982.90350000000012</v>
      </c>
      <c r="W17" s="1">
        <f t="shared" si="5"/>
        <v>-9417.0964999999997</v>
      </c>
      <c r="X17" s="1">
        <f t="shared" si="1"/>
        <v>24572.587500000001</v>
      </c>
      <c r="Y17" s="1">
        <f t="shared" si="6"/>
        <v>14172.587500000001</v>
      </c>
      <c r="Z17" s="1">
        <f t="shared" si="2"/>
        <v>9.1107785151382653E-2</v>
      </c>
      <c r="AA17" s="1">
        <f t="shared" si="3"/>
        <v>0.15648875606329785</v>
      </c>
      <c r="AB17" s="1"/>
      <c r="AC17" s="1"/>
      <c r="AD17" s="1">
        <f t="shared" si="19"/>
        <v>15</v>
      </c>
      <c r="AE17">
        <f t="shared" si="20"/>
        <v>37299.235378106816</v>
      </c>
      <c r="AF17">
        <f t="shared" si="21"/>
        <v>-140564.46932839765</v>
      </c>
      <c r="AG17">
        <f t="shared" si="7"/>
        <v>15345.080479270169</v>
      </c>
      <c r="AH17">
        <f t="shared" si="14"/>
        <v>-340148.82133054663</v>
      </c>
      <c r="AI17">
        <f t="shared" si="8"/>
        <v>54020.414209893555</v>
      </c>
      <c r="AJ17">
        <f t="shared" si="9"/>
        <v>22224.251922892934</v>
      </c>
      <c r="AK17">
        <f t="shared" si="15"/>
        <v>-270834.72106682719</v>
      </c>
      <c r="AM17" s="1">
        <f t="shared" si="16"/>
        <v>16159.806875927186</v>
      </c>
      <c r="AN17">
        <f t="shared" si="17"/>
        <v>6648.2203864725025</v>
      </c>
      <c r="AV17" s="1">
        <f>AV10/55</f>
        <v>76.446324597366825</v>
      </c>
      <c r="AW17">
        <f t="shared" si="10"/>
        <v>1.3542213573999803E-2</v>
      </c>
      <c r="AX17">
        <f t="shared" si="11"/>
        <v>105.19252812927364</v>
      </c>
      <c r="AY17">
        <f t="shared" si="18"/>
        <v>115.71178094220102</v>
      </c>
      <c r="AZ17">
        <f t="shared" si="12"/>
        <v>10.519252812927377</v>
      </c>
    </row>
    <row r="18" spans="1:53" x14ac:dyDescent="0.35">
      <c r="A18" s="1">
        <v>17</v>
      </c>
      <c r="B18" s="62">
        <v>2180.0429312531028</v>
      </c>
      <c r="C18" s="62">
        <v>2</v>
      </c>
      <c r="D18" s="62">
        <v>3497.79</v>
      </c>
      <c r="E18" s="62">
        <v>2180.04</v>
      </c>
      <c r="F18" s="62">
        <v>1266.75</v>
      </c>
      <c r="G18" s="62">
        <v>125.211</v>
      </c>
      <c r="H18" s="62">
        <v>1479.9</v>
      </c>
      <c r="I18" s="62">
        <v>802.71100000000001</v>
      </c>
      <c r="J18" s="62">
        <v>951.178</v>
      </c>
      <c r="K18" s="62">
        <v>5</v>
      </c>
      <c r="L18" s="62">
        <v>2</v>
      </c>
      <c r="M18" s="62">
        <f>(C18*$S$18*1000)+S30</f>
        <v>8600</v>
      </c>
      <c r="N18" s="62">
        <f>$S$38*C18</f>
        <v>71.2</v>
      </c>
      <c r="O18" s="56">
        <f t="shared" si="4"/>
        <v>2.0355710319944882E-2</v>
      </c>
      <c r="P18" s="56">
        <f t="shared" si="0"/>
        <v>1780</v>
      </c>
      <c r="Q18" s="56"/>
      <c r="R18" s="65" t="s">
        <v>247</v>
      </c>
      <c r="S18" s="1">
        <v>2.6</v>
      </c>
      <c r="T18" s="46">
        <v>1120</v>
      </c>
      <c r="U18" s="56"/>
      <c r="V18" s="1">
        <f t="shared" si="13"/>
        <v>397.06379500000003</v>
      </c>
      <c r="W18" s="1">
        <f t="shared" si="5"/>
        <v>-8202.936205</v>
      </c>
      <c r="X18" s="1">
        <f t="shared" si="1"/>
        <v>9926.5948750000007</v>
      </c>
      <c r="Y18" s="1">
        <f t="shared" si="6"/>
        <v>1326.5948750000007</v>
      </c>
      <c r="Z18" s="1">
        <f t="shared" si="2"/>
        <v>0.17815076796234947</v>
      </c>
      <c r="AA18" s="1">
        <f t="shared" si="3"/>
        <v>0.31397787707403685</v>
      </c>
      <c r="AB18" s="1"/>
      <c r="AC18" s="1"/>
      <c r="AD18" s="1">
        <f t="shared" si="19"/>
        <v>16</v>
      </c>
      <c r="AE18">
        <f t="shared" si="20"/>
        <v>37299.235378106816</v>
      </c>
      <c r="AF18">
        <f t="shared" si="21"/>
        <v>-103265.23395029083</v>
      </c>
      <c r="AG18">
        <f t="shared" si="7"/>
        <v>14462.84682306331</v>
      </c>
      <c r="AH18">
        <f t="shared" si="14"/>
        <v>-325685.9745074833</v>
      </c>
      <c r="AI18">
        <f t="shared" si="8"/>
        <v>55370.924565140893</v>
      </c>
      <c r="AJ18">
        <f t="shared" si="9"/>
        <v>21470.177399590251</v>
      </c>
      <c r="AK18">
        <f t="shared" si="15"/>
        <v>-249364.54366723693</v>
      </c>
      <c r="AM18" s="1">
        <f t="shared" si="16"/>
        <v>16563.802047825364</v>
      </c>
      <c r="AN18">
        <f t="shared" si="17"/>
        <v>6422.6445769409183</v>
      </c>
      <c r="AQ18" t="s">
        <v>6</v>
      </c>
      <c r="AT18" t="s">
        <v>6</v>
      </c>
      <c r="AW18">
        <f t="shared" si="10"/>
        <v>5.3903836812039408E-3</v>
      </c>
      <c r="AX18">
        <f t="shared" si="11"/>
        <v>41.871152298268385</v>
      </c>
      <c r="AY18">
        <f t="shared" si="18"/>
        <v>46.058267528095229</v>
      </c>
      <c r="AZ18">
        <f t="shared" si="12"/>
        <v>4.1871152298268441</v>
      </c>
    </row>
    <row r="19" spans="1:53" x14ac:dyDescent="0.35">
      <c r="A19" s="1">
        <v>18</v>
      </c>
      <c r="B19" s="62">
        <v>5524.0028847571884</v>
      </c>
      <c r="C19" s="62">
        <v>4</v>
      </c>
      <c r="D19" s="62">
        <v>6995.57</v>
      </c>
      <c r="E19" s="62">
        <v>5524</v>
      </c>
      <c r="F19" s="62">
        <v>2468.4299999999998</v>
      </c>
      <c r="G19" s="62">
        <v>237.523</v>
      </c>
      <c r="H19" s="62">
        <v>2577.7199999999998</v>
      </c>
      <c r="I19" s="62">
        <v>1982.7</v>
      </c>
      <c r="J19" s="62">
        <v>2035.42</v>
      </c>
      <c r="K19" s="62">
        <v>10</v>
      </c>
      <c r="L19" s="62">
        <v>6</v>
      </c>
      <c r="M19" s="62">
        <f>(C19*$S$18*1000)+S34</f>
        <v>14600</v>
      </c>
      <c r="N19" s="62">
        <f>$S$38*C19</f>
        <v>142.4</v>
      </c>
      <c r="O19" s="56">
        <f t="shared" si="4"/>
        <v>2.0355739417945929E-2</v>
      </c>
      <c r="P19" s="56">
        <f t="shared" si="0"/>
        <v>3560</v>
      </c>
      <c r="Q19" s="56"/>
      <c r="R19" s="65" t="s">
        <v>248</v>
      </c>
      <c r="S19" s="1">
        <v>26.5</v>
      </c>
      <c r="T19" s="46">
        <v>700</v>
      </c>
      <c r="U19" s="56"/>
      <c r="V19" s="1">
        <f t="shared" si="13"/>
        <v>860.33159999999998</v>
      </c>
      <c r="W19" s="1">
        <f t="shared" si="5"/>
        <v>-13739.6684</v>
      </c>
      <c r="X19" s="1">
        <f t="shared" si="1"/>
        <v>21508.29</v>
      </c>
      <c r="Y19" s="1">
        <f t="shared" si="6"/>
        <v>6908.2900000000009</v>
      </c>
      <c r="Z19" s="1">
        <f t="shared" si="2"/>
        <v>0.12607617660516696</v>
      </c>
      <c r="AA19" s="1">
        <f t="shared" si="3"/>
        <v>0.21707840171734977</v>
      </c>
      <c r="AB19" s="1"/>
      <c r="AC19" s="1"/>
      <c r="AD19" s="1">
        <f t="shared" si="19"/>
        <v>17</v>
      </c>
      <c r="AE19">
        <f t="shared" si="20"/>
        <v>37299.235378106816</v>
      </c>
      <c r="AF19">
        <f t="shared" si="21"/>
        <v>-65965.998572184006</v>
      </c>
      <c r="AG19">
        <f t="shared" si="7"/>
        <v>13631.335365752413</v>
      </c>
      <c r="AH19">
        <f t="shared" si="14"/>
        <v>-312054.63914173091</v>
      </c>
      <c r="AI19">
        <f t="shared" si="8"/>
        <v>56755.197679269404</v>
      </c>
      <c r="AJ19">
        <f t="shared" si="9"/>
        <v>20741.688816757782</v>
      </c>
      <c r="AK19">
        <f t="shared" si="15"/>
        <v>-228622.85485047914</v>
      </c>
      <c r="AM19" s="1">
        <f t="shared" si="16"/>
        <v>16977.897099020996</v>
      </c>
      <c r="AN19">
        <f t="shared" si="17"/>
        <v>6204.7226120305768</v>
      </c>
      <c r="AW19">
        <f t="shared" si="10"/>
        <v>1.3658673679331133E-2</v>
      </c>
      <c r="AX19">
        <f t="shared" si="11"/>
        <v>106.09716110076397</v>
      </c>
      <c r="AY19">
        <f t="shared" si="18"/>
        <v>116.70687721084037</v>
      </c>
      <c r="AZ19">
        <f t="shared" si="12"/>
        <v>10.609716110076405</v>
      </c>
    </row>
    <row r="20" spans="1:53" x14ac:dyDescent="0.35">
      <c r="A20" s="1">
        <v>19</v>
      </c>
      <c r="B20" s="1">
        <v>6393.5501464958952</v>
      </c>
      <c r="C20" s="1">
        <v>4</v>
      </c>
      <c r="D20" s="1">
        <v>6995.57</v>
      </c>
      <c r="E20" s="1">
        <v>6393.55</v>
      </c>
      <c r="F20" s="1">
        <v>1450.97</v>
      </c>
      <c r="G20" s="1">
        <v>130.24100000000001</v>
      </c>
      <c r="H20" s="1">
        <v>3311.12</v>
      </c>
      <c r="I20" s="1">
        <v>2233.48</v>
      </c>
      <c r="J20" s="1">
        <v>4160.07</v>
      </c>
      <c r="K20" s="1">
        <v>10</v>
      </c>
      <c r="L20" s="1">
        <v>0</v>
      </c>
      <c r="M20" s="1">
        <f>C20*$S$18*1000</f>
        <v>10400</v>
      </c>
      <c r="N20" s="1">
        <f>$S$19*C20</f>
        <v>106</v>
      </c>
      <c r="O20" s="4">
        <f t="shared" si="4"/>
        <v>1.5152446476841773E-2</v>
      </c>
      <c r="P20" s="4">
        <f t="shared" si="0"/>
        <v>2650</v>
      </c>
      <c r="Q20" s="4"/>
      <c r="R20" s="65" t="s">
        <v>250</v>
      </c>
      <c r="S20" s="1">
        <v>6.0999999999999999E-2</v>
      </c>
      <c r="T20" s="30" t="s">
        <v>300</v>
      </c>
      <c r="U20" s="4"/>
      <c r="V20" s="1">
        <f t="shared" si="13"/>
        <v>1121.24125</v>
      </c>
      <c r="W20" s="1">
        <f t="shared" si="5"/>
        <v>-9278.7587500000009</v>
      </c>
      <c r="X20" s="1">
        <f t="shared" si="1"/>
        <v>28031.03125</v>
      </c>
      <c r="Y20" s="1">
        <f t="shared" si="6"/>
        <v>17631.03125</v>
      </c>
      <c r="Z20" s="1">
        <f t="shared" si="2"/>
        <v>8.0218018884684161E-2</v>
      </c>
      <c r="AA20" s="1">
        <f t="shared" si="3"/>
        <v>0.13622527750796973</v>
      </c>
      <c r="AB20" s="1"/>
      <c r="AC20" s="1"/>
      <c r="AD20" s="1">
        <f>AD19+1</f>
        <v>18</v>
      </c>
      <c r="AE20">
        <f t="shared" si="20"/>
        <v>37299.235378106816</v>
      </c>
      <c r="AF20">
        <f t="shared" si="21"/>
        <v>-28666.76319407719</v>
      </c>
      <c r="AG20">
        <f t="shared" si="7"/>
        <v>12847.629939446195</v>
      </c>
      <c r="AH20">
        <f t="shared" si="14"/>
        <v>-299207.00920228474</v>
      </c>
      <c r="AI20">
        <f t="shared" si="8"/>
        <v>58174.077621251148</v>
      </c>
      <c r="AJ20">
        <f t="shared" si="9"/>
        <v>20037.918036924344</v>
      </c>
      <c r="AK20">
        <f t="shared" si="15"/>
        <v>-208584.93681355478</v>
      </c>
      <c r="AM20" s="1">
        <f t="shared" si="16"/>
        <v>17402.344526496523</v>
      </c>
      <c r="AN20">
        <f t="shared" si="17"/>
        <v>5994.1947948457509</v>
      </c>
      <c r="AW20">
        <f t="shared" si="10"/>
        <v>1.5808720039664811E-2</v>
      </c>
      <c r="AX20">
        <f t="shared" si="11"/>
        <v>122.79818350029788</v>
      </c>
      <c r="AY20">
        <f t="shared" si="18"/>
        <v>135.07800185032767</v>
      </c>
      <c r="AZ20">
        <f t="shared" si="12"/>
        <v>12.279818350029785</v>
      </c>
    </row>
    <row r="21" spans="1:53" x14ac:dyDescent="0.35">
      <c r="A21" s="1">
        <v>20</v>
      </c>
      <c r="B21" s="62">
        <v>6287.6864400653858</v>
      </c>
      <c r="C21" s="62">
        <v>10</v>
      </c>
      <c r="D21" s="62">
        <v>17488.900000000001</v>
      </c>
      <c r="E21" s="62">
        <v>6287.69</v>
      </c>
      <c r="F21" s="62">
        <v>8120.34</v>
      </c>
      <c r="G21" s="62">
        <v>841.88900000000001</v>
      </c>
      <c r="H21" s="62">
        <v>7131.35</v>
      </c>
      <c r="I21" s="62">
        <v>2494.35</v>
      </c>
      <c r="J21" s="62">
        <v>3382.63</v>
      </c>
      <c r="K21" s="62">
        <v>25</v>
      </c>
      <c r="L21" s="62">
        <v>13.5</v>
      </c>
      <c r="M21" s="62">
        <f>(C21*$S$18*1000)+S36</f>
        <v>33300</v>
      </c>
      <c r="N21" s="62">
        <f>$S$38*C21</f>
        <v>356</v>
      </c>
      <c r="O21" s="56">
        <f t="shared" si="4"/>
        <v>2.0355768516030166E-2</v>
      </c>
      <c r="P21" s="56">
        <f t="shared" si="0"/>
        <v>8900</v>
      </c>
      <c r="Q21" s="56"/>
      <c r="R21" s="65" t="s">
        <v>251</v>
      </c>
      <c r="S21" s="1" t="s">
        <v>252</v>
      </c>
      <c r="T21" s="46">
        <v>1.2</v>
      </c>
      <c r="U21" s="56"/>
      <c r="V21" s="1">
        <f t="shared" si="13"/>
        <v>1752.8208999999999</v>
      </c>
      <c r="W21" s="1">
        <f t="shared" si="5"/>
        <v>-31547.179100000001</v>
      </c>
      <c r="X21" s="1">
        <f t="shared" si="1"/>
        <v>43820.522499999999</v>
      </c>
      <c r="Y21" s="1">
        <f t="shared" si="6"/>
        <v>10520.522499999999</v>
      </c>
      <c r="Z21" s="1">
        <f t="shared" si="2"/>
        <v>0.23219839341418722</v>
      </c>
      <c r="AA21" s="1">
        <f t="shared" si="3"/>
        <v>0.41454866316570171</v>
      </c>
      <c r="AB21" s="1"/>
      <c r="AC21" s="1"/>
      <c r="AD21" s="1">
        <f t="shared" si="19"/>
        <v>19</v>
      </c>
      <c r="AE21">
        <f t="shared" si="20"/>
        <v>37299.235378106816</v>
      </c>
      <c r="AF21">
        <f t="shared" si="21"/>
        <v>8632.4721840296261</v>
      </c>
      <c r="AG21">
        <f t="shared" si="7"/>
        <v>12108.982035293306</v>
      </c>
      <c r="AH21">
        <f t="shared" si="14"/>
        <v>-287098.02716699144</v>
      </c>
      <c r="AI21">
        <f t="shared" si="8"/>
        <v>59628.429561782425</v>
      </c>
      <c r="AJ21">
        <f t="shared" si="9"/>
        <v>19358.026378744067</v>
      </c>
      <c r="AK21">
        <f t="shared" si="15"/>
        <v>-189226.91043481071</v>
      </c>
      <c r="AM21" s="1">
        <f t="shared" si="16"/>
        <v>17837.403139658934</v>
      </c>
      <c r="AN21">
        <f t="shared" si="17"/>
        <v>5790.8102400724738</v>
      </c>
      <c r="AW21">
        <f t="shared" si="10"/>
        <v>1.5546960976394084E-2</v>
      </c>
      <c r="AX21">
        <f t="shared" si="11"/>
        <v>120.76490456286744</v>
      </c>
      <c r="AY21">
        <f t="shared" si="18"/>
        <v>132.84139501915419</v>
      </c>
      <c r="AZ21">
        <f t="shared" si="12"/>
        <v>12.076490456286749</v>
      </c>
    </row>
    <row r="22" spans="1:53" x14ac:dyDescent="0.35">
      <c r="A22" s="1">
        <v>21</v>
      </c>
      <c r="B22" s="62">
        <v>1195.617299383852</v>
      </c>
      <c r="C22" s="62">
        <v>2</v>
      </c>
      <c r="D22" s="62">
        <v>3497.79</v>
      </c>
      <c r="E22" s="62">
        <v>1195.6199999999999</v>
      </c>
      <c r="F22" s="62">
        <v>1334.89</v>
      </c>
      <c r="G22" s="62">
        <v>132.762</v>
      </c>
      <c r="H22" s="62">
        <v>1658.19</v>
      </c>
      <c r="I22" s="62">
        <v>558.10699999999997</v>
      </c>
      <c r="J22" s="62">
        <v>464.2</v>
      </c>
      <c r="K22" s="62">
        <v>5</v>
      </c>
      <c r="L22" s="62">
        <v>1.2</v>
      </c>
      <c r="M22" s="62">
        <f>(C22*$S$18*1000)+S29</f>
        <v>7240</v>
      </c>
      <c r="N22" s="62">
        <f>$S$38*C22</f>
        <v>71.2</v>
      </c>
      <c r="O22" s="56">
        <f t="shared" si="4"/>
        <v>2.0355710319944882E-2</v>
      </c>
      <c r="P22" s="56">
        <f t="shared" si="0"/>
        <v>1780</v>
      </c>
      <c r="Q22" s="56"/>
      <c r="R22" s="65" t="s">
        <v>262</v>
      </c>
      <c r="S22" s="1">
        <v>7.0000000000000007E-2</v>
      </c>
      <c r="T22" s="46">
        <v>2</v>
      </c>
      <c r="U22" s="56"/>
      <c r="V22" s="1">
        <f t="shared" si="13"/>
        <v>291.219585</v>
      </c>
      <c r="W22" s="1">
        <f t="shared" si="5"/>
        <v>-6948.7804150000002</v>
      </c>
      <c r="X22" s="1">
        <f t="shared" si="1"/>
        <v>7280.4896250000002</v>
      </c>
      <c r="Y22" s="1">
        <f t="shared" si="6"/>
        <v>40.48962500000016</v>
      </c>
      <c r="Z22" s="1">
        <f t="shared" si="2"/>
        <v>0.2625736843733833</v>
      </c>
      <c r="AA22" s="1">
        <f t="shared" si="3"/>
        <v>0.47107050095382247</v>
      </c>
      <c r="AB22" s="1"/>
      <c r="AC22" s="1"/>
      <c r="AD22" s="1">
        <f t="shared" si="19"/>
        <v>20</v>
      </c>
      <c r="AE22">
        <f t="shared" si="20"/>
        <v>37299.235378106816</v>
      </c>
      <c r="AF22">
        <f t="shared" si="21"/>
        <v>45931.707562136442</v>
      </c>
      <c r="AG22">
        <f t="shared" si="7"/>
        <v>11412.801164272671</v>
      </c>
      <c r="AH22">
        <f t="shared" si="14"/>
        <v>-275685.22600271879</v>
      </c>
      <c r="AI22">
        <f t="shared" si="8"/>
        <v>61119.140300826977</v>
      </c>
      <c r="AJ22">
        <f t="shared" si="9"/>
        <v>18701.203617542567</v>
      </c>
      <c r="AK22">
        <f t="shared" si="15"/>
        <v>-170525.70681726813</v>
      </c>
      <c r="AM22" s="1">
        <f t="shared" si="16"/>
        <v>18283.338218150406</v>
      </c>
      <c r="AN22">
        <f t="shared" si="17"/>
        <v>5594.3265749993252</v>
      </c>
      <c r="AW22">
        <f t="shared" si="10"/>
        <v>2.9562885607299989E-3</v>
      </c>
      <c r="AX22">
        <f t="shared" si="11"/>
        <v>22.96371017068445</v>
      </c>
      <c r="AY22">
        <f t="shared" si="18"/>
        <v>25.260081187752899</v>
      </c>
      <c r="AZ22">
        <f t="shared" si="12"/>
        <v>2.2963710170684486</v>
      </c>
    </row>
    <row r="23" spans="1:53" x14ac:dyDescent="0.35">
      <c r="A23" s="1">
        <v>22</v>
      </c>
      <c r="B23" s="1">
        <v>4102.942217502793</v>
      </c>
      <c r="C23" s="1">
        <v>4</v>
      </c>
      <c r="D23" s="1">
        <v>6995.57</v>
      </c>
      <c r="E23" s="1">
        <v>4102.9399999999996</v>
      </c>
      <c r="F23" s="1">
        <v>1869.19</v>
      </c>
      <c r="G23" s="1">
        <v>171.71799999999999</v>
      </c>
      <c r="H23" s="1">
        <v>3587.24</v>
      </c>
      <c r="I23" s="1">
        <v>1539.14</v>
      </c>
      <c r="J23" s="1">
        <v>2563.8000000000002</v>
      </c>
      <c r="K23" s="1">
        <v>10</v>
      </c>
      <c r="L23" s="1">
        <v>0</v>
      </c>
      <c r="M23" s="1">
        <f>C23*$S$18*1000</f>
        <v>10400</v>
      </c>
      <c r="N23" s="1">
        <f>$S$19*C23</f>
        <v>106</v>
      </c>
      <c r="O23" s="4">
        <f t="shared" si="4"/>
        <v>1.5152446476841773E-2</v>
      </c>
      <c r="P23" s="4">
        <f t="shared" si="0"/>
        <v>2650</v>
      </c>
      <c r="Q23" s="4"/>
      <c r="R23" s="65" t="s">
        <v>263</v>
      </c>
      <c r="S23" s="1">
        <v>2.5000000000000001E-2</v>
      </c>
      <c r="T23" s="46">
        <v>3.3</v>
      </c>
      <c r="U23" s="4"/>
      <c r="V23" s="1">
        <f t="shared" si="13"/>
        <v>807.67370000000005</v>
      </c>
      <c r="W23" s="1">
        <f t="shared" si="5"/>
        <v>-9592.3263000000006</v>
      </c>
      <c r="X23" s="1">
        <f t="shared" si="1"/>
        <v>20191.842500000002</v>
      </c>
      <c r="Y23" s="1">
        <f t="shared" si="6"/>
        <v>9791.8425000000025</v>
      </c>
      <c r="Z23" s="1">
        <f t="shared" si="2"/>
        <v>0.1165431017547495</v>
      </c>
      <c r="AA23" s="1">
        <f t="shared" si="3"/>
        <v>0.20381832952865786</v>
      </c>
      <c r="AB23" s="1"/>
      <c r="AC23" s="1"/>
      <c r="AD23" s="1">
        <f t="shared" si="19"/>
        <v>21</v>
      </c>
      <c r="AE23">
        <f t="shared" si="20"/>
        <v>37299.235378106816</v>
      </c>
      <c r="AF23">
        <f t="shared" si="21"/>
        <v>83230.942940243258</v>
      </c>
      <c r="AG23">
        <f t="shared" si="7"/>
        <v>10756.645772170285</v>
      </c>
      <c r="AH23">
        <f t="shared" si="14"/>
        <v>-264928.58023054851</v>
      </c>
      <c r="AI23">
        <f t="shared" si="8"/>
        <v>62647.118808347645</v>
      </c>
      <c r="AJ23">
        <f t="shared" si="9"/>
        <v>18066.667019774864</v>
      </c>
      <c r="AK23">
        <f t="shared" si="15"/>
        <v>-152459.03979749326</v>
      </c>
      <c r="AM23" s="1">
        <f t="shared" si="16"/>
        <v>18740.421673604164</v>
      </c>
      <c r="AN23">
        <f t="shared" si="17"/>
        <v>5404.5096506826658</v>
      </c>
      <c r="AW23">
        <f t="shared" si="10"/>
        <v>1.0144952861748048E-2</v>
      </c>
      <c r="AX23">
        <f t="shared" si="11"/>
        <v>78.803456572896778</v>
      </c>
      <c r="AY23">
        <f t="shared" si="18"/>
        <v>86.683802230186458</v>
      </c>
      <c r="AZ23">
        <f t="shared" si="12"/>
        <v>7.8803456572896806</v>
      </c>
    </row>
    <row r="24" spans="1:53" x14ac:dyDescent="0.35">
      <c r="A24" s="1">
        <v>23</v>
      </c>
      <c r="B24" s="62">
        <v>2916.9354826987528</v>
      </c>
      <c r="C24" s="62">
        <v>2</v>
      </c>
      <c r="D24" s="62">
        <v>3465.23</v>
      </c>
      <c r="E24" s="62">
        <v>2916.94</v>
      </c>
      <c r="F24" s="62">
        <v>1050.31</v>
      </c>
      <c r="G24" s="62">
        <v>98.870500000000007</v>
      </c>
      <c r="H24" s="62">
        <v>1426.38</v>
      </c>
      <c r="I24" s="62">
        <v>1031.08</v>
      </c>
      <c r="J24" s="62">
        <v>949.72299999999996</v>
      </c>
      <c r="K24" s="62">
        <v>5</v>
      </c>
      <c r="L24" s="62">
        <v>2</v>
      </c>
      <c r="M24" s="62">
        <f>(C24*$S$18*1000)+S30</f>
        <v>8600</v>
      </c>
      <c r="N24" s="62">
        <f>$S$38*C24</f>
        <v>71.2</v>
      </c>
      <c r="O24" s="56">
        <f t="shared" si="4"/>
        <v>2.0546976679758633E-2</v>
      </c>
      <c r="P24" s="56">
        <f t="shared" si="0"/>
        <v>1780</v>
      </c>
      <c r="Q24" s="56"/>
      <c r="R24" s="63"/>
      <c r="S24" s="4"/>
      <c r="T24" s="46">
        <v>4.2</v>
      </c>
      <c r="U24" s="56"/>
      <c r="V24" s="1">
        <f t="shared" si="13"/>
        <v>405.89496500000001</v>
      </c>
      <c r="W24" s="1">
        <f t="shared" si="5"/>
        <v>-8194.1050350000005</v>
      </c>
      <c r="X24" s="1">
        <f t="shared" si="1"/>
        <v>10147.374125</v>
      </c>
      <c r="Y24" s="1">
        <f t="shared" si="6"/>
        <v>1547.3741250000003</v>
      </c>
      <c r="Z24" s="1">
        <f t="shared" si="2"/>
        <v>0.13847896456237396</v>
      </c>
      <c r="AA24" s="1">
        <f t="shared" si="3"/>
        <v>0.23999266990409021</v>
      </c>
      <c r="AB24" s="1"/>
      <c r="AC24" s="1"/>
      <c r="AD24" s="1">
        <f t="shared" si="19"/>
        <v>22</v>
      </c>
      <c r="AE24">
        <f t="shared" si="20"/>
        <v>37299.235378106816</v>
      </c>
      <c r="AF24">
        <f t="shared" si="21"/>
        <v>120530.17831835008</v>
      </c>
      <c r="AG24">
        <f t="shared" si="7"/>
        <v>10138.214676880569</v>
      </c>
      <c r="AH24">
        <f t="shared" si="14"/>
        <v>-254790.36555366794</v>
      </c>
      <c r="AI24">
        <f t="shared" si="8"/>
        <v>64213.296778556331</v>
      </c>
      <c r="AJ24">
        <f t="shared" si="9"/>
        <v>17453.660410244327</v>
      </c>
      <c r="AK24">
        <f t="shared" si="15"/>
        <v>-135005.37938724892</v>
      </c>
      <c r="AM24" s="1">
        <f t="shared" si="16"/>
        <v>19208.932215444267</v>
      </c>
      <c r="AN24">
        <f t="shared" si="17"/>
        <v>5221.1332629120943</v>
      </c>
      <c r="AW24">
        <f t="shared" si="10"/>
        <v>7.2124274250077204E-3</v>
      </c>
      <c r="AX24">
        <f t="shared" si="11"/>
        <v>56.024332406196351</v>
      </c>
      <c r="AY24">
        <f t="shared" si="18"/>
        <v>61.62676564681599</v>
      </c>
      <c r="AZ24">
        <f t="shared" si="12"/>
        <v>5.6024332406196393</v>
      </c>
    </row>
    <row r="25" spans="1:53" x14ac:dyDescent="0.35">
      <c r="A25" s="1">
        <v>24</v>
      </c>
      <c r="B25" s="62">
        <v>4395.7178346280416</v>
      </c>
      <c r="C25" s="62">
        <v>4</v>
      </c>
      <c r="D25" s="62">
        <v>6930.46</v>
      </c>
      <c r="E25" s="62">
        <v>4395.72</v>
      </c>
      <c r="F25" s="62">
        <v>2268.81</v>
      </c>
      <c r="G25" s="62">
        <v>218.07400000000001</v>
      </c>
      <c r="H25" s="62">
        <v>2973.31</v>
      </c>
      <c r="I25" s="62">
        <v>1797.8</v>
      </c>
      <c r="J25" s="62">
        <v>1736.79</v>
      </c>
      <c r="K25" s="62">
        <v>10</v>
      </c>
      <c r="L25" s="62">
        <v>3.3</v>
      </c>
      <c r="M25" s="62">
        <f>(C25*$S$18*1000)+S31</f>
        <v>14096</v>
      </c>
      <c r="N25" s="62">
        <f>$S$38*C25</f>
        <v>142.4</v>
      </c>
      <c r="O25" s="56">
        <f t="shared" si="4"/>
        <v>2.0546976679758633E-2</v>
      </c>
      <c r="P25" s="56">
        <f t="shared" si="0"/>
        <v>3560</v>
      </c>
      <c r="Q25" s="56"/>
      <c r="R25" s="63"/>
      <c r="S25" s="4"/>
      <c r="T25" s="46">
        <v>5</v>
      </c>
      <c r="U25" s="56"/>
      <c r="V25" s="1">
        <f t="shared" si="13"/>
        <v>765.93544999999995</v>
      </c>
      <c r="W25" s="1">
        <f t="shared" si="5"/>
        <v>-13330.064549999999</v>
      </c>
      <c r="X25" s="1">
        <f t="shared" si="1"/>
        <v>19148.38625</v>
      </c>
      <c r="Y25" s="1">
        <f t="shared" si="6"/>
        <v>5052.3862499999996</v>
      </c>
      <c r="Z25" s="1">
        <f t="shared" si="2"/>
        <v>0.14881726635992215</v>
      </c>
      <c r="AA25" s="1">
        <f t="shared" si="3"/>
        <v>0.25922999342808173</v>
      </c>
      <c r="AB25" s="1"/>
      <c r="AC25" s="1"/>
      <c r="AD25" s="1">
        <f t="shared" si="19"/>
        <v>23</v>
      </c>
      <c r="AE25">
        <f t="shared" si="20"/>
        <v>37299.235378106816</v>
      </c>
      <c r="AF25">
        <f t="shared" si="21"/>
        <v>157829.4136964569</v>
      </c>
      <c r="AG25">
        <f t="shared" si="7"/>
        <v>9555.338998002424</v>
      </c>
      <c r="AH25">
        <f t="shared" si="14"/>
        <v>-245235.02655566551</v>
      </c>
      <c r="AI25">
        <f t="shared" si="8"/>
        <v>65818.629198020251</v>
      </c>
      <c r="AJ25">
        <f t="shared" si="9"/>
        <v>16861.4532709712</v>
      </c>
      <c r="AK25">
        <f t="shared" si="15"/>
        <v>-118143.92611627773</v>
      </c>
      <c r="AM25" s="1">
        <f t="shared" si="16"/>
        <v>19689.155520830376</v>
      </c>
      <c r="AN25">
        <f t="shared" si="17"/>
        <v>5043.9788826436361</v>
      </c>
      <c r="AW25">
        <f t="shared" si="10"/>
        <v>1.0868871132430546E-2</v>
      </c>
      <c r="AX25">
        <f t="shared" si="11"/>
        <v>84.426672647281279</v>
      </c>
      <c r="AY25">
        <f t="shared" si="18"/>
        <v>92.869339912009409</v>
      </c>
      <c r="AZ25">
        <f t="shared" si="12"/>
        <v>8.4426672647281293</v>
      </c>
    </row>
    <row r="26" spans="1:53" x14ac:dyDescent="0.35">
      <c r="A26" s="1">
        <v>25</v>
      </c>
      <c r="B26" s="1">
        <v>3480.4540913845358</v>
      </c>
      <c r="C26" s="1">
        <v>2</v>
      </c>
      <c r="D26" s="1">
        <v>3465.23</v>
      </c>
      <c r="E26" s="1">
        <v>3480.45</v>
      </c>
      <c r="F26" s="1">
        <v>621.553</v>
      </c>
      <c r="G26" s="1">
        <v>55.542900000000003</v>
      </c>
      <c r="H26" s="1">
        <v>1519.54</v>
      </c>
      <c r="I26" s="1">
        <v>1324.14</v>
      </c>
      <c r="J26" s="1">
        <v>2156.31</v>
      </c>
      <c r="K26" s="1">
        <v>5</v>
      </c>
      <c r="L26" s="1">
        <v>0</v>
      </c>
      <c r="M26" s="1">
        <f>C26*$S$18*1000</f>
        <v>5200</v>
      </c>
      <c r="N26" s="1">
        <f>$S$19*C26</f>
        <v>53</v>
      </c>
      <c r="O26" s="4">
        <f t="shared" si="4"/>
        <v>1.5294800056561902E-2</v>
      </c>
      <c r="P26" s="4">
        <f t="shared" si="0"/>
        <v>1325</v>
      </c>
      <c r="Q26" s="4"/>
      <c r="R26" s="63" t="s">
        <v>298</v>
      </c>
      <c r="S26" s="4">
        <v>1</v>
      </c>
      <c r="T26" s="46">
        <v>6</v>
      </c>
      <c r="U26" s="4"/>
      <c r="V26" s="1">
        <f t="shared" si="13"/>
        <v>595.01265000000001</v>
      </c>
      <c r="W26" s="1">
        <f t="shared" si="5"/>
        <v>-4604.9873500000003</v>
      </c>
      <c r="X26" s="1">
        <f t="shared" si="1"/>
        <v>14875.31625</v>
      </c>
      <c r="Y26" s="1">
        <f t="shared" si="6"/>
        <v>9675.3162499999999</v>
      </c>
      <c r="Z26" s="1">
        <f t="shared" si="2"/>
        <v>7.505711685162611E-2</v>
      </c>
      <c r="AA26" s="1">
        <f t="shared" si="3"/>
        <v>0.12649942971852179</v>
      </c>
      <c r="AB26" s="1"/>
      <c r="AC26" s="1"/>
      <c r="AD26" s="1">
        <f>AD25+1</f>
        <v>24</v>
      </c>
      <c r="AE26">
        <f t="shared" si="20"/>
        <v>37299.235378106816</v>
      </c>
      <c r="AF26">
        <f t="shared" si="21"/>
        <v>195128.64907456373</v>
      </c>
      <c r="AG26">
        <f t="shared" si="7"/>
        <v>9005.974550426412</v>
      </c>
      <c r="AH26">
        <f t="shared" si="14"/>
        <v>-236229.05200523909</v>
      </c>
      <c r="AI26">
        <f t="shared" si="8"/>
        <v>67464.094927970742</v>
      </c>
      <c r="AJ26">
        <f t="shared" si="9"/>
        <v>16289.339870636641</v>
      </c>
      <c r="AK26">
        <f t="shared" si="15"/>
        <v>-101854.58624564108</v>
      </c>
      <c r="AM26" s="1">
        <f t="shared" si="16"/>
        <v>20181.384408851132</v>
      </c>
      <c r="AN26">
        <f t="shared" si="17"/>
        <v>4872.8353955793837</v>
      </c>
      <c r="AW26">
        <f t="shared" si="10"/>
        <v>8.6057860000925569E-3</v>
      </c>
      <c r="AX26">
        <f t="shared" si="11"/>
        <v>66.847593337864367</v>
      </c>
      <c r="AY26">
        <f t="shared" si="18"/>
        <v>73.532352671650813</v>
      </c>
      <c r="AZ26">
        <f t="shared" si="12"/>
        <v>6.6847593337864453</v>
      </c>
    </row>
    <row r="27" spans="1:53" x14ac:dyDescent="0.35">
      <c r="A27" s="1">
        <v>26</v>
      </c>
      <c r="B27" s="1">
        <v>5233.1130996820621</v>
      </c>
      <c r="C27" s="1">
        <v>4</v>
      </c>
      <c r="D27" s="1">
        <v>6930.46</v>
      </c>
      <c r="E27" s="1">
        <v>5233.1099999999997</v>
      </c>
      <c r="F27" s="1">
        <v>1642.54</v>
      </c>
      <c r="G27" s="1">
        <v>148.89400000000001</v>
      </c>
      <c r="H27" s="1">
        <v>3427.61</v>
      </c>
      <c r="I27" s="1">
        <v>1860.31</v>
      </c>
      <c r="J27" s="1">
        <v>3372.81</v>
      </c>
      <c r="K27" s="1">
        <v>10</v>
      </c>
      <c r="L27" s="1">
        <v>0</v>
      </c>
      <c r="M27" s="1">
        <f>C27*$S$18*1000</f>
        <v>10400</v>
      </c>
      <c r="N27" s="1">
        <f>$S$19*C27</f>
        <v>106</v>
      </c>
      <c r="O27" s="4">
        <f t="shared" si="4"/>
        <v>1.5294800056561902E-2</v>
      </c>
      <c r="P27" s="4">
        <f t="shared" si="0"/>
        <v>2650</v>
      </c>
      <c r="Q27" s="4"/>
      <c r="R27" s="106" t="s">
        <v>259</v>
      </c>
      <c r="S27" s="107"/>
      <c r="T27" s="46"/>
      <c r="U27" s="4"/>
      <c r="V27" s="1">
        <f t="shared" si="13"/>
        <v>960.02759999999989</v>
      </c>
      <c r="W27" s="1">
        <f t="shared" si="5"/>
        <v>-9439.9724000000006</v>
      </c>
      <c r="X27" s="1">
        <f t="shared" si="1"/>
        <v>24000.69</v>
      </c>
      <c r="Y27" s="1">
        <f t="shared" si="6"/>
        <v>13600.689999999999</v>
      </c>
      <c r="Z27" s="1">
        <f t="shared" si="2"/>
        <v>9.4788591242782216E-2</v>
      </c>
      <c r="AA27" s="1">
        <f t="shared" si="3"/>
        <v>0.1632153975729371</v>
      </c>
      <c r="AB27" s="1"/>
      <c r="AC27" s="1"/>
      <c r="AD27" s="1">
        <f t="shared" si="19"/>
        <v>25</v>
      </c>
      <c r="AE27">
        <f t="shared" si="20"/>
        <v>37299.235378106816</v>
      </c>
      <c r="AF27">
        <f t="shared" si="21"/>
        <v>232427.88445267055</v>
      </c>
      <c r="AG27">
        <f t="shared" si="7"/>
        <v>8488.1946752369586</v>
      </c>
      <c r="AH27">
        <f t="shared" si="14"/>
        <v>-227740.85733000212</v>
      </c>
      <c r="AI27">
        <f t="shared" si="8"/>
        <v>69150.697301170003</v>
      </c>
      <c r="AJ27">
        <f t="shared" si="9"/>
        <v>15736.638423565084</v>
      </c>
      <c r="AK27">
        <f t="shared" si="15"/>
        <v>-86117.947822076007</v>
      </c>
      <c r="AM27" s="1">
        <f t="shared" si="16"/>
        <v>20685.919019072408</v>
      </c>
      <c r="AN27">
        <f t="shared" si="17"/>
        <v>4707.4988505832871</v>
      </c>
      <c r="AW27">
        <f t="shared" si="10"/>
        <v>1.2939418325219101E-2</v>
      </c>
      <c r="AX27">
        <f t="shared" si="11"/>
        <v>100.51016539610136</v>
      </c>
      <c r="AY27">
        <f t="shared" si="18"/>
        <v>110.5611819357115</v>
      </c>
      <c r="AZ27">
        <f t="shared" si="12"/>
        <v>10.051016539610146</v>
      </c>
    </row>
    <row r="28" spans="1:53" x14ac:dyDescent="0.35">
      <c r="A28" s="1">
        <v>27</v>
      </c>
      <c r="B28" s="1">
        <v>6696.2920887280334</v>
      </c>
      <c r="C28" s="1">
        <v>4</v>
      </c>
      <c r="D28" s="1">
        <v>6930.46</v>
      </c>
      <c r="E28" s="1">
        <v>6696.29</v>
      </c>
      <c r="F28" s="1">
        <v>1385.43</v>
      </c>
      <c r="G28" s="1">
        <v>124.053</v>
      </c>
      <c r="H28" s="1">
        <v>3240.4</v>
      </c>
      <c r="I28" s="1">
        <v>2304.63</v>
      </c>
      <c r="J28" s="1">
        <v>4391.67</v>
      </c>
      <c r="K28" s="1">
        <v>10</v>
      </c>
      <c r="L28" s="1">
        <v>0</v>
      </c>
      <c r="M28" s="1">
        <f>C28*$S$18*1000</f>
        <v>10400</v>
      </c>
      <c r="N28" s="1">
        <f>$S$19*C28</f>
        <v>106</v>
      </c>
      <c r="O28" s="4">
        <f t="shared" si="4"/>
        <v>1.5294800056561902E-2</v>
      </c>
      <c r="P28" s="4">
        <f t="shared" si="0"/>
        <v>2650</v>
      </c>
      <c r="Q28" s="4"/>
      <c r="R28" s="50" t="s">
        <v>245</v>
      </c>
      <c r="S28" s="2" t="s">
        <v>246</v>
      </c>
      <c r="T28" s="46"/>
      <c r="U28" s="4"/>
      <c r="V28" s="1">
        <f t="shared" si="13"/>
        <v>1161.9794999999999</v>
      </c>
      <c r="W28" s="1">
        <f t="shared" si="5"/>
        <v>-9238.0205000000005</v>
      </c>
      <c r="X28" s="1">
        <f t="shared" si="1"/>
        <v>29049.487499999999</v>
      </c>
      <c r="Y28" s="1">
        <f t="shared" si="6"/>
        <v>18649.487499999999</v>
      </c>
      <c r="Z28" s="1">
        <f t="shared" si="2"/>
        <v>7.7418732896985462E-2</v>
      </c>
      <c r="AA28" s="1">
        <f t="shared" si="3"/>
        <v>0.13089388180491782</v>
      </c>
      <c r="AB28" s="1"/>
      <c r="AD28" s="1"/>
      <c r="AM28" s="1"/>
      <c r="AW28">
        <f t="shared" si="10"/>
        <v>1.6557281089371333E-2</v>
      </c>
      <c r="AX28">
        <f t="shared" si="11"/>
        <v>128.61281851897115</v>
      </c>
      <c r="AY28">
        <f t="shared" si="18"/>
        <v>141.47410037086829</v>
      </c>
      <c r="AZ28">
        <f t="shared" si="12"/>
        <v>12.861281851897132</v>
      </c>
    </row>
    <row r="29" spans="1:53" x14ac:dyDescent="0.35">
      <c r="A29" s="1">
        <v>28</v>
      </c>
      <c r="B29" s="62">
        <v>8230.4847304692612</v>
      </c>
      <c r="C29" s="62">
        <v>6</v>
      </c>
      <c r="D29" s="62">
        <v>10395.700000000001</v>
      </c>
      <c r="E29" s="62">
        <v>8230.48</v>
      </c>
      <c r="F29" s="62">
        <v>2928.68</v>
      </c>
      <c r="G29" s="62">
        <v>274</v>
      </c>
      <c r="H29" s="62">
        <v>4210.74</v>
      </c>
      <c r="I29" s="62">
        <v>3393.9</v>
      </c>
      <c r="J29" s="62">
        <v>2532.5700000000002</v>
      </c>
      <c r="K29" s="62">
        <v>15</v>
      </c>
      <c r="L29" s="62">
        <v>5</v>
      </c>
      <c r="M29" s="62">
        <f>(C29*$S$18*1000)+S33</f>
        <v>19100</v>
      </c>
      <c r="N29" s="62">
        <f>$S$38*C29</f>
        <v>213.60000000000002</v>
      </c>
      <c r="O29" s="56">
        <f t="shared" si="4"/>
        <v>2.0546956914878269E-2</v>
      </c>
      <c r="P29" s="56">
        <f t="shared" si="0"/>
        <v>5340.0000000000009</v>
      </c>
      <c r="Q29" s="56"/>
      <c r="R29" s="63" t="s">
        <v>288</v>
      </c>
      <c r="S29" s="4">
        <f>(T21*T17*$S$26)</f>
        <v>2040</v>
      </c>
      <c r="T29" s="46" t="s">
        <v>289</v>
      </c>
      <c r="U29" s="56"/>
      <c r="V29" s="1">
        <f t="shared" si="13"/>
        <v>1192.60285</v>
      </c>
      <c r="W29" s="1">
        <f t="shared" si="5"/>
        <v>-17907.397150000001</v>
      </c>
      <c r="X29" s="1">
        <f t="shared" si="1"/>
        <v>29815.071250000001</v>
      </c>
      <c r="Y29" s="1">
        <f t="shared" si="6"/>
        <v>10715.071250000001</v>
      </c>
      <c r="Z29" s="1">
        <f t="shared" si="2"/>
        <v>0.11337259538203578</v>
      </c>
      <c r="AA29" s="1">
        <f t="shared" si="3"/>
        <v>0.19327521282024138</v>
      </c>
      <c r="AB29" s="1"/>
      <c r="AC29" s="1"/>
      <c r="AE29" s="18" t="s">
        <v>51</v>
      </c>
      <c r="AF29" s="4"/>
      <c r="AG29" s="4"/>
      <c r="AH29" s="10"/>
      <c r="AI29" s="10"/>
      <c r="AJ29" s="10"/>
      <c r="AK29" s="10">
        <f>AD16-(AK16/AJ17)</f>
        <v>27.186449380005612</v>
      </c>
      <c r="AM29" s="1"/>
      <c r="AN29">
        <f>SUM(AN3:AN27)</f>
        <v>183654.12451318325</v>
      </c>
      <c r="AW29">
        <f t="shared" si="10"/>
        <v>2.0350732521592207E-2</v>
      </c>
      <c r="AX29">
        <f t="shared" si="11"/>
        <v>158.07940050059523</v>
      </c>
      <c r="AY29">
        <f t="shared" si="18"/>
        <v>173.88734055065476</v>
      </c>
      <c r="AZ29">
        <f t="shared" si="12"/>
        <v>15.807940050059528</v>
      </c>
      <c r="BA29" t="s">
        <v>6</v>
      </c>
    </row>
    <row r="30" spans="1:53" ht="15" thickBot="1" x14ac:dyDescent="0.4">
      <c r="A30" s="1">
        <v>29</v>
      </c>
      <c r="B30" s="62">
        <v>3184.1460343074909</v>
      </c>
      <c r="C30" s="62">
        <v>2</v>
      </c>
      <c r="D30" s="62">
        <v>3465.23</v>
      </c>
      <c r="E30" s="62">
        <v>3184.15</v>
      </c>
      <c r="F30" s="62">
        <v>1055.81</v>
      </c>
      <c r="G30" s="62">
        <v>98.489099999999993</v>
      </c>
      <c r="H30" s="62">
        <v>1177.54</v>
      </c>
      <c r="I30" s="62">
        <v>1255.03</v>
      </c>
      <c r="J30" s="62">
        <v>807.74400000000003</v>
      </c>
      <c r="K30" s="62">
        <v>5</v>
      </c>
      <c r="L30" s="62">
        <v>3.3</v>
      </c>
      <c r="M30" s="62">
        <f>(C30*$S$18*1000)+S31</f>
        <v>8896</v>
      </c>
      <c r="N30" s="62">
        <f>$S$38*C30</f>
        <v>71.2</v>
      </c>
      <c r="O30" s="56">
        <f t="shared" si="4"/>
        <v>2.0546976679758633E-2</v>
      </c>
      <c r="P30" s="56">
        <f t="shared" si="0"/>
        <v>1780</v>
      </c>
      <c r="Q30" s="56"/>
      <c r="R30" s="63" t="s">
        <v>288</v>
      </c>
      <c r="S30" s="4">
        <f>(T22*T17*$S$26)</f>
        <v>3400</v>
      </c>
      <c r="T30" s="46" t="s">
        <v>296</v>
      </c>
      <c r="U30" s="56"/>
      <c r="V30" s="1">
        <f t="shared" si="13"/>
        <v>418.21906999999999</v>
      </c>
      <c r="W30" s="1">
        <f t="shared" si="5"/>
        <v>-8477.7809300000008</v>
      </c>
      <c r="X30" s="1">
        <f t="shared" si="1"/>
        <v>10455.47675</v>
      </c>
      <c r="Y30" s="1">
        <f t="shared" si="6"/>
        <v>1559.4767499999998</v>
      </c>
      <c r="Z30" s="1">
        <f t="shared" si="2"/>
        <v>0.13230064506243078</v>
      </c>
      <c r="AA30" s="1">
        <f t="shared" si="3"/>
        <v>0.22849616560556227</v>
      </c>
      <c r="AB30" s="1"/>
      <c r="AC30" s="1"/>
      <c r="AE30" s="4"/>
      <c r="AF30" s="4"/>
      <c r="AG30" s="4"/>
      <c r="AH30" s="4"/>
      <c r="AI30" s="4"/>
      <c r="AJ30" s="4"/>
      <c r="AK30" s="4"/>
      <c r="AM30" s="1"/>
      <c r="AP30" t="s">
        <v>6</v>
      </c>
      <c r="AW30">
        <f t="shared" si="10"/>
        <v>7.8731334029442709E-3</v>
      </c>
      <c r="AX30">
        <f t="shared" si="11"/>
        <v>61.156531199952489</v>
      </c>
      <c r="AY30">
        <f t="shared" si="18"/>
        <v>67.272184319947741</v>
      </c>
      <c r="AZ30">
        <f t="shared" si="12"/>
        <v>6.1156531199952511</v>
      </c>
    </row>
    <row r="31" spans="1:53" ht="15" customHeight="1" thickBot="1" x14ac:dyDescent="0.4">
      <c r="A31" s="1">
        <v>30</v>
      </c>
      <c r="B31" s="62">
        <v>2455.556329062375</v>
      </c>
      <c r="C31" s="62">
        <v>2</v>
      </c>
      <c r="D31" s="62">
        <v>3465.23</v>
      </c>
      <c r="E31" s="62">
        <v>2455.56</v>
      </c>
      <c r="F31" s="62">
        <v>981.01199999999994</v>
      </c>
      <c r="G31" s="62">
        <v>91.956100000000006</v>
      </c>
      <c r="H31" s="62">
        <v>1498.17</v>
      </c>
      <c r="I31" s="62">
        <v>1029.33</v>
      </c>
      <c r="J31" s="62">
        <v>829.81899999999996</v>
      </c>
      <c r="K31" s="62">
        <v>5</v>
      </c>
      <c r="L31" s="62">
        <v>1.2</v>
      </c>
      <c r="M31" s="62">
        <f>(C31*$S$18*1000)+S29</f>
        <v>7240</v>
      </c>
      <c r="N31" s="62">
        <f>$S$38*C31</f>
        <v>71.2</v>
      </c>
      <c r="O31" s="56">
        <f t="shared" si="4"/>
        <v>2.0546976679758633E-2</v>
      </c>
      <c r="P31" s="56">
        <f t="shared" si="0"/>
        <v>1780</v>
      </c>
      <c r="Q31" s="56"/>
      <c r="R31" s="63" t="s">
        <v>288</v>
      </c>
      <c r="S31" s="4">
        <f>(T23*T18*$S$26)</f>
        <v>3696</v>
      </c>
      <c r="T31" s="46" t="s">
        <v>290</v>
      </c>
      <c r="U31" s="56"/>
      <c r="V31" s="1">
        <f t="shared" si="13"/>
        <v>380.12419499999999</v>
      </c>
      <c r="W31" s="1">
        <f t="shared" si="5"/>
        <v>-6859.8758049999997</v>
      </c>
      <c r="X31" s="1">
        <f t="shared" si="1"/>
        <v>9503.1048749999991</v>
      </c>
      <c r="Y31" s="1">
        <f t="shared" si="6"/>
        <v>2263.1048749999991</v>
      </c>
      <c r="Z31" s="1">
        <f t="shared" si="2"/>
        <v>0.13848359111310798</v>
      </c>
      <c r="AA31" s="1">
        <f t="shared" si="3"/>
        <v>0.24000127890535689</v>
      </c>
      <c r="AB31" s="1"/>
      <c r="AE31" s="4" t="s">
        <v>53</v>
      </c>
      <c r="AF31" s="9"/>
      <c r="AG31" s="4"/>
      <c r="AH31" s="100" t="s">
        <v>54</v>
      </c>
      <c r="AI31" s="101"/>
      <c r="AJ31" s="101"/>
      <c r="AK31" s="102"/>
      <c r="AM31" s="1"/>
      <c r="AW31">
        <f t="shared" si="10"/>
        <v>6.0716193129492719E-3</v>
      </c>
      <c r="AX31">
        <f t="shared" si="11"/>
        <v>47.162820308335704</v>
      </c>
      <c r="AY31">
        <f t="shared" si="18"/>
        <v>51.879102339169279</v>
      </c>
      <c r="AZ31">
        <f t="shared" si="12"/>
        <v>4.7162820308335753</v>
      </c>
    </row>
    <row r="32" spans="1:53" ht="15" thickBot="1" x14ac:dyDescent="0.4">
      <c r="A32" s="1">
        <v>31</v>
      </c>
      <c r="B32" s="1">
        <v>1553.515228702383</v>
      </c>
      <c r="C32" s="1">
        <v>2</v>
      </c>
      <c r="D32" s="1">
        <v>3465.23</v>
      </c>
      <c r="E32" s="1">
        <v>1553.52</v>
      </c>
      <c r="F32" s="1">
        <v>992.22699999999998</v>
      </c>
      <c r="G32" s="1">
        <v>92.273499999999999</v>
      </c>
      <c r="H32" s="1">
        <v>1784.82</v>
      </c>
      <c r="I32" s="1">
        <v>688.178</v>
      </c>
      <c r="J32" s="1">
        <v>865.33699999999999</v>
      </c>
      <c r="K32" s="1">
        <v>5</v>
      </c>
      <c r="L32" s="1">
        <v>0</v>
      </c>
      <c r="M32" s="1">
        <f>C32*$S$18*1000</f>
        <v>5200</v>
      </c>
      <c r="N32" s="1">
        <f>$S$19*C32</f>
        <v>53</v>
      </c>
      <c r="O32" s="4">
        <f t="shared" si="4"/>
        <v>1.5294800056561902E-2</v>
      </c>
      <c r="P32" s="4">
        <f t="shared" si="0"/>
        <v>1325</v>
      </c>
      <c r="Q32" s="4"/>
      <c r="R32" s="63" t="s">
        <v>288</v>
      </c>
      <c r="S32" s="4">
        <f>(T24*T18*$S$26)</f>
        <v>4704</v>
      </c>
      <c r="T32" s="46" t="s">
        <v>291</v>
      </c>
      <c r="U32" s="4"/>
      <c r="V32" s="1">
        <f t="shared" si="13"/>
        <v>333.06832499999996</v>
      </c>
      <c r="W32" s="1">
        <f t="shared" si="5"/>
        <v>-4866.9316749999998</v>
      </c>
      <c r="X32" s="1">
        <f t="shared" si="1"/>
        <v>8326.7081249999992</v>
      </c>
      <c r="Y32" s="1">
        <f t="shared" si="6"/>
        <v>3126.7081249999992</v>
      </c>
      <c r="Z32" s="1">
        <f t="shared" si="2"/>
        <v>0.1491847009452309</v>
      </c>
      <c r="AA32" s="1">
        <f t="shared" si="3"/>
        <v>0.26443468689961436</v>
      </c>
      <c r="AB32" s="1"/>
      <c r="AE32" s="4"/>
      <c r="AF32" s="8"/>
      <c r="AG32" s="4"/>
      <c r="AH32" s="103"/>
      <c r="AI32" s="104"/>
      <c r="AJ32" s="104"/>
      <c r="AK32" s="105"/>
      <c r="AM32" s="1"/>
      <c r="AW32">
        <f t="shared" si="10"/>
        <v>3.841228545203777E-3</v>
      </c>
      <c r="AX32">
        <f t="shared" si="11"/>
        <v>29.837702646198352</v>
      </c>
      <c r="AY32">
        <f t="shared" si="18"/>
        <v>32.821472910818187</v>
      </c>
      <c r="AZ32">
        <f t="shared" si="12"/>
        <v>2.9837702646198352</v>
      </c>
    </row>
    <row r="33" spans="1:53" x14ac:dyDescent="0.35">
      <c r="A33" s="1">
        <v>32</v>
      </c>
      <c r="B33" s="62">
        <v>14627.53150971361</v>
      </c>
      <c r="C33" s="62">
        <v>10</v>
      </c>
      <c r="D33" s="62">
        <v>17326.099999999999</v>
      </c>
      <c r="E33" s="62">
        <v>14627.5</v>
      </c>
      <c r="F33" s="62">
        <v>6319.47</v>
      </c>
      <c r="G33" s="62">
        <v>606.04600000000005</v>
      </c>
      <c r="H33" s="62">
        <v>5835.93</v>
      </c>
      <c r="I33" s="62">
        <v>5167.72</v>
      </c>
      <c r="J33" s="62">
        <v>4764.6000000000004</v>
      </c>
      <c r="K33" s="62">
        <v>25</v>
      </c>
      <c r="L33" s="62">
        <f>19.4</f>
        <v>19.399999999999999</v>
      </c>
      <c r="M33" s="62">
        <f>(C33*$S$18*1000)+S37</f>
        <v>42000</v>
      </c>
      <c r="N33" s="62">
        <f>$S$38*C33</f>
        <v>356</v>
      </c>
      <c r="O33" s="56">
        <f t="shared" si="4"/>
        <v>2.0547035974627877E-2</v>
      </c>
      <c r="P33" s="56">
        <f t="shared" si="0"/>
        <v>8900</v>
      </c>
      <c r="Q33" s="56"/>
      <c r="R33" s="63" t="s">
        <v>288</v>
      </c>
      <c r="S33" s="4">
        <f>(T25*T19*$S$26)</f>
        <v>3500</v>
      </c>
      <c r="T33" s="46" t="s">
        <v>293</v>
      </c>
      <c r="U33" s="56"/>
      <c r="V33" s="1">
        <f t="shared" si="13"/>
        <v>2145.5556000000001</v>
      </c>
      <c r="W33" s="1">
        <f t="shared" si="5"/>
        <v>-39854.4444</v>
      </c>
      <c r="X33" s="1">
        <f t="shared" si="1"/>
        <v>53638.890000000007</v>
      </c>
      <c r="Y33" s="1">
        <f t="shared" si="6"/>
        <v>11638.890000000007</v>
      </c>
      <c r="Z33" s="1">
        <f t="shared" si="2"/>
        <v>0.13539895059086871</v>
      </c>
      <c r="AA33" s="1">
        <f t="shared" si="3"/>
        <v>0.23426138501273194</v>
      </c>
      <c r="AB33" s="1"/>
      <c r="AW33">
        <f t="shared" si="10"/>
        <v>3.6168098350675297E-2</v>
      </c>
      <c r="AX33">
        <f t="shared" si="11"/>
        <v>280.94474233077858</v>
      </c>
      <c r="AY33">
        <f t="shared" si="18"/>
        <v>309.03921656385648</v>
      </c>
      <c r="AZ33">
        <f t="shared" si="12"/>
        <v>28.094474233077904</v>
      </c>
    </row>
    <row r="34" spans="1:53" x14ac:dyDescent="0.35">
      <c r="A34" s="1">
        <v>33</v>
      </c>
      <c r="B34" s="62">
        <v>4264.5516094210579</v>
      </c>
      <c r="C34" s="62">
        <v>4</v>
      </c>
      <c r="D34" s="62">
        <v>6930.46</v>
      </c>
      <c r="E34" s="62">
        <v>4264.55</v>
      </c>
      <c r="F34" s="62">
        <v>2602.7800000000002</v>
      </c>
      <c r="G34" s="62">
        <v>255.268</v>
      </c>
      <c r="H34" s="62">
        <v>2529.48</v>
      </c>
      <c r="I34" s="62">
        <v>1820.92</v>
      </c>
      <c r="J34" s="62">
        <v>1578.24</v>
      </c>
      <c r="K34" s="62">
        <v>10</v>
      </c>
      <c r="L34" s="62">
        <v>6</v>
      </c>
      <c r="M34" s="62">
        <f>(C34*$S$18*1000)+S34</f>
        <v>14600</v>
      </c>
      <c r="N34" s="62">
        <f>$S$38*C34</f>
        <v>142.4</v>
      </c>
      <c r="O34" s="56">
        <f t="shared" si="4"/>
        <v>2.0546976679758633E-2</v>
      </c>
      <c r="P34" s="56">
        <f t="shared" si="0"/>
        <v>3560</v>
      </c>
      <c r="Q34" s="56"/>
      <c r="R34" s="63" t="s">
        <v>288</v>
      </c>
      <c r="S34" s="4">
        <f>(T26*T19*$S$26)</f>
        <v>4200</v>
      </c>
      <c r="T34" s="46" t="s">
        <v>292</v>
      </c>
      <c r="U34" s="56"/>
      <c r="V34" s="1">
        <f t="shared" si="13"/>
        <v>782.13779999999997</v>
      </c>
      <c r="W34" s="1">
        <f t="shared" si="5"/>
        <v>-13817.8622</v>
      </c>
      <c r="X34" s="1">
        <f t="shared" si="1"/>
        <v>19553.445</v>
      </c>
      <c r="Y34" s="1">
        <f t="shared" si="6"/>
        <v>4953.4449999999997</v>
      </c>
      <c r="Z34" s="1">
        <f t="shared" si="2"/>
        <v>0.15748986153308134</v>
      </c>
      <c r="AA34" s="1">
        <f t="shared" si="3"/>
        <v>0.27536780043021791</v>
      </c>
      <c r="AB34" s="1"/>
      <c r="AW34">
        <f t="shared" si="10"/>
        <v>1.0544548950630927E-2</v>
      </c>
      <c r="AX34">
        <f t="shared" si="11"/>
        <v>81.907419052181808</v>
      </c>
      <c r="AY34">
        <f t="shared" si="18"/>
        <v>90.098160957399998</v>
      </c>
      <c r="AZ34">
        <f t="shared" si="12"/>
        <v>8.1907419052181893</v>
      </c>
    </row>
    <row r="35" spans="1:53" x14ac:dyDescent="0.35">
      <c r="A35" s="1">
        <v>34</v>
      </c>
      <c r="B35" s="1">
        <v>5041.8344142687847</v>
      </c>
      <c r="C35" s="1">
        <v>4</v>
      </c>
      <c r="D35" s="1">
        <v>7106.6</v>
      </c>
      <c r="E35" s="1">
        <v>5041.83</v>
      </c>
      <c r="F35" s="1">
        <v>1667.85</v>
      </c>
      <c r="G35" s="1">
        <v>152.785</v>
      </c>
      <c r="H35" s="1">
        <v>3300.83</v>
      </c>
      <c r="I35" s="1">
        <v>2137.92</v>
      </c>
      <c r="J35" s="1">
        <v>2903.92</v>
      </c>
      <c r="K35" s="1">
        <v>10</v>
      </c>
      <c r="L35" s="1">
        <v>0</v>
      </c>
      <c r="M35" s="1">
        <f>C35*$S$18*1000</f>
        <v>10400</v>
      </c>
      <c r="N35" s="1">
        <f>$S$19*C35</f>
        <v>106</v>
      </c>
      <c r="O35" s="4">
        <f t="shared" si="4"/>
        <v>1.4915712154898262E-2</v>
      </c>
      <c r="P35" s="4">
        <f t="shared" si="0"/>
        <v>2650</v>
      </c>
      <c r="Q35" s="4"/>
      <c r="R35" s="63" t="s">
        <v>288</v>
      </c>
      <c r="S35" s="4">
        <f xml:space="preserve"> 8000 *S26</f>
        <v>8000</v>
      </c>
      <c r="T35" s="46" t="s">
        <v>294</v>
      </c>
      <c r="U35" s="4"/>
      <c r="V35" s="1">
        <f t="shared" si="13"/>
        <v>934.27019999999993</v>
      </c>
      <c r="W35" s="1">
        <f t="shared" si="5"/>
        <v>-9465.729800000001</v>
      </c>
      <c r="X35" s="1">
        <f t="shared" si="1"/>
        <v>23356.754999999997</v>
      </c>
      <c r="Y35" s="1">
        <f t="shared" si="6"/>
        <v>12956.754999999997</v>
      </c>
      <c r="Z35" s="1">
        <f t="shared" si="2"/>
        <v>9.7425363567226989E-2</v>
      </c>
      <c r="AA35" s="1">
        <f t="shared" si="3"/>
        <v>0.1684481674027381</v>
      </c>
      <c r="AB35" s="1"/>
      <c r="AW35">
        <f t="shared" si="10"/>
        <v>1.2466461811550257E-2</v>
      </c>
      <c r="AX35">
        <f t="shared" si="11"/>
        <v>96.836357484553375</v>
      </c>
      <c r="AY35">
        <f t="shared" si="18"/>
        <v>106.51999323300872</v>
      </c>
      <c r="AZ35">
        <f t="shared" si="12"/>
        <v>9.6836357484553446</v>
      </c>
    </row>
    <row r="36" spans="1:53" x14ac:dyDescent="0.35">
      <c r="A36" s="1">
        <v>35</v>
      </c>
      <c r="B36" s="62">
        <v>1680.154057549307</v>
      </c>
      <c r="C36" s="62">
        <v>2</v>
      </c>
      <c r="D36" s="62">
        <v>3553.3</v>
      </c>
      <c r="E36" s="62">
        <v>1680.15</v>
      </c>
      <c r="F36" s="62">
        <v>1252.81</v>
      </c>
      <c r="G36" s="62">
        <v>122.58499999999999</v>
      </c>
      <c r="H36" s="62">
        <v>1604.06</v>
      </c>
      <c r="I36" s="62">
        <v>745.89400000000001</v>
      </c>
      <c r="J36" s="62">
        <v>657.86699999999996</v>
      </c>
      <c r="K36" s="62">
        <v>5</v>
      </c>
      <c r="L36" s="62">
        <v>1.2</v>
      </c>
      <c r="M36" s="62">
        <f>(C36*$S$18*1000)+S29</f>
        <v>7240</v>
      </c>
      <c r="N36" s="62">
        <f>$S$38*C36</f>
        <v>71.2</v>
      </c>
      <c r="O36" s="56">
        <f t="shared" si="4"/>
        <v>2.0037711423184081E-2</v>
      </c>
      <c r="P36" s="56">
        <f t="shared" si="0"/>
        <v>1780</v>
      </c>
      <c r="Q36" s="56"/>
      <c r="R36" s="63" t="s">
        <v>288</v>
      </c>
      <c r="S36" s="4">
        <f>7300*S26</f>
        <v>7300</v>
      </c>
      <c r="T36" s="46" t="s">
        <v>295</v>
      </c>
      <c r="U36" s="56"/>
      <c r="V36" s="1">
        <f t="shared" si="13"/>
        <v>340.16795500000001</v>
      </c>
      <c r="W36" s="1">
        <f t="shared" si="5"/>
        <v>-6899.8320450000001</v>
      </c>
      <c r="X36" s="1">
        <f t="shared" si="1"/>
        <v>8504.198875</v>
      </c>
      <c r="Y36" s="1">
        <f t="shared" si="6"/>
        <v>1264.198875</v>
      </c>
      <c r="Z36" s="1">
        <f t="shared" si="2"/>
        <v>0.19240285776126101</v>
      </c>
      <c r="AA36" s="1">
        <f t="shared" si="3"/>
        <v>0.34077163361842333</v>
      </c>
      <c r="AB36" s="1"/>
      <c r="AW36">
        <f t="shared" si="10"/>
        <v>4.1543562669733927E-3</v>
      </c>
      <c r="AX36">
        <f t="shared" si="11"/>
        <v>32.270000475524121</v>
      </c>
      <c r="AY36">
        <f t="shared" si="18"/>
        <v>35.497000523076537</v>
      </c>
      <c r="AZ36">
        <f t="shared" si="12"/>
        <v>3.2270000475524157</v>
      </c>
    </row>
    <row r="37" spans="1:53" x14ac:dyDescent="0.35">
      <c r="A37" s="1">
        <v>36</v>
      </c>
      <c r="B37" s="1">
        <v>5659.8657296841702</v>
      </c>
      <c r="C37" s="1">
        <v>4</v>
      </c>
      <c r="D37" s="1">
        <v>7106.6</v>
      </c>
      <c r="E37" s="1">
        <v>5659.87</v>
      </c>
      <c r="F37" s="1">
        <v>1537.84</v>
      </c>
      <c r="G37" s="1">
        <v>139.857</v>
      </c>
      <c r="H37" s="1">
        <v>3205.84</v>
      </c>
      <c r="I37" s="1">
        <v>2362.91</v>
      </c>
      <c r="J37" s="1">
        <v>3296.95</v>
      </c>
      <c r="K37" s="1">
        <v>10</v>
      </c>
      <c r="L37" s="1">
        <v>0</v>
      </c>
      <c r="M37" s="1">
        <f>C37*$S$18*1000</f>
        <v>10400</v>
      </c>
      <c r="N37" s="1">
        <f>$S$19*C37</f>
        <v>106</v>
      </c>
      <c r="O37" s="4">
        <f t="shared" si="4"/>
        <v>1.4915712154898262E-2</v>
      </c>
      <c r="P37" s="4">
        <f t="shared" si="0"/>
        <v>2650</v>
      </c>
      <c r="Q37" s="4"/>
      <c r="R37" s="63" t="s">
        <v>288</v>
      </c>
      <c r="S37" s="4">
        <f>16000*S26</f>
        <v>16000</v>
      </c>
      <c r="T37" s="46" t="s">
        <v>297</v>
      </c>
      <c r="U37" s="4"/>
      <c r="V37" s="1">
        <f t="shared" si="13"/>
        <v>1017.1352999999999</v>
      </c>
      <c r="W37" s="1">
        <f t="shared" si="5"/>
        <v>-9382.8647000000001</v>
      </c>
      <c r="X37" s="1">
        <f t="shared" si="1"/>
        <v>25428.3825</v>
      </c>
      <c r="Y37" s="1">
        <f t="shared" si="6"/>
        <v>15028.3825</v>
      </c>
      <c r="Z37" s="1">
        <f t="shared" si="2"/>
        <v>8.841568898618847E-2</v>
      </c>
      <c r="AA37" s="1">
        <f t="shared" si="3"/>
        <v>0.15168312918317045</v>
      </c>
      <c r="AB37" s="1"/>
      <c r="AW37">
        <f t="shared" si="10"/>
        <v>1.399460874358025E-2</v>
      </c>
      <c r="AX37">
        <f t="shared" si="11"/>
        <v>108.70662066234414</v>
      </c>
      <c r="AY37">
        <f t="shared" si="18"/>
        <v>119.57728272857855</v>
      </c>
      <c r="AZ37">
        <f t="shared" si="12"/>
        <v>10.870662066234416</v>
      </c>
      <c r="BA37" t="s">
        <v>6</v>
      </c>
    </row>
    <row r="38" spans="1:53" x14ac:dyDescent="0.35">
      <c r="A38" s="1">
        <v>37</v>
      </c>
      <c r="B38" s="62">
        <v>7074.8321611913698</v>
      </c>
      <c r="C38" s="62">
        <v>6</v>
      </c>
      <c r="D38" s="62">
        <v>10659.9</v>
      </c>
      <c r="E38" s="62">
        <v>7074.83</v>
      </c>
      <c r="F38" s="62">
        <v>3404.59</v>
      </c>
      <c r="G38" s="62">
        <v>327.08699999999999</v>
      </c>
      <c r="H38" s="62">
        <v>4373.93</v>
      </c>
      <c r="I38" s="62">
        <v>3025.14</v>
      </c>
      <c r="J38" s="62">
        <v>2437.81</v>
      </c>
      <c r="K38" s="62">
        <v>15</v>
      </c>
      <c r="L38" s="62">
        <v>5</v>
      </c>
      <c r="M38" s="62">
        <f>(C38*$S$18*1000)+S33</f>
        <v>19100</v>
      </c>
      <c r="N38" s="62">
        <f>$S$38*C38</f>
        <v>213.60000000000002</v>
      </c>
      <c r="O38" s="56">
        <f t="shared" si="4"/>
        <v>2.0037711423184085E-2</v>
      </c>
      <c r="P38" s="56">
        <f t="shared" si="0"/>
        <v>5340.0000000000009</v>
      </c>
      <c r="Q38" s="56"/>
      <c r="R38" s="65" t="s">
        <v>248</v>
      </c>
      <c r="S38" s="1">
        <v>35.6</v>
      </c>
      <c r="T38" s="30"/>
      <c r="U38" s="56"/>
      <c r="V38" s="1">
        <f t="shared" si="13"/>
        <v>1173.8442500000001</v>
      </c>
      <c r="W38" s="1">
        <f>V38-M38</f>
        <v>-17926.155749999998</v>
      </c>
      <c r="X38" s="1">
        <f t="shared" si="1"/>
        <v>29346.106250000004</v>
      </c>
      <c r="Y38" s="1">
        <f t="shared" si="6"/>
        <v>10246.106250000004</v>
      </c>
      <c r="Z38" s="1">
        <f t="shared" si="2"/>
        <v>0.12802613893541298</v>
      </c>
      <c r="AA38" s="1">
        <f t="shared" si="3"/>
        <v>0.22098060877529327</v>
      </c>
      <c r="AB38" s="1"/>
      <c r="AC38" s="1" t="s">
        <v>287</v>
      </c>
      <c r="AD38" s="1">
        <v>0</v>
      </c>
      <c r="AE38">
        <f>-AC41</f>
        <v>-15950</v>
      </c>
      <c r="AF38">
        <f>AE38</f>
        <v>-15950</v>
      </c>
      <c r="AH38">
        <f>AE38</f>
        <v>-15950</v>
      </c>
      <c r="AI38">
        <f>AE38</f>
        <v>-15950</v>
      </c>
      <c r="AK38">
        <f>AE38</f>
        <v>-15950</v>
      </c>
      <c r="AW38">
        <f t="shared" si="10"/>
        <v>1.7493260927215738E-2</v>
      </c>
      <c r="AX38">
        <f t="shared" si="11"/>
        <v>135.88327581037836</v>
      </c>
      <c r="AY38">
        <f t="shared" si="18"/>
        <v>149.47160339141621</v>
      </c>
      <c r="AZ38">
        <f t="shared" si="12"/>
        <v>13.588327581037845</v>
      </c>
    </row>
    <row r="39" spans="1:53" x14ac:dyDescent="0.35">
      <c r="A39" s="1">
        <v>38</v>
      </c>
      <c r="B39" s="1">
        <v>1036.155497852058</v>
      </c>
      <c r="C39" s="1">
        <v>2</v>
      </c>
      <c r="D39" s="1">
        <v>3553.3</v>
      </c>
      <c r="E39" s="1">
        <v>1036.1600000000001</v>
      </c>
      <c r="F39" s="1">
        <v>1206.4100000000001</v>
      </c>
      <c r="G39" s="1">
        <v>115.129</v>
      </c>
      <c r="H39" s="1">
        <v>1906.9</v>
      </c>
      <c r="I39" s="1">
        <v>439.99</v>
      </c>
      <c r="J39" s="1">
        <v>596.16499999999996</v>
      </c>
      <c r="K39" s="1">
        <v>5</v>
      </c>
      <c r="L39" s="1">
        <v>0</v>
      </c>
      <c r="M39" s="1">
        <f>C39*$S$18*1000</f>
        <v>5200</v>
      </c>
      <c r="N39" s="1">
        <f>$S$19*C39</f>
        <v>53</v>
      </c>
      <c r="O39" s="4">
        <f t="shared" si="4"/>
        <v>1.4915712154898262E-2</v>
      </c>
      <c r="P39" s="4">
        <f t="shared" si="0"/>
        <v>1325</v>
      </c>
      <c r="Q39" s="4"/>
      <c r="R39" s="68" t="s">
        <v>260</v>
      </c>
      <c r="S39" s="1">
        <v>220</v>
      </c>
      <c r="T39" s="78">
        <f>S39*S15</f>
        <v>9900</v>
      </c>
      <c r="U39" s="4"/>
      <c r="V39" s="1">
        <f t="shared" si="13"/>
        <v>275.733025</v>
      </c>
      <c r="W39" s="1">
        <f t="shared" si="5"/>
        <v>-4924.2669750000005</v>
      </c>
      <c r="X39" s="1">
        <f t="shared" si="1"/>
        <v>6893.3256249999995</v>
      </c>
      <c r="Y39" s="1">
        <f t="shared" si="6"/>
        <v>1693.3256249999995</v>
      </c>
      <c r="Z39" s="1">
        <f t="shared" si="2"/>
        <v>0.21565778265607527</v>
      </c>
      <c r="AA39" s="1">
        <f t="shared" si="3"/>
        <v>0.38845289753895179</v>
      </c>
      <c r="AB39" s="1"/>
      <c r="AC39" s="1"/>
      <c r="AD39" s="1">
        <v>1</v>
      </c>
      <c r="AE39">
        <f>AC44</f>
        <v>6672.9982718931824</v>
      </c>
      <c r="AF39">
        <f>AF38+AE39</f>
        <v>-9277.0017281068176</v>
      </c>
      <c r="AG39">
        <f t="shared" ref="AG39:AG63" si="22">AE39/(1+$S$20)^AD39</f>
        <v>6289.3480413696352</v>
      </c>
      <c r="AH39">
        <f>AH38+AG39</f>
        <v>-9660.6519586303657</v>
      </c>
      <c r="AI39">
        <f>$AC$44*((1+$S$44)^AD39)</f>
        <v>6839.8232286905113</v>
      </c>
      <c r="AJ39">
        <f t="shared" ref="AJ39:AJ63" si="23">AI39/(1+$S$20)^AD39</f>
        <v>6446.5817424038751</v>
      </c>
      <c r="AK39">
        <f>AK38+AJ39</f>
        <v>-9503.418257596124</v>
      </c>
      <c r="AW39">
        <f t="shared" si="10"/>
        <v>2.562002613224239E-3</v>
      </c>
      <c r="AX39">
        <f t="shared" si="11"/>
        <v>19.900995541548181</v>
      </c>
      <c r="AY39">
        <f t="shared" si="18"/>
        <v>21.891095095703001</v>
      </c>
      <c r="AZ39">
        <f t="shared" si="12"/>
        <v>1.9900995541548205</v>
      </c>
    </row>
    <row r="40" spans="1:53" ht="29" x14ac:dyDescent="0.35">
      <c r="A40" s="1">
        <v>39</v>
      </c>
      <c r="B40" s="62">
        <v>1397.7981728371551</v>
      </c>
      <c r="C40" s="62">
        <v>2</v>
      </c>
      <c r="D40" s="62">
        <v>3553.3</v>
      </c>
      <c r="E40" s="62">
        <v>1397.8</v>
      </c>
      <c r="F40" s="62">
        <v>1337.82</v>
      </c>
      <c r="G40" s="62">
        <v>132.495</v>
      </c>
      <c r="H40" s="62">
        <v>1638.51</v>
      </c>
      <c r="I40" s="62">
        <v>629.24800000000005</v>
      </c>
      <c r="J40" s="62">
        <v>605.05899999999997</v>
      </c>
      <c r="K40" s="62">
        <v>5</v>
      </c>
      <c r="L40" s="62">
        <v>1.2</v>
      </c>
      <c r="M40" s="62">
        <f>(C40*$S$18*1000)+S29</f>
        <v>7240</v>
      </c>
      <c r="N40" s="62">
        <f>$S$38*C40</f>
        <v>71.2</v>
      </c>
      <c r="O40" s="56">
        <f t="shared" si="4"/>
        <v>2.0037711423184081E-2</v>
      </c>
      <c r="P40" s="56">
        <f t="shared" si="0"/>
        <v>1780</v>
      </c>
      <c r="Q40" s="56"/>
      <c r="R40" s="68" t="s">
        <v>261</v>
      </c>
      <c r="S40" s="1">
        <v>165</v>
      </c>
      <c r="T40" s="78">
        <f>S40*S15</f>
        <v>7425</v>
      </c>
      <c r="U40" s="56"/>
      <c r="V40" s="1">
        <f t="shared" si="13"/>
        <v>323.81258500000001</v>
      </c>
      <c r="W40" s="1">
        <f t="shared" si="5"/>
        <v>-6916.1874150000003</v>
      </c>
      <c r="X40" s="1">
        <f t="shared" si="1"/>
        <v>8095.314625</v>
      </c>
      <c r="Y40" s="1">
        <f t="shared" si="6"/>
        <v>855.31462499999998</v>
      </c>
      <c r="Z40" s="1">
        <f t="shared" si="2"/>
        <v>0.22722069794275418</v>
      </c>
      <c r="AA40" s="1">
        <f t="shared" si="3"/>
        <v>0.40556003592032402</v>
      </c>
      <c r="AB40" s="1"/>
      <c r="AC40" s="73" t="s">
        <v>366</v>
      </c>
      <c r="AD40" s="1">
        <f>AD39+1</f>
        <v>2</v>
      </c>
      <c r="AE40">
        <f>AE39</f>
        <v>6672.9982718931824</v>
      </c>
      <c r="AF40">
        <f>AF39+AE40</f>
        <v>-2604.0034562136352</v>
      </c>
      <c r="AG40">
        <f t="shared" si="22"/>
        <v>5927.7549871532847</v>
      </c>
      <c r="AH40">
        <f t="shared" ref="AH40:AH63" si="24">AH39+AG40</f>
        <v>-3732.896971477081</v>
      </c>
      <c r="AI40">
        <f t="shared" ref="AI40:AI63" si="25">$AC$44*((1+$S$44)^AD40)</f>
        <v>7010.8188094077741</v>
      </c>
      <c r="AJ40">
        <f t="shared" si="23"/>
        <v>6227.8475833779194</v>
      </c>
      <c r="AK40">
        <f t="shared" ref="AK40:AK63" si="26">AK39+AJ40</f>
        <v>-3275.5706742182047</v>
      </c>
      <c r="AW40">
        <f t="shared" si="10"/>
        <v>3.4562018722021732E-3</v>
      </c>
      <c r="AX40">
        <f t="shared" si="11"/>
        <v>26.846911745661753</v>
      </c>
      <c r="AY40">
        <f t="shared" si="18"/>
        <v>29.531602920227932</v>
      </c>
      <c r="AZ40">
        <f t="shared" si="12"/>
        <v>2.6846911745661792</v>
      </c>
    </row>
    <row r="41" spans="1:53" x14ac:dyDescent="0.35">
      <c r="A41" s="1">
        <v>40</v>
      </c>
      <c r="B41" s="62">
        <v>2769.3097556877569</v>
      </c>
      <c r="C41" s="62">
        <v>2</v>
      </c>
      <c r="D41" s="62">
        <v>3553.3</v>
      </c>
      <c r="E41" s="62">
        <v>2769.31</v>
      </c>
      <c r="F41" s="62">
        <v>1224.25</v>
      </c>
      <c r="G41" s="62">
        <v>117.764</v>
      </c>
      <c r="H41" s="62">
        <v>1185.83</v>
      </c>
      <c r="I41" s="62">
        <v>1159.6300000000001</v>
      </c>
      <c r="J41" s="62">
        <v>850.86400000000003</v>
      </c>
      <c r="K41" s="62">
        <v>5</v>
      </c>
      <c r="L41" s="62">
        <v>3.3</v>
      </c>
      <c r="M41" s="62">
        <f>(C41*$S$18*1000)+S31</f>
        <v>8896</v>
      </c>
      <c r="N41" s="62">
        <f>$S$38*C41</f>
        <v>71.2</v>
      </c>
      <c r="O41" s="56">
        <f t="shared" si="4"/>
        <v>2.0037711423184081E-2</v>
      </c>
      <c r="P41" s="56">
        <f t="shared" si="0"/>
        <v>1780</v>
      </c>
      <c r="Q41" s="56"/>
      <c r="R41" s="65" t="s">
        <v>250</v>
      </c>
      <c r="S41" s="1">
        <v>3.1E-2</v>
      </c>
      <c r="T41" s="30"/>
      <c r="U41" s="56"/>
      <c r="V41" s="1">
        <f t="shared" si="13"/>
        <v>429.39057000000003</v>
      </c>
      <c r="W41" s="1">
        <f t="shared" si="5"/>
        <v>-8466.6094300000004</v>
      </c>
      <c r="X41" s="1">
        <f t="shared" si="1"/>
        <v>10734.76425</v>
      </c>
      <c r="Y41" s="1">
        <f t="shared" si="6"/>
        <v>1838.7642500000002</v>
      </c>
      <c r="Z41" s="1">
        <f t="shared" si="2"/>
        <v>0.14853182417787206</v>
      </c>
      <c r="AA41" s="1">
        <f t="shared" si="3"/>
        <v>0.25913721406842516</v>
      </c>
      <c r="AB41" s="1"/>
      <c r="AC41" s="1">
        <f>(T10*55/99)</f>
        <v>15950</v>
      </c>
      <c r="AD41" s="1">
        <f t="shared" ref="AD41:AD55" si="27">AD40+1</f>
        <v>3</v>
      </c>
      <c r="AE41">
        <f t="shared" ref="AE41:AE63" si="28">AE40</f>
        <v>6672.9982718931824</v>
      </c>
      <c r="AF41">
        <f t="shared" ref="AF41:AF63" si="29">AF40+AE41</f>
        <v>4068.9948156795472</v>
      </c>
      <c r="AG41">
        <f t="shared" si="22"/>
        <v>5586.9509775243023</v>
      </c>
      <c r="AH41">
        <f t="shared" si="24"/>
        <v>1854.0540060472213</v>
      </c>
      <c r="AI41">
        <f t="shared" si="25"/>
        <v>7186.089279642968</v>
      </c>
      <c r="AJ41">
        <f t="shared" si="23"/>
        <v>6016.5351300305065</v>
      </c>
      <c r="AK41">
        <f t="shared" si="26"/>
        <v>2740.9644558123018</v>
      </c>
      <c r="AW41">
        <f t="shared" si="10"/>
        <v>6.8474074070998467E-3</v>
      </c>
      <c r="AX41">
        <f t="shared" si="11"/>
        <v>53.18894819875463</v>
      </c>
      <c r="AY41">
        <f t="shared" si="18"/>
        <v>58.507843018630098</v>
      </c>
      <c r="AZ41">
        <f t="shared" si="12"/>
        <v>5.3188948198754673</v>
      </c>
    </row>
    <row r="42" spans="1:53" x14ac:dyDescent="0.35">
      <c r="A42" s="1">
        <v>41</v>
      </c>
      <c r="B42" s="1">
        <v>975.76163139608616</v>
      </c>
      <c r="C42" s="1">
        <v>2</v>
      </c>
      <c r="D42" s="1">
        <v>3553.3</v>
      </c>
      <c r="E42" s="1">
        <v>975.76199999999994</v>
      </c>
      <c r="F42" s="1">
        <v>1216.8800000000001</v>
      </c>
      <c r="G42" s="1">
        <v>117.163</v>
      </c>
      <c r="H42" s="1">
        <v>1888.06</v>
      </c>
      <c r="I42" s="1">
        <v>448.36099999999999</v>
      </c>
      <c r="J42" s="1">
        <v>527.40099999999995</v>
      </c>
      <c r="K42" s="1">
        <v>5</v>
      </c>
      <c r="L42" s="1">
        <v>0</v>
      </c>
      <c r="M42" s="1">
        <f>C42*$S$18*1000</f>
        <v>5200</v>
      </c>
      <c r="N42" s="1">
        <f>$S$19*C42</f>
        <v>53</v>
      </c>
      <c r="O42" s="4">
        <f t="shared" si="4"/>
        <v>1.4915712154898262E-2</v>
      </c>
      <c r="P42" s="4">
        <f t="shared" si="0"/>
        <v>1325</v>
      </c>
      <c r="Q42" s="4"/>
      <c r="R42" s="65" t="s">
        <v>251</v>
      </c>
      <c r="S42" s="1" t="s">
        <v>252</v>
      </c>
      <c r="T42" s="30"/>
      <c r="U42" s="4"/>
      <c r="V42" s="1">
        <f t="shared" si="13"/>
        <v>268.40611000000001</v>
      </c>
      <c r="W42" s="1">
        <f t="shared" si="5"/>
        <v>-4931.5938900000001</v>
      </c>
      <c r="X42" s="1">
        <f t="shared" si="1"/>
        <v>6710.1527500000002</v>
      </c>
      <c r="Y42" s="1">
        <f t="shared" si="6"/>
        <v>1510.1527500000002</v>
      </c>
      <c r="Z42" s="1">
        <f t="shared" si="2"/>
        <v>0.22808252801175949</v>
      </c>
      <c r="AA42" s="1">
        <f t="shared" si="3"/>
        <v>0.41157263720133941</v>
      </c>
      <c r="AB42" s="1"/>
      <c r="AC42" s="1"/>
      <c r="AD42" s="1">
        <f t="shared" si="27"/>
        <v>4</v>
      </c>
      <c r="AE42">
        <f t="shared" si="28"/>
        <v>6672.9982718931824</v>
      </c>
      <c r="AF42">
        <f t="shared" si="29"/>
        <v>10741.99308757273</v>
      </c>
      <c r="AG42">
        <f t="shared" si="22"/>
        <v>5265.7407893725758</v>
      </c>
      <c r="AH42">
        <f t="shared" si="24"/>
        <v>7119.7947954197971</v>
      </c>
      <c r="AI42">
        <f t="shared" si="25"/>
        <v>7365.7415116340417</v>
      </c>
      <c r="AJ42">
        <f t="shared" si="23"/>
        <v>5812.3925619993106</v>
      </c>
      <c r="AK42">
        <f t="shared" si="26"/>
        <v>8553.3570178116133</v>
      </c>
      <c r="AW42">
        <f t="shared" si="10"/>
        <v>2.412672475031981E-3</v>
      </c>
      <c r="AX42">
        <f t="shared" si="11"/>
        <v>18.741036375603805</v>
      </c>
      <c r="AY42">
        <f t="shared" si="18"/>
        <v>20.615140013164186</v>
      </c>
      <c r="AZ42">
        <f t="shared" si="12"/>
        <v>1.8741036375603812</v>
      </c>
    </row>
    <row r="43" spans="1:53" ht="29" x14ac:dyDescent="0.35">
      <c r="A43" s="1">
        <v>42</v>
      </c>
      <c r="B43" s="62">
        <v>1220.838737866377</v>
      </c>
      <c r="C43" s="62">
        <v>2</v>
      </c>
      <c r="D43" s="62">
        <v>3553.3</v>
      </c>
      <c r="E43" s="62">
        <v>1220.8399999999999</v>
      </c>
      <c r="F43" s="62">
        <v>1565.05</v>
      </c>
      <c r="G43" s="62">
        <v>159.86699999999999</v>
      </c>
      <c r="H43" s="62">
        <v>1546.75</v>
      </c>
      <c r="I43" s="62">
        <v>497.50700000000001</v>
      </c>
      <c r="J43" s="62">
        <v>659.64099999999996</v>
      </c>
      <c r="K43" s="62">
        <v>5</v>
      </c>
      <c r="L43" s="62">
        <v>2</v>
      </c>
      <c r="M43" s="62">
        <f>(C43*$S$18*1000)+S30</f>
        <v>8600</v>
      </c>
      <c r="N43" s="62">
        <f>$S$38*C43</f>
        <v>71.2</v>
      </c>
      <c r="O43" s="56">
        <f t="shared" si="4"/>
        <v>2.0037711423184081E-2</v>
      </c>
      <c r="P43" s="56">
        <f t="shared" si="0"/>
        <v>1780</v>
      </c>
      <c r="Q43" s="56"/>
      <c r="R43" s="65" t="s">
        <v>262</v>
      </c>
      <c r="S43" s="1">
        <v>7.0000000000000007E-2</v>
      </c>
      <c r="T43" s="30"/>
      <c r="U43" s="56"/>
      <c r="V43" s="1">
        <f t="shared" si="13"/>
        <v>339.22494</v>
      </c>
      <c r="W43" s="1">
        <f t="shared" si="5"/>
        <v>-8260.7750599999999</v>
      </c>
      <c r="X43" s="1">
        <f t="shared" si="1"/>
        <v>8480.6234999999997</v>
      </c>
      <c r="Y43" s="1">
        <f t="shared" si="6"/>
        <v>-119.37650000000031</v>
      </c>
      <c r="Z43" s="1">
        <f t="shared" si="2"/>
        <v>0.30181120806140382</v>
      </c>
      <c r="AA43" s="1">
        <f t="shared" si="3"/>
        <v>0.54435669740996329</v>
      </c>
      <c r="AB43" s="1"/>
      <c r="AC43" s="73" t="s">
        <v>328</v>
      </c>
      <c r="AD43" s="1">
        <f t="shared" si="27"/>
        <v>5</v>
      </c>
      <c r="AE43">
        <f t="shared" si="28"/>
        <v>6672.9982718931824</v>
      </c>
      <c r="AF43">
        <f t="shared" si="29"/>
        <v>17414.991359465912</v>
      </c>
      <c r="AG43">
        <f t="shared" si="22"/>
        <v>4962.9979164680262</v>
      </c>
      <c r="AH43">
        <f t="shared" si="24"/>
        <v>12082.792711887823</v>
      </c>
      <c r="AI43">
        <f t="shared" si="25"/>
        <v>7549.8850494248918</v>
      </c>
      <c r="AJ43">
        <f t="shared" si="23"/>
        <v>5615.1766032509831</v>
      </c>
      <c r="AK43">
        <f t="shared" si="26"/>
        <v>14168.533621062597</v>
      </c>
      <c r="AW43">
        <f t="shared" si="10"/>
        <v>3.018651199769655E-3</v>
      </c>
      <c r="AX43">
        <f t="shared" si="11"/>
        <v>23.448127553821113</v>
      </c>
      <c r="AY43">
        <f t="shared" si="18"/>
        <v>25.792940309203225</v>
      </c>
      <c r="AZ43">
        <f t="shared" si="12"/>
        <v>2.3448127553821116</v>
      </c>
    </row>
    <row r="44" spans="1:53" x14ac:dyDescent="0.35">
      <c r="A44" s="1">
        <v>43</v>
      </c>
      <c r="B44" s="62">
        <v>3438.0361146713012</v>
      </c>
      <c r="C44" s="62">
        <v>10</v>
      </c>
      <c r="D44" s="62">
        <v>17766.5</v>
      </c>
      <c r="E44" s="62">
        <v>3438.04</v>
      </c>
      <c r="F44" s="62">
        <v>8491</v>
      </c>
      <c r="G44" s="62">
        <v>881.13699999999994</v>
      </c>
      <c r="H44" s="62">
        <v>7948</v>
      </c>
      <c r="I44" s="62">
        <v>1634.71</v>
      </c>
      <c r="J44" s="62">
        <v>1636.63</v>
      </c>
      <c r="K44" s="62">
        <v>25</v>
      </c>
      <c r="L44" s="62">
        <v>9.6999999999999993</v>
      </c>
      <c r="M44" s="62">
        <f>(C44*$S$18*1000)+S35</f>
        <v>34000</v>
      </c>
      <c r="N44" s="62">
        <f>$S$38*C44</f>
        <v>356</v>
      </c>
      <c r="O44" s="56">
        <f t="shared" si="4"/>
        <v>2.0037711423184081E-2</v>
      </c>
      <c r="P44" s="56">
        <f t="shared" si="0"/>
        <v>8900</v>
      </c>
      <c r="Q44" s="56"/>
      <c r="R44" s="65" t="s">
        <v>263</v>
      </c>
      <c r="S44" s="1">
        <v>2.5000000000000001E-2</v>
      </c>
      <c r="T44" s="46"/>
      <c r="U44" s="56"/>
      <c r="V44" s="1">
        <f t="shared" si="13"/>
        <v>1388.1947</v>
      </c>
      <c r="W44" s="1">
        <f t="shared" si="5"/>
        <v>-32611.8053</v>
      </c>
      <c r="X44" s="1">
        <f t="shared" si="1"/>
        <v>34704.8675</v>
      </c>
      <c r="Y44" s="1">
        <f t="shared" si="6"/>
        <v>704.86750000000029</v>
      </c>
      <c r="Z44" s="1">
        <f t="shared" si="2"/>
        <v>0.41561238098421771</v>
      </c>
      <c r="AA44" s="1">
        <f t="shared" si="3"/>
        <v>0.75611584545931365</v>
      </c>
      <c r="AB44" s="1"/>
      <c r="AC44" s="1">
        <f>J116</f>
        <v>6672.9982718931824</v>
      </c>
      <c r="AD44" s="1">
        <f t="shared" si="27"/>
        <v>6</v>
      </c>
      <c r="AE44">
        <f t="shared" si="28"/>
        <v>6672.9982718931824</v>
      </c>
      <c r="AF44">
        <f t="shared" si="29"/>
        <v>24087.989631359094</v>
      </c>
      <c r="AG44">
        <f t="shared" si="22"/>
        <v>4677.6606187257548</v>
      </c>
      <c r="AH44">
        <f t="shared" si="24"/>
        <v>16760.453330613578</v>
      </c>
      <c r="AI44">
        <f t="shared" si="25"/>
        <v>7738.6321756605139</v>
      </c>
      <c r="AJ44">
        <f t="shared" si="23"/>
        <v>5424.6522321698931</v>
      </c>
      <c r="AK44">
        <f t="shared" si="26"/>
        <v>19593.185853232491</v>
      </c>
      <c r="AW44">
        <f t="shared" si="10"/>
        <v>8.5009031254542674E-3</v>
      </c>
      <c r="AX44">
        <f t="shared" si="11"/>
        <v>66.032889398927097</v>
      </c>
      <c r="AY44">
        <f t="shared" si="18"/>
        <v>72.636178338819818</v>
      </c>
      <c r="AZ44">
        <f t="shared" si="12"/>
        <v>6.603288939892721</v>
      </c>
    </row>
    <row r="45" spans="1:53" x14ac:dyDescent="0.35">
      <c r="A45" s="1">
        <v>44</v>
      </c>
      <c r="B45" s="1">
        <v>1279.200878938675</v>
      </c>
      <c r="C45" s="1">
        <v>2</v>
      </c>
      <c r="D45" s="1">
        <v>3553.3</v>
      </c>
      <c r="E45" s="1">
        <v>1279.2</v>
      </c>
      <c r="F45" s="1">
        <v>1135.29</v>
      </c>
      <c r="G45" s="1">
        <v>107.304</v>
      </c>
      <c r="H45" s="1">
        <v>1864.24</v>
      </c>
      <c r="I45" s="1">
        <v>553.76199999999994</v>
      </c>
      <c r="J45" s="1">
        <v>725.43899999999996</v>
      </c>
      <c r="K45" s="1">
        <v>5</v>
      </c>
      <c r="L45" s="1">
        <v>0</v>
      </c>
      <c r="M45" s="1">
        <f>C45*$S$18*1000</f>
        <v>5200</v>
      </c>
      <c r="N45" s="1">
        <f>$S$19*C45</f>
        <v>53</v>
      </c>
      <c r="O45" s="4">
        <f t="shared" si="4"/>
        <v>1.4915712154898262E-2</v>
      </c>
      <c r="P45" s="4">
        <f t="shared" si="0"/>
        <v>1325</v>
      </c>
      <c r="Q45" s="4"/>
      <c r="R45" s="63"/>
      <c r="S45" s="4"/>
      <c r="T45" s="30"/>
      <c r="U45" s="4"/>
      <c r="V45" s="1">
        <f t="shared" si="13"/>
        <v>305.58015499999999</v>
      </c>
      <c r="W45" s="1">
        <f t="shared" si="5"/>
        <v>-4894.4198450000004</v>
      </c>
      <c r="X45" s="1">
        <f t="shared" si="1"/>
        <v>7639.5038749999994</v>
      </c>
      <c r="Y45" s="1">
        <f>X45-M45</f>
        <v>2439.5038749999994</v>
      </c>
      <c r="Z45" s="1">
        <f t="shared" si="2"/>
        <v>0.17751722644761284</v>
      </c>
      <c r="AA45" s="1">
        <f t="shared" si="3"/>
        <v>0.31748164582513722</v>
      </c>
      <c r="AB45" s="1"/>
      <c r="AC45" s="1"/>
      <c r="AD45" s="1">
        <f t="shared" si="27"/>
        <v>7</v>
      </c>
      <c r="AE45">
        <f t="shared" si="28"/>
        <v>6672.9982718931824</v>
      </c>
      <c r="AF45">
        <f t="shared" si="29"/>
        <v>30760.987903252277</v>
      </c>
      <c r="AG45">
        <f t="shared" si="22"/>
        <v>4408.7281986105145</v>
      </c>
      <c r="AH45">
        <f t="shared" si="24"/>
        <v>21169.181529224094</v>
      </c>
      <c r="AI45">
        <f t="shared" si="25"/>
        <v>7932.0979800520272</v>
      </c>
      <c r="AJ45">
        <f t="shared" si="23"/>
        <v>5240.5924014836401</v>
      </c>
      <c r="AK45">
        <f t="shared" si="26"/>
        <v>24833.778254716133</v>
      </c>
      <c r="AW45">
        <f t="shared" si="10"/>
        <v>3.1629576848971781E-3</v>
      </c>
      <c r="AX45">
        <f t="shared" si="11"/>
        <v>24.569064239176463</v>
      </c>
      <c r="AY45">
        <f t="shared" si="18"/>
        <v>27.02597066309411</v>
      </c>
      <c r="AZ45">
        <f t="shared" si="12"/>
        <v>2.4569064239176477</v>
      </c>
    </row>
    <row r="46" spans="1:53" x14ac:dyDescent="0.35">
      <c r="A46" s="62">
        <v>45</v>
      </c>
      <c r="B46" s="62">
        <v>3266.9511427123548</v>
      </c>
      <c r="C46" s="62">
        <v>2</v>
      </c>
      <c r="D46" s="62">
        <v>3553.3</v>
      </c>
      <c r="E46" s="62">
        <v>3266.95</v>
      </c>
      <c r="F46" s="62">
        <v>1185.51</v>
      </c>
      <c r="G46" s="62">
        <v>112.761</v>
      </c>
      <c r="H46" s="62">
        <v>1014.2</v>
      </c>
      <c r="I46" s="62">
        <v>1335.02</v>
      </c>
      <c r="J46" s="62">
        <v>888.14800000000002</v>
      </c>
      <c r="K46" s="62">
        <v>5</v>
      </c>
      <c r="L46" s="62">
        <v>4.2</v>
      </c>
      <c r="M46" s="62">
        <f>(C46*$S$18*1000)+S32</f>
        <v>9904</v>
      </c>
      <c r="N46" s="62">
        <f>$S$38*C46</f>
        <v>71.2</v>
      </c>
      <c r="O46" s="56">
        <f t="shared" si="4"/>
        <v>2.0037711423184081E-2</v>
      </c>
      <c r="P46" s="56">
        <f t="shared" si="0"/>
        <v>1780</v>
      </c>
      <c r="Q46" s="4"/>
      <c r="R46" s="63"/>
      <c r="S46" s="4"/>
      <c r="T46" s="30"/>
      <c r="U46" s="56"/>
      <c r="V46" s="1">
        <f t="shared" si="13"/>
        <v>457.35203999999999</v>
      </c>
      <c r="W46" s="1">
        <f t="shared" si="5"/>
        <v>-9446.6479600000002</v>
      </c>
      <c r="X46" s="1">
        <f t="shared" si="1"/>
        <v>11433.800999999999</v>
      </c>
      <c r="Y46" s="1">
        <f t="shared" si="6"/>
        <v>1529.8009999999995</v>
      </c>
      <c r="Z46" s="1">
        <f t="shared" si="2"/>
        <v>0.14130062069065846</v>
      </c>
      <c r="AA46" s="1">
        <f t="shared" si="3"/>
        <v>0.24568152243981223</v>
      </c>
      <c r="AB46" s="1"/>
      <c r="AC46" s="1"/>
      <c r="AD46" s="1">
        <f t="shared" si="27"/>
        <v>8</v>
      </c>
      <c r="AE46">
        <f t="shared" si="28"/>
        <v>6672.9982718931824</v>
      </c>
      <c r="AF46">
        <f t="shared" si="29"/>
        <v>37433.986175145459</v>
      </c>
      <c r="AG46">
        <f t="shared" si="22"/>
        <v>4155.2574916215972</v>
      </c>
      <c r="AH46">
        <f t="shared" si="24"/>
        <v>25324.43902084569</v>
      </c>
      <c r="AI46">
        <f t="shared" si="25"/>
        <v>8130.4004295533268</v>
      </c>
      <c r="AJ46">
        <f t="shared" si="23"/>
        <v>5062.7777676915457</v>
      </c>
      <c r="AK46">
        <f t="shared" si="26"/>
        <v>29896.55602240768</v>
      </c>
      <c r="AW46" s="79">
        <f t="shared" si="10"/>
        <v>8.0778776759432135E-3</v>
      </c>
      <c r="AX46" s="79">
        <f t="shared" si="11"/>
        <v>62.746933505975768</v>
      </c>
      <c r="AY46" s="79">
        <f t="shared" si="18"/>
        <v>69.021626856573349</v>
      </c>
      <c r="AZ46" s="79">
        <f t="shared" si="12"/>
        <v>6.2746933505975804</v>
      </c>
    </row>
    <row r="47" spans="1:53" x14ac:dyDescent="0.35">
      <c r="A47" s="70">
        <v>46</v>
      </c>
      <c r="B47" s="70">
        <v>1763.99702425654</v>
      </c>
      <c r="C47" s="70">
        <v>0</v>
      </c>
      <c r="D47" s="70"/>
      <c r="E47" s="70">
        <v>1764</v>
      </c>
      <c r="F47" s="70"/>
      <c r="G47" s="70"/>
      <c r="H47" s="70"/>
      <c r="I47" s="70"/>
      <c r="J47" s="70"/>
      <c r="K47" s="70">
        <v>0</v>
      </c>
      <c r="L47" s="70">
        <v>0</v>
      </c>
      <c r="M47" s="71">
        <f t="shared" ref="M47:M100" si="30">$S$18*C47*1000</f>
        <v>0</v>
      </c>
      <c r="N47" s="71">
        <f t="shared" ref="N47:O78" si="31">$S$19*C47</f>
        <v>0</v>
      </c>
      <c r="O47" s="71">
        <f t="shared" si="31"/>
        <v>0</v>
      </c>
      <c r="P47" s="71">
        <f t="shared" ref="P47:P100" si="32">$S$19*K47</f>
        <v>0</v>
      </c>
      <c r="Q47" s="71"/>
      <c r="R47" s="50" t="s">
        <v>49</v>
      </c>
      <c r="S47" s="4">
        <v>25</v>
      </c>
      <c r="T47" s="30"/>
      <c r="U47" s="71"/>
      <c r="V47" s="70">
        <v>36.3322</v>
      </c>
      <c r="W47" s="70">
        <f t="shared" si="5"/>
        <v>36.3322</v>
      </c>
      <c r="X47" s="70">
        <f t="shared" si="1"/>
        <v>908.30500000000006</v>
      </c>
      <c r="Y47" s="70">
        <f t="shared" si="6"/>
        <v>908.30500000000006</v>
      </c>
      <c r="Z47" s="70">
        <f t="shared" si="2"/>
        <v>0</v>
      </c>
      <c r="AA47" s="70">
        <f t="shared" si="3"/>
        <v>0</v>
      </c>
      <c r="AB47" s="4"/>
      <c r="AC47" s="1"/>
      <c r="AD47" s="1">
        <f t="shared" si="27"/>
        <v>9</v>
      </c>
      <c r="AE47">
        <f t="shared" si="28"/>
        <v>6672.9982718931824</v>
      </c>
      <c r="AF47">
        <f t="shared" si="29"/>
        <v>44106.984447038645</v>
      </c>
      <c r="AG47">
        <f t="shared" si="22"/>
        <v>3916.3595585500443</v>
      </c>
      <c r="AH47">
        <f t="shared" si="24"/>
        <v>29240.798579395734</v>
      </c>
      <c r="AI47">
        <f t="shared" si="25"/>
        <v>8333.6604402921585</v>
      </c>
      <c r="AJ47">
        <f t="shared" si="23"/>
        <v>4890.9964296737362</v>
      </c>
      <c r="AK47">
        <f t="shared" si="26"/>
        <v>34787.552452081414</v>
      </c>
      <c r="AW47">
        <f t="shared" si="10"/>
        <v>4.3616667529474519E-3</v>
      </c>
      <c r="AX47">
        <f>AW47*$AV$2</f>
        <v>33.880336482127106</v>
      </c>
      <c r="AY47">
        <f t="shared" ref="AY47:AY104" si="33">AW47*$AV$10</f>
        <v>18.338836580975016</v>
      </c>
      <c r="AZ47">
        <f>AX47-AY47</f>
        <v>15.54149990115209</v>
      </c>
    </row>
    <row r="48" spans="1:53" x14ac:dyDescent="0.35">
      <c r="A48" s="1">
        <v>47</v>
      </c>
      <c r="B48" s="1">
        <v>2322.9032263370332</v>
      </c>
      <c r="C48" s="1">
        <v>0</v>
      </c>
      <c r="D48" s="1"/>
      <c r="E48" s="1">
        <v>2322.9</v>
      </c>
      <c r="F48" s="1"/>
      <c r="G48" s="1"/>
      <c r="H48" s="1"/>
      <c r="I48" s="1"/>
      <c r="J48" s="1"/>
      <c r="K48" s="1">
        <v>0</v>
      </c>
      <c r="L48" s="1">
        <v>0</v>
      </c>
      <c r="M48" s="4">
        <f t="shared" si="30"/>
        <v>0</v>
      </c>
      <c r="N48" s="4">
        <f t="shared" si="31"/>
        <v>0</v>
      </c>
      <c r="O48" s="4">
        <f t="shared" si="31"/>
        <v>0</v>
      </c>
      <c r="P48" s="4">
        <f t="shared" si="32"/>
        <v>0</v>
      </c>
      <c r="Q48" s="4"/>
      <c r="R48" s="65"/>
      <c r="S48" s="4"/>
      <c r="T48" s="46"/>
      <c r="U48" s="4"/>
      <c r="V48" s="1">
        <v>48.805199999999999</v>
      </c>
      <c r="W48" s="1">
        <f>V48-M48</f>
        <v>48.805199999999999</v>
      </c>
      <c r="X48" s="1">
        <f t="shared" si="1"/>
        <v>1220.1299999999999</v>
      </c>
      <c r="Y48" s="1">
        <f t="shared" si="6"/>
        <v>1220.1299999999999</v>
      </c>
      <c r="Z48" s="1">
        <f t="shared" si="2"/>
        <v>0</v>
      </c>
      <c r="AA48" s="1">
        <f t="shared" si="3"/>
        <v>0</v>
      </c>
      <c r="AB48" s="4"/>
      <c r="AC48" s="1"/>
      <c r="AD48" s="1">
        <f t="shared" si="27"/>
        <v>10</v>
      </c>
      <c r="AE48">
        <f t="shared" si="28"/>
        <v>6672.9982718931824</v>
      </c>
      <c r="AF48">
        <f t="shared" si="29"/>
        <v>50779.982718931831</v>
      </c>
      <c r="AG48">
        <f t="shared" si="22"/>
        <v>3691.1965679076757</v>
      </c>
      <c r="AH48">
        <f t="shared" si="24"/>
        <v>32931.995147303409</v>
      </c>
      <c r="AI48">
        <f t="shared" si="25"/>
        <v>8542.0019512994622</v>
      </c>
      <c r="AJ48">
        <f t="shared" si="23"/>
        <v>4725.0436761692545</v>
      </c>
      <c r="AK48">
        <f t="shared" si="26"/>
        <v>39512.596128250669</v>
      </c>
      <c r="AW48">
        <f t="shared" si="10"/>
        <v>5.7436206712983317E-3</v>
      </c>
      <c r="AX48">
        <f t="shared" si="11"/>
        <v>44.615008892595398</v>
      </c>
      <c r="AY48">
        <f t="shared" si="33"/>
        <v>24.149327961122005</v>
      </c>
      <c r="AZ48">
        <f t="shared" ref="AZ48:AZ102" si="34">AX48-AY48</f>
        <v>20.465680931473393</v>
      </c>
    </row>
    <row r="49" spans="1:52" x14ac:dyDescent="0.35">
      <c r="A49" s="1">
        <v>48</v>
      </c>
      <c r="B49" s="1">
        <v>1052.7350255677291</v>
      </c>
      <c r="C49" s="1">
        <v>0</v>
      </c>
      <c r="D49" s="1"/>
      <c r="E49" s="1">
        <v>1052.74</v>
      </c>
      <c r="F49" s="1"/>
      <c r="G49" s="1"/>
      <c r="H49" s="1"/>
      <c r="I49" s="1"/>
      <c r="J49" s="1"/>
      <c r="K49" s="1">
        <v>0</v>
      </c>
      <c r="L49" s="1">
        <v>0</v>
      </c>
      <c r="M49" s="4">
        <f t="shared" si="30"/>
        <v>0</v>
      </c>
      <c r="N49" s="4">
        <f t="shared" si="31"/>
        <v>0</v>
      </c>
      <c r="O49" s="4">
        <f t="shared" si="31"/>
        <v>0</v>
      </c>
      <c r="P49" s="4">
        <f t="shared" si="32"/>
        <v>0</v>
      </c>
      <c r="Q49" s="4"/>
      <c r="R49" s="63"/>
      <c r="S49" s="4"/>
      <c r="T49" s="46"/>
      <c r="U49" s="4"/>
      <c r="V49" s="1">
        <v>22.118400000000001</v>
      </c>
      <c r="W49" s="1">
        <f t="shared" si="5"/>
        <v>22.118400000000001</v>
      </c>
      <c r="X49" s="1">
        <f t="shared" si="1"/>
        <v>552.96</v>
      </c>
      <c r="Y49" s="1">
        <f t="shared" si="6"/>
        <v>552.96</v>
      </c>
      <c r="Z49" s="1">
        <f t="shared" si="2"/>
        <v>0</v>
      </c>
      <c r="AA49" s="1">
        <f t="shared" si="3"/>
        <v>0</v>
      </c>
      <c r="AB49" s="4"/>
      <c r="AC49" s="1"/>
      <c r="AD49" s="1">
        <f t="shared" si="27"/>
        <v>11</v>
      </c>
      <c r="AE49">
        <f t="shared" si="28"/>
        <v>6672.9982718931824</v>
      </c>
      <c r="AF49">
        <f t="shared" si="29"/>
        <v>57452.980990825017</v>
      </c>
      <c r="AG49">
        <f t="shared" si="22"/>
        <v>3478.9788575944171</v>
      </c>
      <c r="AH49">
        <f t="shared" si="24"/>
        <v>36410.974004897827</v>
      </c>
      <c r="AI49">
        <f t="shared" si="25"/>
        <v>8755.5520000819488</v>
      </c>
      <c r="AJ49">
        <f t="shared" si="23"/>
        <v>4564.7217418223254</v>
      </c>
      <c r="AK49">
        <f t="shared" si="26"/>
        <v>44077.317870072991</v>
      </c>
      <c r="AW49">
        <f t="shared" si="10"/>
        <v>2.602997225926316E-3</v>
      </c>
      <c r="AX49">
        <f t="shared" si="11"/>
        <v>20.219431440247291</v>
      </c>
      <c r="AY49">
        <f t="shared" si="33"/>
        <v>10.944426397256471</v>
      </c>
      <c r="AZ49">
        <f t="shared" si="34"/>
        <v>9.27500504299082</v>
      </c>
    </row>
    <row r="50" spans="1:52" x14ac:dyDescent="0.35">
      <c r="A50" s="1">
        <v>49</v>
      </c>
      <c r="B50" s="1">
        <v>2650.8063291642311</v>
      </c>
      <c r="C50" s="1">
        <v>0</v>
      </c>
      <c r="D50" s="1"/>
      <c r="E50" s="1">
        <v>2650.81</v>
      </c>
      <c r="F50" s="1"/>
      <c r="G50" s="1"/>
      <c r="H50" s="1"/>
      <c r="I50" s="1"/>
      <c r="J50" s="1"/>
      <c r="K50" s="1">
        <v>0</v>
      </c>
      <c r="L50" s="1">
        <v>0</v>
      </c>
      <c r="M50" s="4">
        <f t="shared" si="30"/>
        <v>0</v>
      </c>
      <c r="N50" s="4">
        <f t="shared" si="31"/>
        <v>0</v>
      </c>
      <c r="O50" s="4">
        <f t="shared" si="31"/>
        <v>0</v>
      </c>
      <c r="P50" s="4">
        <f t="shared" si="32"/>
        <v>0</v>
      </c>
      <c r="Q50" s="4"/>
      <c r="R50" s="50" t="s">
        <v>280</v>
      </c>
      <c r="S50" s="1">
        <f>1+((1-(1+$S$20)^(1-$S$47))/$S$20)</f>
        <v>13.43521330378282</v>
      </c>
      <c r="T50" s="46"/>
      <c r="U50" s="4"/>
      <c r="V50" s="4">
        <v>53.152200000000001</v>
      </c>
      <c r="W50" s="1">
        <f t="shared" si="5"/>
        <v>53.152200000000001</v>
      </c>
      <c r="X50" s="1">
        <f t="shared" si="1"/>
        <v>1328.8050000000001</v>
      </c>
      <c r="Y50" s="1">
        <f t="shared" si="6"/>
        <v>1328.8050000000001</v>
      </c>
      <c r="Z50" s="1">
        <f t="shared" si="2"/>
        <v>0</v>
      </c>
      <c r="AA50" s="1">
        <f t="shared" si="3"/>
        <v>0</v>
      </c>
      <c r="AB50" s="4"/>
      <c r="AC50" s="1"/>
      <c r="AD50" s="1">
        <f t="shared" si="27"/>
        <v>12</v>
      </c>
      <c r="AE50">
        <f t="shared" si="28"/>
        <v>6672.9982718931824</v>
      </c>
      <c r="AF50">
        <f t="shared" si="29"/>
        <v>64125.979262718203</v>
      </c>
      <c r="AG50">
        <f t="shared" si="22"/>
        <v>3278.9621654989792</v>
      </c>
      <c r="AH50">
        <f t="shared" si="24"/>
        <v>39689.93617039681</v>
      </c>
      <c r="AI50">
        <f t="shared" si="25"/>
        <v>8974.4408000839976</v>
      </c>
      <c r="AJ50">
        <f t="shared" si="23"/>
        <v>4409.839571506016</v>
      </c>
      <c r="AK50">
        <f t="shared" si="26"/>
        <v>48487.157441579009</v>
      </c>
      <c r="AW50">
        <f t="shared" si="10"/>
        <v>6.554395316676476E-3</v>
      </c>
      <c r="AX50">
        <f t="shared" si="11"/>
        <v>50.912903562798263</v>
      </c>
      <c r="AY50">
        <f t="shared" si="33"/>
        <v>27.558268755496098</v>
      </c>
      <c r="AZ50">
        <f t="shared" si="34"/>
        <v>23.354634807302165</v>
      </c>
    </row>
    <row r="51" spans="1:52" x14ac:dyDescent="0.35">
      <c r="A51" s="1">
        <v>50</v>
      </c>
      <c r="B51" s="1">
        <v>2336.365059758562</v>
      </c>
      <c r="C51" s="1">
        <v>0</v>
      </c>
      <c r="D51" s="1"/>
      <c r="E51" s="1">
        <v>2336.37</v>
      </c>
      <c r="F51" s="1"/>
      <c r="G51" s="1"/>
      <c r="H51" s="1"/>
      <c r="I51" s="1"/>
      <c r="J51" s="1"/>
      <c r="K51" s="1">
        <v>0</v>
      </c>
      <c r="L51" s="1">
        <v>0</v>
      </c>
      <c r="M51" s="4">
        <f t="shared" si="30"/>
        <v>0</v>
      </c>
      <c r="N51" s="4">
        <f t="shared" si="31"/>
        <v>0</v>
      </c>
      <c r="O51" s="4">
        <f t="shared" si="31"/>
        <v>0</v>
      </c>
      <c r="P51" s="4">
        <f t="shared" si="32"/>
        <v>0</v>
      </c>
      <c r="Q51" s="4"/>
      <c r="R51" s="63"/>
      <c r="S51" s="4"/>
      <c r="T51" s="46"/>
      <c r="U51" s="4"/>
      <c r="V51" s="4">
        <v>49.088000000000001</v>
      </c>
      <c r="W51" s="1">
        <f t="shared" si="5"/>
        <v>49.088000000000001</v>
      </c>
      <c r="X51" s="1">
        <f t="shared" si="1"/>
        <v>1227.2</v>
      </c>
      <c r="Y51" s="1">
        <f t="shared" si="6"/>
        <v>1227.2</v>
      </c>
      <c r="Z51" s="1">
        <f t="shared" si="2"/>
        <v>0</v>
      </c>
      <c r="AA51" s="1">
        <f t="shared" si="3"/>
        <v>0</v>
      </c>
      <c r="AB51" s="4"/>
      <c r="AC51" s="1"/>
      <c r="AD51" s="1">
        <f t="shared" si="27"/>
        <v>13</v>
      </c>
      <c r="AE51">
        <f t="shared" si="28"/>
        <v>6672.9982718931824</v>
      </c>
      <c r="AF51">
        <f t="shared" si="29"/>
        <v>70798.977534611389</v>
      </c>
      <c r="AG51">
        <f t="shared" si="22"/>
        <v>3090.4450193204325</v>
      </c>
      <c r="AH51">
        <f t="shared" si="24"/>
        <v>42780.381189717242</v>
      </c>
      <c r="AI51">
        <f t="shared" si="25"/>
        <v>9198.801820086097</v>
      </c>
      <c r="AJ51">
        <f t="shared" si="23"/>
        <v>4260.2125926424751</v>
      </c>
      <c r="AK51">
        <f t="shared" si="26"/>
        <v>52747.370034221487</v>
      </c>
      <c r="AW51">
        <f t="shared" si="10"/>
        <v>5.7769064594606701E-3</v>
      </c>
      <c r="AX51">
        <f t="shared" si="11"/>
        <v>44.873564570250217</v>
      </c>
      <c r="AY51">
        <f t="shared" si="33"/>
        <v>24.289279650270554</v>
      </c>
      <c r="AZ51">
        <f t="shared" si="34"/>
        <v>20.584284919979662</v>
      </c>
    </row>
    <row r="52" spans="1:52" x14ac:dyDescent="0.35">
      <c r="A52" s="1">
        <v>51</v>
      </c>
      <c r="B52" s="1">
        <v>586.05584352134008</v>
      </c>
      <c r="C52" s="1">
        <v>0</v>
      </c>
      <c r="D52" s="1"/>
      <c r="E52" s="1">
        <v>586.05600000000004</v>
      </c>
      <c r="F52" s="1"/>
      <c r="G52" s="1"/>
      <c r="H52" s="1"/>
      <c r="I52" s="1"/>
      <c r="J52" s="1"/>
      <c r="K52" s="1">
        <v>0</v>
      </c>
      <c r="L52" s="1">
        <v>0</v>
      </c>
      <c r="M52" s="4">
        <f t="shared" si="30"/>
        <v>0</v>
      </c>
      <c r="N52" s="4">
        <f t="shared" si="31"/>
        <v>0</v>
      </c>
      <c r="O52" s="4">
        <f t="shared" si="31"/>
        <v>0</v>
      </c>
      <c r="P52" s="4">
        <f t="shared" si="32"/>
        <v>0</v>
      </c>
      <c r="Q52" s="4"/>
      <c r="R52" s="63"/>
      <c r="S52" s="4"/>
      <c r="T52" s="46"/>
      <c r="U52" s="4"/>
      <c r="V52" s="4">
        <v>11.751200000000001</v>
      </c>
      <c r="W52" s="1">
        <f t="shared" si="5"/>
        <v>11.751200000000001</v>
      </c>
      <c r="X52" s="1">
        <f t="shared" si="1"/>
        <v>293.78000000000003</v>
      </c>
      <c r="Y52" s="1">
        <f t="shared" si="6"/>
        <v>293.78000000000003</v>
      </c>
      <c r="Z52" s="1">
        <f t="shared" si="2"/>
        <v>0</v>
      </c>
      <c r="AA52" s="1">
        <f t="shared" si="3"/>
        <v>0</v>
      </c>
      <c r="AB52" s="4"/>
      <c r="AC52" s="1"/>
      <c r="AD52" s="1">
        <f t="shared" si="27"/>
        <v>14</v>
      </c>
      <c r="AE52">
        <f t="shared" si="28"/>
        <v>6672.9982718931824</v>
      </c>
      <c r="AF52">
        <f t="shared" si="29"/>
        <v>77471.975806504575</v>
      </c>
      <c r="AG52">
        <f t="shared" si="22"/>
        <v>2912.7662764565812</v>
      </c>
      <c r="AH52">
        <f t="shared" si="24"/>
        <v>45693.147466173825</v>
      </c>
      <c r="AI52">
        <f t="shared" si="25"/>
        <v>9428.7718655882491</v>
      </c>
      <c r="AJ52">
        <f t="shared" si="23"/>
        <v>4115.6624952483853</v>
      </c>
      <c r="AK52">
        <f t="shared" si="26"/>
        <v>56863.03252946987</v>
      </c>
      <c r="AW52">
        <f t="shared" si="10"/>
        <v>1.4490842404538294E-3</v>
      </c>
      <c r="AX52">
        <f t="shared" si="11"/>
        <v>11.256123963240988</v>
      </c>
      <c r="AY52">
        <f t="shared" si="33"/>
        <v>6.0927440318064212</v>
      </c>
      <c r="AZ52">
        <f t="shared" si="34"/>
        <v>5.1633799314345667</v>
      </c>
    </row>
    <row r="53" spans="1:52" ht="15" thickBot="1" x14ac:dyDescent="0.4">
      <c r="A53" s="1">
        <v>52</v>
      </c>
      <c r="B53" s="1">
        <v>5329.6971333659421</v>
      </c>
      <c r="C53" s="1">
        <v>0</v>
      </c>
      <c r="D53" s="1"/>
      <c r="E53" s="1">
        <v>5329.7</v>
      </c>
      <c r="F53" s="1"/>
      <c r="G53" s="1"/>
      <c r="H53" s="1"/>
      <c r="I53" s="1"/>
      <c r="J53" s="1"/>
      <c r="K53" s="1">
        <v>0</v>
      </c>
      <c r="L53" s="1">
        <v>0</v>
      </c>
      <c r="M53" s="4">
        <f t="shared" si="30"/>
        <v>0</v>
      </c>
      <c r="N53" s="4">
        <f t="shared" si="31"/>
        <v>0</v>
      </c>
      <c r="O53" s="4">
        <f t="shared" si="31"/>
        <v>0</v>
      </c>
      <c r="P53" s="4">
        <f t="shared" si="32"/>
        <v>0</v>
      </c>
      <c r="Q53" s="4"/>
      <c r="R53" s="66"/>
      <c r="S53" s="52"/>
      <c r="T53" s="53"/>
      <c r="U53" s="4"/>
      <c r="V53" s="4">
        <v>110.047</v>
      </c>
      <c r="W53" s="1">
        <f t="shared" si="5"/>
        <v>110.047</v>
      </c>
      <c r="X53" s="1">
        <f t="shared" si="1"/>
        <v>2751.1749999999997</v>
      </c>
      <c r="Y53" s="1">
        <f t="shared" si="6"/>
        <v>2751.1749999999997</v>
      </c>
      <c r="Z53" s="1">
        <f t="shared" si="2"/>
        <v>0</v>
      </c>
      <c r="AA53" s="1">
        <f t="shared" si="3"/>
        <v>0</v>
      </c>
      <c r="AB53" s="4"/>
      <c r="AC53" s="1"/>
      <c r="AD53" s="1">
        <f t="shared" si="27"/>
        <v>15</v>
      </c>
      <c r="AE53">
        <f t="shared" si="28"/>
        <v>6672.9982718931824</v>
      </c>
      <c r="AF53">
        <f t="shared" si="29"/>
        <v>84144.974078397761</v>
      </c>
      <c r="AG53">
        <f t="shared" si="22"/>
        <v>2745.3028053313678</v>
      </c>
      <c r="AH53">
        <f t="shared" si="24"/>
        <v>48438.450271505193</v>
      </c>
      <c r="AI53">
        <f t="shared" si="25"/>
        <v>9664.491162227956</v>
      </c>
      <c r="AJ53">
        <f t="shared" si="23"/>
        <v>3976.0170194435395</v>
      </c>
      <c r="AK53">
        <f t="shared" si="26"/>
        <v>60839.049548913412</v>
      </c>
      <c r="AW53">
        <f t="shared" si="10"/>
        <v>1.3178232429093275E-2</v>
      </c>
      <c r="AX53">
        <f t="shared" si="11"/>
        <v>102.36521362748377</v>
      </c>
      <c r="AY53">
        <f t="shared" si="33"/>
        <v>55.408508864170578</v>
      </c>
      <c r="AZ53">
        <f t="shared" si="34"/>
        <v>46.956704763313191</v>
      </c>
    </row>
    <row r="54" spans="1:52" x14ac:dyDescent="0.35">
      <c r="A54" s="1">
        <v>53</v>
      </c>
      <c r="B54" s="1">
        <v>5328.3833046167756</v>
      </c>
      <c r="C54" s="1">
        <v>0</v>
      </c>
      <c r="D54" s="1"/>
      <c r="E54" s="1">
        <v>5328.38</v>
      </c>
      <c r="F54" s="1"/>
      <c r="G54" s="1"/>
      <c r="H54" s="1"/>
      <c r="I54" s="1"/>
      <c r="J54" s="1"/>
      <c r="K54" s="1">
        <v>0</v>
      </c>
      <c r="L54" s="1">
        <v>0</v>
      </c>
      <c r="M54" s="4">
        <f t="shared" si="30"/>
        <v>0</v>
      </c>
      <c r="N54" s="4">
        <f t="shared" si="31"/>
        <v>0</v>
      </c>
      <c r="O54" s="4">
        <f t="shared" si="31"/>
        <v>0</v>
      </c>
      <c r="P54" s="4">
        <f t="shared" si="32"/>
        <v>0</v>
      </c>
      <c r="Q54" s="4"/>
      <c r="R54" s="4"/>
      <c r="S54" s="4"/>
      <c r="T54" s="4"/>
      <c r="U54" s="4"/>
      <c r="V54" s="4">
        <v>104.018</v>
      </c>
      <c r="W54" s="1">
        <f t="shared" si="5"/>
        <v>104.018</v>
      </c>
      <c r="X54" s="1">
        <f t="shared" si="1"/>
        <v>2600.4499999999998</v>
      </c>
      <c r="Y54" s="1">
        <f t="shared" si="6"/>
        <v>2600.4499999999998</v>
      </c>
      <c r="Z54" s="1">
        <f t="shared" si="2"/>
        <v>0</v>
      </c>
      <c r="AA54" s="1">
        <f t="shared" si="3"/>
        <v>0</v>
      </c>
      <c r="AB54" s="4"/>
      <c r="AC54" s="1"/>
      <c r="AD54" s="1">
        <f t="shared" si="27"/>
        <v>16</v>
      </c>
      <c r="AE54">
        <f t="shared" si="28"/>
        <v>6672.9982718931824</v>
      </c>
      <c r="AF54">
        <f t="shared" si="29"/>
        <v>90817.972350290947</v>
      </c>
      <c r="AG54">
        <f t="shared" si="22"/>
        <v>2587.4673000295647</v>
      </c>
      <c r="AH54">
        <f t="shared" si="24"/>
        <v>51025.917571534759</v>
      </c>
      <c r="AI54">
        <f t="shared" si="25"/>
        <v>9906.1034412836543</v>
      </c>
      <c r="AJ54">
        <f t="shared" si="23"/>
        <v>3841.1097501693007</v>
      </c>
      <c r="AK54">
        <f t="shared" si="26"/>
        <v>64680.159299082712</v>
      </c>
      <c r="AW54">
        <f t="shared" si="10"/>
        <v>1.3174983850385086E-2</v>
      </c>
      <c r="AX54">
        <f t="shared" si="11"/>
        <v>102.33997948054953</v>
      </c>
      <c r="AY54">
        <f t="shared" si="33"/>
        <v>55.394850059538228</v>
      </c>
      <c r="AZ54">
        <f t="shared" si="34"/>
        <v>46.945129421011302</v>
      </c>
    </row>
    <row r="55" spans="1:52" x14ac:dyDescent="0.35">
      <c r="A55" s="1">
        <v>54</v>
      </c>
      <c r="B55" s="1">
        <v>1132.850191183687</v>
      </c>
      <c r="C55" s="1">
        <v>0</v>
      </c>
      <c r="D55" s="1"/>
      <c r="E55" s="1">
        <v>1132.8499999999999</v>
      </c>
      <c r="F55" s="1"/>
      <c r="G55" s="1"/>
      <c r="H55" s="1"/>
      <c r="I55" s="1"/>
      <c r="J55" s="1"/>
      <c r="K55" s="1">
        <v>0</v>
      </c>
      <c r="L55" s="1">
        <v>0</v>
      </c>
      <c r="M55" s="4">
        <f t="shared" si="30"/>
        <v>0</v>
      </c>
      <c r="N55" s="4">
        <f t="shared" si="31"/>
        <v>0</v>
      </c>
      <c r="O55" s="4">
        <f t="shared" si="31"/>
        <v>0</v>
      </c>
      <c r="P55" s="4">
        <f t="shared" si="32"/>
        <v>0</v>
      </c>
      <c r="Q55" s="4"/>
      <c r="R55" s="4"/>
      <c r="S55" s="4"/>
      <c r="T55" s="4" t="s">
        <v>6</v>
      </c>
      <c r="U55" s="4"/>
      <c r="V55" s="4">
        <v>23.8017</v>
      </c>
      <c r="W55" s="1">
        <f t="shared" si="5"/>
        <v>23.8017</v>
      </c>
      <c r="X55" s="1">
        <f t="shared" si="1"/>
        <v>595.04250000000002</v>
      </c>
      <c r="Y55" s="1">
        <f t="shared" si="6"/>
        <v>595.04250000000002</v>
      </c>
      <c r="Z55" s="1">
        <f t="shared" si="2"/>
        <v>0</v>
      </c>
      <c r="AA55" s="1">
        <f t="shared" si="3"/>
        <v>0</v>
      </c>
      <c r="AB55" s="4"/>
      <c r="AC55" s="1"/>
      <c r="AD55" s="1">
        <f t="shared" si="27"/>
        <v>17</v>
      </c>
      <c r="AE55">
        <f t="shared" si="28"/>
        <v>6672.9982718931824</v>
      </c>
      <c r="AF55">
        <f t="shared" si="29"/>
        <v>97490.970622184133</v>
      </c>
      <c r="AG55">
        <f t="shared" si="22"/>
        <v>2438.7062205745192</v>
      </c>
      <c r="AH55">
        <f t="shared" si="24"/>
        <v>53464.623792109276</v>
      </c>
      <c r="AI55">
        <f t="shared" si="25"/>
        <v>10153.756027315743</v>
      </c>
      <c r="AJ55">
        <f t="shared" si="23"/>
        <v>3710.7799188723211</v>
      </c>
      <c r="AK55">
        <f t="shared" si="26"/>
        <v>68390.939217955034</v>
      </c>
      <c r="AW55">
        <f t="shared" si="10"/>
        <v>2.8010903346271524E-3</v>
      </c>
      <c r="AX55">
        <f t="shared" si="11"/>
        <v>21.758169165461982</v>
      </c>
      <c r="AY55">
        <f t="shared" si="33"/>
        <v>11.77731835210998</v>
      </c>
      <c r="AZ55">
        <f t="shared" si="34"/>
        <v>9.9808508133520029</v>
      </c>
    </row>
    <row r="56" spans="1:52" x14ac:dyDescent="0.35">
      <c r="A56" s="1">
        <v>55</v>
      </c>
      <c r="B56" s="1">
        <v>1734.337401732017</v>
      </c>
      <c r="C56" s="1">
        <v>0</v>
      </c>
      <c r="D56" s="1"/>
      <c r="E56" s="1">
        <v>1734.34</v>
      </c>
      <c r="F56" s="1"/>
      <c r="G56" s="1"/>
      <c r="H56" s="1"/>
      <c r="I56" s="1"/>
      <c r="J56" s="1"/>
      <c r="K56" s="1">
        <v>0</v>
      </c>
      <c r="L56" s="1">
        <v>0</v>
      </c>
      <c r="M56" s="4">
        <f t="shared" si="30"/>
        <v>0</v>
      </c>
      <c r="N56" s="4">
        <f t="shared" si="31"/>
        <v>0</v>
      </c>
      <c r="O56" s="4">
        <f t="shared" si="31"/>
        <v>0</v>
      </c>
      <c r="P56" s="4">
        <f t="shared" si="32"/>
        <v>0</v>
      </c>
      <c r="Q56" s="4"/>
      <c r="R56" s="4"/>
      <c r="S56" s="4"/>
      <c r="T56" s="4"/>
      <c r="U56" s="4"/>
      <c r="V56" s="4">
        <v>36.4392</v>
      </c>
      <c r="W56" s="1">
        <f t="shared" si="5"/>
        <v>36.4392</v>
      </c>
      <c r="X56" s="1">
        <f t="shared" si="1"/>
        <v>910.98</v>
      </c>
      <c r="Y56" s="1">
        <f t="shared" si="6"/>
        <v>910.98</v>
      </c>
      <c r="Z56" s="1">
        <f t="shared" si="2"/>
        <v>0</v>
      </c>
      <c r="AA56" s="1">
        <f t="shared" si="3"/>
        <v>0</v>
      </c>
      <c r="AB56" s="4"/>
      <c r="AC56" s="1"/>
      <c r="AD56" s="1">
        <f>AD55+1</f>
        <v>18</v>
      </c>
      <c r="AE56">
        <f t="shared" si="28"/>
        <v>6672.9982718931824</v>
      </c>
      <c r="AF56">
        <f t="shared" si="29"/>
        <v>104163.96889407732</v>
      </c>
      <c r="AG56">
        <f t="shared" si="22"/>
        <v>2298.4978516253718</v>
      </c>
      <c r="AH56">
        <f t="shared" si="24"/>
        <v>55763.121643734645</v>
      </c>
      <c r="AI56">
        <f t="shared" si="25"/>
        <v>10407.599927998637</v>
      </c>
      <c r="AJ56">
        <f t="shared" si="23"/>
        <v>3584.8722119171812</v>
      </c>
      <c r="AK56">
        <f t="shared" si="26"/>
        <v>71975.811429872221</v>
      </c>
      <c r="AW56">
        <f t="shared" si="10"/>
        <v>4.2883302406453942E-3</v>
      </c>
      <c r="AX56">
        <f t="shared" si="11"/>
        <v>33.31067679605863</v>
      </c>
      <c r="AY56">
        <f t="shared" si="33"/>
        <v>18.030489705639511</v>
      </c>
      <c r="AZ56">
        <f t="shared" si="34"/>
        <v>15.280187090419119</v>
      </c>
    </row>
    <row r="57" spans="1:52" x14ac:dyDescent="0.35">
      <c r="A57" s="1">
        <v>56</v>
      </c>
      <c r="B57" s="1">
        <v>1696.5437943175671</v>
      </c>
      <c r="C57" s="1">
        <v>0</v>
      </c>
      <c r="D57" s="1"/>
      <c r="E57" s="1">
        <v>1696.54</v>
      </c>
      <c r="F57" s="1"/>
      <c r="G57" s="1"/>
      <c r="H57" s="1"/>
      <c r="I57" s="1"/>
      <c r="J57" s="1"/>
      <c r="K57" s="1">
        <v>0</v>
      </c>
      <c r="L57" s="1">
        <v>0</v>
      </c>
      <c r="M57" s="4">
        <f t="shared" si="30"/>
        <v>0</v>
      </c>
      <c r="N57" s="4">
        <f t="shared" si="31"/>
        <v>0</v>
      </c>
      <c r="O57" s="4">
        <f t="shared" si="31"/>
        <v>0</v>
      </c>
      <c r="P57" s="4">
        <f t="shared" si="32"/>
        <v>0</v>
      </c>
      <c r="Q57" s="4"/>
      <c r="R57" s="4"/>
      <c r="S57" s="4"/>
      <c r="T57" s="4"/>
      <c r="U57" s="4"/>
      <c r="V57" s="4">
        <v>33.6798</v>
      </c>
      <c r="W57" s="1">
        <f t="shared" si="5"/>
        <v>33.6798</v>
      </c>
      <c r="X57" s="1">
        <f t="shared" si="1"/>
        <v>841.995</v>
      </c>
      <c r="Y57" s="1">
        <f t="shared" si="6"/>
        <v>841.995</v>
      </c>
      <c r="Z57" s="1">
        <f t="shared" si="2"/>
        <v>0</v>
      </c>
      <c r="AA57" s="1">
        <f t="shared" si="3"/>
        <v>0</v>
      </c>
      <c r="AB57" s="4"/>
      <c r="AC57" s="1"/>
      <c r="AD57" s="1">
        <f t="shared" ref="AD57:AD61" si="35">AD56+1</f>
        <v>19</v>
      </c>
      <c r="AE57">
        <f t="shared" si="28"/>
        <v>6672.9982718931824</v>
      </c>
      <c r="AF57">
        <f t="shared" si="29"/>
        <v>110836.96716597051</v>
      </c>
      <c r="AG57">
        <f t="shared" si="22"/>
        <v>2166.3504727854588</v>
      </c>
      <c r="AH57">
        <f t="shared" si="24"/>
        <v>57929.472116520104</v>
      </c>
      <c r="AI57">
        <f t="shared" si="25"/>
        <v>10667.789926198604</v>
      </c>
      <c r="AJ57">
        <f t="shared" si="23"/>
        <v>3463.2365854996337</v>
      </c>
      <c r="AK57">
        <f t="shared" si="26"/>
        <v>75439.048015371853</v>
      </c>
      <c r="AW57">
        <f t="shared" si="10"/>
        <v>4.1948816017492885E-3</v>
      </c>
      <c r="AX57">
        <f t="shared" si="11"/>
        <v>32.58479114065927</v>
      </c>
      <c r="AY57">
        <f t="shared" si="33"/>
        <v>17.637580431616652</v>
      </c>
      <c r="AZ57">
        <f t="shared" si="34"/>
        <v>14.947210709042619</v>
      </c>
    </row>
    <row r="58" spans="1:52" x14ac:dyDescent="0.35">
      <c r="A58" s="1">
        <v>57</v>
      </c>
      <c r="B58" s="1">
        <v>2227.6855671211929</v>
      </c>
      <c r="C58" s="1">
        <v>0</v>
      </c>
      <c r="D58" s="1"/>
      <c r="E58" s="1">
        <v>2227.69</v>
      </c>
      <c r="F58" s="1"/>
      <c r="G58" s="1"/>
      <c r="H58" s="1"/>
      <c r="I58" s="1"/>
      <c r="J58" s="1"/>
      <c r="K58" s="1">
        <v>0</v>
      </c>
      <c r="L58" s="1">
        <v>0</v>
      </c>
      <c r="M58" s="4">
        <f t="shared" si="30"/>
        <v>0</v>
      </c>
      <c r="N58" s="4">
        <f t="shared" si="31"/>
        <v>0</v>
      </c>
      <c r="O58" s="4">
        <f t="shared" si="31"/>
        <v>0</v>
      </c>
      <c r="P58" s="4">
        <f t="shared" si="32"/>
        <v>0</v>
      </c>
      <c r="Q58" s="4"/>
      <c r="R58" s="4"/>
      <c r="S58" s="4"/>
      <c r="T58" s="4"/>
      <c r="U58" s="4"/>
      <c r="V58" s="4">
        <v>43.985100000000003</v>
      </c>
      <c r="W58" s="1">
        <f t="shared" si="5"/>
        <v>43.985100000000003</v>
      </c>
      <c r="X58" s="1">
        <f t="shared" si="1"/>
        <v>1099.6275000000001</v>
      </c>
      <c r="Y58" s="1">
        <f t="shared" si="6"/>
        <v>1099.6275000000001</v>
      </c>
      <c r="Z58" s="1">
        <f t="shared" si="2"/>
        <v>0</v>
      </c>
      <c r="AA58" s="1">
        <f t="shared" si="3"/>
        <v>0</v>
      </c>
      <c r="AB58" s="4"/>
      <c r="AC58" s="1"/>
      <c r="AD58" s="1">
        <f t="shared" si="35"/>
        <v>20</v>
      </c>
      <c r="AE58">
        <f t="shared" si="28"/>
        <v>6672.9982718931824</v>
      </c>
      <c r="AF58">
        <f t="shared" si="29"/>
        <v>117509.96543786369</v>
      </c>
      <c r="AG58">
        <f t="shared" si="22"/>
        <v>2041.8006341050507</v>
      </c>
      <c r="AH58">
        <f t="shared" si="24"/>
        <v>59971.272750625154</v>
      </c>
      <c r="AI58">
        <f t="shared" si="25"/>
        <v>10934.484674353567</v>
      </c>
      <c r="AJ58">
        <f t="shared" si="23"/>
        <v>3345.7280868398902</v>
      </c>
      <c r="AK58">
        <f t="shared" si="26"/>
        <v>78784.776102211748</v>
      </c>
      <c r="AW58">
        <f t="shared" si="10"/>
        <v>5.5081850709065181E-3</v>
      </c>
      <c r="AX58">
        <f t="shared" si="11"/>
        <v>42.786204031298752</v>
      </c>
      <c r="AY58">
        <f t="shared" si="33"/>
        <v>23.159427713008935</v>
      </c>
      <c r="AZ58">
        <f t="shared" si="34"/>
        <v>19.626776318289817</v>
      </c>
    </row>
    <row r="59" spans="1:52" x14ac:dyDescent="0.35">
      <c r="A59" s="1">
        <v>58</v>
      </c>
      <c r="B59" s="1">
        <v>404.30530639696019</v>
      </c>
      <c r="C59" s="1">
        <v>0</v>
      </c>
      <c r="D59" s="1"/>
      <c r="E59" s="1">
        <v>404.30500000000001</v>
      </c>
      <c r="F59" s="1"/>
      <c r="G59" s="1"/>
      <c r="H59" s="1"/>
      <c r="I59" s="1"/>
      <c r="J59" s="1"/>
      <c r="K59" s="1">
        <v>0</v>
      </c>
      <c r="L59" s="1">
        <v>0</v>
      </c>
      <c r="M59" s="4">
        <f t="shared" si="30"/>
        <v>0</v>
      </c>
      <c r="N59" s="4">
        <f t="shared" si="31"/>
        <v>0</v>
      </c>
      <c r="O59" s="4">
        <f t="shared" si="31"/>
        <v>0</v>
      </c>
      <c r="P59" s="4">
        <f t="shared" si="32"/>
        <v>0</v>
      </c>
      <c r="Q59" s="4"/>
      <c r="R59" s="4"/>
      <c r="S59" s="4"/>
      <c r="T59" s="4"/>
      <c r="U59" s="4"/>
      <c r="V59" s="4">
        <v>7.2637200000000002</v>
      </c>
      <c r="W59" s="1">
        <f t="shared" si="5"/>
        <v>7.2637200000000002</v>
      </c>
      <c r="X59" s="1">
        <f t="shared" si="1"/>
        <v>181.59300000000002</v>
      </c>
      <c r="Y59" s="1">
        <f t="shared" si="6"/>
        <v>181.59300000000002</v>
      </c>
      <c r="Z59" s="1">
        <f t="shared" si="2"/>
        <v>0</v>
      </c>
      <c r="AA59" s="1">
        <f t="shared" si="3"/>
        <v>0</v>
      </c>
      <c r="AB59" s="4"/>
      <c r="AC59" s="1"/>
      <c r="AD59" s="1">
        <f t="shared" si="35"/>
        <v>21</v>
      </c>
      <c r="AE59">
        <f t="shared" si="28"/>
        <v>6672.9982718931824</v>
      </c>
      <c r="AF59">
        <f t="shared" si="29"/>
        <v>124182.96370975688</v>
      </c>
      <c r="AG59">
        <f t="shared" si="22"/>
        <v>1924.4115307304908</v>
      </c>
      <c r="AH59">
        <f t="shared" si="24"/>
        <v>61895.684281355643</v>
      </c>
      <c r="AI59">
        <f t="shared" si="25"/>
        <v>11207.846791212405</v>
      </c>
      <c r="AJ59">
        <f t="shared" si="23"/>
        <v>3232.2066814428722</v>
      </c>
      <c r="AK59">
        <f t="shared" si="26"/>
        <v>82016.982783654617</v>
      </c>
      <c r="AW59">
        <f t="shared" si="10"/>
        <v>9.9968706789348551E-4</v>
      </c>
      <c r="AX59">
        <f t="shared" si="11"/>
        <v>7.7653191212222783</v>
      </c>
      <c r="AY59">
        <f t="shared" si="33"/>
        <v>4.2032321148386407</v>
      </c>
      <c r="AZ59">
        <f t="shared" si="34"/>
        <v>3.5620870063836376</v>
      </c>
    </row>
    <row r="60" spans="1:52" x14ac:dyDescent="0.35">
      <c r="A60" s="1">
        <v>59</v>
      </c>
      <c r="B60" s="1">
        <v>3141.552121160008</v>
      </c>
      <c r="C60" s="1">
        <v>0</v>
      </c>
      <c r="D60" s="1"/>
      <c r="E60" s="1">
        <v>3141.55</v>
      </c>
      <c r="F60" s="1"/>
      <c r="G60" s="1"/>
      <c r="H60" s="1"/>
      <c r="I60" s="1"/>
      <c r="J60" s="1"/>
      <c r="K60" s="1">
        <v>0</v>
      </c>
      <c r="L60" s="1">
        <v>0</v>
      </c>
      <c r="M60" s="4">
        <f t="shared" si="30"/>
        <v>0</v>
      </c>
      <c r="N60" s="4">
        <f t="shared" si="31"/>
        <v>0</v>
      </c>
      <c r="O60" s="4">
        <f t="shared" si="31"/>
        <v>0</v>
      </c>
      <c r="P60" s="4">
        <f t="shared" si="32"/>
        <v>0</v>
      </c>
      <c r="Q60" s="4"/>
      <c r="R60" s="4"/>
      <c r="S60" s="4"/>
      <c r="T60" s="4"/>
      <c r="U60" s="4"/>
      <c r="V60" s="4">
        <v>63.6265</v>
      </c>
      <c r="W60" s="1">
        <f t="shared" si="5"/>
        <v>63.6265</v>
      </c>
      <c r="X60" s="1">
        <f t="shared" si="1"/>
        <v>1590.6624999999999</v>
      </c>
      <c r="Y60" s="1">
        <f t="shared" si="6"/>
        <v>1590.6624999999999</v>
      </c>
      <c r="Z60" s="1">
        <f t="shared" si="2"/>
        <v>0</v>
      </c>
      <c r="AA60" s="1">
        <f t="shared" si="3"/>
        <v>0</v>
      </c>
      <c r="AB60" s="4"/>
      <c r="AC60" s="1"/>
      <c r="AD60" s="1">
        <f t="shared" si="35"/>
        <v>22</v>
      </c>
      <c r="AE60">
        <f t="shared" si="28"/>
        <v>6672.9982718931824</v>
      </c>
      <c r="AF60">
        <f t="shared" si="29"/>
        <v>130855.96198165006</v>
      </c>
      <c r="AG60">
        <f t="shared" si="22"/>
        <v>1813.7714709995198</v>
      </c>
      <c r="AH60">
        <f t="shared" si="24"/>
        <v>63709.455752355163</v>
      </c>
      <c r="AI60">
        <f t="shared" si="25"/>
        <v>11488.042960992716</v>
      </c>
      <c r="AJ60">
        <f t="shared" si="23"/>
        <v>3122.5370862195514</v>
      </c>
      <c r="AK60">
        <f t="shared" si="26"/>
        <v>85139.519869874173</v>
      </c>
      <c r="AW60">
        <f t="shared" si="10"/>
        <v>7.7678155071096069E-3</v>
      </c>
      <c r="AX60">
        <f t="shared" si="11"/>
        <v>60.338448125160781</v>
      </c>
      <c r="AY60">
        <f t="shared" si="33"/>
        <v>32.660152011792839</v>
      </c>
      <c r="AZ60">
        <f t="shared" si="34"/>
        <v>27.678296113367942</v>
      </c>
    </row>
    <row r="61" spans="1:52" x14ac:dyDescent="0.35">
      <c r="A61" s="1">
        <v>60</v>
      </c>
      <c r="B61" s="1">
        <v>2862.8042339526478</v>
      </c>
      <c r="C61" s="1">
        <v>0</v>
      </c>
      <c r="D61" s="1"/>
      <c r="E61" s="1">
        <v>2862.8</v>
      </c>
      <c r="F61" s="1"/>
      <c r="G61" s="1"/>
      <c r="H61" s="1"/>
      <c r="I61" s="1"/>
      <c r="J61" s="1"/>
      <c r="K61" s="1">
        <v>0</v>
      </c>
      <c r="L61" s="1">
        <v>0</v>
      </c>
      <c r="M61" s="4">
        <f t="shared" si="30"/>
        <v>0</v>
      </c>
      <c r="N61" s="4">
        <f t="shared" si="31"/>
        <v>0</v>
      </c>
      <c r="O61" s="4">
        <f t="shared" si="31"/>
        <v>0</v>
      </c>
      <c r="P61" s="4">
        <f t="shared" si="32"/>
        <v>0</v>
      </c>
      <c r="Q61" s="4"/>
      <c r="R61" s="4"/>
      <c r="S61" s="4"/>
      <c r="T61" s="4"/>
      <c r="U61" s="4"/>
      <c r="V61" s="4">
        <v>59.825899999999997</v>
      </c>
      <c r="W61" s="1">
        <f t="shared" si="5"/>
        <v>59.825899999999997</v>
      </c>
      <c r="X61" s="1">
        <f t="shared" si="1"/>
        <v>1495.6475</v>
      </c>
      <c r="Y61" s="1">
        <f t="shared" si="6"/>
        <v>1495.6475</v>
      </c>
      <c r="Z61" s="1">
        <f t="shared" si="2"/>
        <v>0</v>
      </c>
      <c r="AA61" s="1">
        <f t="shared" si="3"/>
        <v>0</v>
      </c>
      <c r="AB61" s="4"/>
      <c r="AC61" s="1"/>
      <c r="AD61" s="1">
        <f t="shared" si="35"/>
        <v>23</v>
      </c>
      <c r="AE61">
        <f t="shared" si="28"/>
        <v>6672.9982718931824</v>
      </c>
      <c r="AF61">
        <f t="shared" si="29"/>
        <v>137528.96025354325</v>
      </c>
      <c r="AG61">
        <f t="shared" si="22"/>
        <v>1709.4924326102926</v>
      </c>
      <c r="AH61">
        <f t="shared" si="24"/>
        <v>65418.948184965455</v>
      </c>
      <c r="AI61">
        <f t="shared" si="25"/>
        <v>11775.244035017533</v>
      </c>
      <c r="AJ61">
        <f t="shared" si="23"/>
        <v>3016.5886082705379</v>
      </c>
      <c r="AK61">
        <f t="shared" si="26"/>
        <v>88156.108478144713</v>
      </c>
      <c r="AW61">
        <f t="shared" si="10"/>
        <v>7.0785822627399868E-3</v>
      </c>
      <c r="AX61">
        <f t="shared" si="11"/>
        <v>54.98465666043441</v>
      </c>
      <c r="AY61">
        <f t="shared" si="33"/>
        <v>29.762237854062143</v>
      </c>
      <c r="AZ61">
        <f t="shared" si="34"/>
        <v>25.222418806372268</v>
      </c>
    </row>
    <row r="62" spans="1:52" x14ac:dyDescent="0.35">
      <c r="A62" s="1">
        <v>61</v>
      </c>
      <c r="B62" s="1">
        <v>2954.0094942934988</v>
      </c>
      <c r="C62" s="1">
        <v>0</v>
      </c>
      <c r="D62" s="1"/>
      <c r="E62" s="1">
        <v>2954.01</v>
      </c>
      <c r="F62" s="1"/>
      <c r="G62" s="1"/>
      <c r="H62" s="1"/>
      <c r="I62" s="1"/>
      <c r="J62" s="1"/>
      <c r="K62" s="1">
        <v>0</v>
      </c>
      <c r="L62" s="1">
        <v>0</v>
      </c>
      <c r="M62" s="4">
        <f t="shared" si="30"/>
        <v>0</v>
      </c>
      <c r="N62" s="4">
        <f t="shared" si="31"/>
        <v>0</v>
      </c>
      <c r="O62" s="4">
        <f t="shared" si="31"/>
        <v>0</v>
      </c>
      <c r="P62" s="4">
        <f t="shared" si="32"/>
        <v>0</v>
      </c>
      <c r="Q62" s="4"/>
      <c r="R62" s="4"/>
      <c r="S62" s="4"/>
      <c r="T62" s="4"/>
      <c r="U62" s="4"/>
      <c r="V62" s="4">
        <v>64.215500000000006</v>
      </c>
      <c r="W62" s="1">
        <f t="shared" si="5"/>
        <v>64.215500000000006</v>
      </c>
      <c r="X62" s="1">
        <f t="shared" si="1"/>
        <v>1605.3875</v>
      </c>
      <c r="Y62" s="1">
        <f t="shared" si="6"/>
        <v>1605.3875</v>
      </c>
      <c r="Z62" s="1">
        <f t="shared" si="2"/>
        <v>0</v>
      </c>
      <c r="AA62" s="1">
        <f t="shared" si="3"/>
        <v>0</v>
      </c>
      <c r="AB62" s="4"/>
      <c r="AC62" s="1"/>
      <c r="AD62" s="1">
        <f>AD61+1</f>
        <v>24</v>
      </c>
      <c r="AE62">
        <f t="shared" si="28"/>
        <v>6672.9982718931824</v>
      </c>
      <c r="AF62">
        <f t="shared" si="29"/>
        <v>144201.95852543644</v>
      </c>
      <c r="AG62">
        <f t="shared" si="22"/>
        <v>1611.2087018004643</v>
      </c>
      <c r="AH62">
        <f t="shared" si="24"/>
        <v>67030.156886765923</v>
      </c>
      <c r="AI62">
        <f t="shared" si="25"/>
        <v>12069.625135892971</v>
      </c>
      <c r="AJ62">
        <f t="shared" si="23"/>
        <v>2914.2349891397748</v>
      </c>
      <c r="AK62">
        <f t="shared" si="26"/>
        <v>91070.343467284489</v>
      </c>
      <c r="AW62">
        <f t="shared" si="10"/>
        <v>7.3040967881345346E-3</v>
      </c>
      <c r="AX62">
        <f t="shared" si="11"/>
        <v>56.736397092417505</v>
      </c>
      <c r="AY62">
        <f t="shared" si="33"/>
        <v>30.710424467597441</v>
      </c>
      <c r="AZ62">
        <f t="shared" si="34"/>
        <v>26.025972624820064</v>
      </c>
    </row>
    <row r="63" spans="1:52" x14ac:dyDescent="0.35">
      <c r="A63" s="1">
        <v>62</v>
      </c>
      <c r="B63" s="1">
        <v>1204.0745303370161</v>
      </c>
      <c r="C63" s="1">
        <v>0</v>
      </c>
      <c r="D63" s="1"/>
      <c r="E63" s="1">
        <v>1204.07</v>
      </c>
      <c r="F63" s="1"/>
      <c r="G63" s="1"/>
      <c r="H63" s="1"/>
      <c r="I63" s="1"/>
      <c r="J63" s="1"/>
      <c r="K63" s="1">
        <v>0</v>
      </c>
      <c r="L63" s="1">
        <v>0</v>
      </c>
      <c r="M63" s="4">
        <f t="shared" si="30"/>
        <v>0</v>
      </c>
      <c r="N63" s="4">
        <f t="shared" si="31"/>
        <v>0</v>
      </c>
      <c r="O63" s="4">
        <f t="shared" si="31"/>
        <v>0</v>
      </c>
      <c r="P63" s="4">
        <f t="shared" si="32"/>
        <v>0</v>
      </c>
      <c r="Q63" s="4"/>
      <c r="R63" s="4"/>
      <c r="S63" s="4"/>
      <c r="T63" s="4"/>
      <c r="U63" s="4"/>
      <c r="V63" s="4">
        <v>25.6633</v>
      </c>
      <c r="W63" s="1">
        <f t="shared" si="5"/>
        <v>25.6633</v>
      </c>
      <c r="X63" s="1">
        <f t="shared" si="1"/>
        <v>641.58249999999998</v>
      </c>
      <c r="Y63" s="1">
        <f>X63-M63</f>
        <v>641.58249999999998</v>
      </c>
      <c r="Z63" s="1">
        <f t="shared" si="2"/>
        <v>0</v>
      </c>
      <c r="AA63" s="1">
        <f t="shared" si="3"/>
        <v>0</v>
      </c>
      <c r="AB63" s="4"/>
      <c r="AC63" s="1"/>
      <c r="AD63" s="1">
        <f t="shared" ref="AD63" si="36">AD62+1</f>
        <v>25</v>
      </c>
      <c r="AE63">
        <f t="shared" si="28"/>
        <v>6672.9982718931824</v>
      </c>
      <c r="AF63">
        <f t="shared" si="29"/>
        <v>150874.95679732962</v>
      </c>
      <c r="AG63">
        <f t="shared" si="22"/>
        <v>1518.5755907638681</v>
      </c>
      <c r="AH63">
        <f t="shared" si="24"/>
        <v>68548.732477529789</v>
      </c>
      <c r="AI63">
        <f t="shared" si="25"/>
        <v>12371.365764290293</v>
      </c>
      <c r="AJ63">
        <f t="shared" si="23"/>
        <v>2815.354254352751</v>
      </c>
      <c r="AK63">
        <f t="shared" si="26"/>
        <v>93885.697721637232</v>
      </c>
      <c r="AW63">
        <f t="shared" si="10"/>
        <v>2.9771999469529777E-3</v>
      </c>
      <c r="AX63">
        <f t="shared" si="11"/>
        <v>23.126144588917679</v>
      </c>
      <c r="AY63">
        <f t="shared" si="33"/>
        <v>12.517779644481685</v>
      </c>
      <c r="AZ63">
        <f t="shared" si="34"/>
        <v>10.608364944435994</v>
      </c>
    </row>
    <row r="64" spans="1:52" x14ac:dyDescent="0.35">
      <c r="A64" s="1">
        <v>63</v>
      </c>
      <c r="B64" s="1">
        <v>13474.18710799874</v>
      </c>
      <c r="C64" s="1">
        <v>0</v>
      </c>
      <c r="D64" s="1"/>
      <c r="E64" s="1">
        <v>13474.2</v>
      </c>
      <c r="F64" s="1"/>
      <c r="G64" s="1"/>
      <c r="H64" s="1"/>
      <c r="I64" s="1"/>
      <c r="J64" s="1"/>
      <c r="K64" s="1">
        <v>0</v>
      </c>
      <c r="L64" s="1">
        <v>0</v>
      </c>
      <c r="M64" s="4">
        <f t="shared" si="30"/>
        <v>0</v>
      </c>
      <c r="N64" s="4">
        <f t="shared" si="31"/>
        <v>0</v>
      </c>
      <c r="O64" s="4">
        <f t="shared" si="31"/>
        <v>0</v>
      </c>
      <c r="P64" s="4">
        <f t="shared" si="32"/>
        <v>0</v>
      </c>
      <c r="Q64" s="4"/>
      <c r="R64" s="4"/>
      <c r="S64" s="4"/>
      <c r="T64" s="4"/>
      <c r="U64" s="4"/>
      <c r="V64" s="4">
        <v>279.54399999999998</v>
      </c>
      <c r="W64" s="1">
        <f t="shared" si="5"/>
        <v>279.54399999999998</v>
      </c>
      <c r="X64" s="1">
        <f t="shared" si="1"/>
        <v>6988.5999999999995</v>
      </c>
      <c r="Y64" s="1">
        <f t="shared" si="6"/>
        <v>6988.5999999999995</v>
      </c>
      <c r="Z64" s="1">
        <f t="shared" si="2"/>
        <v>0</v>
      </c>
      <c r="AA64" s="1">
        <f t="shared" si="3"/>
        <v>0</v>
      </c>
      <c r="AB64" s="4"/>
      <c r="AW64">
        <f t="shared" si="10"/>
        <v>3.33163339415046E-2</v>
      </c>
      <c r="AX64">
        <f t="shared" si="11"/>
        <v>258.7929496278706</v>
      </c>
      <c r="AY64">
        <f t="shared" si="33"/>
        <v>140.08012033875917</v>
      </c>
      <c r="AZ64">
        <f t="shared" si="34"/>
        <v>118.71282928911143</v>
      </c>
    </row>
    <row r="65" spans="1:52" x14ac:dyDescent="0.35">
      <c r="A65" s="1">
        <v>64</v>
      </c>
      <c r="B65" s="1">
        <v>3713.6923624805509</v>
      </c>
      <c r="C65" s="1">
        <v>0</v>
      </c>
      <c r="D65" s="1"/>
      <c r="E65" s="1">
        <v>3713.69</v>
      </c>
      <c r="F65" s="1"/>
      <c r="G65" s="1"/>
      <c r="H65" s="1"/>
      <c r="I65" s="1"/>
      <c r="J65" s="1"/>
      <c r="K65" s="1">
        <v>0</v>
      </c>
      <c r="L65" s="1">
        <v>0</v>
      </c>
      <c r="M65" s="4">
        <f t="shared" si="30"/>
        <v>0</v>
      </c>
      <c r="N65" s="4">
        <f t="shared" si="31"/>
        <v>0</v>
      </c>
      <c r="O65" s="4">
        <f t="shared" si="31"/>
        <v>0</v>
      </c>
      <c r="P65" s="4">
        <f t="shared" si="32"/>
        <v>0</v>
      </c>
      <c r="Q65" s="4"/>
      <c r="R65" s="4"/>
      <c r="S65" s="4"/>
      <c r="T65" s="4"/>
      <c r="U65" s="4"/>
      <c r="V65" s="4">
        <v>78.026300000000006</v>
      </c>
      <c r="W65" s="1">
        <f t="shared" si="5"/>
        <v>78.026300000000006</v>
      </c>
      <c r="X65" s="1">
        <f t="shared" si="1"/>
        <v>1950.6575000000003</v>
      </c>
      <c r="Y65" s="1">
        <f t="shared" si="6"/>
        <v>1950.6575000000003</v>
      </c>
      <c r="Z65" s="1">
        <f t="shared" si="2"/>
        <v>0</v>
      </c>
      <c r="AA65" s="1">
        <f t="shared" si="3"/>
        <v>0</v>
      </c>
      <c r="AB65" s="4"/>
      <c r="AW65">
        <f t="shared" si="10"/>
        <v>9.1824919687339673E-3</v>
      </c>
      <c r="AX65">
        <f t="shared" si="11"/>
        <v>71.327301067855032</v>
      </c>
      <c r="AY65">
        <f t="shared" si="33"/>
        <v>38.608226891000299</v>
      </c>
      <c r="AZ65">
        <f t="shared" si="34"/>
        <v>32.719074176854733</v>
      </c>
    </row>
    <row r="66" spans="1:52" x14ac:dyDescent="0.35">
      <c r="A66" s="1">
        <v>65</v>
      </c>
      <c r="B66" s="1">
        <v>1118.1009256975681</v>
      </c>
      <c r="C66" s="1">
        <v>0</v>
      </c>
      <c r="D66" s="1"/>
      <c r="E66" s="1">
        <v>1118.0999999999999</v>
      </c>
      <c r="F66" s="1"/>
      <c r="G66" s="1"/>
      <c r="H66" s="1"/>
      <c r="I66" s="1"/>
      <c r="J66" s="1"/>
      <c r="K66" s="1">
        <v>0</v>
      </c>
      <c r="L66" s="1">
        <v>0</v>
      </c>
      <c r="M66" s="4">
        <f t="shared" si="30"/>
        <v>0</v>
      </c>
      <c r="N66" s="4">
        <f t="shared" si="31"/>
        <v>0</v>
      </c>
      <c r="O66" s="4">
        <f t="shared" si="31"/>
        <v>0</v>
      </c>
      <c r="P66" s="4">
        <f t="shared" si="32"/>
        <v>0</v>
      </c>
      <c r="Q66" s="4"/>
      <c r="R66" s="4"/>
      <c r="S66" s="4"/>
      <c r="T66" s="4"/>
      <c r="U66" s="4"/>
      <c r="V66" s="4">
        <v>23.491800000000001</v>
      </c>
      <c r="W66" s="1">
        <f t="shared" si="5"/>
        <v>23.491800000000001</v>
      </c>
      <c r="X66" s="1">
        <f t="shared" ref="X66:X100" si="37">V66*$S$47</f>
        <v>587.29500000000007</v>
      </c>
      <c r="Y66" s="1">
        <f t="shared" si="6"/>
        <v>587.29500000000007</v>
      </c>
      <c r="Z66" s="1">
        <f t="shared" ref="Z66:Z100" si="38">(M66/($S$47*B66))+O66</f>
        <v>0</v>
      </c>
      <c r="AA66" s="1">
        <f t="shared" ref="AA66:AA100" si="39">(M66/($S$50*B66))+O66</f>
        <v>0</v>
      </c>
      <c r="AB66" s="4"/>
      <c r="AE66" s="18" t="s">
        <v>51</v>
      </c>
      <c r="AF66" s="4"/>
      <c r="AG66" s="4"/>
      <c r="AH66" s="10"/>
      <c r="AI66" s="10"/>
      <c r="AJ66" s="10"/>
      <c r="AK66" s="10">
        <f>AD40-(AK40/AJ41)</f>
        <v>2.5444280808515112</v>
      </c>
      <c r="AW66">
        <f t="shared" si="10"/>
        <v>2.7646212363142946E-3</v>
      </c>
      <c r="AX66">
        <f t="shared" si="11"/>
        <v>21.474886330705193</v>
      </c>
      <c r="AY66">
        <f t="shared" si="33"/>
        <v>11.623982283103089</v>
      </c>
      <c r="AZ66">
        <f t="shared" si="34"/>
        <v>9.8509040476021035</v>
      </c>
    </row>
    <row r="67" spans="1:52" ht="15" thickBot="1" x14ac:dyDescent="0.4">
      <c r="A67" s="1">
        <v>66</v>
      </c>
      <c r="B67" s="1">
        <v>789.18834550043005</v>
      </c>
      <c r="C67" s="1">
        <v>0</v>
      </c>
      <c r="D67" s="1"/>
      <c r="E67" s="1">
        <v>789.18799999999999</v>
      </c>
      <c r="F67" s="1"/>
      <c r="G67" s="1"/>
      <c r="H67" s="1"/>
      <c r="I67" s="1"/>
      <c r="J67" s="1"/>
      <c r="K67" s="1">
        <v>0</v>
      </c>
      <c r="L67" s="1">
        <v>0</v>
      </c>
      <c r="M67" s="4">
        <f t="shared" si="30"/>
        <v>0</v>
      </c>
      <c r="N67" s="4">
        <f t="shared" si="31"/>
        <v>0</v>
      </c>
      <c r="O67" s="4">
        <f t="shared" si="31"/>
        <v>0</v>
      </c>
      <c r="P67" s="4">
        <f t="shared" si="32"/>
        <v>0</v>
      </c>
      <c r="Q67" s="4"/>
      <c r="R67" s="1" t="s">
        <v>247</v>
      </c>
      <c r="S67" s="1">
        <v>24000</v>
      </c>
      <c r="T67" s="4" t="s">
        <v>268</v>
      </c>
      <c r="U67" s="4"/>
      <c r="V67" s="4">
        <v>16.784199999999998</v>
      </c>
      <c r="W67" s="1">
        <f t="shared" ref="W67:W100" si="40">V67-M67</f>
        <v>16.784199999999998</v>
      </c>
      <c r="X67" s="1">
        <f t="shared" si="37"/>
        <v>419.60499999999996</v>
      </c>
      <c r="Y67" s="1">
        <f t="shared" ref="Y67:Y80" si="41">X67-M67</f>
        <v>419.60499999999996</v>
      </c>
      <c r="Z67" s="1">
        <f t="shared" si="38"/>
        <v>0</v>
      </c>
      <c r="AA67" s="1">
        <f t="shared" si="39"/>
        <v>0</v>
      </c>
      <c r="AB67" s="4"/>
      <c r="AE67" s="4"/>
      <c r="AF67" s="4"/>
      <c r="AG67" s="4"/>
      <c r="AH67" s="4"/>
      <c r="AI67" s="4"/>
      <c r="AJ67" s="4"/>
      <c r="AK67" s="4"/>
      <c r="AW67">
        <f t="shared" ref="AW67:AW104" si="42">B67/$B$102</f>
        <v>1.9513505527786158E-3</v>
      </c>
      <c r="AX67">
        <f t="shared" ref="AX67:AX104" si="43">AW67*$AV$2</f>
        <v>15.157603060354836</v>
      </c>
      <c r="AY67">
        <f t="shared" si="33"/>
        <v>8.2045467768530891</v>
      </c>
      <c r="AZ67">
        <f t="shared" si="34"/>
        <v>6.9530562835017466</v>
      </c>
    </row>
    <row r="68" spans="1:52" ht="15" thickBot="1" x14ac:dyDescent="0.4">
      <c r="A68" s="1">
        <v>67</v>
      </c>
      <c r="B68" s="1">
        <v>1631.3808757786551</v>
      </c>
      <c r="C68" s="1">
        <v>0</v>
      </c>
      <c r="D68" s="1"/>
      <c r="E68" s="1">
        <v>1631.38</v>
      </c>
      <c r="F68" s="1"/>
      <c r="G68" s="1"/>
      <c r="H68" s="1"/>
      <c r="I68" s="1"/>
      <c r="J68" s="1"/>
      <c r="K68" s="1">
        <v>0</v>
      </c>
      <c r="L68" s="1">
        <v>0</v>
      </c>
      <c r="M68" s="4">
        <f t="shared" si="30"/>
        <v>0</v>
      </c>
      <c r="N68" s="4">
        <f t="shared" si="31"/>
        <v>0</v>
      </c>
      <c r="O68" s="4">
        <f t="shared" si="31"/>
        <v>0</v>
      </c>
      <c r="P68" s="4">
        <f t="shared" si="32"/>
        <v>0</v>
      </c>
      <c r="Q68" s="4"/>
      <c r="R68" s="4" t="s">
        <v>247</v>
      </c>
      <c r="S68" s="4">
        <v>26000</v>
      </c>
      <c r="T68" s="4" t="s">
        <v>264</v>
      </c>
      <c r="U68" s="4"/>
      <c r="V68" s="4">
        <v>31.626000000000001</v>
      </c>
      <c r="W68" s="1">
        <f t="shared" si="40"/>
        <v>31.626000000000001</v>
      </c>
      <c r="X68" s="1">
        <f t="shared" si="37"/>
        <v>790.65</v>
      </c>
      <c r="Y68" s="1">
        <f t="shared" si="41"/>
        <v>790.65</v>
      </c>
      <c r="Z68" s="1">
        <f t="shared" si="38"/>
        <v>0</v>
      </c>
      <c r="AA68" s="1">
        <f t="shared" si="39"/>
        <v>0</v>
      </c>
      <c r="AB68" s="4"/>
      <c r="AE68" s="4"/>
      <c r="AF68" s="9"/>
      <c r="AG68" s="4"/>
      <c r="AH68" s="100" t="s">
        <v>54</v>
      </c>
      <c r="AI68" s="101"/>
      <c r="AJ68" s="101"/>
      <c r="AK68" s="102"/>
      <c r="AW68">
        <f t="shared" si="42"/>
        <v>4.0337594845303078E-3</v>
      </c>
      <c r="AX68">
        <f t="shared" si="43"/>
        <v>31.33323483081444</v>
      </c>
      <c r="AY68">
        <f t="shared" si="33"/>
        <v>16.960134779616105</v>
      </c>
      <c r="AZ68">
        <f t="shared" si="34"/>
        <v>14.373100051198335</v>
      </c>
    </row>
    <row r="69" spans="1:52" ht="15" thickBot="1" x14ac:dyDescent="0.4">
      <c r="A69" s="1">
        <v>68</v>
      </c>
      <c r="B69" s="1">
        <v>4258.9353884654111</v>
      </c>
      <c r="C69" s="1">
        <v>0</v>
      </c>
      <c r="D69" s="1"/>
      <c r="E69" s="1">
        <v>4258.9399999999996</v>
      </c>
      <c r="F69" s="1"/>
      <c r="G69" s="1"/>
      <c r="H69" s="1"/>
      <c r="I69" s="1"/>
      <c r="J69" s="1"/>
      <c r="K69" s="1">
        <v>0</v>
      </c>
      <c r="L69" s="1">
        <v>0</v>
      </c>
      <c r="M69" s="4">
        <f t="shared" si="30"/>
        <v>0</v>
      </c>
      <c r="N69" s="4">
        <f t="shared" si="31"/>
        <v>0</v>
      </c>
      <c r="O69" s="4">
        <f t="shared" si="31"/>
        <v>0</v>
      </c>
      <c r="P69" s="4">
        <f t="shared" si="32"/>
        <v>0</v>
      </c>
      <c r="Q69" s="4"/>
      <c r="R69" s="4" t="s">
        <v>247</v>
      </c>
      <c r="S69" s="4">
        <v>32500</v>
      </c>
      <c r="T69" s="4" t="s">
        <v>265</v>
      </c>
      <c r="U69" s="4"/>
      <c r="V69" s="4">
        <v>86.851900000000001</v>
      </c>
      <c r="W69" s="1">
        <f t="shared" si="40"/>
        <v>86.851900000000001</v>
      </c>
      <c r="X69" s="1">
        <f t="shared" si="37"/>
        <v>2171.2975000000001</v>
      </c>
      <c r="Y69" s="1">
        <f t="shared" si="41"/>
        <v>2171.2975000000001</v>
      </c>
      <c r="Z69" s="1">
        <f t="shared" si="38"/>
        <v>0</v>
      </c>
      <c r="AA69" s="1">
        <f t="shared" si="39"/>
        <v>0</v>
      </c>
      <c r="AB69" s="4"/>
      <c r="AE69" s="4"/>
      <c r="AF69" s="8"/>
      <c r="AG69" s="4"/>
      <c r="AH69" s="103"/>
      <c r="AI69" s="104"/>
      <c r="AJ69" s="104"/>
      <c r="AK69" s="105"/>
      <c r="AW69">
        <f t="shared" si="42"/>
        <v>1.053066225814641E-2</v>
      </c>
      <c r="AX69">
        <f t="shared" si="43"/>
        <v>81.799550698029975</v>
      </c>
      <c r="AY69">
        <f t="shared" si="33"/>
        <v>44.276673386632524</v>
      </c>
      <c r="AZ69">
        <f t="shared" si="34"/>
        <v>37.522877311397451</v>
      </c>
    </row>
    <row r="70" spans="1:52" x14ac:dyDescent="0.35">
      <c r="A70" s="1">
        <v>69</v>
      </c>
      <c r="B70" s="1">
        <v>4490.8701254733214</v>
      </c>
      <c r="C70" s="1">
        <v>0</v>
      </c>
      <c r="D70" s="1"/>
      <c r="E70" s="1">
        <v>4490.87</v>
      </c>
      <c r="F70" s="1"/>
      <c r="G70" s="1"/>
      <c r="H70" s="1"/>
      <c r="I70" s="1"/>
      <c r="J70" s="1"/>
      <c r="K70" s="1">
        <v>0</v>
      </c>
      <c r="L70" s="1">
        <v>0</v>
      </c>
      <c r="M70" s="4">
        <f t="shared" si="30"/>
        <v>0</v>
      </c>
      <c r="N70" s="4">
        <f t="shared" si="31"/>
        <v>0</v>
      </c>
      <c r="O70" s="4">
        <f t="shared" si="31"/>
        <v>0</v>
      </c>
      <c r="P70" s="4">
        <f t="shared" si="32"/>
        <v>0</v>
      </c>
      <c r="Q70" s="4"/>
      <c r="R70" s="4" t="s">
        <v>247</v>
      </c>
      <c r="S70" s="4">
        <v>34600</v>
      </c>
      <c r="T70" s="4" t="s">
        <v>266</v>
      </c>
      <c r="U70" s="4"/>
      <c r="V70" s="4">
        <v>90.9893</v>
      </c>
      <c r="W70" s="1">
        <f t="shared" si="40"/>
        <v>90.9893</v>
      </c>
      <c r="X70" s="1">
        <f t="shared" si="37"/>
        <v>2274.7325000000001</v>
      </c>
      <c r="Y70" s="1">
        <f t="shared" si="41"/>
        <v>2274.7325000000001</v>
      </c>
      <c r="Z70" s="1">
        <f t="shared" si="38"/>
        <v>0</v>
      </c>
      <c r="AA70" s="1">
        <f t="shared" si="39"/>
        <v>0</v>
      </c>
      <c r="AB70" s="4"/>
      <c r="AW70">
        <f t="shared" si="42"/>
        <v>1.1104145102703576E-2</v>
      </c>
      <c r="AX70">
        <f t="shared" si="43"/>
        <v>86.254222006238976</v>
      </c>
      <c r="AY70">
        <f t="shared" si="33"/>
        <v>46.687909449364632</v>
      </c>
      <c r="AZ70">
        <f t="shared" si="34"/>
        <v>39.566312556874344</v>
      </c>
    </row>
    <row r="71" spans="1:52" x14ac:dyDescent="0.35">
      <c r="A71" s="1">
        <v>70</v>
      </c>
      <c r="B71" s="1">
        <v>6097.7538980173758</v>
      </c>
      <c r="C71" s="1">
        <v>0</v>
      </c>
      <c r="D71" s="1"/>
      <c r="E71" s="1">
        <v>6097.75</v>
      </c>
      <c r="F71" s="1"/>
      <c r="G71" s="1"/>
      <c r="H71" s="1"/>
      <c r="I71" s="1"/>
      <c r="J71" s="1"/>
      <c r="K71" s="1">
        <v>0</v>
      </c>
      <c r="L71" s="1">
        <v>0</v>
      </c>
      <c r="M71" s="4">
        <f t="shared" si="30"/>
        <v>0</v>
      </c>
      <c r="N71" s="4">
        <f t="shared" si="31"/>
        <v>0</v>
      </c>
      <c r="O71" s="4">
        <f t="shared" si="31"/>
        <v>0</v>
      </c>
      <c r="P71" s="4">
        <f t="shared" si="32"/>
        <v>0</v>
      </c>
      <c r="Q71" s="4"/>
      <c r="R71" s="4"/>
      <c r="S71" s="4"/>
      <c r="T71" s="4"/>
      <c r="U71" s="4"/>
      <c r="V71" s="4">
        <v>124.14400000000001</v>
      </c>
      <c r="W71" s="1">
        <f t="shared" si="40"/>
        <v>124.14400000000001</v>
      </c>
      <c r="X71" s="1">
        <f t="shared" si="37"/>
        <v>3103.6000000000004</v>
      </c>
      <c r="Y71" s="1">
        <f t="shared" si="41"/>
        <v>3103.6000000000004</v>
      </c>
      <c r="Z71" s="1">
        <f t="shared" si="38"/>
        <v>0</v>
      </c>
      <c r="AA71" s="1">
        <f t="shared" si="39"/>
        <v>0</v>
      </c>
      <c r="AB71" s="4"/>
      <c r="AW71">
        <f t="shared" si="42"/>
        <v>1.5077332942694453E-2</v>
      </c>
      <c r="AX71">
        <f t="shared" si="43"/>
        <v>117.11695145126599</v>
      </c>
      <c r="AY71">
        <f t="shared" si="33"/>
        <v>63.393367850988568</v>
      </c>
      <c r="AZ71">
        <f t="shared" si="34"/>
        <v>53.723583600277422</v>
      </c>
    </row>
    <row r="72" spans="1:52" x14ac:dyDescent="0.35">
      <c r="A72" s="1">
        <v>71</v>
      </c>
      <c r="B72" s="1">
        <v>4593.5313049109664</v>
      </c>
      <c r="C72" s="1">
        <v>0</v>
      </c>
      <c r="D72" s="1"/>
      <c r="E72" s="1">
        <v>4593.53</v>
      </c>
      <c r="F72" s="1"/>
      <c r="G72" s="1"/>
      <c r="H72" s="1"/>
      <c r="I72" s="1"/>
      <c r="J72" s="1"/>
      <c r="K72" s="1">
        <v>0</v>
      </c>
      <c r="L72" s="1">
        <v>0</v>
      </c>
      <c r="M72" s="4">
        <f t="shared" si="30"/>
        <v>0</v>
      </c>
      <c r="N72" s="4">
        <f t="shared" si="31"/>
        <v>0</v>
      </c>
      <c r="O72" s="4">
        <f t="shared" si="31"/>
        <v>0</v>
      </c>
      <c r="P72" s="4">
        <f t="shared" si="32"/>
        <v>0</v>
      </c>
      <c r="Q72" s="4"/>
      <c r="R72" s="4"/>
      <c r="S72" s="4"/>
      <c r="T72" s="4"/>
      <c r="U72" s="4"/>
      <c r="V72" s="4">
        <v>96.512100000000004</v>
      </c>
      <c r="W72" s="1">
        <f t="shared" si="40"/>
        <v>96.512100000000004</v>
      </c>
      <c r="X72" s="1">
        <f t="shared" si="37"/>
        <v>2412.8025000000002</v>
      </c>
      <c r="Y72" s="1">
        <f t="shared" si="41"/>
        <v>2412.8025000000002</v>
      </c>
      <c r="Z72" s="1">
        <f t="shared" si="38"/>
        <v>0</v>
      </c>
      <c r="AA72" s="1">
        <f t="shared" si="39"/>
        <v>0</v>
      </c>
      <c r="AB72" s="4"/>
      <c r="AW72">
        <f t="shared" si="42"/>
        <v>1.1357985583732882E-2</v>
      </c>
      <c r="AX72">
        <f t="shared" si="43"/>
        <v>88.22599137725895</v>
      </c>
      <c r="AY72">
        <f t="shared" si="33"/>
        <v>47.755193898844134</v>
      </c>
      <c r="AZ72">
        <f t="shared" si="34"/>
        <v>40.470797478414816</v>
      </c>
    </row>
    <row r="73" spans="1:52" x14ac:dyDescent="0.35">
      <c r="A73" s="1">
        <v>72</v>
      </c>
      <c r="B73" s="1">
        <v>8062.2213477933838</v>
      </c>
      <c r="C73" s="1">
        <v>0</v>
      </c>
      <c r="D73" s="1"/>
      <c r="E73" s="1">
        <v>8062.22</v>
      </c>
      <c r="F73" s="1"/>
      <c r="G73" s="1"/>
      <c r="H73" s="1"/>
      <c r="I73" s="1"/>
      <c r="J73" s="1"/>
      <c r="K73" s="1">
        <v>0</v>
      </c>
      <c r="L73" s="1">
        <v>0</v>
      </c>
      <c r="M73" s="4">
        <f t="shared" si="30"/>
        <v>0</v>
      </c>
      <c r="N73" s="4">
        <f t="shared" si="31"/>
        <v>0</v>
      </c>
      <c r="O73" s="4">
        <f t="shared" si="31"/>
        <v>0</v>
      </c>
      <c r="P73" s="4">
        <f t="shared" si="32"/>
        <v>0</v>
      </c>
      <c r="Q73" s="4"/>
      <c r="R73" s="4"/>
      <c r="S73" s="4"/>
      <c r="T73" s="4"/>
      <c r="U73" s="4"/>
      <c r="V73" s="4">
        <v>174.48599999999999</v>
      </c>
      <c r="W73" s="1">
        <f t="shared" si="40"/>
        <v>174.48599999999999</v>
      </c>
      <c r="X73" s="1">
        <f t="shared" si="37"/>
        <v>4362.1499999999996</v>
      </c>
      <c r="Y73" s="1">
        <f t="shared" si="41"/>
        <v>4362.1499999999996</v>
      </c>
      <c r="Z73" s="1">
        <f t="shared" si="38"/>
        <v>0</v>
      </c>
      <c r="AA73" s="1">
        <f t="shared" si="39"/>
        <v>0</v>
      </c>
      <c r="AB73" s="4"/>
      <c r="AW73">
        <f t="shared" si="42"/>
        <v>1.9934683746076182E-2</v>
      </c>
      <c r="AX73">
        <f t="shared" si="43"/>
        <v>154.84763766636806</v>
      </c>
      <c r="AY73">
        <f t="shared" si="33"/>
        <v>83.816331741911583</v>
      </c>
      <c r="AZ73">
        <f t="shared" si="34"/>
        <v>71.031305924456476</v>
      </c>
    </row>
    <row r="74" spans="1:52" x14ac:dyDescent="0.35">
      <c r="A74" s="1">
        <v>73</v>
      </c>
      <c r="B74" s="1">
        <v>4657.9117518025187</v>
      </c>
      <c r="C74" s="1">
        <v>0</v>
      </c>
      <c r="D74" s="1"/>
      <c r="E74" s="1">
        <v>4657.91</v>
      </c>
      <c r="F74" s="1"/>
      <c r="G74" s="1"/>
      <c r="H74" s="1"/>
      <c r="I74" s="1"/>
      <c r="J74" s="1"/>
      <c r="K74" s="1">
        <v>0</v>
      </c>
      <c r="L74" s="1">
        <v>0</v>
      </c>
      <c r="M74" s="4">
        <f t="shared" si="30"/>
        <v>0</v>
      </c>
      <c r="N74" s="4">
        <f t="shared" si="31"/>
        <v>0</v>
      </c>
      <c r="O74" s="4">
        <f t="shared" si="31"/>
        <v>0</v>
      </c>
      <c r="P74" s="4">
        <f t="shared" si="32"/>
        <v>0</v>
      </c>
      <c r="Q74" s="4"/>
      <c r="R74" s="4"/>
      <c r="S74" s="4"/>
      <c r="T74" s="4"/>
      <c r="U74" s="4"/>
      <c r="V74" s="4">
        <v>98.659400000000005</v>
      </c>
      <c r="W74" s="1">
        <f t="shared" si="40"/>
        <v>98.659400000000005</v>
      </c>
      <c r="X74" s="1">
        <f t="shared" si="37"/>
        <v>2466.4850000000001</v>
      </c>
      <c r="Y74" s="1">
        <f t="shared" si="41"/>
        <v>2466.4850000000001</v>
      </c>
      <c r="Z74" s="1">
        <f t="shared" si="38"/>
        <v>0</v>
      </c>
      <c r="AA74" s="1">
        <f t="shared" si="39"/>
        <v>0</v>
      </c>
      <c r="AB74" s="4"/>
      <c r="AW74">
        <f t="shared" si="42"/>
        <v>1.1517172958136269E-2</v>
      </c>
      <c r="AX74">
        <f t="shared" si="43"/>
        <v>89.462519088792277</v>
      </c>
      <c r="AY74">
        <f t="shared" si="33"/>
        <v>48.42450483209354</v>
      </c>
      <c r="AZ74">
        <f t="shared" si="34"/>
        <v>41.038014256698737</v>
      </c>
    </row>
    <row r="75" spans="1:52" x14ac:dyDescent="0.35">
      <c r="A75" s="1">
        <v>74</v>
      </c>
      <c r="B75" s="1">
        <v>4129.0607113934348</v>
      </c>
      <c r="C75" s="1">
        <v>0</v>
      </c>
      <c r="D75" s="1"/>
      <c r="E75" s="1">
        <v>4129.0600000000004</v>
      </c>
      <c r="F75" s="1"/>
      <c r="G75" s="1"/>
      <c r="H75" s="1"/>
      <c r="I75" s="1"/>
      <c r="J75" s="1"/>
      <c r="K75" s="1">
        <v>0</v>
      </c>
      <c r="L75" s="1">
        <v>0</v>
      </c>
      <c r="M75" s="4">
        <f t="shared" si="30"/>
        <v>0</v>
      </c>
      <c r="N75" s="4">
        <f t="shared" si="31"/>
        <v>0</v>
      </c>
      <c r="O75" s="4">
        <f t="shared" si="31"/>
        <v>0</v>
      </c>
      <c r="P75" s="4">
        <f t="shared" si="32"/>
        <v>0</v>
      </c>
      <c r="Q75" s="4"/>
      <c r="R75" s="4"/>
      <c r="S75" s="4"/>
      <c r="T75" s="4"/>
      <c r="U75" s="4"/>
      <c r="V75" s="4">
        <v>86.753399999999999</v>
      </c>
      <c r="W75" s="1">
        <f t="shared" si="40"/>
        <v>86.753399999999999</v>
      </c>
      <c r="X75" s="1">
        <f t="shared" si="37"/>
        <v>2168.835</v>
      </c>
      <c r="Y75" s="1">
        <f t="shared" si="41"/>
        <v>2168.835</v>
      </c>
      <c r="Z75" s="1">
        <f t="shared" si="38"/>
        <v>0</v>
      </c>
      <c r="AA75" s="1">
        <f t="shared" si="39"/>
        <v>0</v>
      </c>
      <c r="AB75" s="4"/>
      <c r="AW75">
        <f t="shared" si="42"/>
        <v>1.0209533563911015E-2</v>
      </c>
      <c r="AX75">
        <f t="shared" si="43"/>
        <v>79.305103315636757</v>
      </c>
      <c r="AY75">
        <f t="shared" si="33"/>
        <v>42.926472424794909</v>
      </c>
      <c r="AZ75">
        <f t="shared" si="34"/>
        <v>36.378630890841848</v>
      </c>
    </row>
    <row r="76" spans="1:52" x14ac:dyDescent="0.35">
      <c r="A76" s="1">
        <v>75</v>
      </c>
      <c r="B76" s="1">
        <v>14350.316193396229</v>
      </c>
      <c r="C76" s="1">
        <v>0</v>
      </c>
      <c r="D76" s="1"/>
      <c r="E76" s="1">
        <v>14350.3</v>
      </c>
      <c r="F76" s="1"/>
      <c r="G76" s="1"/>
      <c r="H76" s="1"/>
      <c r="I76" s="1"/>
      <c r="J76" s="1"/>
      <c r="K76" s="1">
        <v>0</v>
      </c>
      <c r="L76" s="1">
        <v>0</v>
      </c>
      <c r="M76" s="4">
        <f t="shared" si="30"/>
        <v>0</v>
      </c>
      <c r="N76" s="4">
        <f t="shared" si="31"/>
        <v>0</v>
      </c>
      <c r="O76" s="4">
        <f t="shared" si="31"/>
        <v>0</v>
      </c>
      <c r="P76" s="4">
        <f t="shared" si="32"/>
        <v>0</v>
      </c>
      <c r="Q76" s="4"/>
      <c r="R76" s="4"/>
      <c r="S76" s="4"/>
      <c r="T76" s="4"/>
      <c r="U76" s="4"/>
      <c r="V76" s="4">
        <v>250.209</v>
      </c>
      <c r="W76" s="1">
        <f t="shared" si="40"/>
        <v>250.209</v>
      </c>
      <c r="X76" s="1">
        <f t="shared" si="37"/>
        <v>6255.2250000000004</v>
      </c>
      <c r="Y76" s="1">
        <f t="shared" si="41"/>
        <v>6255.2250000000004</v>
      </c>
      <c r="Z76" s="1">
        <f t="shared" si="38"/>
        <v>0</v>
      </c>
      <c r="AA76" s="1">
        <f t="shared" si="39"/>
        <v>0</v>
      </c>
      <c r="AB76" s="4"/>
      <c r="AW76">
        <f t="shared" si="42"/>
        <v>3.5482654547787408E-2</v>
      </c>
      <c r="AX76">
        <f t="shared" si="43"/>
        <v>275.62038629974131</v>
      </c>
      <c r="AY76">
        <f t="shared" si="33"/>
        <v>149.18851899250149</v>
      </c>
      <c r="AZ76">
        <f t="shared" si="34"/>
        <v>126.43186730723983</v>
      </c>
    </row>
    <row r="77" spans="1:52" x14ac:dyDescent="0.35">
      <c r="A77" s="1">
        <v>76</v>
      </c>
      <c r="B77" s="1">
        <v>5149.4780654648821</v>
      </c>
      <c r="C77" s="1">
        <v>0</v>
      </c>
      <c r="D77" s="1"/>
      <c r="E77" s="1">
        <v>5149.4799999999996</v>
      </c>
      <c r="F77" s="1"/>
      <c r="G77" s="1"/>
      <c r="H77" s="1"/>
      <c r="I77" s="1"/>
      <c r="J77" s="1"/>
      <c r="K77" s="1">
        <v>0</v>
      </c>
      <c r="L77" s="1">
        <v>0</v>
      </c>
      <c r="M77" s="4">
        <f t="shared" si="30"/>
        <v>0</v>
      </c>
      <c r="N77" s="4">
        <f t="shared" si="31"/>
        <v>0</v>
      </c>
      <c r="O77" s="4">
        <f t="shared" si="31"/>
        <v>0</v>
      </c>
      <c r="P77" s="4">
        <f t="shared" si="32"/>
        <v>0</v>
      </c>
      <c r="Q77" s="4"/>
      <c r="R77" s="4"/>
      <c r="S77" s="4"/>
      <c r="T77" s="4"/>
      <c r="U77" s="4"/>
      <c r="V77" s="4">
        <v>108.91500000000001</v>
      </c>
      <c r="W77" s="1">
        <f t="shared" si="40"/>
        <v>108.91500000000001</v>
      </c>
      <c r="X77" s="1">
        <f t="shared" si="37"/>
        <v>2722.875</v>
      </c>
      <c r="Y77" s="1">
        <f t="shared" si="41"/>
        <v>2722.875</v>
      </c>
      <c r="Z77" s="1">
        <f t="shared" si="38"/>
        <v>0</v>
      </c>
      <c r="AA77" s="1">
        <f t="shared" si="39"/>
        <v>0</v>
      </c>
      <c r="AB77" s="4"/>
      <c r="AW77">
        <f t="shared" si="42"/>
        <v>1.2732621974028859E-2</v>
      </c>
      <c r="AX77">
        <f t="shared" si="43"/>
        <v>98.903823059913719</v>
      </c>
      <c r="AY77">
        <f t="shared" si="33"/>
        <v>53.53491838211967</v>
      </c>
      <c r="AZ77">
        <f t="shared" si="34"/>
        <v>45.368904677794049</v>
      </c>
    </row>
    <row r="78" spans="1:52" x14ac:dyDescent="0.35">
      <c r="A78" s="1">
        <v>77</v>
      </c>
      <c r="B78" s="1">
        <v>4612.9275296437472</v>
      </c>
      <c r="C78" s="1">
        <v>0</v>
      </c>
      <c r="D78" s="1"/>
      <c r="E78" s="1">
        <v>4612.93</v>
      </c>
      <c r="F78" s="1"/>
      <c r="G78" s="1"/>
      <c r="H78" s="1"/>
      <c r="I78" s="1"/>
      <c r="J78" s="1"/>
      <c r="K78" s="1">
        <v>0</v>
      </c>
      <c r="L78" s="1">
        <v>0</v>
      </c>
      <c r="M78" s="4">
        <f t="shared" si="30"/>
        <v>0</v>
      </c>
      <c r="N78" s="4">
        <f t="shared" si="31"/>
        <v>0</v>
      </c>
      <c r="O78" s="4">
        <f t="shared" si="31"/>
        <v>0</v>
      </c>
      <c r="P78" s="4">
        <f t="shared" si="32"/>
        <v>0</v>
      </c>
      <c r="Q78" s="4"/>
      <c r="R78" s="4"/>
      <c r="S78" s="4"/>
      <c r="T78" s="4"/>
      <c r="U78" s="4"/>
      <c r="V78" s="4">
        <v>98.416499999999999</v>
      </c>
      <c r="W78" s="1">
        <f t="shared" si="40"/>
        <v>98.416499999999999</v>
      </c>
      <c r="X78" s="1">
        <f t="shared" si="37"/>
        <v>2460.4124999999999</v>
      </c>
      <c r="Y78" s="1">
        <f t="shared" si="41"/>
        <v>2460.4124999999999</v>
      </c>
      <c r="Z78" s="1">
        <f t="shared" si="38"/>
        <v>0</v>
      </c>
      <c r="AA78" s="1">
        <f t="shared" si="39"/>
        <v>0</v>
      </c>
      <c r="AB78" s="4"/>
      <c r="AW78">
        <f t="shared" si="42"/>
        <v>1.1405944773791791E-2</v>
      </c>
      <c r="AX78">
        <f t="shared" si="43"/>
        <v>88.598526371022075</v>
      </c>
      <c r="AY78">
        <f t="shared" si="33"/>
        <v>47.956840608430987</v>
      </c>
      <c r="AZ78">
        <f t="shared" si="34"/>
        <v>40.641685762591088</v>
      </c>
    </row>
    <row r="79" spans="1:52" x14ac:dyDescent="0.35">
      <c r="A79" s="1">
        <v>78</v>
      </c>
      <c r="B79" s="1">
        <v>4299.5858542619962</v>
      </c>
      <c r="C79" s="1">
        <v>0</v>
      </c>
      <c r="D79" s="1"/>
      <c r="E79" s="1">
        <v>4299.59</v>
      </c>
      <c r="F79" s="1"/>
      <c r="G79" s="1"/>
      <c r="H79" s="1"/>
      <c r="I79" s="1"/>
      <c r="J79" s="1"/>
      <c r="K79" s="1">
        <v>0</v>
      </c>
      <c r="L79" s="1">
        <v>0</v>
      </c>
      <c r="M79" s="4">
        <f t="shared" si="30"/>
        <v>0</v>
      </c>
      <c r="N79" s="4">
        <f t="shared" ref="N79:O100" si="44">$S$19*C79</f>
        <v>0</v>
      </c>
      <c r="O79" s="4">
        <f t="shared" si="44"/>
        <v>0</v>
      </c>
      <c r="P79" s="4">
        <f t="shared" si="32"/>
        <v>0</v>
      </c>
      <c r="Q79" s="4"/>
      <c r="R79" s="4"/>
      <c r="S79" s="4"/>
      <c r="T79" s="4"/>
      <c r="U79" s="4"/>
      <c r="V79" s="4">
        <v>78.811800000000005</v>
      </c>
      <c r="W79" s="1">
        <f t="shared" si="40"/>
        <v>78.811800000000005</v>
      </c>
      <c r="X79" s="1">
        <f t="shared" si="37"/>
        <v>1970.2950000000001</v>
      </c>
      <c r="Y79" s="1">
        <f t="shared" si="41"/>
        <v>1970.2950000000001</v>
      </c>
      <c r="Z79" s="1">
        <f t="shared" si="38"/>
        <v>0</v>
      </c>
      <c r="AA79" s="1">
        <f t="shared" si="39"/>
        <v>0</v>
      </c>
      <c r="AB79" s="4"/>
      <c r="AW79">
        <f t="shared" si="42"/>
        <v>1.0631174777566062E-2</v>
      </c>
      <c r="AX79">
        <f t="shared" si="43"/>
        <v>82.580306810656623</v>
      </c>
      <c r="AY79">
        <f t="shared" si="33"/>
        <v>44.699283084343485</v>
      </c>
      <c r="AZ79">
        <f t="shared" si="34"/>
        <v>37.881023726313138</v>
      </c>
    </row>
    <row r="80" spans="1:52" x14ac:dyDescent="0.35">
      <c r="A80" s="1">
        <v>79</v>
      </c>
      <c r="B80" s="1">
        <v>3153.09355833985</v>
      </c>
      <c r="C80" s="1">
        <v>0</v>
      </c>
      <c r="D80" s="1"/>
      <c r="E80" s="1">
        <v>3153.09</v>
      </c>
      <c r="F80" s="1"/>
      <c r="G80" s="1"/>
      <c r="H80" s="1"/>
      <c r="I80" s="1"/>
      <c r="J80" s="1"/>
      <c r="K80" s="1">
        <v>0</v>
      </c>
      <c r="L80" s="1">
        <v>0</v>
      </c>
      <c r="M80" s="4">
        <f t="shared" si="30"/>
        <v>0</v>
      </c>
      <c r="N80" s="4">
        <f t="shared" si="44"/>
        <v>0</v>
      </c>
      <c r="O80" s="4">
        <f t="shared" si="44"/>
        <v>0</v>
      </c>
      <c r="P80" s="4">
        <f t="shared" si="32"/>
        <v>0</v>
      </c>
      <c r="Q80" s="4"/>
      <c r="R80" s="4"/>
      <c r="S80" s="4"/>
      <c r="T80" s="4"/>
      <c r="U80" s="4"/>
      <c r="V80" s="4">
        <v>66.247900000000001</v>
      </c>
      <c r="W80" s="1">
        <f t="shared" si="40"/>
        <v>66.247900000000001</v>
      </c>
      <c r="X80" s="1">
        <f t="shared" si="37"/>
        <v>1656.1975</v>
      </c>
      <c r="Y80" s="1">
        <f t="shared" si="41"/>
        <v>1656.1975</v>
      </c>
      <c r="Z80" s="1">
        <f t="shared" si="38"/>
        <v>0</v>
      </c>
      <c r="AA80" s="1">
        <f t="shared" si="39"/>
        <v>0</v>
      </c>
      <c r="AB80" s="4"/>
      <c r="AW80">
        <f t="shared" si="42"/>
        <v>7.7963529151303286E-3</v>
      </c>
      <c r="AX80">
        <f t="shared" si="43"/>
        <v>60.56011957344748</v>
      </c>
      <c r="AY80">
        <f t="shared" si="33"/>
        <v>32.780138909412415</v>
      </c>
      <c r="AZ80">
        <f t="shared" si="34"/>
        <v>27.779980664035065</v>
      </c>
    </row>
    <row r="81" spans="1:52" x14ac:dyDescent="0.35">
      <c r="A81" s="1">
        <v>80</v>
      </c>
      <c r="B81" s="1">
        <v>4296.4999200900902</v>
      </c>
      <c r="C81" s="1">
        <v>0</v>
      </c>
      <c r="D81" s="1"/>
      <c r="E81" s="1">
        <v>4296.5</v>
      </c>
      <c r="F81" s="1"/>
      <c r="G81" s="1"/>
      <c r="H81" s="1"/>
      <c r="I81" s="1"/>
      <c r="J81" s="1"/>
      <c r="K81" s="1">
        <v>0</v>
      </c>
      <c r="L81" s="1">
        <v>0</v>
      </c>
      <c r="M81" s="4">
        <f t="shared" si="30"/>
        <v>0</v>
      </c>
      <c r="N81" s="4">
        <f t="shared" si="44"/>
        <v>0</v>
      </c>
      <c r="O81" s="4">
        <f t="shared" si="44"/>
        <v>0</v>
      </c>
      <c r="P81" s="4">
        <f t="shared" si="32"/>
        <v>0</v>
      </c>
      <c r="Q81" s="4"/>
      <c r="R81" s="4"/>
      <c r="S81" s="4"/>
      <c r="T81" s="4"/>
      <c r="U81" s="4"/>
      <c r="V81" s="4">
        <v>89.923500000000004</v>
      </c>
      <c r="W81" s="1">
        <f t="shared" si="40"/>
        <v>89.923500000000004</v>
      </c>
      <c r="X81" s="1">
        <f t="shared" si="37"/>
        <v>2248.0875000000001</v>
      </c>
      <c r="Y81" s="1">
        <f>X81-M81</f>
        <v>2248.0875000000001</v>
      </c>
      <c r="Z81" s="1">
        <f t="shared" si="38"/>
        <v>0</v>
      </c>
      <c r="AA81" s="1">
        <f t="shared" si="39"/>
        <v>0</v>
      </c>
      <c r="AB81" s="4"/>
      <c r="AW81">
        <f t="shared" si="42"/>
        <v>1.0623544483243395E-2</v>
      </c>
      <c r="AX81">
        <f t="shared" si="43"/>
        <v>82.521036592698096</v>
      </c>
      <c r="AY81">
        <f t="shared" si="33"/>
        <v>44.667201146732467</v>
      </c>
      <c r="AZ81">
        <f t="shared" si="34"/>
        <v>37.853835445965629</v>
      </c>
    </row>
    <row r="82" spans="1:52" x14ac:dyDescent="0.35">
      <c r="A82" s="1">
        <v>81</v>
      </c>
      <c r="B82" s="1">
        <v>1722.7511821559251</v>
      </c>
      <c r="C82" s="1">
        <v>0</v>
      </c>
      <c r="D82" s="1"/>
      <c r="E82" s="1">
        <v>1722.75</v>
      </c>
      <c r="F82" s="1"/>
      <c r="G82" s="1"/>
      <c r="H82" s="1"/>
      <c r="I82" s="1"/>
      <c r="J82" s="1"/>
      <c r="K82" s="1">
        <v>0</v>
      </c>
      <c r="L82" s="1">
        <v>0</v>
      </c>
      <c r="M82" s="4">
        <f t="shared" si="30"/>
        <v>0</v>
      </c>
      <c r="N82" s="4">
        <f t="shared" si="44"/>
        <v>0</v>
      </c>
      <c r="O82" s="4">
        <f t="shared" si="44"/>
        <v>0</v>
      </c>
      <c r="P82" s="4">
        <f t="shared" si="32"/>
        <v>0</v>
      </c>
      <c r="Q82" s="4"/>
      <c r="R82" s="4"/>
      <c r="S82" s="4"/>
      <c r="T82" s="4"/>
      <c r="U82" s="4"/>
      <c r="V82" s="4">
        <v>30.037500000000001</v>
      </c>
      <c r="W82" s="1">
        <f t="shared" si="40"/>
        <v>30.037500000000001</v>
      </c>
      <c r="X82" s="1">
        <f t="shared" si="37"/>
        <v>750.9375</v>
      </c>
      <c r="Y82" s="1">
        <f t="shared" ref="Y82:Y96" si="45">X82-M82</f>
        <v>750.9375</v>
      </c>
      <c r="Z82" s="1">
        <f t="shared" si="38"/>
        <v>0</v>
      </c>
      <c r="AA82" s="1">
        <f t="shared" si="39"/>
        <v>0</v>
      </c>
      <c r="AB82" s="4"/>
      <c r="AW82">
        <f t="shared" si="42"/>
        <v>4.2596821034759516E-3</v>
      </c>
      <c r="AX82">
        <f t="shared" si="43"/>
        <v>33.088145231438077</v>
      </c>
      <c r="AY82">
        <f t="shared" si="33"/>
        <v>17.910037242015431</v>
      </c>
      <c r="AZ82">
        <f t="shared" si="34"/>
        <v>15.178107989422646</v>
      </c>
    </row>
    <row r="83" spans="1:52" x14ac:dyDescent="0.35">
      <c r="A83" s="1">
        <v>82</v>
      </c>
      <c r="B83" s="1">
        <v>8378.7212496204556</v>
      </c>
      <c r="C83" s="1">
        <v>0</v>
      </c>
      <c r="D83" s="1"/>
      <c r="E83" s="1">
        <v>8378.7199999999993</v>
      </c>
      <c r="F83" s="1"/>
      <c r="G83" s="1"/>
      <c r="H83" s="1"/>
      <c r="I83" s="1"/>
      <c r="J83" s="1"/>
      <c r="K83" s="1">
        <v>0</v>
      </c>
      <c r="L83" s="1">
        <v>0</v>
      </c>
      <c r="M83" s="4">
        <f t="shared" si="30"/>
        <v>0</v>
      </c>
      <c r="N83" s="4">
        <f t="shared" si="44"/>
        <v>0</v>
      </c>
      <c r="O83" s="4">
        <f t="shared" si="44"/>
        <v>0</v>
      </c>
      <c r="P83" s="4">
        <f t="shared" si="32"/>
        <v>0</v>
      </c>
      <c r="Q83" s="4"/>
      <c r="R83" s="4"/>
      <c r="S83" s="4"/>
      <c r="T83" s="4"/>
      <c r="U83" s="4"/>
      <c r="V83" s="4">
        <v>122.405</v>
      </c>
      <c r="W83" s="1">
        <f t="shared" si="40"/>
        <v>122.405</v>
      </c>
      <c r="X83" s="1">
        <f t="shared" si="37"/>
        <v>3060.125</v>
      </c>
      <c r="Y83" s="1">
        <f t="shared" si="45"/>
        <v>3060.125</v>
      </c>
      <c r="Z83" s="1">
        <f t="shared" si="38"/>
        <v>0</v>
      </c>
      <c r="AA83" s="1">
        <f t="shared" si="39"/>
        <v>0</v>
      </c>
      <c r="AB83" s="4"/>
      <c r="AW83">
        <f t="shared" si="42"/>
        <v>2.0717262786815824E-2</v>
      </c>
      <c r="AX83">
        <f t="shared" si="43"/>
        <v>160.92651593147215</v>
      </c>
      <c r="AY83">
        <f t="shared" si="33"/>
        <v>87.106722767342916</v>
      </c>
      <c r="AZ83">
        <f t="shared" si="34"/>
        <v>73.819793164129237</v>
      </c>
    </row>
    <row r="84" spans="1:52" x14ac:dyDescent="0.35">
      <c r="A84" s="1">
        <v>83</v>
      </c>
      <c r="B84" s="1">
        <v>4180.060549855245</v>
      </c>
      <c r="C84" s="1">
        <v>0</v>
      </c>
      <c r="D84" s="1"/>
      <c r="E84" s="1">
        <v>4180.0600000000004</v>
      </c>
      <c r="F84" s="1"/>
      <c r="G84" s="1"/>
      <c r="H84" s="1"/>
      <c r="I84" s="1"/>
      <c r="J84" s="1"/>
      <c r="K84" s="1">
        <v>0</v>
      </c>
      <c r="L84" s="1">
        <v>0</v>
      </c>
      <c r="M84" s="4">
        <f t="shared" si="30"/>
        <v>0</v>
      </c>
      <c r="N84" s="4">
        <f t="shared" si="44"/>
        <v>0</v>
      </c>
      <c r="O84" s="4">
        <f t="shared" si="44"/>
        <v>0</v>
      </c>
      <c r="P84" s="4">
        <f t="shared" si="32"/>
        <v>0</v>
      </c>
      <c r="Q84" s="4"/>
      <c r="R84" s="4"/>
      <c r="S84" s="4"/>
      <c r="T84" s="4"/>
      <c r="U84" s="4"/>
      <c r="V84" s="4">
        <v>92.304299999999998</v>
      </c>
      <c r="W84" s="1">
        <f t="shared" si="40"/>
        <v>92.304299999999998</v>
      </c>
      <c r="X84" s="1">
        <f t="shared" si="37"/>
        <v>2307.6075000000001</v>
      </c>
      <c r="Y84" s="1">
        <f t="shared" si="45"/>
        <v>2307.6075000000001</v>
      </c>
      <c r="Z84" s="1">
        <f t="shared" si="38"/>
        <v>0</v>
      </c>
      <c r="AA84" s="1">
        <f t="shared" si="39"/>
        <v>0</v>
      </c>
      <c r="AB84" s="4"/>
      <c r="AW84">
        <f t="shared" si="42"/>
        <v>1.0335635987421803E-2</v>
      </c>
      <c r="AX84">
        <f t="shared" si="43"/>
        <v>80.2846354031971</v>
      </c>
      <c r="AY84">
        <f t="shared" si="33"/>
        <v>43.45667609880703</v>
      </c>
      <c r="AZ84">
        <f t="shared" si="34"/>
        <v>36.82795930439007</v>
      </c>
    </row>
    <row r="85" spans="1:52" x14ac:dyDescent="0.35">
      <c r="A85" s="1">
        <v>84</v>
      </c>
      <c r="B85" s="1">
        <v>3330.950005722922</v>
      </c>
      <c r="C85" s="1">
        <v>0</v>
      </c>
      <c r="D85" s="1"/>
      <c r="E85" s="1">
        <v>3330.95</v>
      </c>
      <c r="F85" s="1"/>
      <c r="G85" s="1"/>
      <c r="H85" s="1"/>
      <c r="I85" s="1"/>
      <c r="J85" s="1"/>
      <c r="K85" s="1">
        <v>0</v>
      </c>
      <c r="L85" s="1">
        <v>0</v>
      </c>
      <c r="M85" s="4">
        <f t="shared" si="30"/>
        <v>0</v>
      </c>
      <c r="N85" s="4">
        <f t="shared" si="44"/>
        <v>0</v>
      </c>
      <c r="O85" s="4">
        <f t="shared" si="44"/>
        <v>0</v>
      </c>
      <c r="P85" s="4">
        <f t="shared" si="32"/>
        <v>0</v>
      </c>
      <c r="Q85" s="4"/>
      <c r="R85" s="4"/>
      <c r="S85" s="4"/>
      <c r="T85" s="4"/>
      <c r="U85" s="4"/>
      <c r="V85" s="4">
        <v>57.065800000000003</v>
      </c>
      <c r="W85" s="1">
        <f t="shared" si="40"/>
        <v>57.065800000000003</v>
      </c>
      <c r="X85" s="1">
        <f t="shared" si="37"/>
        <v>1426.645</v>
      </c>
      <c r="Y85" s="1">
        <f t="shared" si="45"/>
        <v>1426.645</v>
      </c>
      <c r="Z85" s="1">
        <f t="shared" si="38"/>
        <v>0</v>
      </c>
      <c r="AA85" s="1">
        <f t="shared" si="39"/>
        <v>0</v>
      </c>
      <c r="AB85" s="4"/>
      <c r="AW85">
        <f t="shared" si="42"/>
        <v>8.2361215443744976E-3</v>
      </c>
      <c r="AX85">
        <f t="shared" si="43"/>
        <v>63.976132299089052</v>
      </c>
      <c r="AY85">
        <f t="shared" si="33"/>
        <v>34.629167155254045</v>
      </c>
      <c r="AZ85">
        <f t="shared" si="34"/>
        <v>29.346965143835007</v>
      </c>
    </row>
    <row r="86" spans="1:52" x14ac:dyDescent="0.35">
      <c r="A86" s="1">
        <v>85</v>
      </c>
      <c r="B86" s="1">
        <v>2875.5642031497382</v>
      </c>
      <c r="C86" s="1">
        <v>0</v>
      </c>
      <c r="D86" s="1"/>
      <c r="E86" s="1">
        <v>2875.56</v>
      </c>
      <c r="F86" s="1"/>
      <c r="G86" s="1"/>
      <c r="H86" s="1"/>
      <c r="I86" s="1"/>
      <c r="J86" s="1"/>
      <c r="K86" s="1">
        <v>0</v>
      </c>
      <c r="L86" s="1">
        <v>0</v>
      </c>
      <c r="M86" s="4">
        <f t="shared" si="30"/>
        <v>0</v>
      </c>
      <c r="N86" s="4">
        <f t="shared" si="44"/>
        <v>0</v>
      </c>
      <c r="O86" s="4">
        <f t="shared" si="44"/>
        <v>0</v>
      </c>
      <c r="P86" s="4">
        <f t="shared" si="32"/>
        <v>0</v>
      </c>
      <c r="Q86" s="4"/>
      <c r="R86" s="4"/>
      <c r="S86" s="4"/>
      <c r="T86" s="4"/>
      <c r="U86" s="4"/>
      <c r="V86" s="4">
        <v>62.269399999999997</v>
      </c>
      <c r="W86" s="1">
        <f t="shared" si="40"/>
        <v>62.269399999999997</v>
      </c>
      <c r="X86" s="1">
        <f t="shared" si="37"/>
        <v>1556.7349999999999</v>
      </c>
      <c r="Y86" s="1">
        <f t="shared" si="45"/>
        <v>1556.7349999999999</v>
      </c>
      <c r="Z86" s="1">
        <f t="shared" si="38"/>
        <v>0</v>
      </c>
      <c r="AA86" s="1">
        <f t="shared" si="39"/>
        <v>0</v>
      </c>
      <c r="AB86" s="4"/>
      <c r="AW86">
        <f t="shared" si="42"/>
        <v>7.1101326183529955E-3</v>
      </c>
      <c r="AX86">
        <f t="shared" si="43"/>
        <v>55.229731932078479</v>
      </c>
      <c r="AY86">
        <f t="shared" si="33"/>
        <v>29.894892834011635</v>
      </c>
      <c r="AZ86">
        <f t="shared" si="34"/>
        <v>25.334839098066844</v>
      </c>
    </row>
    <row r="87" spans="1:52" x14ac:dyDescent="0.35">
      <c r="A87" s="1">
        <v>86</v>
      </c>
      <c r="B87" s="1">
        <v>2673.7959050516761</v>
      </c>
      <c r="C87" s="1">
        <v>0</v>
      </c>
      <c r="D87" s="1"/>
      <c r="E87" s="1">
        <v>2673.8</v>
      </c>
      <c r="F87" s="1"/>
      <c r="G87" s="1"/>
      <c r="H87" s="1"/>
      <c r="I87" s="1"/>
      <c r="J87" s="1"/>
      <c r="K87" s="1">
        <v>0</v>
      </c>
      <c r="L87" s="1">
        <v>0</v>
      </c>
      <c r="M87" s="4">
        <f t="shared" si="30"/>
        <v>0</v>
      </c>
      <c r="N87" s="4">
        <f t="shared" si="44"/>
        <v>0</v>
      </c>
      <c r="O87" s="4">
        <f t="shared" si="44"/>
        <v>0</v>
      </c>
      <c r="P87" s="4">
        <f t="shared" si="32"/>
        <v>0</v>
      </c>
      <c r="Q87" s="4"/>
      <c r="R87" s="4"/>
      <c r="S87" s="4"/>
      <c r="T87" s="4"/>
      <c r="U87" s="4"/>
      <c r="V87" s="4">
        <v>54.038899999999998</v>
      </c>
      <c r="W87" s="1">
        <f t="shared" si="40"/>
        <v>54.038899999999998</v>
      </c>
      <c r="X87" s="1">
        <f t="shared" si="37"/>
        <v>1350.9724999999999</v>
      </c>
      <c r="Y87" s="1">
        <f t="shared" si="45"/>
        <v>1350.9724999999999</v>
      </c>
      <c r="Z87" s="1">
        <f t="shared" si="38"/>
        <v>0</v>
      </c>
      <c r="AA87" s="1">
        <f t="shared" si="39"/>
        <v>0</v>
      </c>
      <c r="AB87" s="4"/>
      <c r="AW87">
        <f t="shared" si="42"/>
        <v>6.611239442507637E-3</v>
      </c>
      <c r="AX87">
        <f t="shared" si="43"/>
        <v>51.354454515513915</v>
      </c>
      <c r="AY87">
        <f t="shared" si="33"/>
        <v>27.797272602706933</v>
      </c>
      <c r="AZ87">
        <f t="shared" si="34"/>
        <v>23.557181912806982</v>
      </c>
    </row>
    <row r="88" spans="1:52" x14ac:dyDescent="0.35">
      <c r="A88" s="1">
        <v>87</v>
      </c>
      <c r="B88" s="1">
        <v>19513.44492845656</v>
      </c>
      <c r="C88" s="1">
        <v>0</v>
      </c>
      <c r="D88" s="1"/>
      <c r="E88" s="1">
        <v>19513.400000000001</v>
      </c>
      <c r="F88" s="1"/>
      <c r="G88" s="1"/>
      <c r="H88" s="1"/>
      <c r="I88" s="1"/>
      <c r="J88" s="1"/>
      <c r="K88" s="1">
        <v>0</v>
      </c>
      <c r="L88" s="1">
        <v>0</v>
      </c>
      <c r="M88" s="4">
        <f t="shared" si="30"/>
        <v>0</v>
      </c>
      <c r="N88" s="4">
        <f t="shared" si="44"/>
        <v>0</v>
      </c>
      <c r="O88" s="4">
        <f t="shared" si="44"/>
        <v>0</v>
      </c>
      <c r="P88" s="4">
        <f t="shared" si="32"/>
        <v>0</v>
      </c>
      <c r="Q88" s="4"/>
      <c r="R88" s="4"/>
      <c r="S88" s="4"/>
      <c r="T88" s="4"/>
      <c r="U88" s="4"/>
      <c r="V88" s="4">
        <v>382.77600000000001</v>
      </c>
      <c r="W88" s="1">
        <f t="shared" si="40"/>
        <v>382.77600000000001</v>
      </c>
      <c r="X88" s="1">
        <f t="shared" si="37"/>
        <v>9569.4</v>
      </c>
      <c r="Y88" s="1">
        <f t="shared" si="45"/>
        <v>9569.4</v>
      </c>
      <c r="Z88" s="1">
        <f t="shared" si="38"/>
        <v>0</v>
      </c>
      <c r="AA88" s="1">
        <f t="shared" si="39"/>
        <v>0</v>
      </c>
      <c r="AB88" s="4"/>
      <c r="AW88">
        <f t="shared" si="42"/>
        <v>4.8249029227127677E-2</v>
      </c>
      <c r="AX88">
        <f t="shared" si="43"/>
        <v>374.78639193294765</v>
      </c>
      <c r="AY88">
        <f t="shared" si="33"/>
        <v>202.86535223926629</v>
      </c>
      <c r="AZ88">
        <f t="shared" si="34"/>
        <v>171.92103969368137</v>
      </c>
    </row>
    <row r="89" spans="1:52" x14ac:dyDescent="0.35">
      <c r="A89" s="1">
        <v>88</v>
      </c>
      <c r="B89" s="1">
        <v>5533.3813285011611</v>
      </c>
      <c r="C89" s="1">
        <v>0</v>
      </c>
      <c r="D89" s="1"/>
      <c r="E89" s="1">
        <v>5533.38</v>
      </c>
      <c r="F89" s="1"/>
      <c r="G89" s="1"/>
      <c r="H89" s="1"/>
      <c r="I89" s="1"/>
      <c r="J89" s="1"/>
      <c r="K89" s="1">
        <v>0</v>
      </c>
      <c r="L89" s="1">
        <v>0</v>
      </c>
      <c r="M89" s="4">
        <f t="shared" si="30"/>
        <v>0</v>
      </c>
      <c r="N89" s="4">
        <f t="shared" si="44"/>
        <v>0</v>
      </c>
      <c r="O89" s="4">
        <f t="shared" si="44"/>
        <v>0</v>
      </c>
      <c r="P89" s="4">
        <f t="shared" si="32"/>
        <v>0</v>
      </c>
      <c r="Q89" s="4"/>
      <c r="R89" s="4"/>
      <c r="S89" s="4"/>
      <c r="T89" s="4"/>
      <c r="U89" s="4"/>
      <c r="V89" s="4">
        <v>110.304</v>
      </c>
      <c r="W89" s="1">
        <f t="shared" si="40"/>
        <v>110.304</v>
      </c>
      <c r="X89" s="1">
        <f t="shared" si="37"/>
        <v>2757.6</v>
      </c>
      <c r="Y89" s="1">
        <f t="shared" si="45"/>
        <v>2757.6</v>
      </c>
      <c r="Z89" s="1">
        <f t="shared" si="38"/>
        <v>0</v>
      </c>
      <c r="AA89" s="1">
        <f t="shared" si="39"/>
        <v>0</v>
      </c>
      <c r="AB89" s="4"/>
      <c r="AW89">
        <f t="shared" si="42"/>
        <v>1.3681862860327463E-2</v>
      </c>
      <c r="AX89">
        <f t="shared" si="43"/>
        <v>106.27728885911912</v>
      </c>
      <c r="AY89">
        <f t="shared" si="33"/>
        <v>57.526047112448808</v>
      </c>
      <c r="AZ89">
        <f t="shared" si="34"/>
        <v>48.751241746670317</v>
      </c>
    </row>
    <row r="90" spans="1:52" x14ac:dyDescent="0.35">
      <c r="A90" s="1">
        <v>89</v>
      </c>
      <c r="B90" s="1">
        <v>7532.7075080212007</v>
      </c>
      <c r="C90" s="1">
        <v>0</v>
      </c>
      <c r="D90" s="1"/>
      <c r="E90" s="1">
        <v>7532.71</v>
      </c>
      <c r="F90" s="1"/>
      <c r="G90" s="1"/>
      <c r="H90" s="1"/>
      <c r="I90" s="1"/>
      <c r="J90" s="1"/>
      <c r="K90" s="1">
        <v>0</v>
      </c>
      <c r="L90" s="1">
        <v>0</v>
      </c>
      <c r="M90" s="4">
        <f t="shared" si="30"/>
        <v>0</v>
      </c>
      <c r="N90" s="4">
        <f t="shared" si="44"/>
        <v>0</v>
      </c>
      <c r="O90" s="4">
        <f t="shared" si="44"/>
        <v>0</v>
      </c>
      <c r="P90" s="4">
        <f t="shared" si="32"/>
        <v>0</v>
      </c>
      <c r="Q90" s="4"/>
      <c r="R90" s="4"/>
      <c r="S90" s="4"/>
      <c r="T90" s="4"/>
      <c r="U90" s="4"/>
      <c r="V90" s="4">
        <v>158.81</v>
      </c>
      <c r="W90" s="1">
        <f t="shared" si="40"/>
        <v>158.81</v>
      </c>
      <c r="X90" s="1">
        <f t="shared" si="37"/>
        <v>3970.25</v>
      </c>
      <c r="Y90" s="1">
        <f t="shared" si="45"/>
        <v>3970.25</v>
      </c>
      <c r="Z90" s="1">
        <f t="shared" si="38"/>
        <v>0</v>
      </c>
      <c r="AA90" s="1">
        <f t="shared" si="39"/>
        <v>0</v>
      </c>
      <c r="AB90" s="4"/>
      <c r="AW90">
        <f t="shared" si="42"/>
        <v>1.8625405511248506E-2</v>
      </c>
      <c r="AX90">
        <f t="shared" si="43"/>
        <v>144.6774917892877</v>
      </c>
      <c r="AY90">
        <f t="shared" si="33"/>
        <v>78.311408750876865</v>
      </c>
      <c r="AZ90">
        <f t="shared" si="34"/>
        <v>66.366083038410835</v>
      </c>
    </row>
    <row r="91" spans="1:52" x14ac:dyDescent="0.35">
      <c r="A91" s="1">
        <v>90</v>
      </c>
      <c r="B91" s="1">
        <v>4797.2959806436729</v>
      </c>
      <c r="C91" s="1">
        <v>0</v>
      </c>
      <c r="D91" s="1"/>
      <c r="E91" s="1">
        <v>4797.3</v>
      </c>
      <c r="F91" s="1"/>
      <c r="G91" s="1"/>
      <c r="H91" s="1"/>
      <c r="I91" s="1"/>
      <c r="J91" s="1"/>
      <c r="K91" s="1">
        <v>0</v>
      </c>
      <c r="L91" s="1">
        <v>0</v>
      </c>
      <c r="M91" s="4">
        <f t="shared" si="30"/>
        <v>0</v>
      </c>
      <c r="N91" s="4">
        <f t="shared" si="44"/>
        <v>0</v>
      </c>
      <c r="O91" s="4">
        <f t="shared" si="44"/>
        <v>0</v>
      </c>
      <c r="P91" s="4">
        <f t="shared" si="32"/>
        <v>0</v>
      </c>
      <c r="Q91" s="4"/>
      <c r="R91" s="4"/>
      <c r="S91" s="4"/>
      <c r="T91" s="4"/>
      <c r="U91" s="4"/>
      <c r="V91" s="4">
        <v>100.91</v>
      </c>
      <c r="W91" s="1">
        <f t="shared" si="40"/>
        <v>100.91</v>
      </c>
      <c r="X91" s="1">
        <f t="shared" si="37"/>
        <v>2522.75</v>
      </c>
      <c r="Y91" s="1">
        <f t="shared" si="45"/>
        <v>2522.75</v>
      </c>
      <c r="Z91" s="1">
        <f t="shared" si="38"/>
        <v>0</v>
      </c>
      <c r="AA91" s="1">
        <f t="shared" si="39"/>
        <v>0</v>
      </c>
      <c r="AB91" s="4"/>
      <c r="AW91">
        <f t="shared" si="42"/>
        <v>1.1861815011644215E-2</v>
      </c>
      <c r="AX91">
        <f t="shared" si="43"/>
        <v>92.139612365313184</v>
      </c>
      <c r="AY91">
        <f t="shared" si="33"/>
        <v>49.873568838173973</v>
      </c>
      <c r="AZ91">
        <f t="shared" si="34"/>
        <v>42.26604352713921</v>
      </c>
    </row>
    <row r="92" spans="1:52" x14ac:dyDescent="0.35">
      <c r="A92" s="1">
        <v>91</v>
      </c>
      <c r="B92" s="1">
        <v>5147.5629031179114</v>
      </c>
      <c r="C92" s="1">
        <v>0</v>
      </c>
      <c r="D92" s="1"/>
      <c r="E92" s="1">
        <v>5147.5600000000004</v>
      </c>
      <c r="F92" s="1"/>
      <c r="G92" s="1"/>
      <c r="H92" s="1"/>
      <c r="I92" s="1"/>
      <c r="J92" s="1"/>
      <c r="K92" s="1">
        <v>0</v>
      </c>
      <c r="L92" s="1">
        <v>0</v>
      </c>
      <c r="M92" s="4">
        <f t="shared" si="30"/>
        <v>0</v>
      </c>
      <c r="N92" s="4">
        <f t="shared" si="44"/>
        <v>0</v>
      </c>
      <c r="O92" s="4">
        <f t="shared" si="44"/>
        <v>0</v>
      </c>
      <c r="P92" s="4">
        <f t="shared" si="32"/>
        <v>0</v>
      </c>
      <c r="Q92" s="4"/>
      <c r="R92" s="4"/>
      <c r="S92" s="4"/>
      <c r="T92" s="4" t="s">
        <v>6</v>
      </c>
      <c r="U92" s="4"/>
      <c r="V92" s="4">
        <v>83.866</v>
      </c>
      <c r="W92" s="1">
        <f t="shared" si="40"/>
        <v>83.866</v>
      </c>
      <c r="X92" s="1">
        <f t="shared" si="37"/>
        <v>2096.65</v>
      </c>
      <c r="Y92" s="1">
        <f t="shared" si="45"/>
        <v>2096.65</v>
      </c>
      <c r="Z92" s="1">
        <f t="shared" si="38"/>
        <v>0</v>
      </c>
      <c r="AA92" s="1">
        <f t="shared" si="39"/>
        <v>0</v>
      </c>
      <c r="AB92" s="4"/>
      <c r="AW92">
        <f t="shared" si="42"/>
        <v>1.2727886535238195E-2</v>
      </c>
      <c r="AX92">
        <f t="shared" si="43"/>
        <v>98.867039355723165</v>
      </c>
      <c r="AY92">
        <f t="shared" si="33"/>
        <v>53.515008003120052</v>
      </c>
      <c r="AZ92">
        <f t="shared" si="34"/>
        <v>45.352031352603113</v>
      </c>
    </row>
    <row r="93" spans="1:52" x14ac:dyDescent="0.35">
      <c r="A93" s="1">
        <v>92</v>
      </c>
      <c r="B93" s="1">
        <v>2534.563494353717</v>
      </c>
      <c r="C93" s="1">
        <v>0</v>
      </c>
      <c r="D93" s="1"/>
      <c r="E93" s="1">
        <v>2534.56</v>
      </c>
      <c r="F93" s="1"/>
      <c r="G93" s="1"/>
      <c r="H93" s="1"/>
      <c r="I93" s="1"/>
      <c r="J93" s="1"/>
      <c r="K93" s="1">
        <v>0</v>
      </c>
      <c r="L93" s="1">
        <v>0</v>
      </c>
      <c r="M93" s="4">
        <f t="shared" si="30"/>
        <v>0</v>
      </c>
      <c r="N93" s="4">
        <f t="shared" si="44"/>
        <v>0</v>
      </c>
      <c r="O93" s="4">
        <f t="shared" si="44"/>
        <v>0</v>
      </c>
      <c r="P93" s="4">
        <f t="shared" si="32"/>
        <v>0</v>
      </c>
      <c r="Q93" s="4"/>
      <c r="R93" s="4"/>
      <c r="S93" s="4"/>
      <c r="T93" s="4"/>
      <c r="U93" s="4"/>
      <c r="V93" s="4">
        <v>53.252299999999998</v>
      </c>
      <c r="W93" s="1">
        <f t="shared" si="40"/>
        <v>53.252299999999998</v>
      </c>
      <c r="X93" s="1">
        <f t="shared" si="37"/>
        <v>1331.3074999999999</v>
      </c>
      <c r="Y93" s="1">
        <f t="shared" si="45"/>
        <v>1331.3074999999999</v>
      </c>
      <c r="Z93" s="1">
        <f t="shared" si="38"/>
        <v>0</v>
      </c>
      <c r="AA93" s="1">
        <f t="shared" si="39"/>
        <v>0</v>
      </c>
      <c r="AB93" s="4"/>
      <c r="AW93">
        <f t="shared" si="42"/>
        <v>6.2669727752041804E-3</v>
      </c>
      <c r="AX93">
        <f t="shared" si="43"/>
        <v>48.680277145145212</v>
      </c>
      <c r="AY93">
        <f t="shared" si="33"/>
        <v>26.34978692588658</v>
      </c>
      <c r="AZ93">
        <f t="shared" si="34"/>
        <v>22.330490219258632</v>
      </c>
    </row>
    <row r="94" spans="1:52" x14ac:dyDescent="0.35">
      <c r="A94" s="1">
        <v>93</v>
      </c>
      <c r="B94" s="1">
        <v>5159.4345472126533</v>
      </c>
      <c r="C94" s="1">
        <v>0</v>
      </c>
      <c r="D94" s="1"/>
      <c r="E94" s="1">
        <v>5159.43</v>
      </c>
      <c r="F94" s="1"/>
      <c r="G94" s="1"/>
      <c r="H94" s="1"/>
      <c r="I94" s="1"/>
      <c r="J94" s="1"/>
      <c r="K94" s="1">
        <v>0</v>
      </c>
      <c r="L94" s="1">
        <v>0</v>
      </c>
      <c r="M94" s="4">
        <f t="shared" si="30"/>
        <v>0</v>
      </c>
      <c r="N94" s="4">
        <f t="shared" si="44"/>
        <v>0</v>
      </c>
      <c r="O94" s="4">
        <f t="shared" si="44"/>
        <v>0</v>
      </c>
      <c r="P94" s="4">
        <f t="shared" si="32"/>
        <v>0</v>
      </c>
      <c r="Q94" s="4"/>
      <c r="R94" s="4"/>
      <c r="S94" s="4"/>
      <c r="T94" s="4"/>
      <c r="U94" s="4"/>
      <c r="V94" s="4">
        <v>109.45699999999999</v>
      </c>
      <c r="W94" s="1">
        <f t="shared" si="40"/>
        <v>109.45699999999999</v>
      </c>
      <c r="X94" s="1">
        <f t="shared" si="37"/>
        <v>2736.4249999999997</v>
      </c>
      <c r="Y94" s="1">
        <f t="shared" si="45"/>
        <v>2736.4249999999997</v>
      </c>
      <c r="Z94" s="1">
        <f t="shared" si="38"/>
        <v>0</v>
      </c>
      <c r="AA94" s="1">
        <f t="shared" si="39"/>
        <v>0</v>
      </c>
      <c r="AB94" s="4"/>
      <c r="AW94">
        <f t="shared" si="42"/>
        <v>1.2757240414320097E-2</v>
      </c>
      <c r="AX94">
        <f t="shared" si="43"/>
        <v>99.095052947013343</v>
      </c>
      <c r="AY94">
        <f t="shared" si="33"/>
        <v>53.638427792386835</v>
      </c>
      <c r="AZ94">
        <f t="shared" si="34"/>
        <v>45.456625154626508</v>
      </c>
    </row>
    <row r="95" spans="1:52" x14ac:dyDescent="0.35">
      <c r="A95" s="1">
        <v>94</v>
      </c>
      <c r="B95" s="1">
        <v>4317.7330751348463</v>
      </c>
      <c r="C95" s="1">
        <v>0</v>
      </c>
      <c r="D95" s="1"/>
      <c r="E95" s="1">
        <v>4317.7299999999996</v>
      </c>
      <c r="F95" s="1"/>
      <c r="G95" s="1"/>
      <c r="H95" s="1"/>
      <c r="I95" s="1"/>
      <c r="J95" s="1"/>
      <c r="K95" s="1">
        <v>0</v>
      </c>
      <c r="L95" s="1">
        <v>0</v>
      </c>
      <c r="M95" s="4">
        <f t="shared" si="30"/>
        <v>0</v>
      </c>
      <c r="N95" s="4">
        <f t="shared" si="44"/>
        <v>0</v>
      </c>
      <c r="O95" s="4">
        <f t="shared" si="44"/>
        <v>0</v>
      </c>
      <c r="P95" s="4">
        <f t="shared" si="32"/>
        <v>0</v>
      </c>
      <c r="Q95" s="4"/>
      <c r="R95" s="4"/>
      <c r="S95" s="4"/>
      <c r="T95" s="4"/>
      <c r="U95" s="4"/>
      <c r="V95" s="4">
        <v>97.187200000000004</v>
      </c>
      <c r="W95" s="1">
        <f t="shared" si="40"/>
        <v>97.187200000000004</v>
      </c>
      <c r="X95" s="1">
        <f t="shared" si="37"/>
        <v>2429.6800000000003</v>
      </c>
      <c r="Y95" s="1">
        <f t="shared" si="45"/>
        <v>2429.6800000000003</v>
      </c>
      <c r="Z95" s="1">
        <f t="shared" si="38"/>
        <v>0</v>
      </c>
      <c r="AA95" s="1">
        <f t="shared" si="39"/>
        <v>0</v>
      </c>
      <c r="AB95" s="4"/>
      <c r="AW95">
        <f t="shared" si="42"/>
        <v>1.067604567522127E-2</v>
      </c>
      <c r="AX95">
        <f t="shared" si="43"/>
        <v>82.928852721411076</v>
      </c>
      <c r="AY95">
        <f t="shared" si="33"/>
        <v>44.887944920735372</v>
      </c>
      <c r="AZ95">
        <f t="shared" si="34"/>
        <v>38.040907800675704</v>
      </c>
    </row>
    <row r="96" spans="1:52" x14ac:dyDescent="0.35">
      <c r="A96" s="1">
        <v>95</v>
      </c>
      <c r="B96" s="1">
        <v>6988.6643510423764</v>
      </c>
      <c r="C96" s="1">
        <v>0</v>
      </c>
      <c r="D96" s="1"/>
      <c r="E96" s="1">
        <v>6988.66</v>
      </c>
      <c r="F96" s="1"/>
      <c r="G96" s="1"/>
      <c r="H96" s="1"/>
      <c r="I96" s="1"/>
      <c r="J96" s="1"/>
      <c r="K96" s="1">
        <v>0</v>
      </c>
      <c r="L96" s="1">
        <v>0</v>
      </c>
      <c r="M96" s="4">
        <f t="shared" si="30"/>
        <v>0</v>
      </c>
      <c r="N96" s="4">
        <f t="shared" si="44"/>
        <v>0</v>
      </c>
      <c r="O96" s="4">
        <f t="shared" si="44"/>
        <v>0</v>
      </c>
      <c r="P96" s="4">
        <f t="shared" si="32"/>
        <v>0</v>
      </c>
      <c r="Q96" s="4"/>
      <c r="R96" s="4"/>
      <c r="S96" s="4"/>
      <c r="T96" s="4"/>
      <c r="U96" s="4"/>
      <c r="V96" s="4">
        <v>114.952</v>
      </c>
      <c r="W96" s="1">
        <f t="shared" si="40"/>
        <v>114.952</v>
      </c>
      <c r="X96" s="1">
        <f t="shared" si="37"/>
        <v>2873.8</v>
      </c>
      <c r="Y96" s="1">
        <f t="shared" si="45"/>
        <v>2873.8</v>
      </c>
      <c r="Z96" s="1">
        <f t="shared" si="38"/>
        <v>0</v>
      </c>
      <c r="AA96" s="1">
        <f t="shared" si="39"/>
        <v>0</v>
      </c>
      <c r="AB96" s="4"/>
      <c r="AW96">
        <f t="shared" si="42"/>
        <v>1.7280202023185243E-2</v>
      </c>
      <c r="AX96">
        <f t="shared" si="43"/>
        <v>134.22828752999487</v>
      </c>
      <c r="AY96">
        <f t="shared" si="33"/>
        <v>72.655436313487172</v>
      </c>
      <c r="AZ96">
        <f t="shared" si="34"/>
        <v>61.572851216507701</v>
      </c>
    </row>
    <row r="97" spans="1:52" x14ac:dyDescent="0.35">
      <c r="A97" s="1">
        <v>96</v>
      </c>
      <c r="B97" s="1">
        <v>2938.8092172996649</v>
      </c>
      <c r="C97" s="1">
        <v>0</v>
      </c>
      <c r="D97" s="1"/>
      <c r="E97" s="1">
        <v>2938.81</v>
      </c>
      <c r="F97" s="1"/>
      <c r="G97" s="1"/>
      <c r="H97" s="1"/>
      <c r="I97" s="1"/>
      <c r="J97" s="1"/>
      <c r="K97" s="1">
        <v>0</v>
      </c>
      <c r="L97" s="1">
        <v>0</v>
      </c>
      <c r="M97" s="4">
        <f t="shared" si="30"/>
        <v>0</v>
      </c>
      <c r="N97" s="4">
        <f t="shared" si="44"/>
        <v>0</v>
      </c>
      <c r="O97" s="4">
        <f t="shared" si="44"/>
        <v>0</v>
      </c>
      <c r="P97" s="4">
        <f t="shared" si="32"/>
        <v>0</v>
      </c>
      <c r="Q97" s="4"/>
      <c r="R97" s="4"/>
      <c r="S97" s="4"/>
      <c r="T97" s="4"/>
      <c r="U97" s="4"/>
      <c r="V97" s="4">
        <v>61.982599999999998</v>
      </c>
      <c r="W97" s="1">
        <f t="shared" si="40"/>
        <v>61.982599999999998</v>
      </c>
      <c r="X97" s="1">
        <f t="shared" si="37"/>
        <v>1549.5650000000001</v>
      </c>
      <c r="Y97" s="1">
        <f>X97-M97</f>
        <v>1549.5650000000001</v>
      </c>
      <c r="Z97" s="1">
        <f t="shared" si="38"/>
        <v>0</v>
      </c>
      <c r="AA97" s="1">
        <f t="shared" si="39"/>
        <v>0</v>
      </c>
      <c r="AB97" s="4"/>
      <c r="AW97">
        <f t="shared" si="42"/>
        <v>7.2665125167962422E-3</v>
      </c>
      <c r="AX97">
        <f t="shared" si="43"/>
        <v>56.444451872504402</v>
      </c>
      <c r="AY97">
        <f t="shared" si="33"/>
        <v>30.5523996002409</v>
      </c>
      <c r="AZ97">
        <f t="shared" si="34"/>
        <v>25.892052272263502</v>
      </c>
    </row>
    <row r="98" spans="1:52" x14ac:dyDescent="0.35">
      <c r="A98" s="1">
        <v>97</v>
      </c>
      <c r="B98" s="1">
        <v>6184.3427862351964</v>
      </c>
      <c r="C98" s="1">
        <v>0</v>
      </c>
      <c r="D98" s="1"/>
      <c r="E98" s="1">
        <v>6184.34</v>
      </c>
      <c r="F98" s="1"/>
      <c r="G98" s="1"/>
      <c r="H98" s="1"/>
      <c r="I98" s="1"/>
      <c r="J98" s="1"/>
      <c r="K98" s="1">
        <v>0</v>
      </c>
      <c r="L98" s="1">
        <v>0</v>
      </c>
      <c r="M98" s="4">
        <f t="shared" si="30"/>
        <v>0</v>
      </c>
      <c r="N98" s="4">
        <f t="shared" si="44"/>
        <v>0</v>
      </c>
      <c r="O98" s="4">
        <f t="shared" si="44"/>
        <v>0</v>
      </c>
      <c r="P98" s="4">
        <f t="shared" si="32"/>
        <v>0</v>
      </c>
      <c r="Q98" s="4"/>
      <c r="R98" s="4"/>
      <c r="S98" s="4"/>
      <c r="T98" s="4"/>
      <c r="U98" s="4"/>
      <c r="V98" s="4">
        <v>129.93600000000001</v>
      </c>
      <c r="W98" s="1">
        <f t="shared" si="40"/>
        <v>129.93600000000001</v>
      </c>
      <c r="X98" s="1">
        <f t="shared" si="37"/>
        <v>3248.4</v>
      </c>
      <c r="Y98" s="1">
        <f t="shared" ref="Y98:Y100" si="46">X98-M98</f>
        <v>3248.4</v>
      </c>
      <c r="Z98" s="1">
        <f t="shared" si="38"/>
        <v>0</v>
      </c>
      <c r="AA98" s="1">
        <f t="shared" si="39"/>
        <v>0</v>
      </c>
      <c r="AB98" s="4"/>
      <c r="AW98">
        <f t="shared" si="42"/>
        <v>1.5291433006198544E-2</v>
      </c>
      <c r="AX98">
        <f t="shared" si="43"/>
        <v>118.78002719804596</v>
      </c>
      <c r="AY98">
        <f t="shared" si="33"/>
        <v>64.29356181329085</v>
      </c>
      <c r="AZ98">
        <f t="shared" si="34"/>
        <v>54.486465384755107</v>
      </c>
    </row>
    <row r="99" spans="1:52" x14ac:dyDescent="0.35">
      <c r="A99" s="1">
        <v>98</v>
      </c>
      <c r="B99" s="1">
        <v>3973.5840486666689</v>
      </c>
      <c r="C99" s="1">
        <v>0</v>
      </c>
      <c r="D99" s="1"/>
      <c r="E99" s="1">
        <v>3973.58</v>
      </c>
      <c r="F99" s="1"/>
      <c r="G99" s="1"/>
      <c r="H99" s="1"/>
      <c r="I99" s="1"/>
      <c r="J99" s="1"/>
      <c r="K99" s="1">
        <v>0</v>
      </c>
      <c r="L99" s="1">
        <v>0</v>
      </c>
      <c r="M99" s="4">
        <f t="shared" si="30"/>
        <v>0</v>
      </c>
      <c r="N99" s="4">
        <f t="shared" si="44"/>
        <v>0</v>
      </c>
      <c r="O99" s="4">
        <f t="shared" si="44"/>
        <v>0</v>
      </c>
      <c r="P99" s="4">
        <f t="shared" si="32"/>
        <v>0</v>
      </c>
      <c r="Q99" s="4"/>
      <c r="R99" s="4"/>
      <c r="S99" s="4"/>
      <c r="T99" s="4"/>
      <c r="U99" s="4"/>
      <c r="V99" s="4">
        <v>82.931700000000006</v>
      </c>
      <c r="W99" s="1">
        <f t="shared" si="40"/>
        <v>82.931700000000006</v>
      </c>
      <c r="X99" s="1">
        <f t="shared" si="37"/>
        <v>2073.2925</v>
      </c>
      <c r="Y99" s="1">
        <f t="shared" si="46"/>
        <v>2073.2925</v>
      </c>
      <c r="Z99" s="1">
        <f t="shared" si="38"/>
        <v>0</v>
      </c>
      <c r="AA99" s="1">
        <f t="shared" si="39"/>
        <v>0</v>
      </c>
      <c r="AB99" s="4"/>
      <c r="AW99">
        <f t="shared" si="42"/>
        <v>9.8251012880343769E-3</v>
      </c>
      <c r="AX99">
        <f t="shared" si="43"/>
        <v>76.318929543307902</v>
      </c>
      <c r="AY99">
        <f t="shared" si="33"/>
        <v>41.310108524689561</v>
      </c>
      <c r="AZ99">
        <f t="shared" si="34"/>
        <v>35.008821018618342</v>
      </c>
    </row>
    <row r="100" spans="1:52" x14ac:dyDescent="0.35">
      <c r="A100" s="1">
        <v>99</v>
      </c>
      <c r="B100" s="1">
        <v>6386.1720264839241</v>
      </c>
      <c r="C100" s="1">
        <v>0</v>
      </c>
      <c r="D100" s="1"/>
      <c r="E100" s="1">
        <v>6386.17</v>
      </c>
      <c r="F100" s="1"/>
      <c r="G100" s="1"/>
      <c r="H100" s="1"/>
      <c r="I100" s="1"/>
      <c r="J100" s="1"/>
      <c r="K100" s="1">
        <v>0</v>
      </c>
      <c r="L100" s="1">
        <v>0</v>
      </c>
      <c r="M100" s="4">
        <f t="shared" si="30"/>
        <v>0</v>
      </c>
      <c r="N100" s="4">
        <f t="shared" si="44"/>
        <v>0</v>
      </c>
      <c r="O100" s="4">
        <f t="shared" si="44"/>
        <v>0</v>
      </c>
      <c r="P100" s="4">
        <f t="shared" si="32"/>
        <v>0</v>
      </c>
      <c r="Q100" s="4"/>
      <c r="R100" s="4"/>
      <c r="S100" s="4"/>
      <c r="T100" s="4"/>
      <c r="U100" s="4"/>
      <c r="V100" s="4">
        <v>106.389</v>
      </c>
      <c r="W100" s="1">
        <f t="shared" si="40"/>
        <v>106.389</v>
      </c>
      <c r="X100" s="1">
        <f t="shared" si="37"/>
        <v>2659.7249999999999</v>
      </c>
      <c r="Y100" s="1">
        <f t="shared" si="46"/>
        <v>2659.7249999999999</v>
      </c>
      <c r="Z100" s="1">
        <f t="shared" si="38"/>
        <v>0</v>
      </c>
      <c r="AA100" s="1">
        <f t="shared" si="39"/>
        <v>0</v>
      </c>
      <c r="AB100" s="4"/>
      <c r="AW100">
        <f t="shared" si="42"/>
        <v>1.5790476867872029E-2</v>
      </c>
      <c r="AX100">
        <f t="shared" si="43"/>
        <v>122.65647510443681</v>
      </c>
      <c r="AY100">
        <f t="shared" si="33"/>
        <v>66.391815610370656</v>
      </c>
      <c r="AZ100">
        <f t="shared" si="34"/>
        <v>56.264659494066152</v>
      </c>
    </row>
    <row r="101" spans="1:52" x14ac:dyDescent="0.35">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W101">
        <f t="shared" si="42"/>
        <v>0</v>
      </c>
      <c r="AX101">
        <f t="shared" si="43"/>
        <v>0</v>
      </c>
      <c r="AY101">
        <f t="shared" si="33"/>
        <v>0</v>
      </c>
      <c r="AZ101">
        <f t="shared" si="34"/>
        <v>0</v>
      </c>
    </row>
    <row r="102" spans="1:52" x14ac:dyDescent="0.35">
      <c r="A102" s="1" t="s">
        <v>57</v>
      </c>
      <c r="B102" s="1">
        <f>SUM(B2:B100)</f>
        <v>404431.86611276446</v>
      </c>
      <c r="C102" s="1">
        <f t="shared" ref="C102:Y102" si="47">SUM(C2:C100)</f>
        <v>162</v>
      </c>
      <c r="D102" s="1">
        <f t="shared" si="47"/>
        <v>283691.82999999996</v>
      </c>
      <c r="E102" s="1">
        <f t="shared" si="47"/>
        <v>404431.70899999997</v>
      </c>
      <c r="F102" s="1">
        <f t="shared" si="47"/>
        <v>95787.414000000004</v>
      </c>
      <c r="G102" s="1">
        <f t="shared" si="47"/>
        <v>9329.0467000000008</v>
      </c>
      <c r="H102" s="1">
        <f t="shared" si="47"/>
        <v>123333.31999999998</v>
      </c>
      <c r="I102" s="1">
        <f t="shared" si="47"/>
        <v>66729.77399999999</v>
      </c>
      <c r="J102" s="1">
        <f t="shared" si="47"/>
        <v>78629.764999999985</v>
      </c>
      <c r="K102" s="1">
        <f t="shared" si="47"/>
        <v>405</v>
      </c>
      <c r="L102" s="1">
        <f t="shared" si="47"/>
        <v>125.40000000000002</v>
      </c>
      <c r="M102" s="1">
        <f t="shared" si="47"/>
        <v>537328</v>
      </c>
      <c r="N102" s="1">
        <f t="shared" si="47"/>
        <v>5293.9999999999991</v>
      </c>
      <c r="O102" s="1"/>
      <c r="P102" s="1">
        <f t="shared" si="47"/>
        <v>132350</v>
      </c>
      <c r="Q102" s="1">
        <f t="shared" si="47"/>
        <v>0</v>
      </c>
      <c r="R102" s="1">
        <f t="shared" si="47"/>
        <v>0</v>
      </c>
      <c r="S102" s="1">
        <f t="shared" si="47"/>
        <v>170764.70121330378</v>
      </c>
      <c r="T102" s="1">
        <f t="shared" si="47"/>
        <v>62651.7</v>
      </c>
      <c r="U102" s="1">
        <f t="shared" si="47"/>
        <v>0</v>
      </c>
      <c r="V102" s="1">
        <f t="shared" si="47"/>
        <v>36544.854965000006</v>
      </c>
      <c r="W102" s="1">
        <f t="shared" si="47"/>
        <v>-500783.14503500011</v>
      </c>
      <c r="X102" s="1">
        <f t="shared" si="47"/>
        <v>913621.37412499986</v>
      </c>
      <c r="Y102" s="1">
        <f t="shared" si="47"/>
        <v>376293.37412499986</v>
      </c>
      <c r="Z102" s="1"/>
      <c r="AA102" s="1"/>
      <c r="AB102" s="4"/>
      <c r="AW102">
        <f t="shared" si="42"/>
        <v>1</v>
      </c>
      <c r="AX102">
        <f t="shared" si="43"/>
        <v>7767.7498995612259</v>
      </c>
      <c r="AY102">
        <f t="shared" si="33"/>
        <v>4204.5478528551757</v>
      </c>
      <c r="AZ102">
        <f t="shared" si="34"/>
        <v>3563.2020467060502</v>
      </c>
    </row>
    <row r="103" spans="1:52" x14ac:dyDescent="0.35">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W103">
        <f t="shared" si="42"/>
        <v>0</v>
      </c>
      <c r="AX103">
        <f t="shared" si="43"/>
        <v>0</v>
      </c>
      <c r="AY103">
        <f t="shared" si="33"/>
        <v>0</v>
      </c>
    </row>
    <row r="104" spans="1:52" x14ac:dyDescent="0.35">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W104">
        <f t="shared" si="42"/>
        <v>0</v>
      </c>
      <c r="AX104">
        <f t="shared" si="43"/>
        <v>0</v>
      </c>
      <c r="AY104">
        <f t="shared" si="33"/>
        <v>0</v>
      </c>
    </row>
    <row r="105" spans="1:52" x14ac:dyDescent="0.35">
      <c r="A105" s="2" t="s">
        <v>355</v>
      </c>
      <c r="B105" s="1">
        <f>SUM(B47:B100)</f>
        <v>235777.38014431737</v>
      </c>
      <c r="C105">
        <f>SUM(I112:I114)</f>
        <v>235777.38014431737</v>
      </c>
      <c r="E105" s="92" t="s">
        <v>358</v>
      </c>
      <c r="F105">
        <f>F102</f>
        <v>95787.414000000004</v>
      </c>
      <c r="G105" s="92" t="s">
        <v>360</v>
      </c>
      <c r="H105">
        <f>H102</f>
        <v>123333.31999999998</v>
      </c>
      <c r="I105" t="s">
        <v>365</v>
      </c>
    </row>
    <row r="106" spans="1:52" x14ac:dyDescent="0.35">
      <c r="A106" s="2" t="s">
        <v>357</v>
      </c>
      <c r="B106" s="1">
        <f>B105*S4</f>
        <v>36545.493922369191</v>
      </c>
      <c r="E106" s="92" t="s">
        <v>357</v>
      </c>
      <c r="F106">
        <f>F105*S4</f>
        <v>14847.04917</v>
      </c>
      <c r="G106" s="92" t="s">
        <v>357</v>
      </c>
      <c r="H106">
        <f>H105*S4</f>
        <v>19116.664599999996</v>
      </c>
      <c r="I106">
        <f>F106+H106</f>
        <v>33963.713769999995</v>
      </c>
    </row>
    <row r="107" spans="1:52" x14ac:dyDescent="0.35">
      <c r="A107" s="2"/>
    </row>
    <row r="108" spans="1:52" x14ac:dyDescent="0.35">
      <c r="A108" s="2" t="s">
        <v>361</v>
      </c>
      <c r="B108" s="1">
        <f>B105-F105</f>
        <v>139989.96614431735</v>
      </c>
      <c r="E108" s="92" t="s">
        <v>359</v>
      </c>
      <c r="F108" s="92" t="s">
        <v>357</v>
      </c>
    </row>
    <row r="109" spans="1:52" ht="15" thickBot="1" x14ac:dyDescent="0.4">
      <c r="A109" s="2" t="s">
        <v>357</v>
      </c>
      <c r="B109" s="1">
        <f>B108*S4</f>
        <v>21698.444752369189</v>
      </c>
      <c r="E109">
        <f>F105+H105</f>
        <v>219120.734</v>
      </c>
      <c r="F109">
        <f>E109*S4</f>
        <v>33963.713770000002</v>
      </c>
    </row>
    <row r="110" spans="1:52" x14ac:dyDescent="0.35">
      <c r="H110" s="93" t="s">
        <v>368</v>
      </c>
      <c r="I110" s="74"/>
      <c r="J110" s="74" t="s">
        <v>357</v>
      </c>
      <c r="K110" s="75" t="s">
        <v>6</v>
      </c>
    </row>
    <row r="111" spans="1:52" x14ac:dyDescent="0.35">
      <c r="D111" s="92" t="s">
        <v>356</v>
      </c>
      <c r="E111">
        <f>B105-E109</f>
        <v>16656.646144317376</v>
      </c>
      <c r="H111" s="94" t="s">
        <v>383</v>
      </c>
      <c r="I111">
        <f>B105</f>
        <v>235777.38014431737</v>
      </c>
      <c r="J111">
        <f>I111*S4</f>
        <v>36545.493922369191</v>
      </c>
      <c r="K111" s="30" t="s">
        <v>380</v>
      </c>
    </row>
    <row r="112" spans="1:52" x14ac:dyDescent="0.35">
      <c r="D112" s="92" t="s">
        <v>357</v>
      </c>
      <c r="E112">
        <f>E111*S4</f>
        <v>2581.7801523691933</v>
      </c>
      <c r="H112" s="94" t="s">
        <v>363</v>
      </c>
      <c r="I112">
        <f>F105</f>
        <v>95787.414000000004</v>
      </c>
      <c r="J112">
        <f>G102</f>
        <v>9329.0467000000008</v>
      </c>
      <c r="K112" s="30" t="s">
        <v>377</v>
      </c>
    </row>
    <row r="113" spans="1:16" x14ac:dyDescent="0.35">
      <c r="H113" s="94" t="s">
        <v>361</v>
      </c>
      <c r="I113">
        <f>I111-I112-I114</f>
        <v>120740.03611276436</v>
      </c>
      <c r="J113">
        <f>I113*S4</f>
        <v>18714.705597478474</v>
      </c>
      <c r="K113" s="30" t="s">
        <v>376</v>
      </c>
      <c r="L113">
        <f>J114+SUM(V2:V46)</f>
        <v>33688.518597997536</v>
      </c>
    </row>
    <row r="114" spans="1:16" x14ac:dyDescent="0.35">
      <c r="H114" s="94" t="s">
        <v>369</v>
      </c>
      <c r="I114">
        <f>I128</f>
        <v>19249.930031552998</v>
      </c>
      <c r="J114">
        <f>I114*L128</f>
        <v>1828.7433529975349</v>
      </c>
      <c r="K114" s="30" t="s">
        <v>384</v>
      </c>
    </row>
    <row r="115" spans="1:16" x14ac:dyDescent="0.35">
      <c r="A115" s="1">
        <f>95787-2</f>
        <v>95785</v>
      </c>
      <c r="H115" s="94" t="s">
        <v>365</v>
      </c>
      <c r="I115">
        <f>I112+I113+I114</f>
        <v>235777.38014431737</v>
      </c>
      <c r="K115" s="30"/>
      <c r="L115">
        <f>SUM(V2:V46)</f>
        <v>31859.775245000004</v>
      </c>
    </row>
    <row r="116" spans="1:16" ht="15" thickBot="1" x14ac:dyDescent="0.4">
      <c r="H116" s="95" t="s">
        <v>370</v>
      </c>
      <c r="I116" s="19"/>
      <c r="J116" s="19">
        <f>J111-J112-J113-J114</f>
        <v>6672.9982718931824</v>
      </c>
      <c r="K116" s="20"/>
    </row>
    <row r="117" spans="1:16" x14ac:dyDescent="0.35">
      <c r="A117" s="13" t="s">
        <v>362</v>
      </c>
      <c r="C117" t="s">
        <v>364</v>
      </c>
      <c r="E117" s="13" t="s">
        <v>367</v>
      </c>
      <c r="G117" t="s">
        <v>364</v>
      </c>
    </row>
    <row r="118" spans="1:16" x14ac:dyDescent="0.35">
      <c r="A118" s="13" t="s">
        <v>363</v>
      </c>
      <c r="B118" s="1">
        <v>75086</v>
      </c>
      <c r="C118">
        <v>6953</v>
      </c>
      <c r="E118" s="13" t="s">
        <v>363</v>
      </c>
      <c r="F118">
        <f>F105</f>
        <v>95787.414000000004</v>
      </c>
      <c r="G118">
        <f>G102</f>
        <v>9329.0467000000008</v>
      </c>
    </row>
    <row r="119" spans="1:16" x14ac:dyDescent="0.35">
      <c r="A119" s="13" t="s">
        <v>361</v>
      </c>
      <c r="B119" s="1">
        <v>160691</v>
      </c>
      <c r="C119">
        <f>B119*S4</f>
        <v>24907.105</v>
      </c>
      <c r="E119" s="13" t="s">
        <v>361</v>
      </c>
      <c r="F119">
        <f>B105-F118</f>
        <v>139989.96614431735</v>
      </c>
      <c r="G119">
        <f>F119*S4</f>
        <v>21698.444752369189</v>
      </c>
    </row>
    <row r="120" spans="1:16" x14ac:dyDescent="0.35">
      <c r="B120" s="1" t="s">
        <v>365</v>
      </c>
      <c r="C120">
        <f>C118+C119</f>
        <v>31860.105</v>
      </c>
      <c r="F120" t="s">
        <v>365</v>
      </c>
      <c r="G120">
        <f>G118+G119</f>
        <v>31027.491452369191</v>
      </c>
    </row>
    <row r="121" spans="1:16" x14ac:dyDescent="0.35">
      <c r="F121" t="s">
        <v>240</v>
      </c>
      <c r="G121">
        <f>B106-G120</f>
        <v>5518.0024699999994</v>
      </c>
    </row>
    <row r="122" spans="1:16" ht="15" thickBot="1" x14ac:dyDescent="0.4"/>
    <row r="123" spans="1:16" x14ac:dyDescent="0.35">
      <c r="H123" s="93" t="s">
        <v>368</v>
      </c>
      <c r="I123" s="74"/>
      <c r="J123" s="74" t="s">
        <v>357</v>
      </c>
      <c r="K123" s="75"/>
    </row>
    <row r="124" spans="1:16" x14ac:dyDescent="0.35">
      <c r="G124">
        <f>I126+I127+I128+I129</f>
        <v>283691.82999999996</v>
      </c>
      <c r="H124" s="94" t="s">
        <v>373</v>
      </c>
      <c r="I124">
        <f>D102</f>
        <v>283691.82999999996</v>
      </c>
      <c r="J124">
        <f>I124*S4</f>
        <v>43972.233649999995</v>
      </c>
      <c r="K124" s="30" t="s">
        <v>380</v>
      </c>
    </row>
    <row r="125" spans="1:16" x14ac:dyDescent="0.35">
      <c r="G125">
        <f>I127+I129</f>
        <v>168654.48596844697</v>
      </c>
      <c r="H125" s="94" t="s">
        <v>375</v>
      </c>
      <c r="I125">
        <f>SUM(B2:B46)</f>
        <v>168654.48596844697</v>
      </c>
      <c r="J125">
        <f>I125*S4</f>
        <v>26141.445325109282</v>
      </c>
      <c r="K125" s="30" t="s">
        <v>380</v>
      </c>
    </row>
    <row r="126" spans="1:16" x14ac:dyDescent="0.35">
      <c r="H126" s="94" t="s">
        <v>358</v>
      </c>
      <c r="I126">
        <f>F105</f>
        <v>95787.414000000004</v>
      </c>
      <c r="J126">
        <f>G102</f>
        <v>9329.0467000000008</v>
      </c>
      <c r="K126" s="30" t="s">
        <v>377</v>
      </c>
    </row>
    <row r="127" spans="1:16" x14ac:dyDescent="0.35">
      <c r="H127" s="94" t="s">
        <v>306</v>
      </c>
      <c r="I127">
        <f>I102</f>
        <v>66729.77399999999</v>
      </c>
      <c r="J127">
        <f>I127*S4</f>
        <v>10343.114969999999</v>
      </c>
      <c r="K127" s="30" t="s">
        <v>379</v>
      </c>
      <c r="L127" t="s">
        <v>391</v>
      </c>
    </row>
    <row r="128" spans="1:16" x14ac:dyDescent="0.35">
      <c r="G128" s="13" t="s">
        <v>381</v>
      </c>
      <c r="H128" s="94" t="s">
        <v>372</v>
      </c>
      <c r="I128">
        <f>I124-I126-I127-I129</f>
        <v>19249.930031552998</v>
      </c>
      <c r="J128">
        <f>I128*L128</f>
        <v>1828.7433529975349</v>
      </c>
      <c r="K128" s="30" t="s">
        <v>384</v>
      </c>
      <c r="L128" s="4">
        <v>9.5000000000000001E-2</v>
      </c>
      <c r="M128" t="s">
        <v>387</v>
      </c>
      <c r="O128" t="s">
        <v>388</v>
      </c>
      <c r="P128" t="s">
        <v>375</v>
      </c>
    </row>
    <row r="129" spans="7:16" x14ac:dyDescent="0.35">
      <c r="G129" s="13" t="s">
        <v>382</v>
      </c>
      <c r="H129" s="94" t="s">
        <v>374</v>
      </c>
      <c r="I129">
        <f>I125-I127</f>
        <v>101924.71196844698</v>
      </c>
      <c r="J129">
        <f>I129*S4</f>
        <v>15798.330355109281</v>
      </c>
      <c r="K129" s="30" t="s">
        <v>378</v>
      </c>
      <c r="M129">
        <f>I126+I127+H102</f>
        <v>285850.50799999997</v>
      </c>
      <c r="N129">
        <f>M129*S4</f>
        <v>44306.828739999997</v>
      </c>
      <c r="O129">
        <f>J102</f>
        <v>78629.764999999985</v>
      </c>
      <c r="P129">
        <f>O129+I127</f>
        <v>145359.53899999999</v>
      </c>
    </row>
    <row r="130" spans="7:16" x14ac:dyDescent="0.35">
      <c r="H130" s="94" t="s">
        <v>365</v>
      </c>
      <c r="I130">
        <f>I126+I127+I128+I129</f>
        <v>283691.82999999996</v>
      </c>
      <c r="K130" s="30"/>
    </row>
    <row r="131" spans="7:16" ht="15" thickBot="1" x14ac:dyDescent="0.4">
      <c r="H131" s="95" t="s">
        <v>370</v>
      </c>
      <c r="I131" s="19"/>
      <c r="J131" s="19">
        <f>J126+J127+J128+J129</f>
        <v>37299.235378106816</v>
      </c>
      <c r="K131" s="20"/>
      <c r="N131">
        <f>J126+J127+J128+N129</f>
        <v>65807.733762997537</v>
      </c>
    </row>
    <row r="132" spans="7:16" x14ac:dyDescent="0.35">
      <c r="J132" t="s">
        <v>6</v>
      </c>
    </row>
    <row r="133" spans="7:16" x14ac:dyDescent="0.35">
      <c r="M133" t="s">
        <v>386</v>
      </c>
      <c r="N133">
        <f>I126+I127+M129</f>
        <v>448367.696</v>
      </c>
    </row>
    <row r="134" spans="7:16" x14ac:dyDescent="0.35">
      <c r="G134">
        <f>I124-I126-I127-I129</f>
        <v>19249.930031552998</v>
      </c>
    </row>
    <row r="136" spans="7:16" x14ac:dyDescent="0.35">
      <c r="I136">
        <v>523.00199999999995</v>
      </c>
      <c r="J136" t="s">
        <v>385</v>
      </c>
      <c r="K136" t="s">
        <v>364</v>
      </c>
    </row>
    <row r="137" spans="7:16" x14ac:dyDescent="0.35">
      <c r="I137">
        <v>1878.82</v>
      </c>
      <c r="J137">
        <f>SUM(I136:I180)</f>
        <v>90024.715999999986</v>
      </c>
    </row>
    <row r="138" spans="7:16" x14ac:dyDescent="0.35">
      <c r="I138">
        <v>1382.98</v>
      </c>
    </row>
    <row r="139" spans="7:16" x14ac:dyDescent="0.35">
      <c r="I139">
        <v>729.33799999999997</v>
      </c>
      <c r="J139" t="s">
        <v>386</v>
      </c>
    </row>
    <row r="140" spans="7:16" x14ac:dyDescent="0.35">
      <c r="I140">
        <v>1684.57</v>
      </c>
      <c r="J140">
        <f>I126+J137+I128</f>
        <v>205062.060031553</v>
      </c>
    </row>
    <row r="141" spans="7:16" x14ac:dyDescent="0.35">
      <c r="I141">
        <v>1329.16</v>
      </c>
    </row>
    <row r="142" spans="7:16" x14ac:dyDescent="0.35">
      <c r="I142">
        <v>625.19600000000003</v>
      </c>
    </row>
    <row r="143" spans="7:16" x14ac:dyDescent="0.35">
      <c r="I143">
        <v>4722.9399999999996</v>
      </c>
    </row>
    <row r="144" spans="7:16" x14ac:dyDescent="0.35">
      <c r="I144">
        <v>3316.44</v>
      </c>
    </row>
    <row r="145" spans="9:9" x14ac:dyDescent="0.35">
      <c r="I145">
        <v>243.18299999999999</v>
      </c>
    </row>
    <row r="146" spans="9:9" x14ac:dyDescent="0.35">
      <c r="I146">
        <v>219.46199999999999</v>
      </c>
    </row>
    <row r="147" spans="9:9" x14ac:dyDescent="0.35">
      <c r="I147">
        <v>267.33100000000002</v>
      </c>
    </row>
    <row r="148" spans="9:9" x14ac:dyDescent="0.35">
      <c r="I148">
        <v>2365.41</v>
      </c>
    </row>
    <row r="149" spans="9:9" x14ac:dyDescent="0.35">
      <c r="I149">
        <v>1322.62</v>
      </c>
    </row>
    <row r="150" spans="9:9" x14ac:dyDescent="0.35">
      <c r="I150">
        <v>2909.8</v>
      </c>
    </row>
    <row r="151" spans="9:9" x14ac:dyDescent="0.35">
      <c r="I151">
        <v>2270.4</v>
      </c>
    </row>
    <row r="152" spans="9:9" x14ac:dyDescent="0.35">
      <c r="I152">
        <v>1228.8599999999999</v>
      </c>
    </row>
    <row r="153" spans="9:9" x14ac:dyDescent="0.35">
      <c r="I153">
        <v>3488.58</v>
      </c>
    </row>
    <row r="154" spans="9:9" x14ac:dyDescent="0.35">
      <c r="I154">
        <v>2233.48</v>
      </c>
    </row>
    <row r="155" spans="9:9" x14ac:dyDescent="0.35">
      <c r="I155">
        <v>2905.06</v>
      </c>
    </row>
    <row r="156" spans="9:9" x14ac:dyDescent="0.35">
      <c r="I156">
        <v>731.41700000000003</v>
      </c>
    </row>
    <row r="157" spans="9:9" x14ac:dyDescent="0.35">
      <c r="I157">
        <v>1539.14</v>
      </c>
    </row>
    <row r="158" spans="9:9" x14ac:dyDescent="0.35">
      <c r="I158">
        <v>1967.21</v>
      </c>
    </row>
    <row r="159" spans="9:9" x14ac:dyDescent="0.35">
      <c r="I159">
        <v>2658.93</v>
      </c>
    </row>
    <row r="160" spans="9:9" x14ac:dyDescent="0.35">
      <c r="I160">
        <v>1324.14</v>
      </c>
    </row>
    <row r="161" spans="9:9" x14ac:dyDescent="0.35">
      <c r="I161">
        <v>1860.31</v>
      </c>
    </row>
    <row r="162" spans="9:9" x14ac:dyDescent="0.35">
      <c r="I162">
        <v>2304.63</v>
      </c>
    </row>
    <row r="163" spans="9:9" x14ac:dyDescent="0.35">
      <c r="I163">
        <v>5697.91</v>
      </c>
    </row>
    <row r="164" spans="9:9" x14ac:dyDescent="0.35">
      <c r="I164">
        <v>2376.4</v>
      </c>
    </row>
    <row r="165" spans="9:9" x14ac:dyDescent="0.35">
      <c r="I165">
        <v>1625.74</v>
      </c>
    </row>
    <row r="166" spans="9:9" x14ac:dyDescent="0.35">
      <c r="I166">
        <v>688.178</v>
      </c>
    </row>
    <row r="167" spans="9:9" x14ac:dyDescent="0.35">
      <c r="I167">
        <v>9862.93</v>
      </c>
    </row>
    <row r="168" spans="9:9" x14ac:dyDescent="0.35">
      <c r="I168">
        <v>2686.31</v>
      </c>
    </row>
    <row r="169" spans="9:9" x14ac:dyDescent="0.35">
      <c r="I169">
        <v>2137.92</v>
      </c>
    </row>
    <row r="170" spans="9:9" x14ac:dyDescent="0.35">
      <c r="I170">
        <v>1022.29</v>
      </c>
    </row>
    <row r="171" spans="9:9" x14ac:dyDescent="0.35">
      <c r="I171">
        <v>2362.91</v>
      </c>
    </row>
    <row r="172" spans="9:9" x14ac:dyDescent="0.35">
      <c r="I172">
        <v>4637.0200000000004</v>
      </c>
    </row>
    <row r="173" spans="9:9" x14ac:dyDescent="0.35">
      <c r="I173">
        <v>439.99</v>
      </c>
    </row>
    <row r="174" spans="9:9" x14ac:dyDescent="0.35">
      <c r="I174">
        <v>792.73900000000003</v>
      </c>
    </row>
    <row r="175" spans="9:9" x14ac:dyDescent="0.35">
      <c r="I175">
        <v>1918.45</v>
      </c>
    </row>
    <row r="176" spans="9:9" x14ac:dyDescent="0.35">
      <c r="I176">
        <v>448.36099999999999</v>
      </c>
    </row>
    <row r="177" spans="9:9" x14ac:dyDescent="0.35">
      <c r="I177">
        <v>561.197</v>
      </c>
    </row>
    <row r="178" spans="9:9" x14ac:dyDescent="0.35">
      <c r="I178">
        <v>1801.4</v>
      </c>
    </row>
    <row r="179" spans="9:9" x14ac:dyDescent="0.35">
      <c r="I179">
        <v>553.76199999999994</v>
      </c>
    </row>
    <row r="180" spans="9:9" x14ac:dyDescent="0.35">
      <c r="I180">
        <v>2378.8000000000002</v>
      </c>
    </row>
  </sheetData>
  <mergeCells count="4">
    <mergeCell ref="R16:S16"/>
    <mergeCell ref="R27:S27"/>
    <mergeCell ref="AH31:AK32"/>
    <mergeCell ref="AH68:AK69"/>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A0831-2B34-48B6-BED7-E6D0FB5A2328}">
  <dimension ref="A1:BA123"/>
  <sheetViews>
    <sheetView topLeftCell="O47" zoomScale="50" zoomScaleNormal="50" workbookViewId="0">
      <selection activeCell="AG99" sqref="AG99"/>
    </sheetView>
  </sheetViews>
  <sheetFormatPr defaultRowHeight="14.5" x14ac:dyDescent="0.35"/>
  <cols>
    <col min="1" max="1" width="23.26953125" style="1" bestFit="1" customWidth="1"/>
    <col min="2" max="2" width="25.54296875" style="1" bestFit="1" customWidth="1"/>
    <col min="3" max="3" width="16.7265625" bestFit="1" customWidth="1"/>
    <col min="4" max="10" width="16.7265625" customWidth="1"/>
    <col min="11" max="11" width="16.1796875" bestFit="1" customWidth="1"/>
    <col min="12" max="12" width="20.54296875" customWidth="1"/>
    <col min="13" max="14" width="12" customWidth="1"/>
    <col min="15" max="16" width="12.26953125" customWidth="1"/>
    <col min="17" max="17" width="13" customWidth="1"/>
    <col min="18" max="18" width="8.7265625" customWidth="1"/>
    <col min="19" max="19" width="28.7265625" bestFit="1" customWidth="1"/>
    <col min="20" max="20" width="12.6328125" bestFit="1" customWidth="1"/>
    <col min="21" max="21" width="21.6328125" bestFit="1" customWidth="1"/>
    <col min="23" max="23" width="12.453125" customWidth="1"/>
    <col min="25" max="25" width="14.36328125" customWidth="1"/>
    <col min="26" max="26" width="10.36328125" customWidth="1"/>
    <col min="27" max="27" width="12.453125" customWidth="1"/>
    <col min="28" max="28" width="11.1796875" customWidth="1"/>
    <col min="30" max="30" width="14" customWidth="1"/>
    <col min="32" max="32" width="23" customWidth="1"/>
    <col min="33" max="33" width="20.54296875" customWidth="1"/>
    <col min="34" max="34" width="19.81640625" customWidth="1"/>
    <col min="35" max="35" width="18.1796875" customWidth="1"/>
    <col min="36" max="36" width="16" customWidth="1"/>
    <col min="37" max="37" width="15.26953125" bestFit="1" customWidth="1"/>
    <col min="38" max="38" width="14.81640625" bestFit="1" customWidth="1"/>
    <col min="49" max="49" width="15" bestFit="1" customWidth="1"/>
    <col min="50" max="50" width="14.81640625" bestFit="1" customWidth="1"/>
    <col min="51" max="52" width="14.26953125" bestFit="1" customWidth="1"/>
  </cols>
  <sheetData>
    <row r="1" spans="1:53" ht="63" customHeight="1" x14ac:dyDescent="0.35">
      <c r="A1" s="57" t="s">
        <v>7</v>
      </c>
      <c r="B1" s="60" t="s">
        <v>8</v>
      </c>
      <c r="C1" s="60" t="s">
        <v>253</v>
      </c>
      <c r="D1" s="61" t="s">
        <v>281</v>
      </c>
      <c r="E1" s="61" t="s">
        <v>301</v>
      </c>
      <c r="F1" s="61" t="s">
        <v>308</v>
      </c>
      <c r="G1" s="61" t="s">
        <v>312</v>
      </c>
      <c r="H1" s="61" t="s">
        <v>309</v>
      </c>
      <c r="I1" s="61" t="s">
        <v>310</v>
      </c>
      <c r="J1" s="61" t="s">
        <v>311</v>
      </c>
      <c r="K1" s="60" t="s">
        <v>254</v>
      </c>
      <c r="L1" s="61" t="s">
        <v>255</v>
      </c>
      <c r="M1" s="61" t="s">
        <v>256</v>
      </c>
      <c r="N1" s="61" t="s">
        <v>340</v>
      </c>
      <c r="O1" s="61" t="s">
        <v>257</v>
      </c>
      <c r="P1" s="61" t="s">
        <v>282</v>
      </c>
      <c r="Q1" s="61" t="s">
        <v>275</v>
      </c>
      <c r="R1" s="69"/>
      <c r="S1" s="69"/>
      <c r="T1" s="69"/>
      <c r="U1" s="69"/>
      <c r="V1" s="69"/>
      <c r="W1" s="61" t="s">
        <v>276</v>
      </c>
      <c r="X1" s="61" t="s">
        <v>277</v>
      </c>
      <c r="Y1" s="61" t="s">
        <v>278</v>
      </c>
      <c r="Z1" s="61" t="s">
        <v>279</v>
      </c>
      <c r="AA1" s="61" t="s">
        <v>31</v>
      </c>
      <c r="AB1" s="12" t="s">
        <v>283</v>
      </c>
      <c r="AC1" s="1"/>
      <c r="AD1" s="6" t="s">
        <v>33</v>
      </c>
      <c r="AE1" s="6" t="s">
        <v>34</v>
      </c>
      <c r="AF1" s="6" t="s">
        <v>35</v>
      </c>
      <c r="AG1" s="6" t="s">
        <v>36</v>
      </c>
      <c r="AH1" s="6" t="s">
        <v>37</v>
      </c>
      <c r="AI1" s="6" t="s">
        <v>38</v>
      </c>
      <c r="AJ1" s="12" t="s">
        <v>39</v>
      </c>
      <c r="AK1" s="12" t="s">
        <v>40</v>
      </c>
      <c r="AL1" s="12" t="s">
        <v>41</v>
      </c>
      <c r="AW1" s="6" t="s">
        <v>320</v>
      </c>
      <c r="AX1" s="86" t="s">
        <v>321</v>
      </c>
      <c r="AY1" s="86" t="s">
        <v>322</v>
      </c>
      <c r="AZ1" s="6" t="s">
        <v>322</v>
      </c>
    </row>
    <row r="2" spans="1:53" ht="15" thickBot="1" x14ac:dyDescent="0.4">
      <c r="A2" s="1">
        <v>1</v>
      </c>
      <c r="B2" s="62">
        <v>1079.529030351737</v>
      </c>
      <c r="C2" s="62">
        <v>2</v>
      </c>
      <c r="D2" s="62">
        <v>3494.71</v>
      </c>
      <c r="E2" s="62">
        <v>1079.53</v>
      </c>
      <c r="F2" s="62">
        <v>1395.84</v>
      </c>
      <c r="G2" s="62">
        <v>139.60599999999999</v>
      </c>
      <c r="H2" s="62">
        <v>1682.91</v>
      </c>
      <c r="I2" s="62">
        <v>473.57100000000003</v>
      </c>
      <c r="J2" s="62">
        <v>556.52700000000004</v>
      </c>
      <c r="K2" s="62">
        <v>5</v>
      </c>
      <c r="L2" s="62">
        <v>1.2</v>
      </c>
      <c r="M2" s="62">
        <f>((C2*$T$18*1000)+T29)</f>
        <v>7240</v>
      </c>
      <c r="N2" s="88">
        <f>(M2*(1-$T$53))</f>
        <v>3982.0000000000005</v>
      </c>
      <c r="O2" s="62">
        <f>$T$38*C2</f>
        <v>71.2</v>
      </c>
      <c r="P2" s="56">
        <f>O2/D2</f>
        <v>2.0373650460267088E-2</v>
      </c>
      <c r="Q2" s="56">
        <f t="shared" ref="Q2:Q46" si="0">O2*25</f>
        <v>1780</v>
      </c>
      <c r="R2" s="56"/>
      <c r="S2" s="56"/>
      <c r="T2" s="56"/>
      <c r="U2" s="56"/>
      <c r="V2" s="56"/>
      <c r="W2" s="1">
        <v>273.161</v>
      </c>
      <c r="X2" s="1">
        <f>W2-N2</f>
        <v>-3708.8390000000004</v>
      </c>
      <c r="Y2" s="1">
        <f t="shared" ref="Y2:Y65" si="1">W2*$T$47</f>
        <v>6829.0249999999996</v>
      </c>
      <c r="Z2" s="1">
        <f>Y2-N2</f>
        <v>2847.0249999999992</v>
      </c>
      <c r="AA2" s="1">
        <f>(N2/($T$47*B2))+P2</f>
        <v>0.16791947416831754</v>
      </c>
      <c r="AB2" s="1">
        <f>(N2/($T$50*B2))+P2</f>
        <v>0.29492422954654668</v>
      </c>
      <c r="AC2" s="1"/>
      <c r="AD2" s="1" t="s">
        <v>284</v>
      </c>
      <c r="AE2" s="1">
        <v>0</v>
      </c>
      <c r="AF2">
        <f>-AD5</f>
        <v>-375501.4</v>
      </c>
      <c r="AG2">
        <f>AF2</f>
        <v>-375501.4</v>
      </c>
      <c r="AI2">
        <f>AF2</f>
        <v>-375501.4</v>
      </c>
      <c r="AJ2">
        <f>AF2</f>
        <v>-375501.4</v>
      </c>
      <c r="AL2">
        <f>AF2</f>
        <v>-375501.4</v>
      </c>
      <c r="AW2" s="1">
        <f>AL27+AL63</f>
        <v>-63342.842960198206</v>
      </c>
      <c r="AX2">
        <f>B2/$B$102</f>
        <v>2.6692481992770093E-3</v>
      </c>
      <c r="AY2">
        <f>AX2*$AW$2</f>
        <v>-169.07776950859545</v>
      </c>
      <c r="AZ2">
        <f>(AY2)*1.1</f>
        <v>-185.98554645945501</v>
      </c>
      <c r="BA2">
        <f>AZ2-AY2</f>
        <v>-16.907776950859557</v>
      </c>
    </row>
    <row r="3" spans="1:53" x14ac:dyDescent="0.35">
      <c r="A3" s="1">
        <v>2</v>
      </c>
      <c r="B3" s="62">
        <v>3886.3217817133332</v>
      </c>
      <c r="C3" s="62">
        <v>4</v>
      </c>
      <c r="D3" s="62">
        <v>6989.42</v>
      </c>
      <c r="E3" s="62">
        <v>3886.32</v>
      </c>
      <c r="F3" s="62">
        <v>2567.4899999999998</v>
      </c>
      <c r="G3" s="62">
        <v>253.81899999999999</v>
      </c>
      <c r="H3" s="62">
        <v>3085.9</v>
      </c>
      <c r="I3" s="62">
        <v>1442.46</v>
      </c>
      <c r="J3" s="62">
        <v>2007.51</v>
      </c>
      <c r="K3" s="62">
        <v>10</v>
      </c>
      <c r="L3" s="62">
        <v>3.3</v>
      </c>
      <c r="M3" s="62">
        <f>(C3*$T$18*1000)+T31</f>
        <v>14096</v>
      </c>
      <c r="N3" s="88">
        <f t="shared" ref="N3:N12" si="2">(M3*(1-$T$53))</f>
        <v>7752.8</v>
      </c>
      <c r="O3" s="62">
        <f>$T$38*C3</f>
        <v>142.4</v>
      </c>
      <c r="P3" s="56">
        <f t="shared" ref="P3:P46" si="3">O3/D3</f>
        <v>2.0373650460267088E-2</v>
      </c>
      <c r="Q3" s="56">
        <f t="shared" si="0"/>
        <v>3560</v>
      </c>
      <c r="R3" s="56"/>
      <c r="S3" s="80" t="s">
        <v>267</v>
      </c>
      <c r="T3" s="81"/>
      <c r="U3" s="82"/>
      <c r="V3" s="56"/>
      <c r="W3" s="1">
        <v>434.72800000000001</v>
      </c>
      <c r="X3" s="1">
        <f t="shared" ref="X3:X46" si="4">W3-N3</f>
        <v>-7318.0720000000001</v>
      </c>
      <c r="Y3" s="1">
        <f t="shared" si="1"/>
        <v>10868.2</v>
      </c>
      <c r="Z3" s="1">
        <f t="shared" ref="Z3:Z46" si="5">Y3-N3</f>
        <v>3115.4000000000005</v>
      </c>
      <c r="AA3" s="1">
        <f t="shared" ref="AA3:AA46" si="6">(N3/($T$47*B3))+P3</f>
        <v>0.10016941041488497</v>
      </c>
      <c r="AB3" s="1">
        <f t="shared" ref="AB3:AB46" si="7">(N3/($T$50*B3))+P3</f>
        <v>0.16885614595617146</v>
      </c>
      <c r="AC3" s="1"/>
      <c r="AD3" s="1"/>
      <c r="AE3" s="1">
        <v>1</v>
      </c>
      <c r="AF3">
        <f>AD8</f>
        <v>14416.025168890717</v>
      </c>
      <c r="AG3">
        <f>AG2+AF3</f>
        <v>-361085.37483110931</v>
      </c>
      <c r="AH3">
        <f t="shared" ref="AH3:AH27" si="8">AF3/(1+$T$20)^AE3</f>
        <v>13587.205625721695</v>
      </c>
      <c r="AI3">
        <f>AI2+AH3</f>
        <v>-361914.1943742783</v>
      </c>
      <c r="AJ3">
        <f t="shared" ref="AJ3:AJ27" si="9">$AD$8*((1+$T$44)^AE3)</f>
        <v>14776.425798112985</v>
      </c>
      <c r="AK3">
        <f t="shared" ref="AK3:AK27" si="10">AJ3/(1+$T$20)^AE3</f>
        <v>13926.885766364736</v>
      </c>
      <c r="AL3">
        <f>AL2+AK3</f>
        <v>-361574.51423363527</v>
      </c>
      <c r="AW3" s="1"/>
      <c r="AX3">
        <f t="shared" ref="AX3:AX66" si="11">B3/$B$102</f>
        <v>9.6093362253253847E-3</v>
      </c>
      <c r="AY3">
        <f t="shared" ref="AY3:AY66" si="12">AX3*$AW$2</f>
        <v>-608.6826754725297</v>
      </c>
      <c r="AZ3">
        <f t="shared" ref="AZ3:AZ46" si="13">(AY3)*1.1</f>
        <v>-669.55094301978272</v>
      </c>
      <c r="BA3">
        <f t="shared" ref="BA3:BA46" si="14">AZ3-AY3</f>
        <v>-60.868267547253026</v>
      </c>
    </row>
    <row r="4" spans="1:53" ht="29" x14ac:dyDescent="0.35">
      <c r="A4" s="1">
        <v>3</v>
      </c>
      <c r="B4" s="1">
        <v>3457.332910813851</v>
      </c>
      <c r="C4" s="1">
        <v>2</v>
      </c>
      <c r="D4" s="1">
        <v>3494.71</v>
      </c>
      <c r="E4" s="1">
        <v>3457.33</v>
      </c>
      <c r="F4" s="1">
        <v>613.53200000000004</v>
      </c>
      <c r="G4" s="1">
        <v>54.761099999999999</v>
      </c>
      <c r="H4" s="1">
        <v>1498.2</v>
      </c>
      <c r="I4" s="1">
        <v>1382.98</v>
      </c>
      <c r="J4" s="1">
        <v>2074.35</v>
      </c>
      <c r="K4" s="1">
        <v>5</v>
      </c>
      <c r="L4" s="1">
        <v>0</v>
      </c>
      <c r="M4" s="1">
        <f>C4*$T$18*1000</f>
        <v>5200</v>
      </c>
      <c r="N4" s="88">
        <f t="shared" si="2"/>
        <v>2860.0000000000005</v>
      </c>
      <c r="O4" s="1">
        <f>$T$19*C4</f>
        <v>53</v>
      </c>
      <c r="P4" s="4">
        <f t="shared" si="3"/>
        <v>1.5165779134749377E-2</v>
      </c>
      <c r="Q4" s="4">
        <f t="shared" si="0"/>
        <v>1325</v>
      </c>
      <c r="R4" s="4"/>
      <c r="S4" s="63" t="s">
        <v>302</v>
      </c>
      <c r="T4" s="4">
        <v>0.155</v>
      </c>
      <c r="U4" s="30"/>
      <c r="V4" s="4"/>
      <c r="W4" s="1">
        <v>78.388900000000007</v>
      </c>
      <c r="X4" s="1">
        <f t="shared" si="4"/>
        <v>-2781.6111000000005</v>
      </c>
      <c r="Y4" s="1">
        <f t="shared" si="1"/>
        <v>1959.7225000000001</v>
      </c>
      <c r="Z4" s="1">
        <f t="shared" si="5"/>
        <v>-900.27750000000037</v>
      </c>
      <c r="AA4" s="1">
        <f t="shared" si="6"/>
        <v>4.8254869179326663E-2</v>
      </c>
      <c r="AB4" s="1">
        <f t="shared" si="7"/>
        <v>7.6737354695929197E-2</v>
      </c>
      <c r="AC4" s="1"/>
      <c r="AD4" s="6" t="s">
        <v>285</v>
      </c>
      <c r="AE4" s="1">
        <f>AE3+1</f>
        <v>2</v>
      </c>
      <c r="AF4">
        <f>AF3</f>
        <v>14416.025168890717</v>
      </c>
      <c r="AG4">
        <f>AG3+AF4</f>
        <v>-346669.34966221859</v>
      </c>
      <c r="AH4">
        <f t="shared" si="8"/>
        <v>12806.037347522803</v>
      </c>
      <c r="AI4">
        <f t="shared" ref="AI4:AI27" si="15">AI3+AH4</f>
        <v>-349108.15702675551</v>
      </c>
      <c r="AJ4">
        <f t="shared" si="9"/>
        <v>15145.836443065809</v>
      </c>
      <c r="AK4">
        <f t="shared" si="10"/>
        <v>13454.342988241146</v>
      </c>
      <c r="AL4">
        <f t="shared" ref="AL4:AL27" si="16">AL3+AK4</f>
        <v>-348120.1712453941</v>
      </c>
      <c r="AW4" s="1"/>
      <c r="AX4">
        <f t="shared" si="11"/>
        <v>8.5486164679463485E-3</v>
      </c>
      <c r="AY4">
        <f t="shared" si="12"/>
        <v>-541.49367045608983</v>
      </c>
      <c r="AZ4">
        <f t="shared" si="13"/>
        <v>-595.64303750169881</v>
      </c>
      <c r="BA4">
        <f t="shared" si="14"/>
        <v>-54.149367045608983</v>
      </c>
    </row>
    <row r="5" spans="1:53" x14ac:dyDescent="0.35">
      <c r="A5" s="1">
        <v>4</v>
      </c>
      <c r="B5" s="62">
        <v>1453.8912212817379</v>
      </c>
      <c r="C5" s="62">
        <v>2</v>
      </c>
      <c r="D5" s="62">
        <v>3494.71</v>
      </c>
      <c r="E5" s="62">
        <v>1453.89</v>
      </c>
      <c r="F5" s="62">
        <v>1292.6199999999999</v>
      </c>
      <c r="G5" s="62">
        <v>127.47</v>
      </c>
      <c r="H5" s="62">
        <v>1638.92</v>
      </c>
      <c r="I5" s="62">
        <v>615.08299999999997</v>
      </c>
      <c r="J5" s="62">
        <v>724.553</v>
      </c>
      <c r="K5" s="62">
        <v>5</v>
      </c>
      <c r="L5" s="62">
        <v>1.2</v>
      </c>
      <c r="M5" s="62">
        <f>(C5*$T$18*1000)+T29</f>
        <v>7240</v>
      </c>
      <c r="N5" s="88">
        <f t="shared" si="2"/>
        <v>3982.0000000000005</v>
      </c>
      <c r="O5" s="62">
        <f>$T$38*C5</f>
        <v>71.2</v>
      </c>
      <c r="P5" s="56">
        <f t="shared" si="3"/>
        <v>2.0373650460267088E-2</v>
      </c>
      <c r="Q5" s="56">
        <f t="shared" si="0"/>
        <v>1780</v>
      </c>
      <c r="R5" s="56"/>
      <c r="S5" s="83" t="s">
        <v>303</v>
      </c>
      <c r="T5" s="56">
        <v>0.129</v>
      </c>
      <c r="U5" s="46" t="s">
        <v>6</v>
      </c>
      <c r="V5" s="56"/>
      <c r="W5" s="1">
        <v>253.096</v>
      </c>
      <c r="X5" s="1">
        <f t="shared" si="4"/>
        <v>-3728.9040000000005</v>
      </c>
      <c r="Y5" s="1">
        <f t="shared" si="1"/>
        <v>6327.4</v>
      </c>
      <c r="Z5" s="1">
        <f t="shared" si="5"/>
        <v>2345.3999999999992</v>
      </c>
      <c r="AA5" s="1">
        <f t="shared" si="6"/>
        <v>0.12992792637066164</v>
      </c>
      <c r="AB5" s="1">
        <f t="shared" si="7"/>
        <v>0.22423024996722921</v>
      </c>
      <c r="AC5" s="1"/>
      <c r="AD5" s="1">
        <f>SUM(N2:N46) + (U10*45/99)+U39+U40+U11+U12+Q102</f>
        <v>375501.4</v>
      </c>
      <c r="AE5" s="1">
        <f t="shared" ref="AE5:AE27" si="17">AE4+1</f>
        <v>3</v>
      </c>
      <c r="AF5">
        <f t="shared" ref="AF5:AF27" si="18">AF4</f>
        <v>14416.025168890717</v>
      </c>
      <c r="AG5">
        <f t="shared" ref="AG5:AG27" si="19">AG4+AF5</f>
        <v>-332253.32449332788</v>
      </c>
      <c r="AH5">
        <f t="shared" si="8"/>
        <v>12069.780723395668</v>
      </c>
      <c r="AI5">
        <f t="shared" si="15"/>
        <v>-337038.37630335987</v>
      </c>
      <c r="AJ5">
        <f t="shared" si="9"/>
        <v>15524.482354142454</v>
      </c>
      <c r="AK5">
        <f t="shared" si="10"/>
        <v>12997.833706830514</v>
      </c>
      <c r="AL5">
        <f t="shared" si="16"/>
        <v>-335122.33753856359</v>
      </c>
      <c r="AW5" s="1" t="s">
        <v>324</v>
      </c>
      <c r="AX5">
        <f t="shared" si="11"/>
        <v>3.5948977889797666E-3</v>
      </c>
      <c r="AY5">
        <f t="shared" si="12"/>
        <v>-227.71104610530909</v>
      </c>
      <c r="AZ5">
        <f t="shared" si="13"/>
        <v>-250.48215071584002</v>
      </c>
      <c r="BA5">
        <f t="shared" si="14"/>
        <v>-22.771104610530926</v>
      </c>
    </row>
    <row r="6" spans="1:53" x14ac:dyDescent="0.35">
      <c r="A6" s="1">
        <v>5</v>
      </c>
      <c r="B6" s="1">
        <v>3955.020115733626</v>
      </c>
      <c r="C6" s="1">
        <v>4</v>
      </c>
      <c r="D6" s="1">
        <v>6989.42</v>
      </c>
      <c r="E6" s="1">
        <v>3955.02</v>
      </c>
      <c r="F6" s="1">
        <v>1833.18</v>
      </c>
      <c r="G6" s="1">
        <v>168.476</v>
      </c>
      <c r="H6" s="1">
        <v>3471.67</v>
      </c>
      <c r="I6" s="1">
        <v>1684.57</v>
      </c>
      <c r="J6" s="1">
        <v>2270.4499999999998</v>
      </c>
      <c r="K6" s="1">
        <v>10</v>
      </c>
      <c r="L6" s="1">
        <v>0</v>
      </c>
      <c r="M6" s="1">
        <f>C6*$T$18*1000</f>
        <v>10400</v>
      </c>
      <c r="N6" s="88">
        <f t="shared" si="2"/>
        <v>5720.0000000000009</v>
      </c>
      <c r="O6" s="1">
        <f>$T$19*C6</f>
        <v>106</v>
      </c>
      <c r="P6" s="4">
        <f t="shared" si="3"/>
        <v>1.5165779134749377E-2</v>
      </c>
      <c r="Q6" s="4">
        <f t="shared" si="0"/>
        <v>2650</v>
      </c>
      <c r="R6" s="4"/>
      <c r="S6" s="63" t="s">
        <v>395</v>
      </c>
      <c r="T6" s="1">
        <v>8.6999999999999994E-2</v>
      </c>
      <c r="U6" s="78">
        <f>(M2*(1-$T$53))</f>
        <v>3982.0000000000005</v>
      </c>
      <c r="V6" s="4"/>
      <c r="W6" s="1">
        <v>379.79399999999998</v>
      </c>
      <c r="X6" s="1">
        <f t="shared" si="4"/>
        <v>-5340.206000000001</v>
      </c>
      <c r="Y6" s="1">
        <f t="shared" si="1"/>
        <v>9494.85</v>
      </c>
      <c r="Z6" s="1">
        <f t="shared" si="5"/>
        <v>3774.8499999999995</v>
      </c>
      <c r="AA6" s="1">
        <f t="shared" si="6"/>
        <v>7.3016306642764192E-2</v>
      </c>
      <c r="AB6" s="1">
        <f t="shared" si="7"/>
        <v>0.12281298614211117</v>
      </c>
      <c r="AC6" s="1"/>
      <c r="AD6" s="1"/>
      <c r="AE6" s="1">
        <f t="shared" si="17"/>
        <v>4</v>
      </c>
      <c r="AF6">
        <f t="shared" si="18"/>
        <v>14416.025168890717</v>
      </c>
      <c r="AG6">
        <f t="shared" si="19"/>
        <v>-317837.29932443716</v>
      </c>
      <c r="AH6">
        <f t="shared" si="8"/>
        <v>11375.853650702798</v>
      </c>
      <c r="AI6">
        <f t="shared" si="15"/>
        <v>-325662.52265265706</v>
      </c>
      <c r="AJ6">
        <f t="shared" si="9"/>
        <v>15912.594412996013</v>
      </c>
      <c r="AK6">
        <f t="shared" si="10"/>
        <v>12556.813901509213</v>
      </c>
      <c r="AL6">
        <f t="shared" si="16"/>
        <v>-322565.52363705437</v>
      </c>
      <c r="AW6" s="1">
        <f>SUM(AZ2:AZ46)</f>
        <v>-29056.464304123314</v>
      </c>
      <c r="AX6">
        <f t="shared" si="11"/>
        <v>9.7792000263176096E-3</v>
      </c>
      <c r="AY6">
        <f t="shared" si="12"/>
        <v>-619.44233154340247</v>
      </c>
      <c r="AZ6">
        <f t="shared" si="13"/>
        <v>-681.38656469774276</v>
      </c>
      <c r="BA6">
        <f t="shared" si="14"/>
        <v>-61.944233154340282</v>
      </c>
    </row>
    <row r="7" spans="1:53" ht="29" x14ac:dyDescent="0.35">
      <c r="A7" s="1">
        <v>6</v>
      </c>
      <c r="B7" s="62">
        <v>2105.0165005377999</v>
      </c>
      <c r="C7" s="62">
        <v>2</v>
      </c>
      <c r="D7" s="62">
        <v>3494.71</v>
      </c>
      <c r="E7" s="62">
        <v>2105.02</v>
      </c>
      <c r="F7" s="62">
        <v>1453.58</v>
      </c>
      <c r="G7" s="62">
        <v>145.85</v>
      </c>
      <c r="H7" s="62">
        <v>1123.08</v>
      </c>
      <c r="I7" s="62">
        <v>912.81600000000003</v>
      </c>
      <c r="J7" s="62">
        <v>775.86</v>
      </c>
      <c r="K7" s="62">
        <v>5</v>
      </c>
      <c r="L7" s="62">
        <v>4.2</v>
      </c>
      <c r="M7" s="62">
        <f>(C7*$T$18*1000)+T32</f>
        <v>9904</v>
      </c>
      <c r="N7" s="88">
        <f t="shared" si="2"/>
        <v>5447.2000000000007</v>
      </c>
      <c r="O7" s="62">
        <f>$T$38*C7</f>
        <v>71.2</v>
      </c>
      <c r="P7" s="56">
        <f t="shared" si="3"/>
        <v>2.0373650460267088E-2</v>
      </c>
      <c r="Q7" s="56">
        <f t="shared" si="0"/>
        <v>1780</v>
      </c>
      <c r="R7" s="56"/>
      <c r="S7" s="84"/>
      <c r="T7" s="62"/>
      <c r="U7" s="85"/>
      <c r="V7" s="56"/>
      <c r="W7" s="1">
        <v>264.803</v>
      </c>
      <c r="X7" s="1">
        <f t="shared" si="4"/>
        <v>-5182.3970000000008</v>
      </c>
      <c r="Y7" s="1">
        <f t="shared" si="1"/>
        <v>6620.0749999999998</v>
      </c>
      <c r="Z7" s="1">
        <f t="shared" si="5"/>
        <v>1172.8749999999991</v>
      </c>
      <c r="AA7" s="1">
        <f t="shared" si="6"/>
        <v>0.12388257779852452</v>
      </c>
      <c r="AB7" s="1">
        <f t="shared" si="7"/>
        <v>0.21298117554718446</v>
      </c>
      <c r="AC7" s="1"/>
      <c r="AD7" s="6" t="s">
        <v>286</v>
      </c>
      <c r="AE7" s="1">
        <f t="shared" si="17"/>
        <v>5</v>
      </c>
      <c r="AF7">
        <f t="shared" si="18"/>
        <v>14416.025168890717</v>
      </c>
      <c r="AG7">
        <f t="shared" si="19"/>
        <v>-303421.27415554645</v>
      </c>
      <c r="AH7">
        <f t="shared" si="8"/>
        <v>10721.822479455983</v>
      </c>
      <c r="AI7">
        <f t="shared" si="15"/>
        <v>-314940.7001732011</v>
      </c>
      <c r="AJ7">
        <f t="shared" si="9"/>
        <v>16310.409273320913</v>
      </c>
      <c r="AK7">
        <f t="shared" si="10"/>
        <v>12130.758010411821</v>
      </c>
      <c r="AL7">
        <f t="shared" si="16"/>
        <v>-310434.76562664256</v>
      </c>
      <c r="AW7" s="1"/>
      <c r="AX7">
        <f t="shared" si="11"/>
        <v>5.2048730006623049E-3</v>
      </c>
      <c r="AY7">
        <f t="shared" si="12"/>
        <v>-329.69145310872801</v>
      </c>
      <c r="AZ7">
        <f t="shared" si="13"/>
        <v>-362.66059841960083</v>
      </c>
      <c r="BA7">
        <f t="shared" si="14"/>
        <v>-32.969145310872818</v>
      </c>
    </row>
    <row r="8" spans="1:53" x14ac:dyDescent="0.35">
      <c r="A8" s="1">
        <v>7</v>
      </c>
      <c r="B8" s="1">
        <v>1617.7934488334181</v>
      </c>
      <c r="C8" s="1">
        <v>2</v>
      </c>
      <c r="D8" s="1">
        <v>3494.71</v>
      </c>
      <c r="E8" s="1">
        <v>1617.79</v>
      </c>
      <c r="F8" s="1">
        <v>1038.05</v>
      </c>
      <c r="G8" s="1">
        <v>96.850499999999997</v>
      </c>
      <c r="H8" s="1">
        <v>1831.46</v>
      </c>
      <c r="I8" s="1">
        <v>625.19600000000003</v>
      </c>
      <c r="J8" s="1">
        <v>992.59699999999998</v>
      </c>
      <c r="K8" s="1">
        <v>5</v>
      </c>
      <c r="L8" s="1">
        <v>0</v>
      </c>
      <c r="M8" s="1">
        <f>C8*$T$18*1000</f>
        <v>5200</v>
      </c>
      <c r="N8" s="88">
        <f t="shared" si="2"/>
        <v>2860.0000000000005</v>
      </c>
      <c r="O8" s="1">
        <f>$T$19*C8</f>
        <v>53</v>
      </c>
      <c r="P8" s="4">
        <f t="shared" si="3"/>
        <v>1.5165779134749377E-2</v>
      </c>
      <c r="Q8" s="4">
        <f t="shared" si="0"/>
        <v>1325</v>
      </c>
      <c r="R8" s="4"/>
      <c r="S8" s="65"/>
      <c r="T8" s="1"/>
      <c r="U8" s="78">
        <v>25</v>
      </c>
      <c r="V8" s="4"/>
      <c r="W8" s="1">
        <v>199.303</v>
      </c>
      <c r="X8" s="1">
        <f t="shared" si="4"/>
        <v>-2660.6970000000006</v>
      </c>
      <c r="Y8" s="1">
        <f t="shared" si="1"/>
        <v>4982.5749999999998</v>
      </c>
      <c r="Z8" s="1">
        <f t="shared" si="5"/>
        <v>2122.5749999999994</v>
      </c>
      <c r="AA8" s="1">
        <f t="shared" si="6"/>
        <v>8.5879379862019739E-2</v>
      </c>
      <c r="AB8" s="1">
        <f t="shared" si="7"/>
        <v>0.14674835830258481</v>
      </c>
      <c r="AC8" s="1"/>
      <c r="AD8" s="1">
        <f>H123</f>
        <v>14416.025168890717</v>
      </c>
      <c r="AE8" s="1">
        <f t="shared" si="17"/>
        <v>6</v>
      </c>
      <c r="AF8">
        <f t="shared" si="18"/>
        <v>14416.025168890717</v>
      </c>
      <c r="AG8">
        <f t="shared" si="19"/>
        <v>-289005.24898665573</v>
      </c>
      <c r="AH8">
        <f t="shared" si="8"/>
        <v>10105.393477338344</v>
      </c>
      <c r="AI8">
        <f t="shared" si="15"/>
        <v>-304835.30669586273</v>
      </c>
      <c r="AJ8">
        <f t="shared" si="9"/>
        <v>16718.169505153932</v>
      </c>
      <c r="AK8">
        <f t="shared" si="10"/>
        <v>11719.158304120747</v>
      </c>
      <c r="AL8">
        <f t="shared" si="16"/>
        <v>-298715.6073225218</v>
      </c>
      <c r="AW8" s="1"/>
      <c r="AX8">
        <f t="shared" si="11"/>
        <v>4.0001631532722544E-3</v>
      </c>
      <c r="AY8">
        <f t="shared" si="12"/>
        <v>-253.38170643289567</v>
      </c>
      <c r="AZ8">
        <f t="shared" si="13"/>
        <v>-278.71987707618524</v>
      </c>
      <c r="BA8">
        <f t="shared" si="14"/>
        <v>-25.338170643289573</v>
      </c>
    </row>
    <row r="9" spans="1:53" ht="29" x14ac:dyDescent="0.35">
      <c r="A9" s="1">
        <v>8</v>
      </c>
      <c r="B9" s="62">
        <v>10161.74794678937</v>
      </c>
      <c r="C9" s="62">
        <v>10</v>
      </c>
      <c r="D9" s="62">
        <v>17473.5</v>
      </c>
      <c r="E9" s="62">
        <v>10161.700000000001</v>
      </c>
      <c r="F9" s="62">
        <v>6690.31</v>
      </c>
      <c r="G9" s="62">
        <v>666.70799999999997</v>
      </c>
      <c r="H9" s="62">
        <v>7473.12</v>
      </c>
      <c r="I9" s="62">
        <v>3557.92</v>
      </c>
      <c r="J9" s="62">
        <v>5438.81</v>
      </c>
      <c r="K9" s="62">
        <v>25</v>
      </c>
      <c r="L9" s="62">
        <v>9.6999999999999993</v>
      </c>
      <c r="M9" s="62">
        <f>(C9*$T$18*1000)+T35</f>
        <v>34000</v>
      </c>
      <c r="N9" s="88">
        <f t="shared" si="2"/>
        <v>18700</v>
      </c>
      <c r="O9" s="62">
        <f>$T$38*C9</f>
        <v>356</v>
      </c>
      <c r="P9" s="56">
        <f t="shared" si="3"/>
        <v>2.0373708758977881E-2</v>
      </c>
      <c r="Q9" s="56">
        <f t="shared" si="0"/>
        <v>8900</v>
      </c>
      <c r="R9" s="56"/>
      <c r="S9" s="65"/>
      <c r="T9" s="1" t="s">
        <v>314</v>
      </c>
      <c r="U9" s="78" t="s">
        <v>315</v>
      </c>
      <c r="V9" s="56"/>
      <c r="W9" s="1">
        <v>1025.3900000000001</v>
      </c>
      <c r="X9" s="1">
        <f t="shared" si="4"/>
        <v>-17674.61</v>
      </c>
      <c r="Y9" s="1">
        <f t="shared" si="1"/>
        <v>25634.750000000004</v>
      </c>
      <c r="Z9" s="1">
        <f t="shared" si="5"/>
        <v>6934.7500000000036</v>
      </c>
      <c r="AA9" s="1">
        <f t="shared" si="6"/>
        <v>9.3983092097041546E-2</v>
      </c>
      <c r="AB9" s="1">
        <f t="shared" si="7"/>
        <v>0.15734470742064072</v>
      </c>
      <c r="AC9" s="1"/>
      <c r="AD9" s="1"/>
      <c r="AE9" s="1">
        <f t="shared" si="17"/>
        <v>7</v>
      </c>
      <c r="AF9">
        <f t="shared" si="18"/>
        <v>14416.025168890717</v>
      </c>
      <c r="AG9">
        <f t="shared" si="19"/>
        <v>-274589.22381776501</v>
      </c>
      <c r="AH9">
        <f t="shared" si="8"/>
        <v>9524.4047854272812</v>
      </c>
      <c r="AI9">
        <f t="shared" si="15"/>
        <v>-295310.90191043547</v>
      </c>
      <c r="AJ9">
        <f t="shared" si="9"/>
        <v>17136.123742782784</v>
      </c>
      <c r="AK9">
        <f t="shared" si="10"/>
        <v>11321.524280606758</v>
      </c>
      <c r="AL9">
        <f t="shared" si="16"/>
        <v>-287394.08304191503</v>
      </c>
      <c r="AW9" s="73" t="s">
        <v>323</v>
      </c>
      <c r="AX9">
        <f t="shared" si="11"/>
        <v>2.512598239218878E-2</v>
      </c>
      <c r="AY9">
        <f t="shared" si="12"/>
        <v>-1591.5511568891191</v>
      </c>
      <c r="AZ9">
        <f t="shared" si="13"/>
        <v>-1750.7062725780311</v>
      </c>
      <c r="BA9">
        <f t="shared" si="14"/>
        <v>-159.15511568891202</v>
      </c>
    </row>
    <row r="10" spans="1:53" x14ac:dyDescent="0.35">
      <c r="A10" s="1">
        <v>9</v>
      </c>
      <c r="B10" s="62">
        <v>5057.043251595851</v>
      </c>
      <c r="C10" s="62">
        <v>4</v>
      </c>
      <c r="D10" s="62">
        <v>6989.42</v>
      </c>
      <c r="E10" s="62">
        <v>5057.04</v>
      </c>
      <c r="F10" s="62">
        <v>2433.36</v>
      </c>
      <c r="G10" s="62">
        <v>235.053</v>
      </c>
      <c r="H10" s="62">
        <v>2459.33</v>
      </c>
      <c r="I10" s="62">
        <v>2123.7399999999998</v>
      </c>
      <c r="J10" s="62">
        <v>1740.61</v>
      </c>
      <c r="K10" s="62">
        <v>10</v>
      </c>
      <c r="L10" s="62">
        <v>6</v>
      </c>
      <c r="M10" s="62">
        <f>(C10*$T$18*1000)+T34</f>
        <v>14600</v>
      </c>
      <c r="N10" s="88">
        <f t="shared" si="2"/>
        <v>8030.0000000000009</v>
      </c>
      <c r="O10" s="62">
        <f>$T$38*C10</f>
        <v>142.4</v>
      </c>
      <c r="P10" s="56">
        <f t="shared" si="3"/>
        <v>2.0373650460267088E-2</v>
      </c>
      <c r="Q10" s="56">
        <f t="shared" si="0"/>
        <v>3560</v>
      </c>
      <c r="R10" s="56"/>
      <c r="S10" s="50" t="s">
        <v>319</v>
      </c>
      <c r="T10" s="1">
        <f>200+90</f>
        <v>290</v>
      </c>
      <c r="U10" s="78">
        <f>T10*99</f>
        <v>28710</v>
      </c>
      <c r="V10" s="56"/>
      <c r="W10" s="1">
        <v>508.49599999999998</v>
      </c>
      <c r="X10" s="1">
        <f t="shared" si="4"/>
        <v>-7521.5040000000008</v>
      </c>
      <c r="Y10" s="1">
        <f t="shared" si="1"/>
        <v>12712.4</v>
      </c>
      <c r="Z10" s="1">
        <f t="shared" si="5"/>
        <v>4682.3999999999987</v>
      </c>
      <c r="AA10" s="1">
        <f t="shared" si="6"/>
        <v>8.3889025753653979E-2</v>
      </c>
      <c r="AB10" s="1">
        <f t="shared" si="7"/>
        <v>0.13856190295995666</v>
      </c>
      <c r="AC10" s="1"/>
      <c r="AD10" s="1"/>
      <c r="AE10" s="1">
        <f t="shared" si="17"/>
        <v>8</v>
      </c>
      <c r="AF10">
        <f t="shared" si="18"/>
        <v>14416.025168890717</v>
      </c>
      <c r="AG10">
        <f t="shared" si="19"/>
        <v>-260173.1986488743</v>
      </c>
      <c r="AH10">
        <f t="shared" si="8"/>
        <v>8976.8188364064863</v>
      </c>
      <c r="AI10">
        <f t="shared" si="15"/>
        <v>-286334.08307402895</v>
      </c>
      <c r="AJ10">
        <f t="shared" si="9"/>
        <v>17564.52683635235</v>
      </c>
      <c r="AK10">
        <f t="shared" si="10"/>
        <v>10937.38208069927</v>
      </c>
      <c r="AL10">
        <f t="shared" si="16"/>
        <v>-276456.70096121577</v>
      </c>
      <c r="AW10" s="1">
        <f>AW2-AW6</f>
        <v>-34286.378656074892</v>
      </c>
      <c r="AX10">
        <f t="shared" si="11"/>
        <v>1.2504067249205919E-2</v>
      </c>
      <c r="AY10">
        <f t="shared" si="12"/>
        <v>-792.04316813020807</v>
      </c>
      <c r="AZ10">
        <f t="shared" si="13"/>
        <v>-871.24748494322898</v>
      </c>
      <c r="BA10">
        <f t="shared" si="14"/>
        <v>-79.20431681302091</v>
      </c>
    </row>
    <row r="11" spans="1:53" x14ac:dyDescent="0.35">
      <c r="A11" s="1">
        <v>10</v>
      </c>
      <c r="B11" s="1">
        <v>507.10444675644749</v>
      </c>
      <c r="C11" s="1">
        <v>2</v>
      </c>
      <c r="D11" s="1">
        <v>3494.71</v>
      </c>
      <c r="E11" s="1">
        <v>507.10399999999998</v>
      </c>
      <c r="F11" s="1">
        <v>1300.33</v>
      </c>
      <c r="G11" s="1">
        <v>126.497</v>
      </c>
      <c r="H11" s="1">
        <v>1951.2</v>
      </c>
      <c r="I11" s="1">
        <v>243.18299999999999</v>
      </c>
      <c r="J11" s="1">
        <v>263.92099999999999</v>
      </c>
      <c r="K11" s="1">
        <v>5</v>
      </c>
      <c r="L11" s="1">
        <v>0</v>
      </c>
      <c r="M11" s="1">
        <f>C11*$T$18*1000</f>
        <v>5200</v>
      </c>
      <c r="N11" s="88">
        <f t="shared" si="2"/>
        <v>2860.0000000000005</v>
      </c>
      <c r="O11" s="1">
        <f>$T$19*C11</f>
        <v>53</v>
      </c>
      <c r="P11" s="4">
        <f t="shared" si="3"/>
        <v>1.5165779134749377E-2</v>
      </c>
      <c r="Q11" s="4">
        <f t="shared" si="0"/>
        <v>1325</v>
      </c>
      <c r="R11" s="4"/>
      <c r="S11" s="65" t="s">
        <v>316</v>
      </c>
      <c r="T11" s="1"/>
      <c r="U11" s="78">
        <v>0</v>
      </c>
      <c r="V11" s="4"/>
      <c r="W11" s="1">
        <v>293.03699999999998</v>
      </c>
      <c r="X11" s="1">
        <f t="shared" si="4"/>
        <v>-2566.9630000000006</v>
      </c>
      <c r="Y11" s="1">
        <f t="shared" si="1"/>
        <v>7325.9249999999993</v>
      </c>
      <c r="Z11" s="1">
        <f t="shared" si="5"/>
        <v>4465.9249999999993</v>
      </c>
      <c r="AA11" s="1">
        <f t="shared" si="6"/>
        <v>0.24076033018183204</v>
      </c>
      <c r="AB11" s="1">
        <f t="shared" si="7"/>
        <v>0.43494800727318217</v>
      </c>
      <c r="AC11" s="1"/>
      <c r="AD11" s="2" t="s">
        <v>329</v>
      </c>
      <c r="AE11" s="1">
        <f t="shared" si="17"/>
        <v>9</v>
      </c>
      <c r="AF11">
        <f t="shared" si="18"/>
        <v>14416.025168890717</v>
      </c>
      <c r="AG11">
        <f t="shared" si="19"/>
        <v>-245757.17347998358</v>
      </c>
      <c r="AH11">
        <f t="shared" si="8"/>
        <v>8460.7152086771785</v>
      </c>
      <c r="AI11">
        <f t="shared" si="15"/>
        <v>-277873.36786535179</v>
      </c>
      <c r="AJ11">
        <f t="shared" si="9"/>
        <v>18003.640007261158</v>
      </c>
      <c r="AK11">
        <f t="shared" si="10"/>
        <v>10566.273923389965</v>
      </c>
      <c r="AL11">
        <f t="shared" si="16"/>
        <v>-265890.42703782581</v>
      </c>
      <c r="AW11" s="1" t="s">
        <v>6</v>
      </c>
      <c r="AX11">
        <f t="shared" si="11"/>
        <v>1.2538686717011949E-3</v>
      </c>
      <c r="AY11">
        <f t="shared" si="12"/>
        <v>-79.423606364281113</v>
      </c>
      <c r="AZ11">
        <f t="shared" si="13"/>
        <v>-87.365967000709233</v>
      </c>
      <c r="BA11">
        <f t="shared" si="14"/>
        <v>-7.9423606364281198</v>
      </c>
    </row>
    <row r="12" spans="1:53" x14ac:dyDescent="0.35">
      <c r="A12" s="1">
        <v>11</v>
      </c>
      <c r="B12" s="1">
        <v>480.82648360578531</v>
      </c>
      <c r="C12" s="1">
        <v>2</v>
      </c>
      <c r="D12" s="1">
        <v>3494.71</v>
      </c>
      <c r="E12" s="1">
        <v>480.82600000000002</v>
      </c>
      <c r="F12" s="1">
        <v>1315.33</v>
      </c>
      <c r="G12" s="1">
        <v>128.179</v>
      </c>
      <c r="H12" s="1">
        <v>1959.92</v>
      </c>
      <c r="I12" s="1">
        <v>219.46199999999999</v>
      </c>
      <c r="J12" s="1">
        <v>261.36500000000001</v>
      </c>
      <c r="K12" s="1">
        <v>5</v>
      </c>
      <c r="L12" s="1">
        <v>0</v>
      </c>
      <c r="M12" s="1">
        <f>C12*$T$18*1000</f>
        <v>5200</v>
      </c>
      <c r="N12" s="88">
        <f t="shared" si="2"/>
        <v>2860.0000000000005</v>
      </c>
      <c r="O12" s="1">
        <f>$T$19*C12</f>
        <v>53</v>
      </c>
      <c r="P12" s="4">
        <f t="shared" si="3"/>
        <v>1.5165779134749377E-2</v>
      </c>
      <c r="Q12" s="4">
        <f t="shared" si="0"/>
        <v>1325</v>
      </c>
      <c r="R12" s="4"/>
      <c r="S12" s="65" t="s">
        <v>317</v>
      </c>
      <c r="T12" s="1"/>
      <c r="U12" s="78">
        <v>0</v>
      </c>
      <c r="V12" s="4"/>
      <c r="W12" s="1">
        <v>292.19799999999998</v>
      </c>
      <c r="X12" s="1">
        <f t="shared" si="4"/>
        <v>-2567.8020000000006</v>
      </c>
      <c r="Y12" s="1">
        <f t="shared" si="1"/>
        <v>7304.95</v>
      </c>
      <c r="Z12" s="1">
        <f t="shared" si="5"/>
        <v>4444.9499999999989</v>
      </c>
      <c r="AA12" s="1">
        <f t="shared" si="6"/>
        <v>0.25308944578076764</v>
      </c>
      <c r="AB12" s="1">
        <f t="shared" si="7"/>
        <v>0.45788980082748354</v>
      </c>
      <c r="AC12" s="1"/>
      <c r="AD12" s="1">
        <f>MIN(W2:W46)</f>
        <v>59.389600000000002</v>
      </c>
      <c r="AE12" s="1">
        <f t="shared" si="17"/>
        <v>10</v>
      </c>
      <c r="AF12">
        <f t="shared" si="18"/>
        <v>14416.025168890717</v>
      </c>
      <c r="AG12">
        <f t="shared" si="19"/>
        <v>-231341.14831109287</v>
      </c>
      <c r="AH12">
        <f t="shared" si="8"/>
        <v>7974.2838913074247</v>
      </c>
      <c r="AI12">
        <f t="shared" si="15"/>
        <v>-269899.08397404436</v>
      </c>
      <c r="AJ12">
        <f t="shared" si="9"/>
        <v>18453.731007442686</v>
      </c>
      <c r="AK12">
        <f t="shared" si="10"/>
        <v>10207.757560296617</v>
      </c>
      <c r="AL12">
        <f t="shared" si="16"/>
        <v>-255682.66947752918</v>
      </c>
      <c r="AW12" s="1"/>
      <c r="AX12">
        <f t="shared" si="11"/>
        <v>1.1888936651488298E-3</v>
      </c>
      <c r="AY12">
        <f t="shared" si="12"/>
        <v>-75.307904727896798</v>
      </c>
      <c r="AZ12">
        <f t="shared" si="13"/>
        <v>-82.838695200686487</v>
      </c>
      <c r="BA12">
        <f t="shared" si="14"/>
        <v>-7.5307904727896897</v>
      </c>
    </row>
    <row r="13" spans="1:53" x14ac:dyDescent="0.35">
      <c r="A13" s="1">
        <v>12</v>
      </c>
      <c r="B13" s="1">
        <v>569.06841271947087</v>
      </c>
      <c r="C13" s="1">
        <v>2</v>
      </c>
      <c r="D13" s="1">
        <v>3497.79</v>
      </c>
      <c r="E13" s="1">
        <v>569.06799999999998</v>
      </c>
      <c r="F13" s="1">
        <v>1277.03</v>
      </c>
      <c r="G13" s="1">
        <v>123.822</v>
      </c>
      <c r="H13" s="1">
        <v>1953.43</v>
      </c>
      <c r="I13" s="1">
        <v>267.33100000000002</v>
      </c>
      <c r="J13" s="1">
        <v>301.738</v>
      </c>
      <c r="K13" s="1">
        <v>5</v>
      </c>
      <c r="L13" s="1">
        <v>0</v>
      </c>
      <c r="M13" s="1">
        <f>C13*$T$18*1000</f>
        <v>5200</v>
      </c>
      <c r="N13" s="89">
        <f>(M13*(1-$T$54))</f>
        <v>2339.9999999999995</v>
      </c>
      <c r="O13" s="1">
        <f>$T$19*C13</f>
        <v>53</v>
      </c>
      <c r="P13" s="4">
        <f t="shared" si="3"/>
        <v>1.5152424816812901E-2</v>
      </c>
      <c r="Q13" s="4">
        <f t="shared" si="0"/>
        <v>1325</v>
      </c>
      <c r="R13" s="4"/>
      <c r="S13" s="65" t="s">
        <v>318</v>
      </c>
      <c r="U13" s="78">
        <v>0</v>
      </c>
      <c r="V13" s="4"/>
      <c r="W13" s="1">
        <v>288.43700000000001</v>
      </c>
      <c r="X13" s="1">
        <f t="shared" si="4"/>
        <v>-2051.5629999999996</v>
      </c>
      <c r="Y13" s="1">
        <f t="shared" si="1"/>
        <v>7210.9250000000002</v>
      </c>
      <c r="Z13" s="1">
        <f t="shared" si="5"/>
        <v>4870.9250000000011</v>
      </c>
      <c r="AA13" s="1">
        <f t="shared" si="6"/>
        <v>0.17963177019587406</v>
      </c>
      <c r="AB13" s="1">
        <f t="shared" si="7"/>
        <v>0.32121259234081928</v>
      </c>
      <c r="AC13" s="1"/>
      <c r="AD13" s="1"/>
      <c r="AE13" s="1">
        <f t="shared" si="17"/>
        <v>11</v>
      </c>
      <c r="AF13">
        <f t="shared" si="18"/>
        <v>14416.025168890717</v>
      </c>
      <c r="AG13">
        <f t="shared" si="19"/>
        <v>-216925.12314220215</v>
      </c>
      <c r="AH13">
        <f t="shared" si="8"/>
        <v>7515.8189361992709</v>
      </c>
      <c r="AI13">
        <f t="shared" si="15"/>
        <v>-262383.26503784506</v>
      </c>
      <c r="AJ13">
        <f t="shared" si="9"/>
        <v>18915.074282628753</v>
      </c>
      <c r="AK13">
        <f t="shared" si="10"/>
        <v>9861.4057486371694</v>
      </c>
      <c r="AL13">
        <f t="shared" si="16"/>
        <v>-245821.26372889202</v>
      </c>
      <c r="AW13" s="1"/>
      <c r="AX13">
        <f t="shared" si="11"/>
        <v>1.4070810447977958E-3</v>
      </c>
      <c r="AY13">
        <f t="shared" si="12"/>
        <v>-89.128513652898391</v>
      </c>
      <c r="AZ13">
        <f t="shared" si="13"/>
        <v>-98.041365018188245</v>
      </c>
      <c r="BA13">
        <f t="shared" si="14"/>
        <v>-8.9128513652898533</v>
      </c>
    </row>
    <row r="14" spans="1:53" x14ac:dyDescent="0.35">
      <c r="A14" s="1">
        <v>13</v>
      </c>
      <c r="B14" s="62">
        <v>4563.0069277860366</v>
      </c>
      <c r="C14" s="62">
        <v>6</v>
      </c>
      <c r="D14" s="62">
        <v>10493.4</v>
      </c>
      <c r="E14" s="62">
        <v>4563.01</v>
      </c>
      <c r="F14" s="62">
        <v>4058.52</v>
      </c>
      <c r="G14" s="62">
        <v>405.589</v>
      </c>
      <c r="H14" s="62">
        <v>4703.5600000000004</v>
      </c>
      <c r="I14" s="62">
        <v>1886.93</v>
      </c>
      <c r="J14" s="62">
        <v>2197.59</v>
      </c>
      <c r="K14" s="62">
        <v>15</v>
      </c>
      <c r="L14" s="62">
        <v>5</v>
      </c>
      <c r="M14" s="62">
        <f>(C14*$T$18*1000)+T33</f>
        <v>19100</v>
      </c>
      <c r="N14" s="89">
        <f t="shared" ref="N14:N23" si="20">(M14*(1-$T$54))</f>
        <v>8595</v>
      </c>
      <c r="O14" s="62">
        <f>$T$38*C14</f>
        <v>213.60000000000002</v>
      </c>
      <c r="P14" s="56">
        <f t="shared" si="3"/>
        <v>2.0355652124192353E-2</v>
      </c>
      <c r="Q14" s="56">
        <f t="shared" si="0"/>
        <v>5340.0000000000009</v>
      </c>
      <c r="R14" s="56"/>
      <c r="S14" s="65"/>
      <c r="T14" s="1"/>
      <c r="U14" s="78"/>
      <c r="V14" s="56"/>
      <c r="W14" s="1">
        <v>766.77200000000005</v>
      </c>
      <c r="X14" s="1">
        <f t="shared" si="4"/>
        <v>-7828.2280000000001</v>
      </c>
      <c r="Y14" s="1">
        <f t="shared" si="1"/>
        <v>19169.300000000003</v>
      </c>
      <c r="Z14" s="1">
        <f t="shared" si="5"/>
        <v>10574.300000000003</v>
      </c>
      <c r="AA14" s="1">
        <f t="shared" si="6"/>
        <v>9.5700705384238832E-2</v>
      </c>
      <c r="AB14" s="1">
        <f t="shared" si="7"/>
        <v>0.16055635373648516</v>
      </c>
      <c r="AC14" s="1"/>
      <c r="AD14" s="2" t="s">
        <v>330</v>
      </c>
      <c r="AE14" s="1">
        <f t="shared" si="17"/>
        <v>12</v>
      </c>
      <c r="AF14">
        <f t="shared" si="18"/>
        <v>14416.025168890717</v>
      </c>
      <c r="AG14">
        <f t="shared" si="19"/>
        <v>-202509.09797331144</v>
      </c>
      <c r="AH14">
        <f t="shared" si="8"/>
        <v>7083.7124752113768</v>
      </c>
      <c r="AI14">
        <f t="shared" si="15"/>
        <v>-255299.55256263367</v>
      </c>
      <c r="AJ14">
        <f t="shared" si="9"/>
        <v>19387.951139694469</v>
      </c>
      <c r="AK14">
        <f t="shared" si="10"/>
        <v>9526.8057420858586</v>
      </c>
      <c r="AL14">
        <f t="shared" si="16"/>
        <v>-236294.45798680617</v>
      </c>
      <c r="AW14" s="1"/>
      <c r="AX14">
        <f t="shared" si="11"/>
        <v>1.1282510875425851E-2</v>
      </c>
      <c r="AY14">
        <f t="shared" si="12"/>
        <v>-714.66631457882806</v>
      </c>
      <c r="AZ14">
        <f t="shared" si="13"/>
        <v>-786.1329460367109</v>
      </c>
      <c r="BA14">
        <f t="shared" si="14"/>
        <v>-71.466631457882841</v>
      </c>
    </row>
    <row r="15" spans="1:53" x14ac:dyDescent="0.35">
      <c r="A15" s="1">
        <v>14</v>
      </c>
      <c r="B15" s="62">
        <v>2172.7675547581462</v>
      </c>
      <c r="C15" s="62">
        <v>2</v>
      </c>
      <c r="D15" s="62">
        <v>3497.79</v>
      </c>
      <c r="E15" s="62">
        <v>2172.77</v>
      </c>
      <c r="F15" s="62">
        <v>1243.8900000000001</v>
      </c>
      <c r="G15" s="62">
        <v>122.795</v>
      </c>
      <c r="H15" s="62">
        <v>1461.09</v>
      </c>
      <c r="I15" s="62">
        <v>834.95399999999995</v>
      </c>
      <c r="J15" s="62">
        <v>850.149</v>
      </c>
      <c r="K15" s="62">
        <v>5</v>
      </c>
      <c r="L15" s="62">
        <v>2</v>
      </c>
      <c r="M15" s="62">
        <f>(C15*$T$18*1000)+T30</f>
        <v>8600</v>
      </c>
      <c r="N15" s="89">
        <f t="shared" si="20"/>
        <v>3869.9999999999995</v>
      </c>
      <c r="O15" s="62">
        <f>$T$38*C15</f>
        <v>71.2</v>
      </c>
      <c r="P15" s="56">
        <f t="shared" si="3"/>
        <v>2.0355710319944882E-2</v>
      </c>
      <c r="Q15" s="56">
        <f t="shared" si="0"/>
        <v>1780</v>
      </c>
      <c r="R15" s="56"/>
      <c r="S15" s="63" t="s">
        <v>313</v>
      </c>
      <c r="T15" s="4">
        <v>45</v>
      </c>
      <c r="U15" s="46"/>
      <c r="V15" s="56"/>
      <c r="W15" s="1">
        <v>247.65100000000001</v>
      </c>
      <c r="X15" s="1">
        <f t="shared" si="4"/>
        <v>-3622.3489999999997</v>
      </c>
      <c r="Y15" s="1">
        <f t="shared" si="1"/>
        <v>6191.2750000000005</v>
      </c>
      <c r="Z15" s="1">
        <f t="shared" si="5"/>
        <v>2321.275000000001</v>
      </c>
      <c r="AA15" s="1">
        <f t="shared" si="6"/>
        <v>9.1601251363211705E-2</v>
      </c>
      <c r="AB15" s="1">
        <f t="shared" si="7"/>
        <v>0.15292811433084158</v>
      </c>
      <c r="AC15" s="1"/>
      <c r="AD15" s="1">
        <f>MAX(W2:W46)</f>
        <v>1572.32</v>
      </c>
      <c r="AE15" s="1">
        <f t="shared" si="17"/>
        <v>13</v>
      </c>
      <c r="AF15">
        <f t="shared" si="18"/>
        <v>14416.025168890717</v>
      </c>
      <c r="AG15">
        <f t="shared" si="19"/>
        <v>-188093.07280442072</v>
      </c>
      <c r="AH15">
        <f t="shared" si="8"/>
        <v>6676.4490812548311</v>
      </c>
      <c r="AI15">
        <f t="shared" si="15"/>
        <v>-248623.10348137884</v>
      </c>
      <c r="AJ15">
        <f t="shared" si="9"/>
        <v>19872.649918186831</v>
      </c>
      <c r="AK15">
        <f t="shared" si="10"/>
        <v>9203.5587989048108</v>
      </c>
      <c r="AL15">
        <f t="shared" si="16"/>
        <v>-227090.89918790135</v>
      </c>
      <c r="AW15" s="1"/>
      <c r="AX15">
        <f t="shared" si="11"/>
        <v>5.3723945534804394E-3</v>
      </c>
      <c r="AY15">
        <f t="shared" si="12"/>
        <v>-340.30274452133563</v>
      </c>
      <c r="AZ15">
        <f t="shared" si="13"/>
        <v>-374.33301897346922</v>
      </c>
      <c r="BA15">
        <f t="shared" si="14"/>
        <v>-34.030274452133597</v>
      </c>
    </row>
    <row r="16" spans="1:53" x14ac:dyDescent="0.35">
      <c r="A16" s="1">
        <v>15</v>
      </c>
      <c r="B16" s="62">
        <v>4548.2349752288228</v>
      </c>
      <c r="C16" s="62">
        <v>4</v>
      </c>
      <c r="D16" s="62">
        <v>6995.57</v>
      </c>
      <c r="E16" s="62">
        <v>4548.2299999999996</v>
      </c>
      <c r="F16" s="62">
        <v>2204.15</v>
      </c>
      <c r="G16" s="62">
        <v>210.84200000000001</v>
      </c>
      <c r="H16" s="62">
        <v>2953.48</v>
      </c>
      <c r="I16" s="62">
        <v>1935.56</v>
      </c>
      <c r="J16" s="62">
        <v>1638.43</v>
      </c>
      <c r="K16" s="62">
        <v>10</v>
      </c>
      <c r="L16" s="62">
        <v>3.3</v>
      </c>
      <c r="M16" s="62">
        <f>(C16*$T$18*1000)+T31</f>
        <v>14096</v>
      </c>
      <c r="N16" s="89">
        <f t="shared" si="20"/>
        <v>6343.2</v>
      </c>
      <c r="O16" s="62">
        <f>$T$38*C16</f>
        <v>142.4</v>
      </c>
      <c r="P16" s="56">
        <f t="shared" si="3"/>
        <v>2.0355739417945929E-2</v>
      </c>
      <c r="Q16" s="56">
        <f t="shared" si="0"/>
        <v>3560</v>
      </c>
      <c r="R16" s="56"/>
      <c r="S16" s="106" t="s">
        <v>258</v>
      </c>
      <c r="T16" s="107"/>
      <c r="U16" s="46" t="s">
        <v>299</v>
      </c>
      <c r="V16" s="56"/>
      <c r="W16" s="1">
        <v>513.93200000000002</v>
      </c>
      <c r="X16" s="1">
        <f t="shared" si="4"/>
        <v>-5829.268</v>
      </c>
      <c r="Y16" s="1">
        <f t="shared" si="1"/>
        <v>12848.300000000001</v>
      </c>
      <c r="Z16" s="1">
        <f t="shared" si="5"/>
        <v>6505.1000000000013</v>
      </c>
      <c r="AA16" s="1">
        <f t="shared" si="6"/>
        <v>7.614177540374828E-2</v>
      </c>
      <c r="AB16" s="1">
        <f t="shared" si="7"/>
        <v>0.12416137823518605</v>
      </c>
      <c r="AC16" s="1"/>
      <c r="AD16" s="1"/>
      <c r="AE16" s="1">
        <f t="shared" si="17"/>
        <v>14</v>
      </c>
      <c r="AF16">
        <f t="shared" si="18"/>
        <v>14416.025168890717</v>
      </c>
      <c r="AG16">
        <f t="shared" si="19"/>
        <v>-173677.04763553001</v>
      </c>
      <c r="AH16">
        <f t="shared" si="8"/>
        <v>6292.6004535860811</v>
      </c>
      <c r="AI16">
        <f t="shared" si="15"/>
        <v>-242330.50302779276</v>
      </c>
      <c r="AJ16">
        <f t="shared" si="9"/>
        <v>20369.466166141498</v>
      </c>
      <c r="AK16">
        <f t="shared" si="10"/>
        <v>8891.2797067647771</v>
      </c>
      <c r="AL16">
        <f t="shared" si="16"/>
        <v>-218199.61948113656</v>
      </c>
      <c r="AW16" s="1"/>
      <c r="AX16">
        <f t="shared" si="11"/>
        <v>1.1245985680961834E-2</v>
      </c>
      <c r="AY16">
        <f t="shared" si="12"/>
        <v>-712.35270492180314</v>
      </c>
      <c r="AZ16">
        <f t="shared" si="13"/>
        <v>-783.58797541398349</v>
      </c>
      <c r="BA16">
        <f t="shared" si="14"/>
        <v>-71.235270492180348</v>
      </c>
    </row>
    <row r="17" spans="1:53" x14ac:dyDescent="0.35">
      <c r="A17" s="1">
        <v>16</v>
      </c>
      <c r="B17" s="1">
        <v>5476.90270703035</v>
      </c>
      <c r="C17" s="1">
        <v>4</v>
      </c>
      <c r="D17" s="1">
        <v>6995.57</v>
      </c>
      <c r="E17" s="1">
        <v>5476.9</v>
      </c>
      <c r="F17" s="1">
        <v>1485.71</v>
      </c>
      <c r="G17" s="1">
        <v>133.98400000000001</v>
      </c>
      <c r="H17" s="1">
        <v>3239.46</v>
      </c>
      <c r="I17" s="1">
        <v>2270.4</v>
      </c>
      <c r="J17" s="1">
        <v>3206.5</v>
      </c>
      <c r="K17" s="1">
        <v>10</v>
      </c>
      <c r="L17" s="1">
        <v>0</v>
      </c>
      <c r="M17" s="1">
        <f>C17*$T$18*1000</f>
        <v>10400</v>
      </c>
      <c r="N17" s="89">
        <f t="shared" si="20"/>
        <v>4679.9999999999991</v>
      </c>
      <c r="O17" s="1">
        <f>$T$19*C17</f>
        <v>106</v>
      </c>
      <c r="P17" s="4">
        <f t="shared" si="3"/>
        <v>1.5152446476841773E-2</v>
      </c>
      <c r="Q17" s="4">
        <f t="shared" si="0"/>
        <v>2650</v>
      </c>
      <c r="R17" s="4"/>
      <c r="S17" s="50" t="s">
        <v>245</v>
      </c>
      <c r="T17" s="2" t="s">
        <v>246</v>
      </c>
      <c r="U17" s="46">
        <v>1700</v>
      </c>
      <c r="V17" s="4"/>
      <c r="W17" s="1">
        <v>271.02499999999998</v>
      </c>
      <c r="X17" s="1">
        <f t="shared" si="4"/>
        <v>-4408.9749999999995</v>
      </c>
      <c r="Y17" s="1">
        <f t="shared" si="1"/>
        <v>6775.6249999999991</v>
      </c>
      <c r="Z17" s="1">
        <f t="shared" si="5"/>
        <v>2095.625</v>
      </c>
      <c r="AA17" s="1">
        <f t="shared" si="6"/>
        <v>4.9332348880385159E-2</v>
      </c>
      <c r="AB17" s="1">
        <f t="shared" si="7"/>
        <v>7.8753785790746988E-2</v>
      </c>
      <c r="AC17" s="1"/>
      <c r="AD17" s="2" t="s">
        <v>331</v>
      </c>
      <c r="AE17" s="1">
        <f t="shared" si="17"/>
        <v>15</v>
      </c>
      <c r="AF17">
        <f t="shared" si="18"/>
        <v>14416.025168890717</v>
      </c>
      <c r="AG17">
        <f t="shared" si="19"/>
        <v>-159261.02246663929</v>
      </c>
      <c r="AH17">
        <f t="shared" si="8"/>
        <v>5930.8204086579462</v>
      </c>
      <c r="AI17">
        <f t="shared" si="15"/>
        <v>-236399.68261913481</v>
      </c>
      <c r="AJ17">
        <f t="shared" si="9"/>
        <v>20878.702820295039</v>
      </c>
      <c r="AK17">
        <f t="shared" si="10"/>
        <v>8589.5963236888783</v>
      </c>
      <c r="AL17">
        <f t="shared" si="16"/>
        <v>-209610.02315744769</v>
      </c>
      <c r="AW17" s="1"/>
      <c r="AX17">
        <f t="shared" si="11"/>
        <v>1.3542213573999803E-2</v>
      </c>
      <c r="AY17">
        <f t="shared" si="12"/>
        <v>-857.80230775133407</v>
      </c>
      <c r="AZ17">
        <f t="shared" si="13"/>
        <v>-943.5825385264676</v>
      </c>
      <c r="BA17">
        <f t="shared" si="14"/>
        <v>-85.780230775133532</v>
      </c>
    </row>
    <row r="18" spans="1:53" x14ac:dyDescent="0.35">
      <c r="A18" s="1">
        <v>17</v>
      </c>
      <c r="B18" s="62">
        <v>2180.0429312531028</v>
      </c>
      <c r="C18" s="62">
        <v>2</v>
      </c>
      <c r="D18" s="62">
        <v>3497.79</v>
      </c>
      <c r="E18" s="62">
        <v>2180.04</v>
      </c>
      <c r="F18" s="62">
        <v>1266.75</v>
      </c>
      <c r="G18" s="62">
        <v>125.211</v>
      </c>
      <c r="H18" s="62">
        <v>1479.9</v>
      </c>
      <c r="I18" s="62">
        <v>802.71100000000001</v>
      </c>
      <c r="J18" s="62">
        <v>951.178</v>
      </c>
      <c r="K18" s="62">
        <v>5</v>
      </c>
      <c r="L18" s="62">
        <v>2</v>
      </c>
      <c r="M18" s="62">
        <f>(C18*$T$18*1000)+T30</f>
        <v>8600</v>
      </c>
      <c r="N18" s="89">
        <f t="shared" si="20"/>
        <v>3869.9999999999995</v>
      </c>
      <c r="O18" s="62">
        <f>$T$38*C18</f>
        <v>71.2</v>
      </c>
      <c r="P18" s="56">
        <f t="shared" si="3"/>
        <v>2.0355710319944882E-2</v>
      </c>
      <c r="Q18" s="56">
        <f t="shared" si="0"/>
        <v>1780</v>
      </c>
      <c r="R18" s="56"/>
      <c r="S18" s="65" t="s">
        <v>247</v>
      </c>
      <c r="T18" s="1">
        <v>2.6</v>
      </c>
      <c r="U18" s="46">
        <v>1120</v>
      </c>
      <c r="V18" s="56"/>
      <c r="W18" s="1">
        <v>231.06299999999999</v>
      </c>
      <c r="X18" s="1">
        <f t="shared" si="4"/>
        <v>-3638.9369999999994</v>
      </c>
      <c r="Y18" s="1">
        <f t="shared" si="1"/>
        <v>5776.5749999999998</v>
      </c>
      <c r="Z18" s="1">
        <f t="shared" si="5"/>
        <v>1906.5750000000003</v>
      </c>
      <c r="AA18" s="1">
        <f t="shared" si="6"/>
        <v>9.1363486259026933E-2</v>
      </c>
      <c r="AB18" s="1">
        <f t="shared" si="7"/>
        <v>0.15248568535928625</v>
      </c>
      <c r="AC18" s="1"/>
      <c r="AD18" s="1">
        <f>MIN(W47:W100)</f>
        <v>7.2637200000000002</v>
      </c>
      <c r="AE18" s="1">
        <f t="shared" si="17"/>
        <v>16</v>
      </c>
      <c r="AF18">
        <f t="shared" si="18"/>
        <v>14416.025168890717</v>
      </c>
      <c r="AG18">
        <f t="shared" si="19"/>
        <v>-144844.99729774857</v>
      </c>
      <c r="AH18">
        <f t="shared" si="8"/>
        <v>5589.8401589613068</v>
      </c>
      <c r="AI18">
        <f t="shared" si="15"/>
        <v>-230809.8424601735</v>
      </c>
      <c r="AJ18">
        <f t="shared" si="9"/>
        <v>21400.670390802414</v>
      </c>
      <c r="AK18">
        <f t="shared" si="10"/>
        <v>8298.1491345721952</v>
      </c>
      <c r="AL18">
        <f t="shared" si="16"/>
        <v>-201311.87402287551</v>
      </c>
      <c r="AX18">
        <f t="shared" si="11"/>
        <v>5.3903836812039408E-3</v>
      </c>
      <c r="AY18">
        <f t="shared" si="12"/>
        <v>-341.44222701371632</v>
      </c>
      <c r="AZ18">
        <f t="shared" si="13"/>
        <v>-375.58644971508801</v>
      </c>
      <c r="BA18">
        <f t="shared" si="14"/>
        <v>-34.144222701371689</v>
      </c>
    </row>
    <row r="19" spans="1:53" x14ac:dyDescent="0.35">
      <c r="A19" s="1">
        <v>18</v>
      </c>
      <c r="B19" s="62">
        <v>5524.0028847571884</v>
      </c>
      <c r="C19" s="62">
        <v>4</v>
      </c>
      <c r="D19" s="62">
        <v>6995.57</v>
      </c>
      <c r="E19" s="62">
        <v>5524</v>
      </c>
      <c r="F19" s="62">
        <v>2468.4299999999998</v>
      </c>
      <c r="G19" s="62">
        <v>237.523</v>
      </c>
      <c r="H19" s="62">
        <v>2577.7199999999998</v>
      </c>
      <c r="I19" s="62">
        <v>1982.7</v>
      </c>
      <c r="J19" s="62">
        <v>2035.42</v>
      </c>
      <c r="K19" s="62">
        <v>10</v>
      </c>
      <c r="L19" s="62">
        <v>6</v>
      </c>
      <c r="M19" s="62">
        <f>(C19*$T$18*1000)+T34</f>
        <v>14600</v>
      </c>
      <c r="N19" s="89">
        <f t="shared" si="20"/>
        <v>6569.9999999999991</v>
      </c>
      <c r="O19" s="62">
        <f>$T$38*C19</f>
        <v>142.4</v>
      </c>
      <c r="P19" s="56">
        <f t="shared" si="3"/>
        <v>2.0355739417945929E-2</v>
      </c>
      <c r="Q19" s="56">
        <f t="shared" si="0"/>
        <v>3560</v>
      </c>
      <c r="R19" s="56"/>
      <c r="S19" s="65" t="s">
        <v>248</v>
      </c>
      <c r="T19" s="1">
        <v>26.5</v>
      </c>
      <c r="U19" s="46">
        <v>700</v>
      </c>
      <c r="V19" s="56"/>
      <c r="W19" s="1">
        <v>453.73200000000003</v>
      </c>
      <c r="X19" s="1">
        <f t="shared" si="4"/>
        <v>-6116.2679999999991</v>
      </c>
      <c r="Y19" s="1">
        <f t="shared" si="1"/>
        <v>11343.300000000001</v>
      </c>
      <c r="Z19" s="1">
        <f t="shared" si="5"/>
        <v>4773.300000000002</v>
      </c>
      <c r="AA19" s="1">
        <f t="shared" si="6"/>
        <v>6.7929936152195378E-2</v>
      </c>
      <c r="AB19" s="1">
        <f t="shared" si="7"/>
        <v>0.10888093745267764</v>
      </c>
      <c r="AC19" s="1"/>
      <c r="AD19" s="1"/>
      <c r="AE19" s="1">
        <f t="shared" si="17"/>
        <v>17</v>
      </c>
      <c r="AF19">
        <f t="shared" si="18"/>
        <v>14416.025168890717</v>
      </c>
      <c r="AG19">
        <f t="shared" si="19"/>
        <v>-130428.97212885786</v>
      </c>
      <c r="AH19">
        <f t="shared" si="8"/>
        <v>5268.4638633000077</v>
      </c>
      <c r="AI19">
        <f t="shared" si="15"/>
        <v>-225541.37859687349</v>
      </c>
      <c r="AJ19">
        <f t="shared" si="9"/>
        <v>21935.68715057247</v>
      </c>
      <c r="AK19">
        <f t="shared" si="10"/>
        <v>8016.5908227488226</v>
      </c>
      <c r="AL19">
        <f t="shared" si="16"/>
        <v>-193295.28320012669</v>
      </c>
      <c r="AX19">
        <f t="shared" si="11"/>
        <v>1.3658673679331133E-2</v>
      </c>
      <c r="AY19">
        <f t="shared" si="12"/>
        <v>-865.17922191446462</v>
      </c>
      <c r="AZ19">
        <f t="shared" si="13"/>
        <v>-951.69714410591121</v>
      </c>
      <c r="BA19">
        <f t="shared" si="14"/>
        <v>-86.517922191446587</v>
      </c>
    </row>
    <row r="20" spans="1:53" x14ac:dyDescent="0.35">
      <c r="A20" s="1">
        <v>19</v>
      </c>
      <c r="B20" s="1">
        <v>6393.5501464958952</v>
      </c>
      <c r="C20" s="1">
        <v>4</v>
      </c>
      <c r="D20" s="1">
        <v>6995.57</v>
      </c>
      <c r="E20" s="1">
        <v>6393.55</v>
      </c>
      <c r="F20" s="1">
        <v>1450.97</v>
      </c>
      <c r="G20" s="1">
        <v>130.24100000000001</v>
      </c>
      <c r="H20" s="1">
        <v>3311.12</v>
      </c>
      <c r="I20" s="1">
        <v>2233.48</v>
      </c>
      <c r="J20" s="1">
        <v>4160.07</v>
      </c>
      <c r="K20" s="1">
        <v>10</v>
      </c>
      <c r="L20" s="1">
        <v>0</v>
      </c>
      <c r="M20" s="1">
        <f>C20*$T$18*1000</f>
        <v>10400</v>
      </c>
      <c r="N20" s="89">
        <f t="shared" si="20"/>
        <v>4679.9999999999991</v>
      </c>
      <c r="O20" s="1">
        <f>$T$19*C20</f>
        <v>106</v>
      </c>
      <c r="P20" s="4">
        <f t="shared" si="3"/>
        <v>1.5152446476841773E-2</v>
      </c>
      <c r="Q20" s="4">
        <f t="shared" si="0"/>
        <v>2650</v>
      </c>
      <c r="R20" s="4"/>
      <c r="S20" s="65" t="s">
        <v>250</v>
      </c>
      <c r="T20" s="1">
        <v>6.0999999999999999E-2</v>
      </c>
      <c r="U20" s="30" t="s">
        <v>300</v>
      </c>
      <c r="V20" s="4"/>
      <c r="W20" s="1">
        <v>120.19499999999999</v>
      </c>
      <c r="X20" s="1">
        <f t="shared" si="4"/>
        <v>-4559.8049999999994</v>
      </c>
      <c r="Y20" s="1">
        <f t="shared" si="1"/>
        <v>3004.875</v>
      </c>
      <c r="Z20" s="1">
        <f t="shared" si="5"/>
        <v>-1675.1249999999991</v>
      </c>
      <c r="AA20" s="1">
        <f t="shared" si="6"/>
        <v>4.4431954060370843E-2</v>
      </c>
      <c r="AB20" s="1">
        <f t="shared" si="7"/>
        <v>6.9635220440849341E-2</v>
      </c>
      <c r="AC20" s="1"/>
      <c r="AD20" s="2" t="s">
        <v>332</v>
      </c>
      <c r="AE20" s="1">
        <f>AE19+1</f>
        <v>18</v>
      </c>
      <c r="AF20">
        <f t="shared" si="18"/>
        <v>14416.025168890717</v>
      </c>
      <c r="AG20">
        <f t="shared" si="19"/>
        <v>-116012.94695996714</v>
      </c>
      <c r="AH20">
        <f t="shared" si="8"/>
        <v>4965.5644328935032</v>
      </c>
      <c r="AI20">
        <f t="shared" si="15"/>
        <v>-220575.81416397999</v>
      </c>
      <c r="AJ20">
        <f t="shared" si="9"/>
        <v>22484.079329336782</v>
      </c>
      <c r="AK20">
        <f t="shared" si="10"/>
        <v>7744.5858560957049</v>
      </c>
      <c r="AL20">
        <f t="shared" si="16"/>
        <v>-185550.69734403098</v>
      </c>
      <c r="AX20">
        <f t="shared" si="11"/>
        <v>1.5808720039664811E-2</v>
      </c>
      <c r="AY20">
        <f t="shared" si="12"/>
        <v>-1001.3692708742265</v>
      </c>
      <c r="AZ20">
        <f t="shared" si="13"/>
        <v>-1101.5061979616491</v>
      </c>
      <c r="BA20">
        <f t="shared" si="14"/>
        <v>-100.13692708742269</v>
      </c>
    </row>
    <row r="21" spans="1:53" x14ac:dyDescent="0.35">
      <c r="A21" s="1">
        <v>20</v>
      </c>
      <c r="B21" s="62">
        <v>6287.6864400653858</v>
      </c>
      <c r="C21" s="62">
        <v>10</v>
      </c>
      <c r="D21" s="62">
        <v>17488.900000000001</v>
      </c>
      <c r="E21" s="62">
        <v>6287.69</v>
      </c>
      <c r="F21" s="62">
        <v>8120.34</v>
      </c>
      <c r="G21" s="62">
        <v>841.88900000000001</v>
      </c>
      <c r="H21" s="62">
        <v>7131.35</v>
      </c>
      <c r="I21" s="62">
        <v>2494.35</v>
      </c>
      <c r="J21" s="62">
        <v>3382.63</v>
      </c>
      <c r="K21" s="62">
        <v>25</v>
      </c>
      <c r="L21" s="62">
        <v>13.5</v>
      </c>
      <c r="M21" s="62">
        <f>(C21*$T$18*1000)+T36</f>
        <v>33300</v>
      </c>
      <c r="N21" s="89">
        <f t="shared" si="20"/>
        <v>14984.999999999998</v>
      </c>
      <c r="O21" s="62">
        <f>$T$38*C21</f>
        <v>356</v>
      </c>
      <c r="P21" s="56">
        <f t="shared" si="3"/>
        <v>2.0355768516030166E-2</v>
      </c>
      <c r="Q21" s="56">
        <f t="shared" si="0"/>
        <v>8900</v>
      </c>
      <c r="R21" s="56"/>
      <c r="S21" s="65" t="s">
        <v>251</v>
      </c>
      <c r="T21" s="1" t="s">
        <v>252</v>
      </c>
      <c r="U21" s="46">
        <v>1.2</v>
      </c>
      <c r="V21" s="56"/>
      <c r="W21" s="1">
        <v>1324.72</v>
      </c>
      <c r="X21" s="1">
        <f t="shared" si="4"/>
        <v>-13660.279999999999</v>
      </c>
      <c r="Y21" s="1">
        <f t="shared" si="1"/>
        <v>33118</v>
      </c>
      <c r="Z21" s="1">
        <f t="shared" si="5"/>
        <v>18133</v>
      </c>
      <c r="AA21" s="1">
        <f t="shared" si="6"/>
        <v>0.11568494972020082</v>
      </c>
      <c r="AB21" s="1">
        <f t="shared" si="7"/>
        <v>0.19774257110838234</v>
      </c>
      <c r="AC21" s="1"/>
      <c r="AD21" s="1">
        <f>MAX(W47:W100)</f>
        <v>382.77600000000001</v>
      </c>
      <c r="AE21" s="1">
        <f t="shared" si="17"/>
        <v>19</v>
      </c>
      <c r="AF21">
        <f t="shared" si="18"/>
        <v>14416.025168890717</v>
      </c>
      <c r="AG21">
        <f t="shared" si="19"/>
        <v>-101596.92179107643</v>
      </c>
      <c r="AH21">
        <f t="shared" si="8"/>
        <v>4680.0795785989667</v>
      </c>
      <c r="AI21">
        <f t="shared" si="15"/>
        <v>-215895.73458538103</v>
      </c>
      <c r="AJ21">
        <f t="shared" si="9"/>
        <v>23046.181312570203</v>
      </c>
      <c r="AK21">
        <f t="shared" si="10"/>
        <v>7481.8100871801116</v>
      </c>
      <c r="AL21">
        <f t="shared" si="16"/>
        <v>-178068.88725685087</v>
      </c>
      <c r="AX21">
        <f t="shared" si="11"/>
        <v>1.5546960976394084E-2</v>
      </c>
      <c r="AY21">
        <f t="shared" si="12"/>
        <v>-984.78870763606028</v>
      </c>
      <c r="AZ21">
        <f t="shared" si="13"/>
        <v>-1083.2675783996665</v>
      </c>
      <c r="BA21">
        <f t="shared" si="14"/>
        <v>-98.47887076360621</v>
      </c>
    </row>
    <row r="22" spans="1:53" x14ac:dyDescent="0.35">
      <c r="A22" s="1">
        <v>21</v>
      </c>
      <c r="B22" s="62">
        <v>1195.617299383852</v>
      </c>
      <c r="C22" s="62">
        <v>2</v>
      </c>
      <c r="D22" s="62">
        <v>3497.79</v>
      </c>
      <c r="E22" s="62">
        <v>1195.6199999999999</v>
      </c>
      <c r="F22" s="62">
        <v>1334.89</v>
      </c>
      <c r="G22" s="62">
        <v>132.762</v>
      </c>
      <c r="H22" s="62">
        <v>1658.19</v>
      </c>
      <c r="I22" s="62">
        <v>558.10699999999997</v>
      </c>
      <c r="J22" s="62">
        <v>464.2</v>
      </c>
      <c r="K22" s="62">
        <v>5</v>
      </c>
      <c r="L22" s="62">
        <v>1.2</v>
      </c>
      <c r="M22" s="62">
        <f>(C22*$T$18*1000)+T29</f>
        <v>7240</v>
      </c>
      <c r="N22" s="89">
        <f t="shared" si="20"/>
        <v>3257.9999999999995</v>
      </c>
      <c r="O22" s="62">
        <f>$T$38*C22</f>
        <v>71.2</v>
      </c>
      <c r="P22" s="56">
        <f t="shared" si="3"/>
        <v>2.0355710319944882E-2</v>
      </c>
      <c r="Q22" s="56">
        <f t="shared" si="0"/>
        <v>1780</v>
      </c>
      <c r="R22" s="56"/>
      <c r="S22" s="65" t="s">
        <v>262</v>
      </c>
      <c r="T22" s="1">
        <v>7.0000000000000007E-2</v>
      </c>
      <c r="U22" s="46">
        <v>2</v>
      </c>
      <c r="V22" s="56"/>
      <c r="W22" s="1">
        <v>291.58100000000002</v>
      </c>
      <c r="X22" s="1">
        <f t="shared" si="4"/>
        <v>-2966.4189999999994</v>
      </c>
      <c r="Y22" s="1">
        <f t="shared" si="1"/>
        <v>7289.5250000000005</v>
      </c>
      <c r="Z22" s="1">
        <f t="shared" si="5"/>
        <v>4031.525000000001</v>
      </c>
      <c r="AA22" s="1">
        <f t="shared" si="6"/>
        <v>0.12935379864399216</v>
      </c>
      <c r="AB22" s="1">
        <f t="shared" si="7"/>
        <v>0.22317736610518976</v>
      </c>
      <c r="AC22" s="1"/>
      <c r="AD22" s="1"/>
      <c r="AE22" s="1">
        <f t="shared" si="17"/>
        <v>20</v>
      </c>
      <c r="AF22">
        <f t="shared" si="18"/>
        <v>14416.025168890717</v>
      </c>
      <c r="AG22">
        <f t="shared" si="19"/>
        <v>-87180.896622185712</v>
      </c>
      <c r="AH22">
        <f t="shared" si="8"/>
        <v>4411.0080853901663</v>
      </c>
      <c r="AI22">
        <f t="shared" si="15"/>
        <v>-211484.72649999085</v>
      </c>
      <c r="AJ22">
        <f t="shared" si="9"/>
        <v>23622.335845384456</v>
      </c>
      <c r="AK22">
        <f t="shared" si="10"/>
        <v>7227.950366974188</v>
      </c>
      <c r="AL22">
        <f t="shared" si="16"/>
        <v>-170840.93688987667</v>
      </c>
      <c r="AX22">
        <f t="shared" si="11"/>
        <v>2.9562885607299989E-3</v>
      </c>
      <c r="AY22">
        <f t="shared" si="12"/>
        <v>-187.25972204735069</v>
      </c>
      <c r="AZ22">
        <f t="shared" si="13"/>
        <v>-205.98569425208578</v>
      </c>
      <c r="BA22">
        <f t="shared" si="14"/>
        <v>-18.725972204735086</v>
      </c>
    </row>
    <row r="23" spans="1:53" x14ac:dyDescent="0.35">
      <c r="A23" s="1">
        <v>22</v>
      </c>
      <c r="B23" s="1">
        <v>4102.942217502793</v>
      </c>
      <c r="C23" s="1">
        <v>4</v>
      </c>
      <c r="D23" s="1">
        <v>6995.57</v>
      </c>
      <c r="E23" s="1">
        <v>4102.9399999999996</v>
      </c>
      <c r="F23" s="1">
        <v>1869.19</v>
      </c>
      <c r="G23" s="1">
        <v>171.71799999999999</v>
      </c>
      <c r="H23" s="1">
        <v>3587.24</v>
      </c>
      <c r="I23" s="1">
        <v>1539.14</v>
      </c>
      <c r="J23" s="1">
        <v>2563.8000000000002</v>
      </c>
      <c r="K23" s="1">
        <v>10</v>
      </c>
      <c r="L23" s="1">
        <v>0</v>
      </c>
      <c r="M23" s="1">
        <f>C23*$T$18*1000</f>
        <v>10400</v>
      </c>
      <c r="N23" s="89">
        <f t="shared" si="20"/>
        <v>4679.9999999999991</v>
      </c>
      <c r="O23" s="1">
        <f>$T$19*C23</f>
        <v>106</v>
      </c>
      <c r="P23" s="4">
        <f t="shared" si="3"/>
        <v>1.5152446476841773E-2</v>
      </c>
      <c r="Q23" s="4">
        <f t="shared" si="0"/>
        <v>2650</v>
      </c>
      <c r="R23" s="4"/>
      <c r="S23" s="65" t="s">
        <v>263</v>
      </c>
      <c r="T23" s="1">
        <v>2.5000000000000001E-2</v>
      </c>
      <c r="U23" s="46">
        <v>3.3</v>
      </c>
      <c r="V23" s="4"/>
      <c r="W23" s="1">
        <v>325.01499999999999</v>
      </c>
      <c r="X23" s="1">
        <f t="shared" si="4"/>
        <v>-4354.9849999999988</v>
      </c>
      <c r="Y23" s="1">
        <f t="shared" si="1"/>
        <v>8125.375</v>
      </c>
      <c r="Z23" s="1">
        <f t="shared" si="5"/>
        <v>3445.3750000000009</v>
      </c>
      <c r="AA23" s="1">
        <f t="shared" si="6"/>
        <v>6.0778241351900242E-2</v>
      </c>
      <c r="AB23" s="1">
        <f t="shared" si="7"/>
        <v>0.10005209385015899</v>
      </c>
      <c r="AC23" s="1"/>
      <c r="AD23" s="1"/>
      <c r="AE23" s="1">
        <f t="shared" si="17"/>
        <v>21</v>
      </c>
      <c r="AF23">
        <f t="shared" si="18"/>
        <v>14416.025168890717</v>
      </c>
      <c r="AG23">
        <f t="shared" si="19"/>
        <v>-72764.871453294996</v>
      </c>
      <c r="AH23">
        <f t="shared" si="8"/>
        <v>4157.4063010274904</v>
      </c>
      <c r="AI23">
        <f t="shared" si="15"/>
        <v>-207327.32019896337</v>
      </c>
      <c r="AJ23">
        <f t="shared" si="9"/>
        <v>24212.894241519065</v>
      </c>
      <c r="AK23">
        <f t="shared" si="10"/>
        <v>6982.7041716762888</v>
      </c>
      <c r="AL23">
        <f t="shared" si="16"/>
        <v>-163858.23271820039</v>
      </c>
      <c r="AX23">
        <f t="shared" si="11"/>
        <v>1.0144952861748048E-2</v>
      </c>
      <c r="AY23">
        <f t="shared" si="12"/>
        <v>-642.61015596031996</v>
      </c>
      <c r="AZ23">
        <f t="shared" si="13"/>
        <v>-706.87117155635201</v>
      </c>
      <c r="BA23">
        <f t="shared" si="14"/>
        <v>-64.261015596032053</v>
      </c>
    </row>
    <row r="24" spans="1:53" x14ac:dyDescent="0.35">
      <c r="A24" s="1">
        <v>23</v>
      </c>
      <c r="B24" s="62">
        <v>2916.9354826987528</v>
      </c>
      <c r="C24" s="62">
        <v>2</v>
      </c>
      <c r="D24" s="62">
        <v>3465.23</v>
      </c>
      <c r="E24" s="62">
        <v>2916.94</v>
      </c>
      <c r="F24" s="62">
        <v>1050.31</v>
      </c>
      <c r="G24" s="62">
        <v>98.870500000000007</v>
      </c>
      <c r="H24" s="62">
        <v>1426.38</v>
      </c>
      <c r="I24" s="62">
        <v>1031.08</v>
      </c>
      <c r="J24" s="62">
        <v>949.72299999999996</v>
      </c>
      <c r="K24" s="62">
        <v>5</v>
      </c>
      <c r="L24" s="62">
        <v>2</v>
      </c>
      <c r="M24" s="62">
        <f>(C24*$T$18*1000)+T30</f>
        <v>8600</v>
      </c>
      <c r="N24" s="90">
        <f>(M24*(1-$T$55))</f>
        <v>3010</v>
      </c>
      <c r="O24" s="62">
        <f>$T$38*C24</f>
        <v>71.2</v>
      </c>
      <c r="P24" s="56">
        <f t="shared" si="3"/>
        <v>2.0546976679758633E-2</v>
      </c>
      <c r="Q24" s="56">
        <f t="shared" si="0"/>
        <v>1780</v>
      </c>
      <c r="R24" s="56"/>
      <c r="S24" s="63"/>
      <c r="T24" s="4"/>
      <c r="U24" s="46">
        <v>4.2</v>
      </c>
      <c r="V24" s="56"/>
      <c r="W24" s="1">
        <v>235.66200000000001</v>
      </c>
      <c r="X24" s="1">
        <f t="shared" si="4"/>
        <v>-2774.3380000000002</v>
      </c>
      <c r="Y24" s="1">
        <f t="shared" si="1"/>
        <v>5891.55</v>
      </c>
      <c r="Z24" s="1">
        <f t="shared" si="5"/>
        <v>2881.55</v>
      </c>
      <c r="AA24" s="1">
        <f t="shared" si="6"/>
        <v>6.1823172438673996E-2</v>
      </c>
      <c r="AB24" s="1">
        <f t="shared" si="7"/>
        <v>9.7352969308274681E-2</v>
      </c>
      <c r="AC24" s="1"/>
      <c r="AD24" s="1"/>
      <c r="AE24" s="1">
        <f t="shared" si="17"/>
        <v>22</v>
      </c>
      <c r="AF24">
        <f t="shared" si="18"/>
        <v>14416.025168890717</v>
      </c>
      <c r="AG24">
        <f t="shared" si="19"/>
        <v>-58348.846284404281</v>
      </c>
      <c r="AH24">
        <f t="shared" si="8"/>
        <v>3918.3848266046084</v>
      </c>
      <c r="AI24">
        <f t="shared" si="15"/>
        <v>-203408.93537235877</v>
      </c>
      <c r="AJ24">
        <f t="shared" si="9"/>
        <v>24818.216597557039</v>
      </c>
      <c r="AK24">
        <f t="shared" si="10"/>
        <v>6745.7792421943395</v>
      </c>
      <c r="AL24">
        <f t="shared" si="16"/>
        <v>-157112.45347600605</v>
      </c>
      <c r="AX24">
        <f t="shared" si="11"/>
        <v>7.2124274250077204E-3</v>
      </c>
      <c r="AY24">
        <f t="shared" si="12"/>
        <v>-456.85565774409076</v>
      </c>
      <c r="AZ24">
        <f t="shared" si="13"/>
        <v>-502.54122351849986</v>
      </c>
      <c r="BA24">
        <f t="shared" si="14"/>
        <v>-45.685565774409099</v>
      </c>
    </row>
    <row r="25" spans="1:53" x14ac:dyDescent="0.35">
      <c r="A25" s="1">
        <v>24</v>
      </c>
      <c r="B25" s="62">
        <v>4395.7178346280416</v>
      </c>
      <c r="C25" s="62">
        <v>4</v>
      </c>
      <c r="D25" s="62">
        <v>6930.46</v>
      </c>
      <c r="E25" s="62">
        <v>4395.72</v>
      </c>
      <c r="F25" s="62">
        <v>2268.81</v>
      </c>
      <c r="G25" s="62">
        <v>218.07400000000001</v>
      </c>
      <c r="H25" s="62">
        <v>2973.31</v>
      </c>
      <c r="I25" s="62">
        <v>1797.8</v>
      </c>
      <c r="J25" s="62">
        <v>1736.79</v>
      </c>
      <c r="K25" s="62">
        <v>10</v>
      </c>
      <c r="L25" s="62">
        <v>3.3</v>
      </c>
      <c r="M25" s="62">
        <f>(C25*$T$18*1000)+T31</f>
        <v>14096</v>
      </c>
      <c r="N25" s="90">
        <f t="shared" ref="N25:N34" si="21">(M25*(1-$T$55))</f>
        <v>4933.5999999999995</v>
      </c>
      <c r="O25" s="62">
        <f>$T$38*C25</f>
        <v>142.4</v>
      </c>
      <c r="P25" s="56">
        <f t="shared" si="3"/>
        <v>2.0546976679758633E-2</v>
      </c>
      <c r="Q25" s="56">
        <f t="shared" si="0"/>
        <v>3560</v>
      </c>
      <c r="R25" s="56"/>
      <c r="S25" s="63"/>
      <c r="T25" s="4"/>
      <c r="U25" s="46">
        <v>5</v>
      </c>
      <c r="V25" s="56"/>
      <c r="W25" s="1">
        <v>486.286</v>
      </c>
      <c r="X25" s="1">
        <f t="shared" si="4"/>
        <v>-4447.3139999999994</v>
      </c>
      <c r="Y25" s="1">
        <f t="shared" si="1"/>
        <v>12157.15</v>
      </c>
      <c r="Z25" s="1">
        <f t="shared" si="5"/>
        <v>7223.55</v>
      </c>
      <c r="AA25" s="1">
        <f t="shared" si="6"/>
        <v>6.5441578067815864E-2</v>
      </c>
      <c r="AB25" s="1">
        <f t="shared" si="7"/>
        <v>0.1040860325416717</v>
      </c>
      <c r="AC25" s="1"/>
      <c r="AD25" s="1"/>
      <c r="AE25" s="1">
        <f t="shared" si="17"/>
        <v>23</v>
      </c>
      <c r="AF25">
        <f t="shared" si="18"/>
        <v>14416.025168890717</v>
      </c>
      <c r="AG25">
        <f t="shared" si="19"/>
        <v>-43932.821115513565</v>
      </c>
      <c r="AH25">
        <f t="shared" si="8"/>
        <v>3693.1053973653243</v>
      </c>
      <c r="AI25">
        <f t="shared" si="15"/>
        <v>-199715.82997499345</v>
      </c>
      <c r="AJ25">
        <f t="shared" si="9"/>
        <v>25438.672012495968</v>
      </c>
      <c r="AK25">
        <f t="shared" si="10"/>
        <v>6516.8932358616403</v>
      </c>
      <c r="AL25">
        <f t="shared" si="16"/>
        <v>-150595.5602401444</v>
      </c>
      <c r="AX25">
        <f t="shared" si="11"/>
        <v>1.0868871132430546E-2</v>
      </c>
      <c r="AY25">
        <f t="shared" si="12"/>
        <v>-688.46519729617967</v>
      </c>
      <c r="AZ25">
        <f t="shared" si="13"/>
        <v>-757.31171702579775</v>
      </c>
      <c r="BA25">
        <f t="shared" si="14"/>
        <v>-68.84651972961808</v>
      </c>
    </row>
    <row r="26" spans="1:53" x14ac:dyDescent="0.35">
      <c r="A26" s="1">
        <v>25</v>
      </c>
      <c r="B26" s="1">
        <v>3480.4540913845358</v>
      </c>
      <c r="C26" s="1">
        <v>2</v>
      </c>
      <c r="D26" s="1">
        <v>3465.23</v>
      </c>
      <c r="E26" s="1">
        <v>3480.45</v>
      </c>
      <c r="F26" s="1">
        <v>621.553</v>
      </c>
      <c r="G26" s="1">
        <v>55.542900000000003</v>
      </c>
      <c r="H26" s="1">
        <v>1519.54</v>
      </c>
      <c r="I26" s="1">
        <v>1324.14</v>
      </c>
      <c r="J26" s="1">
        <v>2156.31</v>
      </c>
      <c r="K26" s="1">
        <v>5</v>
      </c>
      <c r="L26" s="1">
        <v>0</v>
      </c>
      <c r="M26" s="1">
        <f>C26*$T$18*1000</f>
        <v>5200</v>
      </c>
      <c r="N26" s="90">
        <f t="shared" si="21"/>
        <v>1819.9999999999998</v>
      </c>
      <c r="O26" s="1">
        <f>$T$19*C26</f>
        <v>53</v>
      </c>
      <c r="P26" s="4">
        <f t="shared" si="3"/>
        <v>1.5294800056561902E-2</v>
      </c>
      <c r="Q26" s="4">
        <f t="shared" si="0"/>
        <v>1325</v>
      </c>
      <c r="R26" s="4"/>
      <c r="S26" s="63" t="s">
        <v>298</v>
      </c>
      <c r="T26" s="4">
        <v>1</v>
      </c>
      <c r="U26" s="46">
        <v>6</v>
      </c>
      <c r="V26" s="4"/>
      <c r="W26" s="1">
        <v>59.389600000000002</v>
      </c>
      <c r="X26" s="1">
        <f t="shared" si="4"/>
        <v>-1760.6103999999998</v>
      </c>
      <c r="Y26" s="1">
        <f t="shared" si="1"/>
        <v>1484.74</v>
      </c>
      <c r="Z26" s="1">
        <f t="shared" si="5"/>
        <v>-335.25999999999976</v>
      </c>
      <c r="AA26" s="1">
        <f t="shared" si="6"/>
        <v>3.6211610934834368E-2</v>
      </c>
      <c r="AB26" s="1">
        <f t="shared" si="7"/>
        <v>5.4216420438247856E-2</v>
      </c>
      <c r="AC26" s="1"/>
      <c r="AD26" s="1"/>
      <c r="AE26" s="1">
        <f>AE25+1</f>
        <v>24</v>
      </c>
      <c r="AF26">
        <f t="shared" si="18"/>
        <v>14416.025168890717</v>
      </c>
      <c r="AG26">
        <f t="shared" si="19"/>
        <v>-29516.795946622849</v>
      </c>
      <c r="AH26">
        <f t="shared" si="8"/>
        <v>3480.77794285139</v>
      </c>
      <c r="AI26">
        <f t="shared" si="15"/>
        <v>-196235.05203214206</v>
      </c>
      <c r="AJ26">
        <f t="shared" si="9"/>
        <v>26074.638812808364</v>
      </c>
      <c r="AK26">
        <f t="shared" si="10"/>
        <v>6295.7733899700097</v>
      </c>
      <c r="AL26">
        <f t="shared" si="16"/>
        <v>-144299.78685017439</v>
      </c>
      <c r="AX26">
        <f t="shared" si="11"/>
        <v>8.6057860000925569E-3</v>
      </c>
      <c r="AY26">
        <f t="shared" si="12"/>
        <v>-545.11495115293508</v>
      </c>
      <c r="AZ26">
        <f t="shared" si="13"/>
        <v>-599.62644626822862</v>
      </c>
      <c r="BA26">
        <f t="shared" si="14"/>
        <v>-54.511495115293542</v>
      </c>
    </row>
    <row r="27" spans="1:53" x14ac:dyDescent="0.35">
      <c r="A27" s="1">
        <v>26</v>
      </c>
      <c r="B27" s="1">
        <v>5233.1130996820621</v>
      </c>
      <c r="C27" s="1">
        <v>4</v>
      </c>
      <c r="D27" s="1">
        <v>6930.46</v>
      </c>
      <c r="E27" s="1">
        <v>5233.1099999999997</v>
      </c>
      <c r="F27" s="1">
        <v>1642.54</v>
      </c>
      <c r="G27" s="1">
        <v>148.89400000000001</v>
      </c>
      <c r="H27" s="1">
        <v>3427.61</v>
      </c>
      <c r="I27" s="1">
        <v>1860.31</v>
      </c>
      <c r="J27" s="1">
        <v>3372.81</v>
      </c>
      <c r="K27" s="1">
        <v>10</v>
      </c>
      <c r="L27" s="1">
        <v>0</v>
      </c>
      <c r="M27" s="1">
        <f>C27*$T$18*1000</f>
        <v>10400</v>
      </c>
      <c r="N27" s="90">
        <f t="shared" si="21"/>
        <v>3639.9999999999995</v>
      </c>
      <c r="O27" s="1">
        <f>$T$19*C27</f>
        <v>106</v>
      </c>
      <c r="P27" s="4">
        <f t="shared" si="3"/>
        <v>1.5294800056561902E-2</v>
      </c>
      <c r="Q27" s="4">
        <f t="shared" si="0"/>
        <v>2650</v>
      </c>
      <c r="R27" s="4"/>
      <c r="S27" s="67" t="s">
        <v>259</v>
      </c>
      <c r="T27" s="76"/>
      <c r="U27" s="46"/>
      <c r="V27" s="4"/>
      <c r="W27" s="1">
        <v>212.84299999999999</v>
      </c>
      <c r="X27" s="1">
        <f t="shared" si="4"/>
        <v>-3427.1569999999997</v>
      </c>
      <c r="Y27" s="1">
        <f t="shared" si="1"/>
        <v>5321.0749999999998</v>
      </c>
      <c r="Z27" s="1">
        <f t="shared" si="5"/>
        <v>1681.0750000000003</v>
      </c>
      <c r="AA27" s="1">
        <f t="shared" si="6"/>
        <v>4.3117626971739008E-2</v>
      </c>
      <c r="AB27" s="1">
        <f t="shared" si="7"/>
        <v>6.7067009187293219E-2</v>
      </c>
      <c r="AC27" s="1"/>
      <c r="AD27" s="1"/>
      <c r="AE27" s="1">
        <f t="shared" si="17"/>
        <v>25</v>
      </c>
      <c r="AF27">
        <f t="shared" si="18"/>
        <v>14416.025168890717</v>
      </c>
      <c r="AG27">
        <f t="shared" si="19"/>
        <v>-15100.770777732132</v>
      </c>
      <c r="AH27">
        <f t="shared" si="8"/>
        <v>3280.6578160710555</v>
      </c>
      <c r="AI27">
        <f t="shared" si="15"/>
        <v>-192954.394216071</v>
      </c>
      <c r="AJ27">
        <f t="shared" si="9"/>
        <v>26726.50478312857</v>
      </c>
      <c r="AK27">
        <f t="shared" si="10"/>
        <v>6082.1561967193775</v>
      </c>
      <c r="AL27">
        <f t="shared" si="16"/>
        <v>-138217.63065345501</v>
      </c>
      <c r="AX27">
        <f t="shared" si="11"/>
        <v>1.2939418325219101E-2</v>
      </c>
      <c r="AY27">
        <f t="shared" si="12"/>
        <v>-819.61954297066438</v>
      </c>
      <c r="AZ27">
        <f t="shared" si="13"/>
        <v>-901.58149726773092</v>
      </c>
      <c r="BA27">
        <f t="shared" si="14"/>
        <v>-81.961954297066541</v>
      </c>
    </row>
    <row r="28" spans="1:53" x14ac:dyDescent="0.35">
      <c r="A28" s="1">
        <v>27</v>
      </c>
      <c r="B28" s="1">
        <v>6696.2920887280334</v>
      </c>
      <c r="C28" s="1">
        <v>4</v>
      </c>
      <c r="D28" s="1">
        <v>6930.46</v>
      </c>
      <c r="E28" s="1">
        <v>6696.29</v>
      </c>
      <c r="F28" s="1">
        <v>1385.43</v>
      </c>
      <c r="G28" s="1">
        <v>124.053</v>
      </c>
      <c r="H28" s="1">
        <v>3240.4</v>
      </c>
      <c r="I28" s="1">
        <v>2304.63</v>
      </c>
      <c r="J28" s="1">
        <v>4391.67</v>
      </c>
      <c r="K28" s="1">
        <v>10</v>
      </c>
      <c r="L28" s="1">
        <v>0</v>
      </c>
      <c r="M28" s="1">
        <f>C28*$T$18*1000</f>
        <v>10400</v>
      </c>
      <c r="N28" s="90">
        <f t="shared" si="21"/>
        <v>3639.9999999999995</v>
      </c>
      <c r="O28" s="1">
        <f>$T$19*C28</f>
        <v>106</v>
      </c>
      <c r="P28" s="4">
        <f t="shared" si="3"/>
        <v>1.5294800056561902E-2</v>
      </c>
      <c r="Q28" s="4">
        <f t="shared" si="0"/>
        <v>2650</v>
      </c>
      <c r="R28" s="4"/>
      <c r="S28" s="50" t="s">
        <v>245</v>
      </c>
      <c r="T28" s="2" t="s">
        <v>246</v>
      </c>
      <c r="U28" s="46"/>
      <c r="V28" s="4"/>
      <c r="W28" s="1">
        <v>83.282200000000003</v>
      </c>
      <c r="X28" s="1">
        <f t="shared" si="4"/>
        <v>-3556.7177999999994</v>
      </c>
      <c r="Y28" s="1">
        <f t="shared" si="1"/>
        <v>2082.0550000000003</v>
      </c>
      <c r="Z28" s="1">
        <f t="shared" si="5"/>
        <v>-1557.9449999999993</v>
      </c>
      <c r="AA28" s="1">
        <f t="shared" si="6"/>
        <v>3.703817655071015E-2</v>
      </c>
      <c r="AB28" s="1">
        <f t="shared" si="7"/>
        <v>5.5754478668486471E-2</v>
      </c>
      <c r="AC28" s="1"/>
      <c r="AE28" s="1"/>
      <c r="AX28">
        <f t="shared" si="11"/>
        <v>1.6557281089371333E-2</v>
      </c>
      <c r="AY28">
        <f t="shared" si="12"/>
        <v>-1048.7852558919078</v>
      </c>
      <c r="AZ28">
        <f t="shared" si="13"/>
        <v>-1153.6637814810988</v>
      </c>
      <c r="BA28">
        <f t="shared" si="14"/>
        <v>-104.87852558919099</v>
      </c>
    </row>
    <row r="29" spans="1:53" x14ac:dyDescent="0.35">
      <c r="A29" s="1">
        <v>28</v>
      </c>
      <c r="B29" s="62">
        <v>8230.4847304692612</v>
      </c>
      <c r="C29" s="62">
        <v>6</v>
      </c>
      <c r="D29" s="62">
        <v>10395.700000000001</v>
      </c>
      <c r="E29" s="62">
        <v>8230.48</v>
      </c>
      <c r="F29" s="62">
        <v>2928.68</v>
      </c>
      <c r="G29" s="62">
        <v>274</v>
      </c>
      <c r="H29" s="62">
        <v>4210.74</v>
      </c>
      <c r="I29" s="62">
        <v>3393.9</v>
      </c>
      <c r="J29" s="62">
        <v>2532.5700000000002</v>
      </c>
      <c r="K29" s="62">
        <v>15</v>
      </c>
      <c r="L29" s="62">
        <v>5</v>
      </c>
      <c r="M29" s="62">
        <f>(C29*$T$18*1000)+T33</f>
        <v>19100</v>
      </c>
      <c r="N29" s="90">
        <f t="shared" si="21"/>
        <v>6685</v>
      </c>
      <c r="O29" s="62">
        <f>$T$38*C29</f>
        <v>213.60000000000002</v>
      </c>
      <c r="P29" s="56">
        <f t="shared" si="3"/>
        <v>2.0546956914878269E-2</v>
      </c>
      <c r="Q29" s="56">
        <f t="shared" si="0"/>
        <v>5340.0000000000009</v>
      </c>
      <c r="R29" s="56"/>
      <c r="S29" s="63" t="s">
        <v>288</v>
      </c>
      <c r="T29" s="4">
        <f>(U21*U17*$T$26)</f>
        <v>2040</v>
      </c>
      <c r="U29" s="46" t="s">
        <v>289</v>
      </c>
      <c r="V29" s="56"/>
      <c r="W29" s="1">
        <v>774.16899999999998</v>
      </c>
      <c r="X29" s="1">
        <f t="shared" si="4"/>
        <v>-5910.8310000000001</v>
      </c>
      <c r="Y29" s="1">
        <f t="shared" si="1"/>
        <v>19354.224999999999</v>
      </c>
      <c r="Z29" s="1">
        <f t="shared" si="5"/>
        <v>12669.224999999999</v>
      </c>
      <c r="AA29" s="1">
        <f t="shared" si="6"/>
        <v>5.3035930378383403E-2</v>
      </c>
      <c r="AB29" s="1">
        <f t="shared" si="7"/>
        <v>8.1001846481755346E-2</v>
      </c>
      <c r="AC29" s="1"/>
      <c r="AD29" s="1"/>
      <c r="AF29" s="18" t="s">
        <v>51</v>
      </c>
      <c r="AG29" s="4">
        <f>AE5-(AG5/AF6)</f>
        <v>26.04749891879483</v>
      </c>
      <c r="AH29" s="4"/>
      <c r="AI29" s="10">
        <f>AE6-(AI6/AH7)</f>
        <v>34.373802893739096</v>
      </c>
      <c r="AJ29" s="10"/>
      <c r="AK29" s="10"/>
      <c r="AL29" s="10">
        <f>AE20-(AL20/AK21)</f>
        <v>42.800241543415723</v>
      </c>
      <c r="AX29">
        <f t="shared" si="11"/>
        <v>2.0350732521592207E-2</v>
      </c>
      <c r="AY29">
        <f t="shared" si="12"/>
        <v>-1289.0732542402136</v>
      </c>
      <c r="AZ29">
        <f t="shared" si="13"/>
        <v>-1417.9805796642352</v>
      </c>
      <c r="BA29">
        <f t="shared" si="14"/>
        <v>-128.90732542402156</v>
      </c>
    </row>
    <row r="30" spans="1:53" ht="15" thickBot="1" x14ac:dyDescent="0.4">
      <c r="A30" s="1">
        <v>29</v>
      </c>
      <c r="B30" s="62">
        <v>3184.1460343074909</v>
      </c>
      <c r="C30" s="62">
        <v>2</v>
      </c>
      <c r="D30" s="62">
        <v>3465.23</v>
      </c>
      <c r="E30" s="62">
        <v>3184.15</v>
      </c>
      <c r="F30" s="62">
        <v>1055.81</v>
      </c>
      <c r="G30" s="62">
        <v>98.489099999999993</v>
      </c>
      <c r="H30" s="62">
        <v>1177.54</v>
      </c>
      <c r="I30" s="62">
        <v>1255.03</v>
      </c>
      <c r="J30" s="62">
        <v>807.74400000000003</v>
      </c>
      <c r="K30" s="62">
        <v>5</v>
      </c>
      <c r="L30" s="62">
        <v>3.3</v>
      </c>
      <c r="M30" s="62">
        <f>(C30*$T$18*1000)+T31</f>
        <v>8896</v>
      </c>
      <c r="N30" s="90">
        <f t="shared" si="21"/>
        <v>3113.6</v>
      </c>
      <c r="O30" s="62">
        <f>$T$38*C30</f>
        <v>71.2</v>
      </c>
      <c r="P30" s="56">
        <f t="shared" si="3"/>
        <v>2.0546976679758633E-2</v>
      </c>
      <c r="Q30" s="56">
        <f t="shared" si="0"/>
        <v>1780</v>
      </c>
      <c r="R30" s="56"/>
      <c r="S30" s="63" t="s">
        <v>288</v>
      </c>
      <c r="T30" s="4">
        <f>(U22*U17*$T$26)</f>
        <v>3400</v>
      </c>
      <c r="U30" s="46" t="s">
        <v>296</v>
      </c>
      <c r="V30" s="56"/>
      <c r="W30" s="1">
        <v>270.46199999999999</v>
      </c>
      <c r="X30" s="1">
        <f t="shared" si="4"/>
        <v>-2843.1379999999999</v>
      </c>
      <c r="Y30" s="1">
        <f t="shared" si="1"/>
        <v>6761.5499999999993</v>
      </c>
      <c r="Z30" s="1">
        <f t="shared" si="5"/>
        <v>3647.9499999999994</v>
      </c>
      <c r="AA30" s="1">
        <f t="shared" si="6"/>
        <v>5.9660760613693888E-2</v>
      </c>
      <c r="AB30" s="1">
        <f t="shared" si="7"/>
        <v>9.3329192803789901E-2</v>
      </c>
      <c r="AC30" s="1"/>
      <c r="AD30" s="1"/>
      <c r="AF30" s="4"/>
      <c r="AG30" s="4"/>
      <c r="AH30" s="4"/>
      <c r="AI30" s="4"/>
      <c r="AJ30" s="4"/>
      <c r="AK30" s="4"/>
      <c r="AL30" s="4"/>
      <c r="AQ30" t="s">
        <v>6</v>
      </c>
      <c r="AX30">
        <f t="shared" si="11"/>
        <v>7.8731334029442709E-3</v>
      </c>
      <c r="AY30">
        <f t="shared" si="12"/>
        <v>-498.70665274738985</v>
      </c>
      <c r="AZ30">
        <f t="shared" si="13"/>
        <v>-548.57731802212891</v>
      </c>
      <c r="BA30">
        <f t="shared" si="14"/>
        <v>-49.870665274739054</v>
      </c>
    </row>
    <row r="31" spans="1:53" ht="15" customHeight="1" thickBot="1" x14ac:dyDescent="0.4">
      <c r="A31" s="1">
        <v>30</v>
      </c>
      <c r="B31" s="62">
        <v>2455.556329062375</v>
      </c>
      <c r="C31" s="62">
        <v>2</v>
      </c>
      <c r="D31" s="62">
        <v>3465.23</v>
      </c>
      <c r="E31" s="62">
        <v>2455.56</v>
      </c>
      <c r="F31" s="62">
        <v>981.01199999999994</v>
      </c>
      <c r="G31" s="62">
        <v>91.956100000000006</v>
      </c>
      <c r="H31" s="62">
        <v>1498.17</v>
      </c>
      <c r="I31" s="62">
        <v>1029.33</v>
      </c>
      <c r="J31" s="62">
        <v>829.81899999999996</v>
      </c>
      <c r="K31" s="62">
        <v>5</v>
      </c>
      <c r="L31" s="62">
        <v>1.2</v>
      </c>
      <c r="M31" s="62">
        <f>(C31*$T$18*1000)+T29</f>
        <v>7240</v>
      </c>
      <c r="N31" s="90">
        <f t="shared" si="21"/>
        <v>2534</v>
      </c>
      <c r="O31" s="62">
        <f>$T$38*C31</f>
        <v>71.2</v>
      </c>
      <c r="P31" s="56">
        <f t="shared" si="3"/>
        <v>2.0546976679758633E-2</v>
      </c>
      <c r="Q31" s="56">
        <f t="shared" si="0"/>
        <v>1780</v>
      </c>
      <c r="R31" s="56"/>
      <c r="S31" s="63" t="s">
        <v>288</v>
      </c>
      <c r="T31" s="4">
        <f>(U23*U18*$T$26)</f>
        <v>3696</v>
      </c>
      <c r="U31" s="46" t="s">
        <v>290</v>
      </c>
      <c r="V31" s="56"/>
      <c r="W31" s="1">
        <v>253.29300000000001</v>
      </c>
      <c r="X31" s="1">
        <f t="shared" si="4"/>
        <v>-2280.7069999999999</v>
      </c>
      <c r="Y31" s="1">
        <f t="shared" si="1"/>
        <v>6332.3249999999998</v>
      </c>
      <c r="Z31" s="1">
        <f t="shared" si="5"/>
        <v>3798.3249999999998</v>
      </c>
      <c r="AA31" s="1">
        <f t="shared" si="6"/>
        <v>6.1824791731430899E-2</v>
      </c>
      <c r="AB31" s="1">
        <f t="shared" si="7"/>
        <v>9.7355982458718029E-2</v>
      </c>
      <c r="AC31" s="1"/>
      <c r="AF31" s="4" t="s">
        <v>53</v>
      </c>
      <c r="AG31" s="9">
        <f>IRR(AF2:AF27)</f>
        <v>-3.1327724823480008E-3</v>
      </c>
      <c r="AH31" s="4"/>
      <c r="AI31" s="100" t="s">
        <v>54</v>
      </c>
      <c r="AJ31" s="101"/>
      <c r="AK31" s="101"/>
      <c r="AL31" s="102"/>
      <c r="AX31">
        <f t="shared" si="11"/>
        <v>6.0716193129492719E-3</v>
      </c>
      <c r="AY31">
        <f t="shared" si="12"/>
        <v>-384.59362865425226</v>
      </c>
      <c r="AZ31">
        <f t="shared" si="13"/>
        <v>-423.05299151967751</v>
      </c>
      <c r="BA31">
        <f t="shared" si="14"/>
        <v>-38.459362865425248</v>
      </c>
    </row>
    <row r="32" spans="1:53" ht="15" thickBot="1" x14ac:dyDescent="0.4">
      <c r="A32" s="1">
        <v>31</v>
      </c>
      <c r="B32" s="1">
        <v>1553.515228702383</v>
      </c>
      <c r="C32" s="1">
        <v>2</v>
      </c>
      <c r="D32" s="1">
        <v>3465.23</v>
      </c>
      <c r="E32" s="1">
        <v>1553.52</v>
      </c>
      <c r="F32" s="1">
        <v>992.22699999999998</v>
      </c>
      <c r="G32" s="1">
        <v>92.273499999999999</v>
      </c>
      <c r="H32" s="1">
        <v>1784.82</v>
      </c>
      <c r="I32" s="1">
        <v>688.178</v>
      </c>
      <c r="J32" s="1">
        <v>865.33699999999999</v>
      </c>
      <c r="K32" s="1">
        <v>5</v>
      </c>
      <c r="L32" s="1">
        <v>0</v>
      </c>
      <c r="M32" s="1">
        <f>C32*$T$18*1000</f>
        <v>5200</v>
      </c>
      <c r="N32" s="90">
        <f t="shared" si="21"/>
        <v>1819.9999999999998</v>
      </c>
      <c r="O32" s="1">
        <f>$T$19*C32</f>
        <v>53</v>
      </c>
      <c r="P32" s="4">
        <f t="shared" si="3"/>
        <v>1.5294800056561902E-2</v>
      </c>
      <c r="Q32" s="4">
        <f t="shared" si="0"/>
        <v>1325</v>
      </c>
      <c r="R32" s="4"/>
      <c r="S32" s="63" t="s">
        <v>288</v>
      </c>
      <c r="T32" s="4">
        <f>(U24*U18*$T$26)</f>
        <v>4704</v>
      </c>
      <c r="U32" s="46" t="s">
        <v>291</v>
      </c>
      <c r="V32" s="4"/>
      <c r="W32" s="1">
        <v>220.10300000000001</v>
      </c>
      <c r="X32" s="1">
        <f t="shared" si="4"/>
        <v>-1599.8969999999997</v>
      </c>
      <c r="Y32" s="1">
        <f t="shared" si="1"/>
        <v>5502.5749999999998</v>
      </c>
      <c r="Z32" s="1">
        <f t="shared" si="5"/>
        <v>3682.5749999999998</v>
      </c>
      <c r="AA32" s="1">
        <f t="shared" si="6"/>
        <v>6.2156265367596053E-2</v>
      </c>
      <c r="AB32" s="1">
        <f t="shared" si="7"/>
        <v>0.10249376045163025</v>
      </c>
      <c r="AC32" s="1"/>
      <c r="AD32" t="s">
        <v>6</v>
      </c>
      <c r="AF32" s="4"/>
      <c r="AG32" s="8"/>
      <c r="AH32" s="4"/>
      <c r="AI32" s="103"/>
      <c r="AJ32" s="104"/>
      <c r="AK32" s="104"/>
      <c r="AL32" s="105"/>
      <c r="AX32">
        <f t="shared" si="11"/>
        <v>3.841228545203777E-3</v>
      </c>
      <c r="AY32">
        <f t="shared" si="12"/>
        <v>-243.31433651307347</v>
      </c>
      <c r="AZ32">
        <f t="shared" si="13"/>
        <v>-267.64577016438085</v>
      </c>
      <c r="BA32">
        <f t="shared" si="14"/>
        <v>-24.331433651307378</v>
      </c>
    </row>
    <row r="33" spans="1:53" x14ac:dyDescent="0.35">
      <c r="A33" s="1">
        <v>32</v>
      </c>
      <c r="B33" s="62">
        <v>14627.53150971361</v>
      </c>
      <c r="C33" s="62">
        <v>10</v>
      </c>
      <c r="D33" s="62">
        <v>17326.099999999999</v>
      </c>
      <c r="E33" s="62">
        <v>14627.5</v>
      </c>
      <c r="F33" s="62">
        <v>6319.47</v>
      </c>
      <c r="G33" s="62">
        <v>606.04600000000005</v>
      </c>
      <c r="H33" s="62">
        <v>5835.93</v>
      </c>
      <c r="I33" s="62">
        <v>5167.72</v>
      </c>
      <c r="J33" s="62">
        <v>4764.6000000000004</v>
      </c>
      <c r="K33" s="62">
        <v>25</v>
      </c>
      <c r="L33" s="62">
        <f>19.4</f>
        <v>19.399999999999999</v>
      </c>
      <c r="M33" s="62">
        <f>(C33*$T$18*1000)+T37</f>
        <v>42000</v>
      </c>
      <c r="N33" s="90">
        <f t="shared" si="21"/>
        <v>14699.999999999998</v>
      </c>
      <c r="O33" s="62">
        <f>$T$38*C33</f>
        <v>356</v>
      </c>
      <c r="P33" s="56">
        <f t="shared" si="3"/>
        <v>2.0547035974627877E-2</v>
      </c>
      <c r="Q33" s="56">
        <f t="shared" si="0"/>
        <v>8900</v>
      </c>
      <c r="R33" s="56"/>
      <c r="S33" s="63" t="s">
        <v>288</v>
      </c>
      <c r="T33" s="4">
        <f>(U25*U19*$T$26)</f>
        <v>3500</v>
      </c>
      <c r="U33" s="46" t="s">
        <v>293</v>
      </c>
      <c r="V33" s="56"/>
      <c r="W33" s="1">
        <v>1176.7</v>
      </c>
      <c r="X33" s="1">
        <f t="shared" si="4"/>
        <v>-13523.299999999997</v>
      </c>
      <c r="Y33" s="1">
        <f t="shared" si="1"/>
        <v>29417.5</v>
      </c>
      <c r="Z33" s="1">
        <f t="shared" si="5"/>
        <v>14717.500000000002</v>
      </c>
      <c r="AA33" s="1">
        <f t="shared" si="6"/>
        <v>6.0745206090312164E-2</v>
      </c>
      <c r="AB33" s="1">
        <f t="shared" si="7"/>
        <v>9.5347058137964291E-2</v>
      </c>
      <c r="AC33" s="1"/>
      <c r="AX33">
        <f t="shared" si="11"/>
        <v>3.6168098350675297E-2</v>
      </c>
      <c r="AY33">
        <f t="shared" si="12"/>
        <v>-2290.9901739958291</v>
      </c>
      <c r="AZ33">
        <f t="shared" si="13"/>
        <v>-2520.0891913954124</v>
      </c>
      <c r="BA33">
        <f t="shared" si="14"/>
        <v>-229.09901739958332</v>
      </c>
    </row>
    <row r="34" spans="1:53" x14ac:dyDescent="0.35">
      <c r="A34" s="1">
        <v>33</v>
      </c>
      <c r="B34" s="62">
        <v>4264.5516094210579</v>
      </c>
      <c r="C34" s="62">
        <v>4</v>
      </c>
      <c r="D34" s="62">
        <v>6930.46</v>
      </c>
      <c r="E34" s="62">
        <v>4264.55</v>
      </c>
      <c r="F34" s="62">
        <v>2602.7800000000002</v>
      </c>
      <c r="G34" s="62">
        <v>255.268</v>
      </c>
      <c r="H34" s="62">
        <v>2529.48</v>
      </c>
      <c r="I34" s="62">
        <v>1820.92</v>
      </c>
      <c r="J34" s="62">
        <v>1578.24</v>
      </c>
      <c r="K34" s="62">
        <v>10</v>
      </c>
      <c r="L34" s="62">
        <v>6</v>
      </c>
      <c r="M34" s="62">
        <f>(C34*$T$18*1000)+T34</f>
        <v>14600</v>
      </c>
      <c r="N34" s="90">
        <f t="shared" si="21"/>
        <v>5110</v>
      </c>
      <c r="O34" s="62">
        <f>$T$38*C34</f>
        <v>142.4</v>
      </c>
      <c r="P34" s="56">
        <f t="shared" si="3"/>
        <v>2.0546976679758633E-2</v>
      </c>
      <c r="Q34" s="56">
        <f t="shared" si="0"/>
        <v>3560</v>
      </c>
      <c r="R34" s="56"/>
      <c r="S34" s="63" t="s">
        <v>288</v>
      </c>
      <c r="T34" s="4">
        <f>(U26*U19*$T$26)</f>
        <v>4200</v>
      </c>
      <c r="U34" s="46" t="s">
        <v>292</v>
      </c>
      <c r="V34" s="56"/>
      <c r="W34" s="1">
        <v>513.029</v>
      </c>
      <c r="X34" s="1">
        <f t="shared" si="4"/>
        <v>-4596.9709999999995</v>
      </c>
      <c r="Y34" s="1">
        <f t="shared" si="1"/>
        <v>12825.725</v>
      </c>
      <c r="Z34" s="1">
        <f t="shared" si="5"/>
        <v>7715.7250000000004</v>
      </c>
      <c r="AA34" s="1">
        <f t="shared" si="6"/>
        <v>6.8476986378421589E-2</v>
      </c>
      <c r="AB34" s="1">
        <f t="shared" si="7"/>
        <v>0.10973426499241938</v>
      </c>
      <c r="AC34" s="1"/>
      <c r="AX34">
        <f t="shared" si="11"/>
        <v>1.0544548950630927E-2</v>
      </c>
      <c r="AY34">
        <f t="shared" si="12"/>
        <v>-667.92170826593758</v>
      </c>
      <c r="AZ34">
        <f t="shared" si="13"/>
        <v>-734.71387909253144</v>
      </c>
      <c r="BA34">
        <f t="shared" si="14"/>
        <v>-66.792170826593861</v>
      </c>
    </row>
    <row r="35" spans="1:53" x14ac:dyDescent="0.35">
      <c r="A35" s="1">
        <v>34</v>
      </c>
      <c r="B35" s="1">
        <v>5041.8344142687847</v>
      </c>
      <c r="C35" s="1">
        <v>4</v>
      </c>
      <c r="D35" s="1">
        <v>7106.6</v>
      </c>
      <c r="E35" s="1">
        <v>5041.83</v>
      </c>
      <c r="F35" s="1">
        <v>1667.85</v>
      </c>
      <c r="G35" s="1">
        <v>152.785</v>
      </c>
      <c r="H35" s="1">
        <v>3300.83</v>
      </c>
      <c r="I35" s="1">
        <v>2137.92</v>
      </c>
      <c r="J35" s="1">
        <v>2903.92</v>
      </c>
      <c r="K35" s="1">
        <v>10</v>
      </c>
      <c r="L35" s="1">
        <v>0</v>
      </c>
      <c r="M35" s="1">
        <f>C35*$T$18*1000</f>
        <v>10400</v>
      </c>
      <c r="N35" s="91">
        <f>(M35*(1-$T$56))</f>
        <v>2600</v>
      </c>
      <c r="O35" s="1">
        <f>$T$19*C35</f>
        <v>106</v>
      </c>
      <c r="P35" s="4">
        <f t="shared" si="3"/>
        <v>1.4915712154898262E-2</v>
      </c>
      <c r="Q35" s="4">
        <f t="shared" si="0"/>
        <v>2650</v>
      </c>
      <c r="R35" s="4"/>
      <c r="S35" s="63" t="s">
        <v>288</v>
      </c>
      <c r="T35" s="4">
        <f xml:space="preserve"> 8000 *T26</f>
        <v>8000</v>
      </c>
      <c r="U35" s="46" t="s">
        <v>294</v>
      </c>
      <c r="V35" s="4"/>
      <c r="W35" s="1">
        <v>321.40800000000002</v>
      </c>
      <c r="X35" s="1">
        <f t="shared" si="4"/>
        <v>-2278.5920000000001</v>
      </c>
      <c r="Y35" s="1">
        <f t="shared" si="1"/>
        <v>8035.2000000000007</v>
      </c>
      <c r="Z35" s="1">
        <f t="shared" si="5"/>
        <v>5435.2000000000007</v>
      </c>
      <c r="AA35" s="1">
        <f t="shared" si="6"/>
        <v>3.5543125007980444E-2</v>
      </c>
      <c r="AB35" s="1">
        <f t="shared" si="7"/>
        <v>5.3298825966858226E-2</v>
      </c>
      <c r="AC35" s="1"/>
      <c r="AX35">
        <f t="shared" si="11"/>
        <v>1.2466461811550257E-2</v>
      </c>
      <c r="AY35">
        <f t="shared" si="12"/>
        <v>-789.66113279833598</v>
      </c>
      <c r="AZ35">
        <f t="shared" si="13"/>
        <v>-868.62724607816961</v>
      </c>
      <c r="BA35">
        <f t="shared" si="14"/>
        <v>-78.966113279833621</v>
      </c>
    </row>
    <row r="36" spans="1:53" x14ac:dyDescent="0.35">
      <c r="A36" s="1">
        <v>35</v>
      </c>
      <c r="B36" s="62">
        <v>1680.154057549307</v>
      </c>
      <c r="C36" s="62">
        <v>2</v>
      </c>
      <c r="D36" s="62">
        <v>3553.3</v>
      </c>
      <c r="E36" s="62">
        <v>1680.15</v>
      </c>
      <c r="F36" s="62">
        <v>1252.81</v>
      </c>
      <c r="G36" s="62">
        <v>122.58499999999999</v>
      </c>
      <c r="H36" s="62">
        <v>1604.06</v>
      </c>
      <c r="I36" s="62">
        <v>745.89400000000001</v>
      </c>
      <c r="J36" s="62">
        <v>657.86699999999996</v>
      </c>
      <c r="K36" s="62">
        <v>5</v>
      </c>
      <c r="L36" s="62">
        <v>1.2</v>
      </c>
      <c r="M36" s="62">
        <f>(C36*$T$18*1000)+T29</f>
        <v>7240</v>
      </c>
      <c r="N36" s="91">
        <f t="shared" ref="N36:N46" si="22">(M36*(1-$T$56))</f>
        <v>1810</v>
      </c>
      <c r="O36" s="62">
        <f>$T$38*C36</f>
        <v>71.2</v>
      </c>
      <c r="P36" s="56">
        <f t="shared" si="3"/>
        <v>2.0037711423184081E-2</v>
      </c>
      <c r="Q36" s="56">
        <f t="shared" si="0"/>
        <v>1780</v>
      </c>
      <c r="R36" s="56"/>
      <c r="S36" s="63" t="s">
        <v>288</v>
      </c>
      <c r="T36" s="4">
        <f>7300*T26</f>
        <v>7300</v>
      </c>
      <c r="U36" s="46" t="s">
        <v>295</v>
      </c>
      <c r="V36" s="56"/>
      <c r="W36" s="1">
        <v>275.78899999999999</v>
      </c>
      <c r="X36" s="1">
        <f t="shared" si="4"/>
        <v>-1534.211</v>
      </c>
      <c r="Y36" s="1">
        <f t="shared" si="1"/>
        <v>6894.7249999999995</v>
      </c>
      <c r="Z36" s="1">
        <f t="shared" si="5"/>
        <v>5084.7249999999995</v>
      </c>
      <c r="AA36" s="1">
        <f t="shared" si="6"/>
        <v>6.3128998007703316E-2</v>
      </c>
      <c r="AB36" s="1">
        <f t="shared" si="7"/>
        <v>0.1002211919719939</v>
      </c>
      <c r="AC36" s="1"/>
      <c r="AX36">
        <f t="shared" si="11"/>
        <v>4.1543562669733927E-3</v>
      </c>
      <c r="AY36">
        <f t="shared" si="12"/>
        <v>-263.14873661961087</v>
      </c>
      <c r="AZ36">
        <f t="shared" si="13"/>
        <v>-289.46361028157196</v>
      </c>
      <c r="BA36">
        <f t="shared" si="14"/>
        <v>-26.314873661961087</v>
      </c>
    </row>
    <row r="37" spans="1:53" x14ac:dyDescent="0.35">
      <c r="A37" s="1">
        <v>36</v>
      </c>
      <c r="B37" s="1">
        <v>5659.8657296841702</v>
      </c>
      <c r="C37" s="1">
        <v>4</v>
      </c>
      <c r="D37" s="1">
        <v>7106.6</v>
      </c>
      <c r="E37" s="1">
        <v>5659.87</v>
      </c>
      <c r="F37" s="1">
        <v>1537.84</v>
      </c>
      <c r="G37" s="1">
        <v>139.857</v>
      </c>
      <c r="H37" s="1">
        <v>3205.84</v>
      </c>
      <c r="I37" s="1">
        <v>2362.91</v>
      </c>
      <c r="J37" s="1">
        <v>3296.95</v>
      </c>
      <c r="K37" s="1">
        <v>10</v>
      </c>
      <c r="L37" s="1">
        <v>0</v>
      </c>
      <c r="M37" s="1">
        <f>C37*$T$18*1000</f>
        <v>10400</v>
      </c>
      <c r="N37" s="91">
        <f t="shared" si="22"/>
        <v>2600</v>
      </c>
      <c r="O37" s="1">
        <f>$T$19*C37</f>
        <v>106</v>
      </c>
      <c r="P37" s="4">
        <f t="shared" si="3"/>
        <v>1.4915712154898262E-2</v>
      </c>
      <c r="Q37" s="4">
        <f t="shared" si="0"/>
        <v>2650</v>
      </c>
      <c r="R37" s="4"/>
      <c r="S37" s="63" t="s">
        <v>288</v>
      </c>
      <c r="T37" s="4">
        <f>16000*T26</f>
        <v>16000</v>
      </c>
      <c r="U37" s="46" t="s">
        <v>297</v>
      </c>
      <c r="V37" s="4"/>
      <c r="W37" s="1">
        <v>274.303</v>
      </c>
      <c r="X37" s="1">
        <f t="shared" si="4"/>
        <v>-2325.6970000000001</v>
      </c>
      <c r="Y37" s="1">
        <f t="shared" si="1"/>
        <v>6857.5749999999998</v>
      </c>
      <c r="Z37" s="1">
        <f t="shared" si="5"/>
        <v>4257.5749999999998</v>
      </c>
      <c r="AA37" s="1">
        <f t="shared" si="6"/>
        <v>3.3290706362720815E-2</v>
      </c>
      <c r="AB37" s="1">
        <f t="shared" si="7"/>
        <v>4.9107566411966314E-2</v>
      </c>
      <c r="AC37" s="1"/>
      <c r="AX37">
        <f t="shared" si="11"/>
        <v>1.399460874358025E-2</v>
      </c>
      <c r="AY37">
        <f t="shared" si="12"/>
        <v>-886.45830393402048</v>
      </c>
      <c r="AZ37">
        <f t="shared" si="13"/>
        <v>-975.10413432742257</v>
      </c>
      <c r="BA37">
        <f t="shared" si="14"/>
        <v>-88.645830393402093</v>
      </c>
    </row>
    <row r="38" spans="1:53" x14ac:dyDescent="0.35">
      <c r="A38" s="1">
        <v>37</v>
      </c>
      <c r="B38" s="62">
        <v>7074.8321611913698</v>
      </c>
      <c r="C38" s="62">
        <v>6</v>
      </c>
      <c r="D38" s="62">
        <v>10659.9</v>
      </c>
      <c r="E38" s="62">
        <v>7074.83</v>
      </c>
      <c r="F38" s="62">
        <v>3404.59</v>
      </c>
      <c r="G38" s="62">
        <v>327.08699999999999</v>
      </c>
      <c r="H38" s="62">
        <v>4373.93</v>
      </c>
      <c r="I38" s="62">
        <v>3025.14</v>
      </c>
      <c r="J38" s="62">
        <v>2437.81</v>
      </c>
      <c r="K38" s="62">
        <v>15</v>
      </c>
      <c r="L38" s="62">
        <v>5</v>
      </c>
      <c r="M38" s="62">
        <f>(C38*$T$18*1000)+T33</f>
        <v>19100</v>
      </c>
      <c r="N38" s="91">
        <f t="shared" si="22"/>
        <v>4775</v>
      </c>
      <c r="O38" s="62">
        <f>$T$38*C38</f>
        <v>213.60000000000002</v>
      </c>
      <c r="P38" s="56">
        <f t="shared" si="3"/>
        <v>2.0037711423184085E-2</v>
      </c>
      <c r="Q38" s="56">
        <f t="shared" si="0"/>
        <v>5340.0000000000009</v>
      </c>
      <c r="R38" s="56"/>
      <c r="S38" s="65" t="s">
        <v>248</v>
      </c>
      <c r="T38" s="1">
        <v>35.6</v>
      </c>
      <c r="U38" s="30"/>
      <c r="V38" s="56"/>
      <c r="W38" s="1">
        <v>798.74900000000002</v>
      </c>
      <c r="X38" s="1">
        <f t="shared" si="4"/>
        <v>-3976.2510000000002</v>
      </c>
      <c r="Y38" s="1">
        <f t="shared" si="1"/>
        <v>19968.725000000002</v>
      </c>
      <c r="Z38" s="1">
        <f t="shared" si="5"/>
        <v>15193.725000000002</v>
      </c>
      <c r="AA38" s="1">
        <f t="shared" si="6"/>
        <v>4.7034818301241309E-2</v>
      </c>
      <c r="AB38" s="1">
        <f t="shared" si="7"/>
        <v>7.0273435761211381E-2</v>
      </c>
      <c r="AC38" s="1"/>
      <c r="AD38" s="1" t="s">
        <v>287</v>
      </c>
      <c r="AE38" s="1">
        <v>0</v>
      </c>
      <c r="AF38">
        <f>-AD41</f>
        <v>-15950</v>
      </c>
      <c r="AG38">
        <f>AF38</f>
        <v>-15950</v>
      </c>
      <c r="AI38">
        <f>AF38</f>
        <v>-15950</v>
      </c>
      <c r="AJ38">
        <f>AF38</f>
        <v>-15950</v>
      </c>
      <c r="AL38">
        <f>AF38</f>
        <v>-15950</v>
      </c>
      <c r="AX38">
        <f t="shared" si="11"/>
        <v>1.7493260927215738E-2</v>
      </c>
      <c r="AY38">
        <f t="shared" si="12"/>
        <v>-1108.0728797743977</v>
      </c>
      <c r="AZ38">
        <f t="shared" si="13"/>
        <v>-1218.8801677518377</v>
      </c>
      <c r="BA38">
        <f t="shared" si="14"/>
        <v>-110.80728797743996</v>
      </c>
    </row>
    <row r="39" spans="1:53" x14ac:dyDescent="0.35">
      <c r="A39" s="1">
        <v>38</v>
      </c>
      <c r="B39" s="1">
        <v>1036.155497852058</v>
      </c>
      <c r="C39" s="1">
        <v>2</v>
      </c>
      <c r="D39" s="1">
        <v>3553.3</v>
      </c>
      <c r="E39" s="1">
        <v>1036.1600000000001</v>
      </c>
      <c r="F39" s="1">
        <v>1206.4100000000001</v>
      </c>
      <c r="G39" s="1">
        <v>115.129</v>
      </c>
      <c r="H39" s="1">
        <v>1906.9</v>
      </c>
      <c r="I39" s="1">
        <v>439.99</v>
      </c>
      <c r="J39" s="1">
        <v>596.16499999999996</v>
      </c>
      <c r="K39" s="1">
        <v>5</v>
      </c>
      <c r="L39" s="1">
        <v>0</v>
      </c>
      <c r="M39" s="1">
        <f>C39*$T$18*1000</f>
        <v>5200</v>
      </c>
      <c r="N39" s="91">
        <f t="shared" si="22"/>
        <v>1300</v>
      </c>
      <c r="O39" s="1">
        <f>$T$19*C39</f>
        <v>53</v>
      </c>
      <c r="P39" s="4">
        <f t="shared" si="3"/>
        <v>1.4915712154898262E-2</v>
      </c>
      <c r="Q39" s="4">
        <f t="shared" si="0"/>
        <v>1325</v>
      </c>
      <c r="R39" s="4"/>
      <c r="S39" s="68" t="s">
        <v>260</v>
      </c>
      <c r="T39" s="1">
        <v>220</v>
      </c>
      <c r="U39" s="78">
        <f>T39*T15</f>
        <v>9900</v>
      </c>
      <c r="V39" s="4"/>
      <c r="W39" s="1">
        <v>256.82299999999998</v>
      </c>
      <c r="X39" s="1">
        <f t="shared" si="4"/>
        <v>-1043.1770000000001</v>
      </c>
      <c r="Y39" s="1">
        <f t="shared" si="1"/>
        <v>6420.5749999999998</v>
      </c>
      <c r="Z39" s="1">
        <f t="shared" si="5"/>
        <v>5120.5749999999998</v>
      </c>
      <c r="AA39" s="1">
        <f t="shared" si="6"/>
        <v>6.5101229780192518E-2</v>
      </c>
      <c r="AB39" s="1">
        <f t="shared" si="7"/>
        <v>0.10830000850091163</v>
      </c>
      <c r="AC39" s="1"/>
      <c r="AD39" s="1"/>
      <c r="AE39" s="1">
        <v>1</v>
      </c>
      <c r="AF39">
        <f>AD44</f>
        <v>5518.0024700000031</v>
      </c>
      <c r="AG39">
        <f>AG38+AF39</f>
        <v>-10431.997529999997</v>
      </c>
      <c r="AH39">
        <f t="shared" ref="AH39:AH63" si="23">AF39/(1+$T$20)^AE39</f>
        <v>5200.7563336475059</v>
      </c>
      <c r="AI39">
        <f>AI38+AH39</f>
        <v>-10749.243666352493</v>
      </c>
      <c r="AJ39">
        <f>$AD$44*((1+$T$44)^AE39)</f>
        <v>5655.9525317500029</v>
      </c>
      <c r="AK39">
        <f t="shared" ref="AK39:AK63" si="24">AJ39/(1+$T$20)^AE39</f>
        <v>5330.7752419886929</v>
      </c>
      <c r="AL39">
        <f>AL38+AK39</f>
        <v>-10619.224758011307</v>
      </c>
      <c r="AX39">
        <f t="shared" si="11"/>
        <v>2.562002613224239E-3</v>
      </c>
      <c r="AY39">
        <f t="shared" si="12"/>
        <v>-162.2845291930804</v>
      </c>
      <c r="AZ39">
        <f t="shared" si="13"/>
        <v>-178.51298211238847</v>
      </c>
      <c r="BA39">
        <f t="shared" si="14"/>
        <v>-16.228452919308069</v>
      </c>
    </row>
    <row r="40" spans="1:53" ht="29" x14ac:dyDescent="0.35">
      <c r="A40" s="1">
        <v>39</v>
      </c>
      <c r="B40" s="62">
        <v>1397.7981728371551</v>
      </c>
      <c r="C40" s="62">
        <v>2</v>
      </c>
      <c r="D40" s="62">
        <v>3553.3</v>
      </c>
      <c r="E40" s="62">
        <v>1397.8</v>
      </c>
      <c r="F40" s="62">
        <v>1337.82</v>
      </c>
      <c r="G40" s="62">
        <v>132.495</v>
      </c>
      <c r="H40" s="62">
        <v>1638.51</v>
      </c>
      <c r="I40" s="62">
        <v>629.24800000000005</v>
      </c>
      <c r="J40" s="62">
        <v>605.05899999999997</v>
      </c>
      <c r="K40" s="62">
        <v>5</v>
      </c>
      <c r="L40" s="62">
        <v>1.2</v>
      </c>
      <c r="M40" s="62">
        <f>(C40*$T$18*1000)+T29</f>
        <v>7240</v>
      </c>
      <c r="N40" s="91">
        <f t="shared" si="22"/>
        <v>1810</v>
      </c>
      <c r="O40" s="62">
        <f>$T$38*C40</f>
        <v>71.2</v>
      </c>
      <c r="P40" s="56">
        <f t="shared" si="3"/>
        <v>2.0037711423184081E-2</v>
      </c>
      <c r="Q40" s="56">
        <f t="shared" si="0"/>
        <v>1780</v>
      </c>
      <c r="R40" s="56"/>
      <c r="S40" s="68" t="s">
        <v>261</v>
      </c>
      <c r="T40" s="1">
        <v>165</v>
      </c>
      <c r="U40" s="78">
        <f>T40*T15</f>
        <v>7425</v>
      </c>
      <c r="V40" s="56"/>
      <c r="W40" s="1">
        <v>278.79599999999999</v>
      </c>
      <c r="X40" s="1">
        <f t="shared" si="4"/>
        <v>-1531.204</v>
      </c>
      <c r="Y40" s="1">
        <f t="shared" si="1"/>
        <v>6969.9</v>
      </c>
      <c r="Z40" s="1">
        <f t="shared" si="5"/>
        <v>5159.8999999999996</v>
      </c>
      <c r="AA40" s="1">
        <f t="shared" si="6"/>
        <v>7.1833458053076601E-2</v>
      </c>
      <c r="AB40" s="1">
        <f t="shared" si="7"/>
        <v>0.11641829254746908</v>
      </c>
      <c r="AC40" s="1"/>
      <c r="AD40" s="6" t="s">
        <v>285</v>
      </c>
      <c r="AE40" s="1">
        <f>AE39+1</f>
        <v>2</v>
      </c>
      <c r="AF40">
        <f>AF39</f>
        <v>5518.0024700000031</v>
      </c>
      <c r="AG40">
        <f>AG39+AF40</f>
        <v>-4913.9950599999938</v>
      </c>
      <c r="AH40">
        <f t="shared" si="23"/>
        <v>4901.7496075848303</v>
      </c>
      <c r="AI40">
        <f t="shared" ref="AI40:AI63" si="25">AI39+AH40</f>
        <v>-5847.4940587676629</v>
      </c>
      <c r="AJ40">
        <f t="shared" ref="AJ40:AJ63" si="26">$AD$44*((1+$T$44)^AE40)</f>
        <v>5797.3513450437531</v>
      </c>
      <c r="AK40">
        <f t="shared" si="24"/>
        <v>5149.9006814688128</v>
      </c>
      <c r="AL40">
        <f>AL39+AK40</f>
        <v>-5469.3240765424944</v>
      </c>
      <c r="AX40">
        <f t="shared" si="11"/>
        <v>3.4562018722021732E-3</v>
      </c>
      <c r="AY40">
        <f t="shared" si="12"/>
        <v>-218.92565242964528</v>
      </c>
      <c r="AZ40">
        <f t="shared" si="13"/>
        <v>-240.81821767260982</v>
      </c>
      <c r="BA40">
        <f t="shared" si="14"/>
        <v>-21.892565242964537</v>
      </c>
    </row>
    <row r="41" spans="1:53" x14ac:dyDescent="0.35">
      <c r="A41" s="1">
        <v>40</v>
      </c>
      <c r="B41" s="62">
        <v>2769.3097556877569</v>
      </c>
      <c r="C41" s="62">
        <v>2</v>
      </c>
      <c r="D41" s="62">
        <v>3553.3</v>
      </c>
      <c r="E41" s="62">
        <v>2769.31</v>
      </c>
      <c r="F41" s="62">
        <v>1224.25</v>
      </c>
      <c r="G41" s="62">
        <v>117.764</v>
      </c>
      <c r="H41" s="62">
        <v>1185.83</v>
      </c>
      <c r="I41" s="62">
        <v>1159.6300000000001</v>
      </c>
      <c r="J41" s="62">
        <v>850.86400000000003</v>
      </c>
      <c r="K41" s="62">
        <v>5</v>
      </c>
      <c r="L41" s="62">
        <v>3.3</v>
      </c>
      <c r="M41" s="62">
        <f>(C41*$T$18*1000)+T31</f>
        <v>8896</v>
      </c>
      <c r="N41" s="91">
        <f t="shared" si="22"/>
        <v>2224</v>
      </c>
      <c r="O41" s="62">
        <f>$T$38*C41</f>
        <v>71.2</v>
      </c>
      <c r="P41" s="56">
        <f t="shared" si="3"/>
        <v>2.0037711423184081E-2</v>
      </c>
      <c r="Q41" s="56">
        <f t="shared" si="0"/>
        <v>1780</v>
      </c>
      <c r="R41" s="56"/>
      <c r="S41" s="65" t="s">
        <v>250</v>
      </c>
      <c r="T41" s="1">
        <v>3.1E-2</v>
      </c>
      <c r="U41" s="30"/>
      <c r="V41" s="56"/>
      <c r="W41" s="1">
        <v>268.85399999999998</v>
      </c>
      <c r="X41" s="1">
        <f t="shared" si="4"/>
        <v>-1955.146</v>
      </c>
      <c r="Y41" s="1">
        <f t="shared" si="1"/>
        <v>6721.3499999999995</v>
      </c>
      <c r="Z41" s="1">
        <f t="shared" si="5"/>
        <v>4497.3499999999995</v>
      </c>
      <c r="AA41" s="1">
        <f t="shared" si="6"/>
        <v>5.2161239611856078E-2</v>
      </c>
      <c r="AB41" s="1">
        <f t="shared" si="7"/>
        <v>7.981258708449436E-2</v>
      </c>
      <c r="AC41" s="1"/>
      <c r="AD41" s="1">
        <f>(U10*55/99)</f>
        <v>15950</v>
      </c>
      <c r="AE41" s="1">
        <f t="shared" ref="AE41:AE55" si="27">AE40+1</f>
        <v>3</v>
      </c>
      <c r="AF41">
        <f t="shared" ref="AF41:AF63" si="28">AF40</f>
        <v>5518.0024700000031</v>
      </c>
      <c r="AG41">
        <f t="shared" ref="AG41:AG63" si="29">AG40+AF41</f>
        <v>604.00741000000926</v>
      </c>
      <c r="AH41">
        <f t="shared" si="23"/>
        <v>4619.9336546511131</v>
      </c>
      <c r="AI41">
        <f t="shared" si="25"/>
        <v>-1227.5604041165498</v>
      </c>
      <c r="AJ41">
        <f t="shared" si="26"/>
        <v>5942.285128669846</v>
      </c>
      <c r="AK41">
        <f t="shared" si="24"/>
        <v>4975.1632408157711</v>
      </c>
      <c r="AL41">
        <f t="shared" ref="AL41:AL63" si="30">AL40+AK41</f>
        <v>-494.16083572672323</v>
      </c>
      <c r="AX41">
        <f t="shared" si="11"/>
        <v>6.8474074070998467E-3</v>
      </c>
      <c r="AY41">
        <f t="shared" si="12"/>
        <v>-433.7342520724236</v>
      </c>
      <c r="AZ41">
        <f t="shared" si="13"/>
        <v>-477.10767727966601</v>
      </c>
      <c r="BA41">
        <f t="shared" si="14"/>
        <v>-43.373425207242406</v>
      </c>
    </row>
    <row r="42" spans="1:53" x14ac:dyDescent="0.35">
      <c r="A42" s="1">
        <v>41</v>
      </c>
      <c r="B42" s="1">
        <v>975.76163139608616</v>
      </c>
      <c r="C42" s="1">
        <v>2</v>
      </c>
      <c r="D42" s="1">
        <v>3553.3</v>
      </c>
      <c r="E42" s="1">
        <v>975.76199999999994</v>
      </c>
      <c r="F42" s="1">
        <v>1216.8800000000001</v>
      </c>
      <c r="G42" s="1">
        <v>117.163</v>
      </c>
      <c r="H42" s="1">
        <v>1888.06</v>
      </c>
      <c r="I42" s="1">
        <v>448.36099999999999</v>
      </c>
      <c r="J42" s="1">
        <v>527.40099999999995</v>
      </c>
      <c r="K42" s="1">
        <v>5</v>
      </c>
      <c r="L42" s="1">
        <v>0</v>
      </c>
      <c r="M42" s="1">
        <f>C42*$T$18*1000</f>
        <v>5200</v>
      </c>
      <c r="N42" s="91">
        <f t="shared" si="22"/>
        <v>1300</v>
      </c>
      <c r="O42" s="1">
        <f>$T$19*C42</f>
        <v>53</v>
      </c>
      <c r="P42" s="4">
        <f t="shared" si="3"/>
        <v>1.4915712154898262E-2</v>
      </c>
      <c r="Q42" s="4">
        <f t="shared" si="0"/>
        <v>1325</v>
      </c>
      <c r="R42" s="4"/>
      <c r="S42" s="65" t="s">
        <v>251</v>
      </c>
      <c r="T42" s="1" t="s">
        <v>252</v>
      </c>
      <c r="U42" s="30"/>
      <c r="V42" s="4"/>
      <c r="W42" s="1">
        <v>269.17599999999999</v>
      </c>
      <c r="X42" s="1">
        <f t="shared" si="4"/>
        <v>-1030.8240000000001</v>
      </c>
      <c r="Y42" s="1">
        <f t="shared" si="1"/>
        <v>6729.4</v>
      </c>
      <c r="Z42" s="1">
        <f t="shared" si="5"/>
        <v>5429.4</v>
      </c>
      <c r="AA42" s="1">
        <f t="shared" si="6"/>
        <v>6.8207416119113573E-2</v>
      </c>
      <c r="AB42" s="1">
        <f t="shared" si="7"/>
        <v>0.11407994341650854</v>
      </c>
      <c r="AC42" s="1"/>
      <c r="AD42" s="1"/>
      <c r="AE42" s="1">
        <f t="shared" si="27"/>
        <v>4</v>
      </c>
      <c r="AF42">
        <f t="shared" si="28"/>
        <v>5518.0024700000031</v>
      </c>
      <c r="AG42">
        <f t="shared" si="29"/>
        <v>6122.0098800000123</v>
      </c>
      <c r="AH42">
        <f t="shared" si="23"/>
        <v>4354.3201269096262</v>
      </c>
      <c r="AI42">
        <f t="shared" si="25"/>
        <v>3126.7597227930764</v>
      </c>
      <c r="AJ42">
        <f t="shared" si="26"/>
        <v>6090.8422568865917</v>
      </c>
      <c r="AK42">
        <f t="shared" si="24"/>
        <v>4806.3546859907301</v>
      </c>
      <c r="AL42">
        <f t="shared" si="30"/>
        <v>4312.1938502640069</v>
      </c>
      <c r="AX42">
        <f t="shared" si="11"/>
        <v>2.412672475031981E-3</v>
      </c>
      <c r="AY42">
        <f t="shared" si="12"/>
        <v>-152.8255337003435</v>
      </c>
      <c r="AZ42">
        <f t="shared" si="13"/>
        <v>-168.10808707037785</v>
      </c>
      <c r="BA42">
        <f t="shared" si="14"/>
        <v>-15.28255337003435</v>
      </c>
    </row>
    <row r="43" spans="1:53" ht="29" x14ac:dyDescent="0.35">
      <c r="A43" s="1">
        <v>42</v>
      </c>
      <c r="B43" s="62">
        <v>1220.838737866377</v>
      </c>
      <c r="C43" s="62">
        <v>2</v>
      </c>
      <c r="D43" s="62">
        <v>3553.3</v>
      </c>
      <c r="E43" s="62">
        <v>1220.8399999999999</v>
      </c>
      <c r="F43" s="62">
        <v>1565.05</v>
      </c>
      <c r="G43" s="62">
        <v>159.86699999999999</v>
      </c>
      <c r="H43" s="62">
        <v>1546.75</v>
      </c>
      <c r="I43" s="62">
        <v>497.50700000000001</v>
      </c>
      <c r="J43" s="62">
        <v>659.64099999999996</v>
      </c>
      <c r="K43" s="62">
        <v>5</v>
      </c>
      <c r="L43" s="62">
        <v>2</v>
      </c>
      <c r="M43" s="62">
        <f>(C43*$T$18*1000)+T30</f>
        <v>8600</v>
      </c>
      <c r="N43" s="91">
        <f t="shared" si="22"/>
        <v>2150</v>
      </c>
      <c r="O43" s="62">
        <f>$T$38*C43</f>
        <v>71.2</v>
      </c>
      <c r="P43" s="56">
        <f t="shared" si="3"/>
        <v>2.0037711423184081E-2</v>
      </c>
      <c r="Q43" s="56">
        <f t="shared" si="0"/>
        <v>1780</v>
      </c>
      <c r="R43" s="56"/>
      <c r="S43" s="65" t="s">
        <v>262</v>
      </c>
      <c r="T43" s="1">
        <v>7.0000000000000007E-2</v>
      </c>
      <c r="U43" s="30"/>
      <c r="V43" s="56"/>
      <c r="W43" s="1">
        <v>269.30700000000002</v>
      </c>
      <c r="X43" s="1">
        <f t="shared" si="4"/>
        <v>-1880.693</v>
      </c>
      <c r="Y43" s="1">
        <f t="shared" si="1"/>
        <v>6732.6750000000002</v>
      </c>
      <c r="Z43" s="1">
        <f t="shared" si="5"/>
        <v>4582.6750000000002</v>
      </c>
      <c r="AA43" s="1">
        <f t="shared" si="6"/>
        <v>9.0481085582739026E-2</v>
      </c>
      <c r="AB43" s="1">
        <f t="shared" si="7"/>
        <v>0.15111745791987888</v>
      </c>
      <c r="AC43" s="1"/>
      <c r="AD43" s="6" t="s">
        <v>328</v>
      </c>
      <c r="AE43" s="1">
        <f t="shared" si="27"/>
        <v>5</v>
      </c>
      <c r="AF43">
        <f t="shared" si="28"/>
        <v>5518.0024700000031</v>
      </c>
      <c r="AG43">
        <f t="shared" si="29"/>
        <v>11640.012350000015</v>
      </c>
      <c r="AH43">
        <f t="shared" si="23"/>
        <v>4103.9774994435684</v>
      </c>
      <c r="AI43">
        <f t="shared" si="25"/>
        <v>7230.7372222366448</v>
      </c>
      <c r="AJ43">
        <f t="shared" si="26"/>
        <v>6243.113313308756</v>
      </c>
      <c r="AK43">
        <f t="shared" si="24"/>
        <v>4643.2738483887824</v>
      </c>
      <c r="AL43">
        <f t="shared" si="30"/>
        <v>8955.4676986527884</v>
      </c>
      <c r="AX43">
        <f t="shared" si="11"/>
        <v>3.018651199769655E-3</v>
      </c>
      <c r="AY43">
        <f t="shared" si="12"/>
        <v>-191.20994889862317</v>
      </c>
      <c r="AZ43">
        <f t="shared" si="13"/>
        <v>-210.33094378848551</v>
      </c>
      <c r="BA43">
        <f t="shared" si="14"/>
        <v>-19.120994889862345</v>
      </c>
    </row>
    <row r="44" spans="1:53" x14ac:dyDescent="0.35">
      <c r="A44" s="1">
        <v>43</v>
      </c>
      <c r="B44" s="62">
        <v>3438.0361146713012</v>
      </c>
      <c r="C44" s="62">
        <v>10</v>
      </c>
      <c r="D44" s="62">
        <v>17766.5</v>
      </c>
      <c r="E44" s="62">
        <v>3438.04</v>
      </c>
      <c r="F44" s="62">
        <v>8491</v>
      </c>
      <c r="G44" s="62">
        <v>881.13699999999994</v>
      </c>
      <c r="H44" s="62">
        <v>7948</v>
      </c>
      <c r="I44" s="62">
        <v>1634.71</v>
      </c>
      <c r="J44" s="62">
        <v>1636.63</v>
      </c>
      <c r="K44" s="62">
        <v>25</v>
      </c>
      <c r="L44" s="62">
        <v>9.6999999999999993</v>
      </c>
      <c r="M44" s="62">
        <f>(C44*$T$18*1000)+T35</f>
        <v>34000</v>
      </c>
      <c r="N44" s="91">
        <f t="shared" si="22"/>
        <v>8500</v>
      </c>
      <c r="O44" s="62">
        <f>$T$38*C44</f>
        <v>356</v>
      </c>
      <c r="P44" s="56">
        <f t="shared" si="3"/>
        <v>2.0037711423184081E-2</v>
      </c>
      <c r="Q44" s="56">
        <f t="shared" si="0"/>
        <v>8900</v>
      </c>
      <c r="R44" s="56"/>
      <c r="S44" s="65" t="s">
        <v>263</v>
      </c>
      <c r="T44" s="1">
        <v>2.5000000000000001E-2</v>
      </c>
      <c r="U44" s="46"/>
      <c r="V44" s="56"/>
      <c r="W44" s="1">
        <v>1572.32</v>
      </c>
      <c r="X44" s="1">
        <f t="shared" si="4"/>
        <v>-6927.68</v>
      </c>
      <c r="Y44" s="1">
        <f t="shared" si="1"/>
        <v>39308</v>
      </c>
      <c r="Z44" s="1">
        <f t="shared" si="5"/>
        <v>30808</v>
      </c>
      <c r="AA44" s="1">
        <f t="shared" si="6"/>
        <v>0.1189313788134425</v>
      </c>
      <c r="AB44" s="1">
        <f t="shared" si="7"/>
        <v>0.20405724493221647</v>
      </c>
      <c r="AC44" s="1"/>
      <c r="AD44" s="1">
        <f>H110</f>
        <v>5518.0024700000031</v>
      </c>
      <c r="AE44" s="1">
        <f t="shared" si="27"/>
        <v>6</v>
      </c>
      <c r="AF44">
        <f t="shared" si="28"/>
        <v>5518.0024700000031</v>
      </c>
      <c r="AG44">
        <f t="shared" si="29"/>
        <v>17158.014820000019</v>
      </c>
      <c r="AH44">
        <f t="shared" si="23"/>
        <v>3868.0278034340886</v>
      </c>
      <c r="AI44">
        <f t="shared" si="25"/>
        <v>11098.765025670733</v>
      </c>
      <c r="AJ44">
        <f t="shared" si="26"/>
        <v>6399.1911461414747</v>
      </c>
      <c r="AK44">
        <f t="shared" si="24"/>
        <v>4485.7263851069756</v>
      </c>
      <c r="AL44">
        <f t="shared" si="30"/>
        <v>13441.194083759765</v>
      </c>
      <c r="AX44">
        <f t="shared" si="11"/>
        <v>8.5009031254542674E-3</v>
      </c>
      <c r="AY44">
        <f t="shared" si="12"/>
        <v>-538.47137169550774</v>
      </c>
      <c r="AZ44">
        <f t="shared" si="13"/>
        <v>-592.31850886505856</v>
      </c>
      <c r="BA44">
        <f t="shared" si="14"/>
        <v>-53.84713716955082</v>
      </c>
    </row>
    <row r="45" spans="1:53" x14ac:dyDescent="0.35">
      <c r="A45" s="1">
        <v>44</v>
      </c>
      <c r="B45" s="1">
        <v>1279.200878938675</v>
      </c>
      <c r="C45" s="1">
        <v>2</v>
      </c>
      <c r="D45" s="1">
        <v>3553.3</v>
      </c>
      <c r="E45" s="1">
        <v>1279.2</v>
      </c>
      <c r="F45" s="1">
        <v>1135.29</v>
      </c>
      <c r="G45" s="1">
        <v>107.304</v>
      </c>
      <c r="H45" s="1">
        <v>1864.24</v>
      </c>
      <c r="I45" s="1">
        <v>553.76199999999994</v>
      </c>
      <c r="J45" s="1">
        <v>725.43899999999996</v>
      </c>
      <c r="K45" s="1">
        <v>5</v>
      </c>
      <c r="L45" s="1">
        <v>0</v>
      </c>
      <c r="M45" s="1">
        <f>C45*$T$18*1000</f>
        <v>5200</v>
      </c>
      <c r="N45" s="91">
        <f t="shared" si="22"/>
        <v>1300</v>
      </c>
      <c r="O45" s="1">
        <f>$T$19*C45</f>
        <v>53</v>
      </c>
      <c r="P45" s="4">
        <f t="shared" si="3"/>
        <v>1.4915712154898262E-2</v>
      </c>
      <c r="Q45" s="4">
        <f t="shared" si="0"/>
        <v>1325</v>
      </c>
      <c r="R45" s="4"/>
      <c r="S45" s="63"/>
      <c r="T45" s="4"/>
      <c r="U45" s="30"/>
      <c r="V45" s="4"/>
      <c r="W45" s="1">
        <v>242.89599999999999</v>
      </c>
      <c r="X45" s="1">
        <f t="shared" si="4"/>
        <v>-1057.104</v>
      </c>
      <c r="Y45" s="1">
        <f t="shared" si="1"/>
        <v>6072.4</v>
      </c>
      <c r="Z45" s="1">
        <f t="shared" si="5"/>
        <v>4772.3999999999996</v>
      </c>
      <c r="AA45" s="1">
        <f t="shared" si="6"/>
        <v>5.5566090728076903E-2</v>
      </c>
      <c r="AB45" s="1">
        <f t="shared" si="7"/>
        <v>9.0557195572457991E-2</v>
      </c>
      <c r="AC45" s="1"/>
      <c r="AD45" s="1"/>
      <c r="AE45" s="1">
        <f t="shared" si="27"/>
        <v>7</v>
      </c>
      <c r="AF45">
        <f t="shared" si="28"/>
        <v>5518.0024700000031</v>
      </c>
      <c r="AG45">
        <f t="shared" si="29"/>
        <v>22676.017290000022</v>
      </c>
      <c r="AH45">
        <f t="shared" si="23"/>
        <v>3645.6435470632323</v>
      </c>
      <c r="AI45">
        <f t="shared" si="25"/>
        <v>14744.408572733966</v>
      </c>
      <c r="AJ45">
        <f t="shared" si="26"/>
        <v>6559.1709247950121</v>
      </c>
      <c r="AK45">
        <f t="shared" si="24"/>
        <v>4333.5245473465138</v>
      </c>
      <c r="AL45">
        <f t="shared" si="30"/>
        <v>17774.71863110628</v>
      </c>
      <c r="AX45">
        <f t="shared" si="11"/>
        <v>3.1629576848971781E-3</v>
      </c>
      <c r="AY45">
        <f t="shared" si="12"/>
        <v>-200.35073192419404</v>
      </c>
      <c r="AZ45">
        <f t="shared" si="13"/>
        <v>-220.38580511661345</v>
      </c>
      <c r="BA45">
        <f t="shared" si="14"/>
        <v>-20.035073192419418</v>
      </c>
    </row>
    <row r="46" spans="1:53" x14ac:dyDescent="0.35">
      <c r="A46" s="62">
        <v>45</v>
      </c>
      <c r="B46" s="62">
        <v>3266.9511427123548</v>
      </c>
      <c r="C46" s="62">
        <v>2</v>
      </c>
      <c r="D46" s="62">
        <v>3553.3</v>
      </c>
      <c r="E46" s="62">
        <v>3266.95</v>
      </c>
      <c r="F46" s="62">
        <v>1185.51</v>
      </c>
      <c r="G46" s="62">
        <v>112.761</v>
      </c>
      <c r="H46" s="62">
        <v>1014.2</v>
      </c>
      <c r="I46" s="62">
        <v>1335.02</v>
      </c>
      <c r="J46" s="62">
        <v>888.14800000000002</v>
      </c>
      <c r="K46" s="62">
        <v>5</v>
      </c>
      <c r="L46" s="62">
        <v>4.2</v>
      </c>
      <c r="M46" s="62">
        <f>(C46*$T$18*1000)+T32</f>
        <v>9904</v>
      </c>
      <c r="N46" s="91">
        <f t="shared" si="22"/>
        <v>2476</v>
      </c>
      <c r="O46" s="62">
        <f>$T$38*C46</f>
        <v>71.2</v>
      </c>
      <c r="P46" s="56">
        <f t="shared" si="3"/>
        <v>2.0037711423184081E-2</v>
      </c>
      <c r="Q46" s="56">
        <f t="shared" si="0"/>
        <v>1780</v>
      </c>
      <c r="R46" s="4"/>
      <c r="S46" s="63"/>
      <c r="T46" s="4"/>
      <c r="U46" s="30"/>
      <c r="V46" s="56"/>
      <c r="W46" s="1">
        <v>270.36200000000002</v>
      </c>
      <c r="X46" s="1">
        <f t="shared" si="4"/>
        <v>-2205.6379999999999</v>
      </c>
      <c r="Y46" s="1">
        <f t="shared" si="1"/>
        <v>6759.05</v>
      </c>
      <c r="Z46" s="1">
        <f t="shared" si="5"/>
        <v>4283.05</v>
      </c>
      <c r="AA46" s="1">
        <f t="shared" si="6"/>
        <v>5.0353438740052672E-2</v>
      </c>
      <c r="AB46" s="1">
        <f t="shared" si="7"/>
        <v>7.6448664177341114E-2</v>
      </c>
      <c r="AC46" s="1"/>
      <c r="AD46" s="1"/>
      <c r="AE46" s="1">
        <f t="shared" si="27"/>
        <v>8</v>
      </c>
      <c r="AF46">
        <f t="shared" si="28"/>
        <v>5518.0024700000031</v>
      </c>
      <c r="AG46">
        <f t="shared" si="29"/>
        <v>28194.019760000025</v>
      </c>
      <c r="AH46">
        <f t="shared" si="23"/>
        <v>3436.0448134431972</v>
      </c>
      <c r="AI46">
        <f t="shared" si="25"/>
        <v>18180.453386177163</v>
      </c>
      <c r="AJ46">
        <f t="shared" si="26"/>
        <v>6723.1501979148861</v>
      </c>
      <c r="AK46">
        <f t="shared" si="24"/>
        <v>4186.4869566731159</v>
      </c>
      <c r="AL46">
        <f t="shared" si="30"/>
        <v>21961.205587779397</v>
      </c>
      <c r="AX46" s="79">
        <f t="shared" si="11"/>
        <v>8.0778776759432135E-3</v>
      </c>
      <c r="AY46" s="79">
        <f t="shared" si="12"/>
        <v>-511.67573707896184</v>
      </c>
      <c r="AZ46" s="79">
        <f t="shared" si="13"/>
        <v>-562.84331078685807</v>
      </c>
      <c r="BA46" s="79">
        <f t="shared" si="14"/>
        <v>-51.167573707896224</v>
      </c>
    </row>
    <row r="47" spans="1:53" x14ac:dyDescent="0.35">
      <c r="A47" s="70">
        <v>46</v>
      </c>
      <c r="B47" s="70">
        <v>1763.99702425654</v>
      </c>
      <c r="C47" s="70">
        <v>0</v>
      </c>
      <c r="D47" s="70"/>
      <c r="E47" s="70">
        <v>1764</v>
      </c>
      <c r="F47" s="70"/>
      <c r="G47" s="70"/>
      <c r="H47" s="70"/>
      <c r="I47" s="70"/>
      <c r="J47" s="70"/>
      <c r="K47" s="70">
        <v>0</v>
      </c>
      <c r="L47" s="70">
        <v>0</v>
      </c>
      <c r="M47" s="71">
        <f t="shared" ref="M47:M100" si="31">$T$18*C47*1000</f>
        <v>0</v>
      </c>
      <c r="N47" s="71"/>
      <c r="O47" s="71">
        <f t="shared" ref="O47:P78" si="32">$T$19*C47</f>
        <v>0</v>
      </c>
      <c r="P47" s="71">
        <f t="shared" si="32"/>
        <v>0</v>
      </c>
      <c r="Q47" s="71">
        <f t="shared" ref="Q47:Q100" si="33">$T$19*K47</f>
        <v>0</v>
      </c>
      <c r="R47" s="71"/>
      <c r="S47" s="50" t="s">
        <v>49</v>
      </c>
      <c r="T47" s="4">
        <v>25</v>
      </c>
      <c r="U47" s="30"/>
      <c r="V47" s="71"/>
      <c r="W47" s="70">
        <v>36.3322</v>
      </c>
      <c r="X47" s="70">
        <f t="shared" ref="X47:X100" si="34">W47-M47</f>
        <v>36.3322</v>
      </c>
      <c r="Y47" s="70">
        <f t="shared" si="1"/>
        <v>908.30500000000006</v>
      </c>
      <c r="Z47" s="70">
        <f t="shared" ref="Z47:Z80" si="35">Y47-M47</f>
        <v>908.30500000000006</v>
      </c>
      <c r="AA47" s="70">
        <f t="shared" ref="AA47:AA100" si="36">(M47/($T$47*B47))+P47</f>
        <v>0</v>
      </c>
      <c r="AB47" s="70">
        <f t="shared" ref="AB47:AB100" si="37">(M47/($T$50*B47))+P47</f>
        <v>0</v>
      </c>
      <c r="AC47" s="4"/>
      <c r="AD47" s="1"/>
      <c r="AE47" s="1">
        <f t="shared" si="27"/>
        <v>9</v>
      </c>
      <c r="AF47">
        <f t="shared" si="28"/>
        <v>5518.0024700000031</v>
      </c>
      <c r="AG47">
        <f t="shared" si="29"/>
        <v>33712.022230000031</v>
      </c>
      <c r="AH47">
        <f t="shared" si="23"/>
        <v>3238.4965253941541</v>
      </c>
      <c r="AI47">
        <f t="shared" si="25"/>
        <v>21418.949911571319</v>
      </c>
      <c r="AJ47">
        <f t="shared" si="26"/>
        <v>6891.2289528627571</v>
      </c>
      <c r="AK47">
        <f t="shared" si="24"/>
        <v>4044.4383888689381</v>
      </c>
      <c r="AL47">
        <f t="shared" si="30"/>
        <v>26005.643976648335</v>
      </c>
      <c r="AX47">
        <f t="shared" si="11"/>
        <v>4.3616667529474519E-3</v>
      </c>
      <c r="AY47">
        <f>AX47*$AW$2</f>
        <v>-276.2803721766681</v>
      </c>
      <c r="AZ47">
        <f t="shared" ref="AZ47:AZ103" si="38">AX47*$AW$10</f>
        <v>-149.545757863169</v>
      </c>
      <c r="BA47">
        <f>AY47-AZ47</f>
        <v>-126.73461431349909</v>
      </c>
    </row>
    <row r="48" spans="1:53" x14ac:dyDescent="0.35">
      <c r="A48" s="1">
        <v>47</v>
      </c>
      <c r="B48" s="1">
        <v>2322.9032263370332</v>
      </c>
      <c r="C48" s="1">
        <v>0</v>
      </c>
      <c r="D48" s="1"/>
      <c r="E48" s="1">
        <v>2322.9</v>
      </c>
      <c r="F48" s="1"/>
      <c r="G48" s="1"/>
      <c r="H48" s="1"/>
      <c r="I48" s="1"/>
      <c r="J48" s="1"/>
      <c r="K48" s="1">
        <v>0</v>
      </c>
      <c r="L48" s="1">
        <v>0</v>
      </c>
      <c r="M48" s="4">
        <f t="shared" si="31"/>
        <v>0</v>
      </c>
      <c r="N48" s="4"/>
      <c r="O48" s="4">
        <f t="shared" si="32"/>
        <v>0</v>
      </c>
      <c r="P48" s="4">
        <f t="shared" si="32"/>
        <v>0</v>
      </c>
      <c r="Q48" s="4">
        <f t="shared" si="33"/>
        <v>0</v>
      </c>
      <c r="R48" s="4"/>
      <c r="S48" s="65"/>
      <c r="T48" s="4"/>
      <c r="U48" s="46"/>
      <c r="V48" s="4"/>
      <c r="W48" s="1">
        <v>48.805199999999999</v>
      </c>
      <c r="X48" s="1">
        <f>W48-M48</f>
        <v>48.805199999999999</v>
      </c>
      <c r="Y48" s="1">
        <f t="shared" si="1"/>
        <v>1220.1299999999999</v>
      </c>
      <c r="Z48" s="1">
        <f t="shared" si="35"/>
        <v>1220.1299999999999</v>
      </c>
      <c r="AA48" s="1">
        <f t="shared" si="36"/>
        <v>0</v>
      </c>
      <c r="AB48" s="1">
        <f t="shared" si="37"/>
        <v>0</v>
      </c>
      <c r="AC48" s="4"/>
      <c r="AD48" s="1"/>
      <c r="AE48" s="1">
        <f t="shared" si="27"/>
        <v>10</v>
      </c>
      <c r="AF48">
        <f t="shared" si="28"/>
        <v>5518.0024700000031</v>
      </c>
      <c r="AG48">
        <f t="shared" si="29"/>
        <v>39230.024700000038</v>
      </c>
      <c r="AH48">
        <f t="shared" si="23"/>
        <v>3052.3058674779959</v>
      </c>
      <c r="AI48">
        <f t="shared" si="25"/>
        <v>24471.255779049316</v>
      </c>
      <c r="AJ48">
        <f t="shared" si="26"/>
        <v>7063.5096766843262</v>
      </c>
      <c r="AK48">
        <f t="shared" si="24"/>
        <v>3907.2095651184368</v>
      </c>
      <c r="AL48">
        <f t="shared" si="30"/>
        <v>29912.85354176677</v>
      </c>
      <c r="AX48">
        <f t="shared" si="11"/>
        <v>5.7436206712983317E-3</v>
      </c>
      <c r="AY48">
        <f t="shared" si="12"/>
        <v>-363.81726220499843</v>
      </c>
      <c r="AZ48">
        <f t="shared" si="38"/>
        <v>-196.92795319299367</v>
      </c>
      <c r="BA48">
        <f t="shared" ref="BA48:BA102" si="39">AY48-AZ48</f>
        <v>-166.88930901200476</v>
      </c>
    </row>
    <row r="49" spans="1:53" x14ac:dyDescent="0.35">
      <c r="A49" s="1">
        <v>48</v>
      </c>
      <c r="B49" s="1">
        <v>1052.7350255677291</v>
      </c>
      <c r="C49" s="1">
        <v>0</v>
      </c>
      <c r="D49" s="1"/>
      <c r="E49" s="1">
        <v>1052.74</v>
      </c>
      <c r="F49" s="1"/>
      <c r="G49" s="1"/>
      <c r="H49" s="1"/>
      <c r="I49" s="1"/>
      <c r="J49" s="1"/>
      <c r="K49" s="1">
        <v>0</v>
      </c>
      <c r="L49" s="1">
        <v>0</v>
      </c>
      <c r="M49" s="4">
        <f t="shared" si="31"/>
        <v>0</v>
      </c>
      <c r="N49" s="4"/>
      <c r="O49" s="4">
        <f t="shared" si="32"/>
        <v>0</v>
      </c>
      <c r="P49" s="4">
        <f t="shared" si="32"/>
        <v>0</v>
      </c>
      <c r="Q49" s="4">
        <f t="shared" si="33"/>
        <v>0</v>
      </c>
      <c r="R49" s="4"/>
      <c r="S49" s="63"/>
      <c r="T49" s="4"/>
      <c r="U49" s="46"/>
      <c r="V49" s="4"/>
      <c r="W49" s="1">
        <v>22.118400000000001</v>
      </c>
      <c r="X49" s="1">
        <f t="shared" si="34"/>
        <v>22.118400000000001</v>
      </c>
      <c r="Y49" s="1">
        <f t="shared" si="1"/>
        <v>552.96</v>
      </c>
      <c r="Z49" s="1">
        <f t="shared" si="35"/>
        <v>552.96</v>
      </c>
      <c r="AA49" s="1">
        <f t="shared" si="36"/>
        <v>0</v>
      </c>
      <c r="AB49" s="1">
        <f t="shared" si="37"/>
        <v>0</v>
      </c>
      <c r="AC49" s="4"/>
      <c r="AD49" s="1"/>
      <c r="AE49" s="1">
        <f t="shared" si="27"/>
        <v>11</v>
      </c>
      <c r="AF49">
        <f t="shared" si="28"/>
        <v>5518.0024700000031</v>
      </c>
      <c r="AG49">
        <f t="shared" si="29"/>
        <v>44748.027170000045</v>
      </c>
      <c r="AH49">
        <f t="shared" si="23"/>
        <v>2876.8198562469338</v>
      </c>
      <c r="AI49">
        <f t="shared" si="25"/>
        <v>27348.075635296249</v>
      </c>
      <c r="AJ49">
        <f t="shared" si="26"/>
        <v>7240.0974186014346</v>
      </c>
      <c r="AK49">
        <f t="shared" si="24"/>
        <v>3774.6369502793577</v>
      </c>
      <c r="AL49">
        <f t="shared" si="30"/>
        <v>33687.490492046127</v>
      </c>
      <c r="AX49">
        <f t="shared" si="11"/>
        <v>2.602997225926316E-3</v>
      </c>
      <c r="AY49">
        <f t="shared" si="12"/>
        <v>-164.8812445076822</v>
      </c>
      <c r="AZ49">
        <f t="shared" si="38"/>
        <v>-89.247348528822201</v>
      </c>
      <c r="BA49">
        <f t="shared" si="39"/>
        <v>-75.633895978859996</v>
      </c>
    </row>
    <row r="50" spans="1:53" x14ac:dyDescent="0.35">
      <c r="A50" s="1">
        <v>49</v>
      </c>
      <c r="B50" s="1">
        <v>2650.8063291642311</v>
      </c>
      <c r="C50" s="1">
        <v>0</v>
      </c>
      <c r="D50" s="1"/>
      <c r="E50" s="1">
        <v>2650.81</v>
      </c>
      <c r="F50" s="1"/>
      <c r="G50" s="1"/>
      <c r="H50" s="1"/>
      <c r="I50" s="1"/>
      <c r="J50" s="1"/>
      <c r="K50" s="1">
        <v>0</v>
      </c>
      <c r="L50" s="1">
        <v>0</v>
      </c>
      <c r="M50" s="4">
        <f t="shared" si="31"/>
        <v>0</v>
      </c>
      <c r="N50" s="4"/>
      <c r="O50" s="4">
        <f t="shared" si="32"/>
        <v>0</v>
      </c>
      <c r="P50" s="4">
        <f t="shared" si="32"/>
        <v>0</v>
      </c>
      <c r="Q50" s="4">
        <f t="shared" si="33"/>
        <v>0</v>
      </c>
      <c r="R50" s="4"/>
      <c r="S50" s="50" t="s">
        <v>280</v>
      </c>
      <c r="T50" s="1">
        <f>1+((1-(1+$T$20)^(1-$T$47))/$T$20)</f>
        <v>13.43521330378282</v>
      </c>
      <c r="U50" s="46"/>
      <c r="V50" s="4"/>
      <c r="W50" s="4">
        <v>53.152200000000001</v>
      </c>
      <c r="X50" s="1">
        <f t="shared" si="34"/>
        <v>53.152200000000001</v>
      </c>
      <c r="Y50" s="1">
        <f t="shared" si="1"/>
        <v>1328.8050000000001</v>
      </c>
      <c r="Z50" s="1">
        <f t="shared" si="35"/>
        <v>1328.8050000000001</v>
      </c>
      <c r="AA50" s="1">
        <f t="shared" si="36"/>
        <v>0</v>
      </c>
      <c r="AB50" s="1">
        <f t="shared" si="37"/>
        <v>0</v>
      </c>
      <c r="AC50" s="4"/>
      <c r="AD50" s="1"/>
      <c r="AE50" s="1">
        <f t="shared" si="27"/>
        <v>12</v>
      </c>
      <c r="AF50">
        <f t="shared" si="28"/>
        <v>5518.0024700000031</v>
      </c>
      <c r="AG50">
        <f t="shared" si="29"/>
        <v>50266.029640000052</v>
      </c>
      <c r="AH50">
        <f t="shared" si="23"/>
        <v>2711.4230501856114</v>
      </c>
      <c r="AI50">
        <f t="shared" si="25"/>
        <v>30059.49868548186</v>
      </c>
      <c r="AJ50">
        <f t="shared" si="26"/>
        <v>7421.0998540664696</v>
      </c>
      <c r="AK50">
        <f t="shared" si="24"/>
        <v>3646.5625579984367</v>
      </c>
      <c r="AL50">
        <f t="shared" si="30"/>
        <v>37334.05305004456</v>
      </c>
      <c r="AX50">
        <f t="shared" si="11"/>
        <v>6.554395316676476E-3</v>
      </c>
      <c r="AY50">
        <f t="shared" si="12"/>
        <v>-415.17403324329661</v>
      </c>
      <c r="AZ50">
        <f t="shared" si="38"/>
        <v>-224.72647968917357</v>
      </c>
      <c r="BA50">
        <f t="shared" si="39"/>
        <v>-190.44755355412303</v>
      </c>
    </row>
    <row r="51" spans="1:53" x14ac:dyDescent="0.35">
      <c r="A51" s="1">
        <v>50</v>
      </c>
      <c r="B51" s="1">
        <v>2336.365059758562</v>
      </c>
      <c r="C51" s="1">
        <v>0</v>
      </c>
      <c r="D51" s="1"/>
      <c r="E51" s="1">
        <v>2336.37</v>
      </c>
      <c r="F51" s="1"/>
      <c r="G51" s="1"/>
      <c r="H51" s="1"/>
      <c r="I51" s="1"/>
      <c r="J51" s="1"/>
      <c r="K51" s="1">
        <v>0</v>
      </c>
      <c r="L51" s="1">
        <v>0</v>
      </c>
      <c r="M51" s="4">
        <f t="shared" si="31"/>
        <v>0</v>
      </c>
      <c r="N51" s="4"/>
      <c r="O51" s="4">
        <f t="shared" si="32"/>
        <v>0</v>
      </c>
      <c r="P51" s="4">
        <f t="shared" si="32"/>
        <v>0</v>
      </c>
      <c r="Q51" s="4">
        <f t="shared" si="33"/>
        <v>0</v>
      </c>
      <c r="R51" s="4"/>
      <c r="S51" s="63"/>
      <c r="T51" s="4"/>
      <c r="U51" s="46"/>
      <c r="V51" s="4"/>
      <c r="W51" s="4">
        <v>49.088000000000001</v>
      </c>
      <c r="X51" s="1">
        <f t="shared" si="34"/>
        <v>49.088000000000001</v>
      </c>
      <c r="Y51" s="1">
        <f t="shared" si="1"/>
        <v>1227.2</v>
      </c>
      <c r="Z51" s="1">
        <f t="shared" si="35"/>
        <v>1227.2</v>
      </c>
      <c r="AA51" s="1">
        <f t="shared" si="36"/>
        <v>0</v>
      </c>
      <c r="AB51" s="1">
        <f t="shared" si="37"/>
        <v>0</v>
      </c>
      <c r="AC51" s="4"/>
      <c r="AD51" s="1"/>
      <c r="AE51" s="1">
        <f t="shared" si="27"/>
        <v>13</v>
      </c>
      <c r="AF51">
        <f t="shared" si="28"/>
        <v>5518.0024700000031</v>
      </c>
      <c r="AG51">
        <f t="shared" si="29"/>
        <v>55784.032110000058</v>
      </c>
      <c r="AH51">
        <f t="shared" si="23"/>
        <v>2555.5353913153735</v>
      </c>
      <c r="AI51">
        <f t="shared" si="25"/>
        <v>32615.034076797234</v>
      </c>
      <c r="AJ51">
        <f t="shared" si="26"/>
        <v>7606.6273504181308</v>
      </c>
      <c r="AK51">
        <f t="shared" si="24"/>
        <v>3522.8337624395822</v>
      </c>
      <c r="AL51">
        <f t="shared" si="30"/>
        <v>40856.886812484139</v>
      </c>
      <c r="AX51">
        <f t="shared" si="11"/>
        <v>5.7769064594606701E-3</v>
      </c>
      <c r="AY51">
        <f t="shared" si="12"/>
        <v>-365.92567865737186</v>
      </c>
      <c r="AZ51">
        <f t="shared" si="38"/>
        <v>-198.06920232979348</v>
      </c>
      <c r="BA51">
        <f t="shared" si="39"/>
        <v>-167.85647632757838</v>
      </c>
    </row>
    <row r="52" spans="1:53" x14ac:dyDescent="0.35">
      <c r="A52" s="1">
        <v>51</v>
      </c>
      <c r="B52" s="1">
        <v>586.05584352134008</v>
      </c>
      <c r="C52" s="1">
        <v>0</v>
      </c>
      <c r="D52" s="1"/>
      <c r="E52" s="1">
        <v>586.05600000000004</v>
      </c>
      <c r="F52" s="1"/>
      <c r="G52" s="1"/>
      <c r="H52" s="1"/>
      <c r="I52" s="1"/>
      <c r="J52" s="1"/>
      <c r="K52" s="1">
        <v>0</v>
      </c>
      <c r="L52" s="1">
        <v>0</v>
      </c>
      <c r="M52" s="4">
        <f t="shared" si="31"/>
        <v>0</v>
      </c>
      <c r="N52" s="4"/>
      <c r="O52" s="4">
        <f t="shared" si="32"/>
        <v>0</v>
      </c>
      <c r="P52" s="4">
        <f t="shared" si="32"/>
        <v>0</v>
      </c>
      <c r="Q52" s="4">
        <f t="shared" si="33"/>
        <v>0</v>
      </c>
      <c r="R52" s="4"/>
      <c r="S52" s="50" t="s">
        <v>339</v>
      </c>
      <c r="T52" s="1"/>
      <c r="U52" s="46"/>
      <c r="V52" s="4"/>
      <c r="W52" s="4">
        <v>11.751200000000001</v>
      </c>
      <c r="X52" s="1">
        <f t="shared" si="34"/>
        <v>11.751200000000001</v>
      </c>
      <c r="Y52" s="1">
        <f t="shared" si="1"/>
        <v>293.78000000000003</v>
      </c>
      <c r="Z52" s="1">
        <f t="shared" si="35"/>
        <v>293.78000000000003</v>
      </c>
      <c r="AA52" s="1">
        <f t="shared" si="36"/>
        <v>0</v>
      </c>
      <c r="AB52" s="1">
        <f t="shared" si="37"/>
        <v>0</v>
      </c>
      <c r="AC52" s="4"/>
      <c r="AD52" s="1" t="s">
        <v>6</v>
      </c>
      <c r="AE52" s="1">
        <f t="shared" si="27"/>
        <v>14</v>
      </c>
      <c r="AF52">
        <f t="shared" si="28"/>
        <v>5518.0024700000031</v>
      </c>
      <c r="AG52">
        <f t="shared" si="29"/>
        <v>61302.034580000065</v>
      </c>
      <c r="AH52">
        <f t="shared" si="23"/>
        <v>2408.6101708910214</v>
      </c>
      <c r="AI52">
        <f t="shared" si="25"/>
        <v>35023.644247688258</v>
      </c>
      <c r="AJ52">
        <f t="shared" si="26"/>
        <v>7796.7930341785832</v>
      </c>
      <c r="AK52">
        <f t="shared" si="24"/>
        <v>3403.3031164001618</v>
      </c>
      <c r="AL52">
        <f t="shared" si="30"/>
        <v>44260.189928884298</v>
      </c>
      <c r="AX52">
        <f t="shared" si="11"/>
        <v>1.4490842404538294E-3</v>
      </c>
      <c r="AY52">
        <f t="shared" si="12"/>
        <v>-91.789115479165005</v>
      </c>
      <c r="AZ52">
        <f t="shared" si="38"/>
        <v>-49.683850972750669</v>
      </c>
      <c r="BA52">
        <f t="shared" si="39"/>
        <v>-42.105264506414336</v>
      </c>
    </row>
    <row r="53" spans="1:53" x14ac:dyDescent="0.35">
      <c r="A53" s="1">
        <v>52</v>
      </c>
      <c r="B53" s="1">
        <v>5329.6971333659421</v>
      </c>
      <c r="C53" s="1">
        <v>0</v>
      </c>
      <c r="D53" s="1"/>
      <c r="E53" s="1">
        <v>5329.7</v>
      </c>
      <c r="F53" s="1"/>
      <c r="G53" s="1"/>
      <c r="H53" s="1"/>
      <c r="I53" s="1"/>
      <c r="J53" s="1"/>
      <c r="K53" s="1">
        <v>0</v>
      </c>
      <c r="L53" s="1">
        <v>0</v>
      </c>
      <c r="M53" s="4">
        <f t="shared" si="31"/>
        <v>0</v>
      </c>
      <c r="N53" s="4"/>
      <c r="O53" s="4">
        <f t="shared" si="32"/>
        <v>0</v>
      </c>
      <c r="P53" s="4">
        <f t="shared" si="32"/>
        <v>0</v>
      </c>
      <c r="Q53" s="4">
        <f t="shared" si="33"/>
        <v>0</v>
      </c>
      <c r="R53" s="4"/>
      <c r="S53" s="65" t="s">
        <v>342</v>
      </c>
      <c r="T53" s="1">
        <v>0.45</v>
      </c>
      <c r="U53" s="30"/>
      <c r="V53" s="4"/>
      <c r="W53" s="4">
        <v>110.047</v>
      </c>
      <c r="X53" s="1">
        <f t="shared" si="34"/>
        <v>110.047</v>
      </c>
      <c r="Y53" s="1">
        <f t="shared" si="1"/>
        <v>2751.1749999999997</v>
      </c>
      <c r="Z53" s="1">
        <f t="shared" si="35"/>
        <v>2751.1749999999997</v>
      </c>
      <c r="AA53" s="1">
        <f t="shared" si="36"/>
        <v>0</v>
      </c>
      <c r="AB53" s="1">
        <f t="shared" si="37"/>
        <v>0</v>
      </c>
      <c r="AC53" s="4"/>
      <c r="AD53" s="1"/>
      <c r="AE53" s="1">
        <f t="shared" si="27"/>
        <v>15</v>
      </c>
      <c r="AF53">
        <f t="shared" si="28"/>
        <v>5518.0024700000031</v>
      </c>
      <c r="AG53">
        <f t="shared" si="29"/>
        <v>66820.037050000072</v>
      </c>
      <c r="AH53">
        <f t="shared" si="23"/>
        <v>2270.1321120556281</v>
      </c>
      <c r="AI53">
        <f t="shared" si="25"/>
        <v>37293.77635974389</v>
      </c>
      <c r="AJ53">
        <f t="shared" si="26"/>
        <v>7991.7128600330498</v>
      </c>
      <c r="AK53">
        <f t="shared" si="24"/>
        <v>3287.8281755986495</v>
      </c>
      <c r="AL53">
        <f t="shared" si="30"/>
        <v>47548.018104482944</v>
      </c>
      <c r="AX53">
        <f t="shared" si="11"/>
        <v>1.3178232429093275E-2</v>
      </c>
      <c r="AY53">
        <f t="shared" si="12"/>
        <v>-834.74670724904661</v>
      </c>
      <c r="AZ53">
        <f t="shared" si="38"/>
        <v>-451.83386708165762</v>
      </c>
      <c r="BA53">
        <f t="shared" si="39"/>
        <v>-382.91284016738899</v>
      </c>
    </row>
    <row r="54" spans="1:53" x14ac:dyDescent="0.35">
      <c r="A54" s="1">
        <v>53</v>
      </c>
      <c r="B54" s="1">
        <v>5328.3833046167756</v>
      </c>
      <c r="C54" s="1">
        <v>0</v>
      </c>
      <c r="D54" s="1"/>
      <c r="E54" s="1">
        <v>5328.38</v>
      </c>
      <c r="F54" s="1"/>
      <c r="G54" s="1"/>
      <c r="H54" s="1"/>
      <c r="I54" s="1"/>
      <c r="J54" s="1"/>
      <c r="K54" s="1">
        <v>0</v>
      </c>
      <c r="L54" s="1">
        <v>0</v>
      </c>
      <c r="M54" s="4">
        <f t="shared" si="31"/>
        <v>0</v>
      </c>
      <c r="N54" s="4"/>
      <c r="O54" s="4">
        <f t="shared" si="32"/>
        <v>0</v>
      </c>
      <c r="P54" s="4">
        <f t="shared" si="32"/>
        <v>0</v>
      </c>
      <c r="Q54" s="4">
        <f t="shared" si="33"/>
        <v>0</v>
      </c>
      <c r="R54" s="4"/>
      <c r="S54" s="65" t="s">
        <v>343</v>
      </c>
      <c r="T54" s="1">
        <v>0.55000000000000004</v>
      </c>
      <c r="U54" s="30"/>
      <c r="V54" s="4"/>
      <c r="W54" s="4">
        <v>104.018</v>
      </c>
      <c r="X54" s="1">
        <f t="shared" si="34"/>
        <v>104.018</v>
      </c>
      <c r="Y54" s="1">
        <f t="shared" si="1"/>
        <v>2600.4499999999998</v>
      </c>
      <c r="Z54" s="1">
        <f t="shared" si="35"/>
        <v>2600.4499999999998</v>
      </c>
      <c r="AA54" s="1">
        <f t="shared" si="36"/>
        <v>0</v>
      </c>
      <c r="AB54" s="1">
        <f t="shared" si="37"/>
        <v>0</v>
      </c>
      <c r="AC54" s="4"/>
      <c r="AD54" s="1"/>
      <c r="AE54" s="1">
        <f t="shared" si="27"/>
        <v>16</v>
      </c>
      <c r="AF54">
        <f t="shared" si="28"/>
        <v>5518.0024700000031</v>
      </c>
      <c r="AG54">
        <f t="shared" si="29"/>
        <v>72338.039520000078</v>
      </c>
      <c r="AH54">
        <f t="shared" si="23"/>
        <v>2139.61556272915</v>
      </c>
      <c r="AI54">
        <f t="shared" si="25"/>
        <v>39433.391922473042</v>
      </c>
      <c r="AJ54">
        <f t="shared" si="26"/>
        <v>8191.5056815338748</v>
      </c>
      <c r="AK54">
        <f t="shared" si="24"/>
        <v>3176.271328924237</v>
      </c>
      <c r="AL54">
        <f t="shared" si="30"/>
        <v>50724.289433407183</v>
      </c>
      <c r="AX54">
        <f t="shared" si="11"/>
        <v>1.3174983850385086E-2</v>
      </c>
      <c r="AY54">
        <f t="shared" si="12"/>
        <v>-834.54093303808997</v>
      </c>
      <c r="AZ54">
        <f t="shared" si="38"/>
        <v>-451.72248508197464</v>
      </c>
      <c r="BA54">
        <f t="shared" si="39"/>
        <v>-382.81844795611534</v>
      </c>
    </row>
    <row r="55" spans="1:53" x14ac:dyDescent="0.35">
      <c r="A55" s="1">
        <v>54</v>
      </c>
      <c r="B55" s="1">
        <v>1132.850191183687</v>
      </c>
      <c r="C55" s="1">
        <v>0</v>
      </c>
      <c r="D55" s="1"/>
      <c r="E55" s="1">
        <v>1132.8499999999999</v>
      </c>
      <c r="F55" s="1"/>
      <c r="G55" s="1"/>
      <c r="H55" s="1"/>
      <c r="I55" s="1"/>
      <c r="J55" s="1"/>
      <c r="K55" s="1">
        <v>0</v>
      </c>
      <c r="L55" s="1">
        <v>0</v>
      </c>
      <c r="M55" s="4">
        <f t="shared" si="31"/>
        <v>0</v>
      </c>
      <c r="N55" s="4"/>
      <c r="O55" s="4">
        <f t="shared" si="32"/>
        <v>0</v>
      </c>
      <c r="P55" s="4">
        <f t="shared" si="32"/>
        <v>0</v>
      </c>
      <c r="Q55" s="4">
        <f t="shared" si="33"/>
        <v>0</v>
      </c>
      <c r="R55" s="4"/>
      <c r="S55" s="65" t="s">
        <v>344</v>
      </c>
      <c r="T55" s="1">
        <v>0.65</v>
      </c>
      <c r="U55" s="30"/>
      <c r="V55" s="4"/>
      <c r="W55" s="4">
        <v>23.8017</v>
      </c>
      <c r="X55" s="1">
        <f t="shared" si="34"/>
        <v>23.8017</v>
      </c>
      <c r="Y55" s="1">
        <f t="shared" si="1"/>
        <v>595.04250000000002</v>
      </c>
      <c r="Z55" s="1">
        <f t="shared" si="35"/>
        <v>595.04250000000002</v>
      </c>
      <c r="AA55" s="1">
        <f t="shared" si="36"/>
        <v>0</v>
      </c>
      <c r="AB55" s="1">
        <f t="shared" si="37"/>
        <v>0</v>
      </c>
      <c r="AC55" s="4"/>
      <c r="AD55" s="1"/>
      <c r="AE55" s="1">
        <f t="shared" si="27"/>
        <v>17</v>
      </c>
      <c r="AF55">
        <f t="shared" si="28"/>
        <v>5518.0024700000031</v>
      </c>
      <c r="AG55">
        <f t="shared" si="29"/>
        <v>77856.041990000085</v>
      </c>
      <c r="AH55">
        <f t="shared" si="23"/>
        <v>2016.6027923931672</v>
      </c>
      <c r="AI55">
        <f t="shared" si="25"/>
        <v>41449.99471486621</v>
      </c>
      <c r="AJ55">
        <f t="shared" si="26"/>
        <v>8396.2933235722212</v>
      </c>
      <c r="AK55">
        <f t="shared" si="24"/>
        <v>3068.4996344461292</v>
      </c>
      <c r="AL55">
        <f t="shared" si="30"/>
        <v>53792.789067853315</v>
      </c>
      <c r="AX55">
        <f t="shared" si="11"/>
        <v>2.8010903346271524E-3</v>
      </c>
      <c r="AY55">
        <f t="shared" si="12"/>
        <v>-177.42902518361674</v>
      </c>
      <c r="AZ55">
        <f t="shared" si="38"/>
        <v>-96.039243862898076</v>
      </c>
      <c r="BA55">
        <f t="shared" si="39"/>
        <v>-81.389781320718669</v>
      </c>
    </row>
    <row r="56" spans="1:53" x14ac:dyDescent="0.35">
      <c r="A56" s="1">
        <v>55</v>
      </c>
      <c r="B56" s="1">
        <v>1734.337401732017</v>
      </c>
      <c r="C56" s="1">
        <v>0</v>
      </c>
      <c r="D56" s="1"/>
      <c r="E56" s="1">
        <v>1734.34</v>
      </c>
      <c r="F56" s="1"/>
      <c r="G56" s="1"/>
      <c r="H56" s="1"/>
      <c r="I56" s="1"/>
      <c r="J56" s="1"/>
      <c r="K56" s="1">
        <v>0</v>
      </c>
      <c r="L56" s="1">
        <v>0</v>
      </c>
      <c r="M56" s="4">
        <f t="shared" si="31"/>
        <v>0</v>
      </c>
      <c r="N56" s="4"/>
      <c r="O56" s="4">
        <f t="shared" si="32"/>
        <v>0</v>
      </c>
      <c r="P56" s="4">
        <f t="shared" si="32"/>
        <v>0</v>
      </c>
      <c r="Q56" s="4">
        <f t="shared" si="33"/>
        <v>0</v>
      </c>
      <c r="R56" s="4"/>
      <c r="S56" s="65" t="s">
        <v>345</v>
      </c>
      <c r="T56" s="1">
        <v>0.75</v>
      </c>
      <c r="U56" s="30"/>
      <c r="V56" s="4"/>
      <c r="W56" s="4">
        <v>36.4392</v>
      </c>
      <c r="X56" s="1">
        <f t="shared" si="34"/>
        <v>36.4392</v>
      </c>
      <c r="Y56" s="1">
        <f t="shared" si="1"/>
        <v>910.98</v>
      </c>
      <c r="Z56" s="1">
        <f t="shared" si="35"/>
        <v>910.98</v>
      </c>
      <c r="AA56" s="1">
        <f t="shared" si="36"/>
        <v>0</v>
      </c>
      <c r="AB56" s="1">
        <f t="shared" si="37"/>
        <v>0</v>
      </c>
      <c r="AC56" s="4"/>
      <c r="AD56" s="1"/>
      <c r="AE56" s="1">
        <f>AE55+1</f>
        <v>18</v>
      </c>
      <c r="AF56">
        <f t="shared" si="28"/>
        <v>5518.0024700000031</v>
      </c>
      <c r="AG56">
        <f t="shared" si="29"/>
        <v>83374.044460000092</v>
      </c>
      <c r="AH56">
        <f t="shared" si="23"/>
        <v>1900.6623867984608</v>
      </c>
      <c r="AI56">
        <f t="shared" si="25"/>
        <v>43350.65710166467</v>
      </c>
      <c r="AJ56">
        <f t="shared" si="26"/>
        <v>8606.2006566615273</v>
      </c>
      <c r="AK56">
        <f t="shared" si="24"/>
        <v>2964.3846609870711</v>
      </c>
      <c r="AL56">
        <f t="shared" si="30"/>
        <v>56757.173728840389</v>
      </c>
      <c r="AX56">
        <f t="shared" si="11"/>
        <v>4.2883302406453942E-3</v>
      </c>
      <c r="AY56">
        <f t="shared" si="12"/>
        <v>-271.63502899467017</v>
      </c>
      <c r="AZ56">
        <f t="shared" si="38"/>
        <v>-147.03131443306475</v>
      </c>
      <c r="BA56">
        <f t="shared" si="39"/>
        <v>-124.60371456160541</v>
      </c>
    </row>
    <row r="57" spans="1:53" x14ac:dyDescent="0.35">
      <c r="A57" s="1">
        <v>56</v>
      </c>
      <c r="B57" s="1">
        <v>1696.5437943175671</v>
      </c>
      <c r="C57" s="1">
        <v>0</v>
      </c>
      <c r="D57" s="1"/>
      <c r="E57" s="1">
        <v>1696.54</v>
      </c>
      <c r="F57" s="1"/>
      <c r="G57" s="1"/>
      <c r="H57" s="1"/>
      <c r="I57" s="1"/>
      <c r="J57" s="1"/>
      <c r="K57" s="1">
        <v>0</v>
      </c>
      <c r="L57" s="1">
        <v>0</v>
      </c>
      <c r="M57" s="4">
        <f t="shared" si="31"/>
        <v>0</v>
      </c>
      <c r="N57" s="4"/>
      <c r="O57" s="4">
        <f t="shared" si="32"/>
        <v>0</v>
      </c>
      <c r="P57" s="4">
        <f t="shared" si="32"/>
        <v>0</v>
      </c>
      <c r="Q57" s="4">
        <f t="shared" si="33"/>
        <v>0</v>
      </c>
      <c r="R57" s="4"/>
      <c r="S57" s="72"/>
      <c r="U57" s="30"/>
      <c r="V57" s="4"/>
      <c r="W57" s="4">
        <v>33.6798</v>
      </c>
      <c r="X57" s="1">
        <f t="shared" si="34"/>
        <v>33.6798</v>
      </c>
      <c r="Y57" s="1">
        <f t="shared" si="1"/>
        <v>841.995</v>
      </c>
      <c r="Z57" s="1">
        <f t="shared" si="35"/>
        <v>841.995</v>
      </c>
      <c r="AA57" s="1">
        <f t="shared" si="36"/>
        <v>0</v>
      </c>
      <c r="AB57" s="1">
        <f t="shared" si="37"/>
        <v>0</v>
      </c>
      <c r="AC57" s="4"/>
      <c r="AD57" s="1"/>
      <c r="AE57" s="1">
        <f t="shared" ref="AE57:AE61" si="40">AE56+1</f>
        <v>19</v>
      </c>
      <c r="AF57">
        <f t="shared" si="28"/>
        <v>5518.0024700000031</v>
      </c>
      <c r="AG57">
        <f t="shared" si="29"/>
        <v>88892.046930000099</v>
      </c>
      <c r="AH57">
        <f t="shared" si="23"/>
        <v>1791.3877349655618</v>
      </c>
      <c r="AI57">
        <f t="shared" si="25"/>
        <v>45142.04483663023</v>
      </c>
      <c r="AJ57">
        <f t="shared" si="26"/>
        <v>8821.3556730780656</v>
      </c>
      <c r="AK57">
        <f t="shared" si="24"/>
        <v>2863.8023350723356</v>
      </c>
      <c r="AL57">
        <f t="shared" si="30"/>
        <v>59620.976063912727</v>
      </c>
      <c r="AX57">
        <f t="shared" si="11"/>
        <v>4.1948816017492885E-3</v>
      </c>
      <c r="AY57">
        <f t="shared" si="12"/>
        <v>-265.71572653622991</v>
      </c>
      <c r="AZ57">
        <f t="shared" si="38"/>
        <v>-143.82729901497805</v>
      </c>
      <c r="BA57">
        <f t="shared" si="39"/>
        <v>-121.88842752125186</v>
      </c>
    </row>
    <row r="58" spans="1:53" x14ac:dyDescent="0.35">
      <c r="A58" s="1">
        <v>57</v>
      </c>
      <c r="B58" s="1">
        <v>2227.6855671211929</v>
      </c>
      <c r="C58" s="1">
        <v>0</v>
      </c>
      <c r="D58" s="1"/>
      <c r="E58" s="1">
        <v>2227.69</v>
      </c>
      <c r="F58" s="1"/>
      <c r="G58" s="1"/>
      <c r="H58" s="1"/>
      <c r="I58" s="1"/>
      <c r="J58" s="1"/>
      <c r="K58" s="1">
        <v>0</v>
      </c>
      <c r="L58" s="1">
        <v>0</v>
      </c>
      <c r="M58" s="4">
        <f t="shared" si="31"/>
        <v>0</v>
      </c>
      <c r="N58" s="4"/>
      <c r="O58" s="4">
        <f t="shared" si="32"/>
        <v>0</v>
      </c>
      <c r="P58" s="4">
        <f t="shared" si="32"/>
        <v>0</v>
      </c>
      <c r="Q58" s="4">
        <f t="shared" si="33"/>
        <v>0</v>
      </c>
      <c r="R58" s="4"/>
      <c r="S58" s="72"/>
      <c r="U58" s="30"/>
      <c r="V58" s="4"/>
      <c r="W58" s="4">
        <v>43.985100000000003</v>
      </c>
      <c r="X58" s="1">
        <f t="shared" si="34"/>
        <v>43.985100000000003</v>
      </c>
      <c r="Y58" s="1">
        <f t="shared" si="1"/>
        <v>1099.6275000000001</v>
      </c>
      <c r="Z58" s="1">
        <f t="shared" si="35"/>
        <v>1099.6275000000001</v>
      </c>
      <c r="AA58" s="1">
        <f t="shared" si="36"/>
        <v>0</v>
      </c>
      <c r="AB58" s="1">
        <f t="shared" si="37"/>
        <v>0</v>
      </c>
      <c r="AC58" s="4"/>
      <c r="AD58" s="1"/>
      <c r="AE58" s="1">
        <f t="shared" si="40"/>
        <v>20</v>
      </c>
      <c r="AF58">
        <f t="shared" si="28"/>
        <v>5518.0024700000031</v>
      </c>
      <c r="AG58">
        <f t="shared" si="29"/>
        <v>94410.049400000105</v>
      </c>
      <c r="AH58">
        <f t="shared" si="23"/>
        <v>1688.3956031720656</v>
      </c>
      <c r="AI58">
        <f t="shared" si="25"/>
        <v>46830.440439802296</v>
      </c>
      <c r="AJ58">
        <f t="shared" si="26"/>
        <v>9041.8895649050155</v>
      </c>
      <c r="AK58">
        <f t="shared" si="24"/>
        <v>2766.6327930717657</v>
      </c>
      <c r="AL58">
        <f t="shared" si="30"/>
        <v>62387.608856984494</v>
      </c>
      <c r="AX58">
        <f t="shared" si="11"/>
        <v>5.5081850709065181E-3</v>
      </c>
      <c r="AY58">
        <f t="shared" si="12"/>
        <v>-348.90410194213979</v>
      </c>
      <c r="AZ58">
        <f t="shared" si="38"/>
        <v>-188.8557190488396</v>
      </c>
      <c r="BA58">
        <f t="shared" si="39"/>
        <v>-160.04838289330019</v>
      </c>
    </row>
    <row r="59" spans="1:53" x14ac:dyDescent="0.35">
      <c r="A59" s="1">
        <v>58</v>
      </c>
      <c r="B59" s="1">
        <v>404.30530639696019</v>
      </c>
      <c r="C59" s="1">
        <v>0</v>
      </c>
      <c r="D59" s="1"/>
      <c r="E59" s="1">
        <v>404.30500000000001</v>
      </c>
      <c r="F59" s="1"/>
      <c r="G59" s="1"/>
      <c r="H59" s="1"/>
      <c r="I59" s="1"/>
      <c r="J59" s="1"/>
      <c r="K59" s="1">
        <v>0</v>
      </c>
      <c r="L59" s="1">
        <v>0</v>
      </c>
      <c r="M59" s="4">
        <f t="shared" si="31"/>
        <v>0</v>
      </c>
      <c r="N59" s="4"/>
      <c r="O59" s="4">
        <f t="shared" si="32"/>
        <v>0</v>
      </c>
      <c r="P59" s="4">
        <f t="shared" si="32"/>
        <v>0</v>
      </c>
      <c r="Q59" s="4">
        <f t="shared" si="33"/>
        <v>0</v>
      </c>
      <c r="R59" s="4"/>
      <c r="S59" s="63"/>
      <c r="T59" s="4"/>
      <c r="U59" s="46"/>
      <c r="V59" s="4"/>
      <c r="W59" s="4">
        <v>7.2637200000000002</v>
      </c>
      <c r="X59" s="1">
        <f t="shared" si="34"/>
        <v>7.2637200000000002</v>
      </c>
      <c r="Y59" s="1">
        <f t="shared" si="1"/>
        <v>181.59300000000002</v>
      </c>
      <c r="Z59" s="1">
        <f t="shared" si="35"/>
        <v>181.59300000000002</v>
      </c>
      <c r="AA59" s="1">
        <f t="shared" si="36"/>
        <v>0</v>
      </c>
      <c r="AB59" s="1">
        <f t="shared" si="37"/>
        <v>0</v>
      </c>
      <c r="AC59" s="4"/>
      <c r="AD59" s="1"/>
      <c r="AE59" s="1">
        <f t="shared" si="40"/>
        <v>21</v>
      </c>
      <c r="AF59">
        <f t="shared" si="28"/>
        <v>5518.0024700000031</v>
      </c>
      <c r="AG59">
        <f t="shared" si="29"/>
        <v>99928.051870000112</v>
      </c>
      <c r="AH59">
        <f t="shared" si="23"/>
        <v>1591.324790925604</v>
      </c>
      <c r="AI59">
        <f t="shared" si="25"/>
        <v>48421.765230727899</v>
      </c>
      <c r="AJ59">
        <f t="shared" si="26"/>
        <v>9267.9368040276404</v>
      </c>
      <c r="AK59">
        <f t="shared" si="24"/>
        <v>2672.7602383586805</v>
      </c>
      <c r="AL59">
        <f t="shared" si="30"/>
        <v>65060.369095343172</v>
      </c>
      <c r="AX59">
        <f t="shared" si="11"/>
        <v>9.9968706789348551E-4</v>
      </c>
      <c r="AY59">
        <f t="shared" si="12"/>
        <v>-63.323020950918057</v>
      </c>
      <c r="AZ59">
        <f t="shared" si="38"/>
        <v>-34.275649347377296</v>
      </c>
      <c r="BA59">
        <f t="shared" si="39"/>
        <v>-29.047371603540761</v>
      </c>
    </row>
    <row r="60" spans="1:53" x14ac:dyDescent="0.35">
      <c r="A60" s="1">
        <v>59</v>
      </c>
      <c r="B60" s="1">
        <v>3141.552121160008</v>
      </c>
      <c r="C60" s="1">
        <v>0</v>
      </c>
      <c r="D60" s="1"/>
      <c r="E60" s="1">
        <v>3141.55</v>
      </c>
      <c r="F60" s="1"/>
      <c r="G60" s="1"/>
      <c r="H60" s="1"/>
      <c r="I60" s="1"/>
      <c r="J60" s="1"/>
      <c r="K60" s="1">
        <v>0</v>
      </c>
      <c r="L60" s="1">
        <v>0</v>
      </c>
      <c r="M60" s="4">
        <f t="shared" si="31"/>
        <v>0</v>
      </c>
      <c r="N60" s="4"/>
      <c r="O60" s="4">
        <f t="shared" si="32"/>
        <v>0</v>
      </c>
      <c r="P60" s="4">
        <f t="shared" si="32"/>
        <v>0</v>
      </c>
      <c r="Q60" s="4">
        <f t="shared" si="33"/>
        <v>0</v>
      </c>
      <c r="R60" s="4"/>
      <c r="S60" s="63"/>
      <c r="T60" s="4"/>
      <c r="U60" s="46"/>
      <c r="V60" s="4"/>
      <c r="W60" s="4">
        <v>63.6265</v>
      </c>
      <c r="X60" s="1">
        <f t="shared" si="34"/>
        <v>63.6265</v>
      </c>
      <c r="Y60" s="1">
        <f t="shared" si="1"/>
        <v>1590.6624999999999</v>
      </c>
      <c r="Z60" s="1">
        <f t="shared" si="35"/>
        <v>1590.6624999999999</v>
      </c>
      <c r="AA60" s="1">
        <f t="shared" si="36"/>
        <v>0</v>
      </c>
      <c r="AB60" s="1">
        <f t="shared" si="37"/>
        <v>0</v>
      </c>
      <c r="AC60" s="4"/>
      <c r="AD60" s="1"/>
      <c r="AE60" s="1">
        <f t="shared" si="40"/>
        <v>22</v>
      </c>
      <c r="AF60">
        <f t="shared" si="28"/>
        <v>5518.0024700000031</v>
      </c>
      <c r="AG60">
        <f t="shared" si="29"/>
        <v>105446.05434000012</v>
      </c>
      <c r="AH60">
        <f t="shared" si="23"/>
        <v>1499.8348642088631</v>
      </c>
      <c r="AI60">
        <f t="shared" si="25"/>
        <v>49921.600094936759</v>
      </c>
      <c r="AJ60">
        <f t="shared" si="26"/>
        <v>9499.6352241283312</v>
      </c>
      <c r="AK60">
        <f t="shared" si="24"/>
        <v>2582.0728033154073</v>
      </c>
      <c r="AL60">
        <f t="shared" si="30"/>
        <v>67642.441898658581</v>
      </c>
      <c r="AX60">
        <f t="shared" si="11"/>
        <v>7.7678155071096069E-3</v>
      </c>
      <c r="AY60">
        <f t="shared" si="12"/>
        <v>-492.03551781063624</v>
      </c>
      <c r="AZ60">
        <f t="shared" si="38"/>
        <v>-266.33026380729041</v>
      </c>
      <c r="BA60">
        <f t="shared" si="39"/>
        <v>-225.70525400334583</v>
      </c>
    </row>
    <row r="61" spans="1:53" x14ac:dyDescent="0.35">
      <c r="A61" s="1">
        <v>60</v>
      </c>
      <c r="B61" s="1">
        <v>2862.8042339526478</v>
      </c>
      <c r="C61" s="1">
        <v>0</v>
      </c>
      <c r="D61" s="1"/>
      <c r="E61" s="1">
        <v>2862.8</v>
      </c>
      <c r="F61" s="1"/>
      <c r="G61" s="1"/>
      <c r="H61" s="1"/>
      <c r="I61" s="1"/>
      <c r="J61" s="1"/>
      <c r="K61" s="1">
        <v>0</v>
      </c>
      <c r="L61" s="1">
        <v>0</v>
      </c>
      <c r="M61" s="4">
        <f t="shared" si="31"/>
        <v>0</v>
      </c>
      <c r="N61" s="4"/>
      <c r="O61" s="4">
        <f t="shared" si="32"/>
        <v>0</v>
      </c>
      <c r="P61" s="4">
        <f t="shared" si="32"/>
        <v>0</v>
      </c>
      <c r="Q61" s="4">
        <f t="shared" si="33"/>
        <v>0</v>
      </c>
      <c r="R61" s="4"/>
      <c r="S61" s="63" t="s">
        <v>341</v>
      </c>
      <c r="T61" s="4"/>
      <c r="U61" s="46"/>
      <c r="V61" s="4"/>
      <c r="W61" s="4">
        <v>59.825899999999997</v>
      </c>
      <c r="X61" s="1">
        <f t="shared" si="34"/>
        <v>59.825899999999997</v>
      </c>
      <c r="Y61" s="1">
        <f t="shared" si="1"/>
        <v>1495.6475</v>
      </c>
      <c r="Z61" s="1">
        <f t="shared" si="35"/>
        <v>1495.6475</v>
      </c>
      <c r="AA61" s="1">
        <f t="shared" si="36"/>
        <v>0</v>
      </c>
      <c r="AB61" s="1">
        <f t="shared" si="37"/>
        <v>0</v>
      </c>
      <c r="AC61" s="4"/>
      <c r="AD61" s="1"/>
      <c r="AE61" s="1">
        <f t="shared" si="40"/>
        <v>23</v>
      </c>
      <c r="AF61">
        <f t="shared" si="28"/>
        <v>5518.0024700000031</v>
      </c>
      <c r="AG61">
        <f t="shared" si="29"/>
        <v>110964.05681000013</v>
      </c>
      <c r="AH61">
        <f t="shared" si="23"/>
        <v>1413.6049615540655</v>
      </c>
      <c r="AI61">
        <f t="shared" si="25"/>
        <v>51335.205056490828</v>
      </c>
      <c r="AJ61">
        <f t="shared" si="26"/>
        <v>9737.1261047315384</v>
      </c>
      <c r="AK61">
        <f t="shared" si="24"/>
        <v>2494.462416021011</v>
      </c>
      <c r="AL61">
        <f t="shared" si="30"/>
        <v>70136.904314679588</v>
      </c>
      <c r="AX61">
        <f t="shared" si="11"/>
        <v>7.0785822627399868E-3</v>
      </c>
      <c r="AY61">
        <f t="shared" si="12"/>
        <v>-448.37752464958345</v>
      </c>
      <c r="AZ61">
        <f t="shared" si="38"/>
        <v>-242.6989518084786</v>
      </c>
      <c r="BA61">
        <f t="shared" si="39"/>
        <v>-205.67857284110485</v>
      </c>
    </row>
    <row r="62" spans="1:53" x14ac:dyDescent="0.35">
      <c r="A62" s="1">
        <v>61</v>
      </c>
      <c r="B62" s="1">
        <v>2954.0094942934988</v>
      </c>
      <c r="C62" s="1">
        <v>0</v>
      </c>
      <c r="D62" s="1"/>
      <c r="E62" s="1">
        <v>2954.01</v>
      </c>
      <c r="F62" s="1"/>
      <c r="G62" s="1"/>
      <c r="H62" s="1"/>
      <c r="I62" s="1"/>
      <c r="J62" s="1"/>
      <c r="K62" s="1">
        <v>0</v>
      </c>
      <c r="L62" s="1">
        <v>0</v>
      </c>
      <c r="M62" s="4">
        <f t="shared" si="31"/>
        <v>0</v>
      </c>
      <c r="N62" s="4"/>
      <c r="O62" s="4">
        <f t="shared" si="32"/>
        <v>0</v>
      </c>
      <c r="P62" s="4">
        <f t="shared" si="32"/>
        <v>0</v>
      </c>
      <c r="Q62" s="4">
        <f t="shared" si="33"/>
        <v>0</v>
      </c>
      <c r="R62" s="4"/>
      <c r="S62" s="87" t="s">
        <v>333</v>
      </c>
      <c r="T62" s="4">
        <v>650</v>
      </c>
      <c r="U62" s="46" t="s">
        <v>337</v>
      </c>
      <c r="V62" s="4"/>
      <c r="W62" s="4">
        <v>64.215500000000006</v>
      </c>
      <c r="X62" s="1">
        <f t="shared" si="34"/>
        <v>64.215500000000006</v>
      </c>
      <c r="Y62" s="1">
        <f t="shared" si="1"/>
        <v>1605.3875</v>
      </c>
      <c r="Z62" s="1">
        <f t="shared" si="35"/>
        <v>1605.3875</v>
      </c>
      <c r="AA62" s="1">
        <f t="shared" si="36"/>
        <v>0</v>
      </c>
      <c r="AB62" s="1">
        <f t="shared" si="37"/>
        <v>0</v>
      </c>
      <c r="AC62" s="4"/>
      <c r="AD62" s="1"/>
      <c r="AE62" s="1">
        <f>AE61+1</f>
        <v>24</v>
      </c>
      <c r="AF62">
        <f t="shared" si="28"/>
        <v>5518.0024700000031</v>
      </c>
      <c r="AG62">
        <f t="shared" si="29"/>
        <v>116482.05928000013</v>
      </c>
      <c r="AH62">
        <f t="shared" si="23"/>
        <v>1332.3326687597225</v>
      </c>
      <c r="AI62">
        <f t="shared" si="25"/>
        <v>52667.53772525055</v>
      </c>
      <c r="AJ62">
        <f t="shared" si="26"/>
        <v>9980.554257349826</v>
      </c>
      <c r="AK62">
        <f t="shared" si="24"/>
        <v>2409.8246714623338</v>
      </c>
      <c r="AL62">
        <f t="shared" si="30"/>
        <v>72546.728986141927</v>
      </c>
      <c r="AX62">
        <f t="shared" si="11"/>
        <v>7.3040967881345346E-3</v>
      </c>
      <c r="AY62">
        <f t="shared" si="12"/>
        <v>-462.66225581689395</v>
      </c>
      <c r="AZ62">
        <f t="shared" si="38"/>
        <v>-250.43102821860109</v>
      </c>
      <c r="BA62">
        <f t="shared" si="39"/>
        <v>-212.23122759829286</v>
      </c>
    </row>
    <row r="63" spans="1:53" x14ac:dyDescent="0.35">
      <c r="A63" s="1">
        <v>62</v>
      </c>
      <c r="B63" s="1">
        <v>1204.0745303370161</v>
      </c>
      <c r="C63" s="1">
        <v>0</v>
      </c>
      <c r="D63" s="1"/>
      <c r="E63" s="1">
        <v>1204.07</v>
      </c>
      <c r="F63" s="1"/>
      <c r="G63" s="1"/>
      <c r="H63" s="1"/>
      <c r="I63" s="1"/>
      <c r="J63" s="1"/>
      <c r="K63" s="1">
        <v>0</v>
      </c>
      <c r="L63" s="1">
        <v>0</v>
      </c>
      <c r="M63" s="4">
        <f t="shared" si="31"/>
        <v>0</v>
      </c>
      <c r="N63" s="4"/>
      <c r="O63" s="4">
        <f t="shared" si="32"/>
        <v>0</v>
      </c>
      <c r="P63" s="4">
        <f t="shared" si="32"/>
        <v>0</v>
      </c>
      <c r="Q63" s="4">
        <f t="shared" si="33"/>
        <v>0</v>
      </c>
      <c r="R63" s="4"/>
      <c r="S63" s="87" t="s">
        <v>334</v>
      </c>
      <c r="T63" s="4">
        <v>350</v>
      </c>
      <c r="U63" s="46" t="s">
        <v>337</v>
      </c>
      <c r="V63" s="4"/>
      <c r="W63" s="4">
        <v>25.6633</v>
      </c>
      <c r="X63" s="1">
        <f t="shared" si="34"/>
        <v>25.6633</v>
      </c>
      <c r="Y63" s="1">
        <f t="shared" si="1"/>
        <v>641.58249999999998</v>
      </c>
      <c r="Z63" s="1">
        <f>Y63-M63</f>
        <v>641.58249999999998</v>
      </c>
      <c r="AA63" s="1">
        <f t="shared" si="36"/>
        <v>0</v>
      </c>
      <c r="AB63" s="1">
        <f t="shared" si="37"/>
        <v>0</v>
      </c>
      <c r="AC63" s="4"/>
      <c r="AD63" s="1"/>
      <c r="AE63" s="1">
        <f t="shared" ref="AE63" si="41">AE62+1</f>
        <v>25</v>
      </c>
      <c r="AF63">
        <f t="shared" si="28"/>
        <v>5518.0024700000031</v>
      </c>
      <c r="AG63">
        <f t="shared" si="29"/>
        <v>122000.06175000014</v>
      </c>
      <c r="AH63">
        <f t="shared" si="23"/>
        <v>1255.7329583032256</v>
      </c>
      <c r="AI63">
        <f t="shared" si="25"/>
        <v>53923.270683553776</v>
      </c>
      <c r="AJ63">
        <f t="shared" si="26"/>
        <v>10230.068113783571</v>
      </c>
      <c r="AK63">
        <f t="shared" si="24"/>
        <v>2328.0587071148839</v>
      </c>
      <c r="AL63">
        <f t="shared" si="30"/>
        <v>74874.787693256803</v>
      </c>
      <c r="AX63">
        <f t="shared" si="11"/>
        <v>2.9771999469529777E-3</v>
      </c>
      <c r="AY63">
        <f t="shared" si="12"/>
        <v>-188.5843087009529</v>
      </c>
      <c r="AZ63">
        <f t="shared" si="38"/>
        <v>-102.07740471607588</v>
      </c>
      <c r="BA63">
        <f t="shared" si="39"/>
        <v>-86.506903984877027</v>
      </c>
    </row>
    <row r="64" spans="1:53" x14ac:dyDescent="0.35">
      <c r="A64" s="1">
        <v>63</v>
      </c>
      <c r="B64" s="1">
        <v>13474.18710799874</v>
      </c>
      <c r="C64" s="1">
        <v>0</v>
      </c>
      <c r="D64" s="1"/>
      <c r="E64" s="1">
        <v>13474.2</v>
      </c>
      <c r="F64" s="1"/>
      <c r="G64" s="1"/>
      <c r="H64" s="1"/>
      <c r="I64" s="1"/>
      <c r="J64" s="1"/>
      <c r="K64" s="1">
        <v>0</v>
      </c>
      <c r="L64" s="1">
        <v>0</v>
      </c>
      <c r="M64" s="4">
        <f t="shared" si="31"/>
        <v>0</v>
      </c>
      <c r="N64" s="4"/>
      <c r="O64" s="4">
        <f t="shared" si="32"/>
        <v>0</v>
      </c>
      <c r="P64" s="4">
        <f t="shared" si="32"/>
        <v>0</v>
      </c>
      <c r="Q64" s="4">
        <f t="shared" si="33"/>
        <v>0</v>
      </c>
      <c r="R64" s="4"/>
      <c r="S64" s="87"/>
      <c r="T64" s="4"/>
      <c r="U64" s="46"/>
      <c r="V64" s="4"/>
      <c r="W64" s="4">
        <v>279.54399999999998</v>
      </c>
      <c r="X64" s="1">
        <f t="shared" si="34"/>
        <v>279.54399999999998</v>
      </c>
      <c r="Y64" s="1">
        <f t="shared" si="1"/>
        <v>6988.5999999999995</v>
      </c>
      <c r="Z64" s="1">
        <f t="shared" si="35"/>
        <v>6988.5999999999995</v>
      </c>
      <c r="AA64" s="1">
        <f t="shared" si="36"/>
        <v>0</v>
      </c>
      <c r="AB64" s="1">
        <f t="shared" si="37"/>
        <v>0</v>
      </c>
      <c r="AC64" s="4"/>
      <c r="AX64">
        <f t="shared" si="11"/>
        <v>3.33163339415046E-2</v>
      </c>
      <c r="AY64">
        <f t="shared" si="12"/>
        <v>-2110.3513088662471</v>
      </c>
      <c r="AZ64">
        <f t="shared" si="38"/>
        <v>-1142.2964409506667</v>
      </c>
      <c r="BA64">
        <f t="shared" si="39"/>
        <v>-968.05486791558042</v>
      </c>
    </row>
    <row r="65" spans="1:53" x14ac:dyDescent="0.35">
      <c r="A65" s="1">
        <v>64</v>
      </c>
      <c r="B65" s="1">
        <v>3713.6923624805509</v>
      </c>
      <c r="C65" s="1">
        <v>0</v>
      </c>
      <c r="D65" s="1"/>
      <c r="E65" s="1">
        <v>3713.69</v>
      </c>
      <c r="F65" s="1"/>
      <c r="G65" s="1"/>
      <c r="H65" s="1"/>
      <c r="I65" s="1"/>
      <c r="J65" s="1"/>
      <c r="K65" s="1">
        <v>0</v>
      </c>
      <c r="L65" s="1">
        <v>0</v>
      </c>
      <c r="M65" s="4">
        <f t="shared" si="31"/>
        <v>0</v>
      </c>
      <c r="N65" s="4"/>
      <c r="O65" s="4">
        <f t="shared" si="32"/>
        <v>0</v>
      </c>
      <c r="P65" s="4">
        <f t="shared" si="32"/>
        <v>0</v>
      </c>
      <c r="Q65" s="4">
        <f t="shared" si="33"/>
        <v>0</v>
      </c>
      <c r="R65" s="4"/>
      <c r="S65" s="87" t="s">
        <v>335</v>
      </c>
      <c r="T65" s="4">
        <v>890</v>
      </c>
      <c r="U65" s="46" t="s">
        <v>338</v>
      </c>
      <c r="V65" s="4"/>
      <c r="W65" s="4">
        <v>78.026300000000006</v>
      </c>
      <c r="X65" s="1">
        <f t="shared" si="34"/>
        <v>78.026300000000006</v>
      </c>
      <c r="Y65" s="1">
        <f t="shared" si="1"/>
        <v>1950.6575000000003</v>
      </c>
      <c r="Z65" s="1">
        <f t="shared" si="35"/>
        <v>1950.6575000000003</v>
      </c>
      <c r="AA65" s="1">
        <f t="shared" si="36"/>
        <v>0</v>
      </c>
      <c r="AB65" s="1">
        <f t="shared" si="37"/>
        <v>0</v>
      </c>
      <c r="AC65" s="4"/>
      <c r="AF65" s="18" t="s">
        <v>51</v>
      </c>
      <c r="AG65" s="4">
        <f>AE41-(AG41/AF42)</f>
        <v>2.8905387568628602</v>
      </c>
      <c r="AH65" s="4"/>
      <c r="AI65" s="10">
        <f>AE42-(AI42/AH43)</f>
        <v>3.2381147988221151</v>
      </c>
      <c r="AJ65" s="10"/>
      <c r="AK65" s="10"/>
      <c r="AL65" s="10">
        <f>AE41-(AL41/AK42)</f>
        <v>3.1028140593050848</v>
      </c>
      <c r="AX65">
        <f t="shared" si="11"/>
        <v>9.1824919687339673E-3</v>
      </c>
      <c r="AY65">
        <f t="shared" si="12"/>
        <v>-581.64514675879695</v>
      </c>
      <c r="AZ65">
        <f t="shared" si="38"/>
        <v>-314.83439664637939</v>
      </c>
      <c r="BA65">
        <f t="shared" si="39"/>
        <v>-266.81075011241757</v>
      </c>
    </row>
    <row r="66" spans="1:53" x14ac:dyDescent="0.35">
      <c r="A66" s="1">
        <v>65</v>
      </c>
      <c r="B66" s="1">
        <v>1118.1009256975681</v>
      </c>
      <c r="C66" s="1">
        <v>0</v>
      </c>
      <c r="D66" s="1"/>
      <c r="E66" s="1">
        <v>1118.0999999999999</v>
      </c>
      <c r="F66" s="1"/>
      <c r="G66" s="1"/>
      <c r="H66" s="1"/>
      <c r="I66" s="1"/>
      <c r="J66" s="1"/>
      <c r="K66" s="1">
        <v>0</v>
      </c>
      <c r="L66" s="1">
        <v>0</v>
      </c>
      <c r="M66" s="4">
        <f t="shared" si="31"/>
        <v>0</v>
      </c>
      <c r="N66" s="4"/>
      <c r="O66" s="4">
        <f t="shared" si="32"/>
        <v>0</v>
      </c>
      <c r="P66" s="4">
        <f t="shared" si="32"/>
        <v>0</v>
      </c>
      <c r="Q66" s="4">
        <f t="shared" si="33"/>
        <v>0</v>
      </c>
      <c r="R66" s="4"/>
      <c r="S66" s="87" t="s">
        <v>336</v>
      </c>
      <c r="T66" s="4">
        <v>820</v>
      </c>
      <c r="U66" s="46" t="s">
        <v>338</v>
      </c>
      <c r="V66" s="4"/>
      <c r="W66" s="4">
        <v>23.491800000000001</v>
      </c>
      <c r="X66" s="1">
        <f t="shared" si="34"/>
        <v>23.491800000000001</v>
      </c>
      <c r="Y66" s="1">
        <f t="shared" ref="Y66:Y100" si="42">W66*$T$47</f>
        <v>587.29500000000007</v>
      </c>
      <c r="Z66" s="1">
        <f t="shared" si="35"/>
        <v>587.29500000000007</v>
      </c>
      <c r="AA66" s="1">
        <f t="shared" si="36"/>
        <v>0</v>
      </c>
      <c r="AB66" s="1">
        <f t="shared" si="37"/>
        <v>0</v>
      </c>
      <c r="AC66" s="4"/>
      <c r="AX66">
        <f t="shared" si="11"/>
        <v>2.7646212363142946E-3</v>
      </c>
      <c r="AY66">
        <f t="shared" si="12"/>
        <v>-175.11896881628539</v>
      </c>
      <c r="AZ66">
        <f t="shared" si="38"/>
        <v>-94.788850548897813</v>
      </c>
      <c r="BA66">
        <f t="shared" si="39"/>
        <v>-80.330118267387576</v>
      </c>
    </row>
    <row r="67" spans="1:53" x14ac:dyDescent="0.35">
      <c r="A67" s="1">
        <v>66</v>
      </c>
      <c r="B67" s="1">
        <v>789.18834550043005</v>
      </c>
      <c r="C67" s="1">
        <v>0</v>
      </c>
      <c r="D67" s="1"/>
      <c r="E67" s="1">
        <v>789.18799999999999</v>
      </c>
      <c r="F67" s="1"/>
      <c r="G67" s="1"/>
      <c r="H67" s="1"/>
      <c r="I67" s="1"/>
      <c r="J67" s="1"/>
      <c r="K67" s="1">
        <v>0</v>
      </c>
      <c r="L67" s="1">
        <v>0</v>
      </c>
      <c r="M67" s="4">
        <f t="shared" si="31"/>
        <v>0</v>
      </c>
      <c r="N67" s="4"/>
      <c r="O67" s="4">
        <f t="shared" si="32"/>
        <v>0</v>
      </c>
      <c r="P67" s="4">
        <f t="shared" si="32"/>
        <v>0</v>
      </c>
      <c r="Q67" s="4">
        <f t="shared" si="33"/>
        <v>0</v>
      </c>
      <c r="R67" s="4"/>
      <c r="S67" s="65" t="s">
        <v>247</v>
      </c>
      <c r="T67" s="1">
        <v>24000</v>
      </c>
      <c r="U67" s="46" t="s">
        <v>268</v>
      </c>
      <c r="V67" s="4"/>
      <c r="W67" s="4">
        <v>16.784199999999998</v>
      </c>
      <c r="X67" s="1">
        <f t="shared" si="34"/>
        <v>16.784199999999998</v>
      </c>
      <c r="Y67" s="1">
        <f t="shared" si="42"/>
        <v>419.60499999999996</v>
      </c>
      <c r="Z67" s="1">
        <f t="shared" si="35"/>
        <v>419.60499999999996</v>
      </c>
      <c r="AA67" s="1">
        <f t="shared" si="36"/>
        <v>0</v>
      </c>
      <c r="AB67" s="1">
        <f t="shared" si="37"/>
        <v>0</v>
      </c>
      <c r="AC67" s="4"/>
      <c r="AX67">
        <f t="shared" ref="AX67:AX103" si="43">B67/$B$102</f>
        <v>1.9513505527786158E-3</v>
      </c>
      <c r="AY67">
        <f t="shared" ref="AY67:AY103" si="44">AX67*$AW$2</f>
        <v>-123.60409162495182</v>
      </c>
      <c r="AZ67">
        <f t="shared" si="38"/>
        <v>-66.904743943308674</v>
      </c>
      <c r="BA67">
        <f t="shared" si="39"/>
        <v>-56.699347681643147</v>
      </c>
    </row>
    <row r="68" spans="1:53" x14ac:dyDescent="0.35">
      <c r="A68" s="1">
        <v>67</v>
      </c>
      <c r="B68" s="1">
        <v>1631.3808757786551</v>
      </c>
      <c r="C68" s="1">
        <v>0</v>
      </c>
      <c r="D68" s="1"/>
      <c r="E68" s="1">
        <v>1631.38</v>
      </c>
      <c r="F68" s="1"/>
      <c r="G68" s="1"/>
      <c r="H68" s="1"/>
      <c r="I68" s="1"/>
      <c r="J68" s="1"/>
      <c r="K68" s="1">
        <v>0</v>
      </c>
      <c r="L68" s="1">
        <v>0</v>
      </c>
      <c r="M68" s="4">
        <f t="shared" si="31"/>
        <v>0</v>
      </c>
      <c r="N68" s="4"/>
      <c r="O68" s="4">
        <f t="shared" si="32"/>
        <v>0</v>
      </c>
      <c r="P68" s="4">
        <f t="shared" si="32"/>
        <v>0</v>
      </c>
      <c r="Q68" s="4">
        <f t="shared" si="33"/>
        <v>0</v>
      </c>
      <c r="R68" s="4"/>
      <c r="S68" s="63" t="s">
        <v>247</v>
      </c>
      <c r="T68" s="4">
        <v>26000</v>
      </c>
      <c r="U68" s="46" t="s">
        <v>264</v>
      </c>
      <c r="V68" s="4"/>
      <c r="W68" s="4">
        <v>31.626000000000001</v>
      </c>
      <c r="X68" s="1">
        <f t="shared" si="34"/>
        <v>31.626000000000001</v>
      </c>
      <c r="Y68" s="1">
        <f t="shared" si="42"/>
        <v>790.65</v>
      </c>
      <c r="Z68" s="1">
        <f t="shared" si="35"/>
        <v>790.65</v>
      </c>
      <c r="AA68" s="1">
        <f t="shared" si="36"/>
        <v>0</v>
      </c>
      <c r="AB68" s="1">
        <f t="shared" si="37"/>
        <v>0</v>
      </c>
      <c r="AC68" s="4"/>
      <c r="AX68">
        <f t="shared" si="43"/>
        <v>4.0337594845303078E-3</v>
      </c>
      <c r="AY68">
        <f t="shared" si="44"/>
        <v>-255.50979356781335</v>
      </c>
      <c r="AZ68">
        <f t="shared" si="38"/>
        <v>-138.30300509413959</v>
      </c>
      <c r="BA68">
        <f t="shared" si="39"/>
        <v>-117.20678847367375</v>
      </c>
    </row>
    <row r="69" spans="1:53" x14ac:dyDescent="0.35">
      <c r="A69" s="1">
        <v>68</v>
      </c>
      <c r="B69" s="1">
        <v>4258.9353884654111</v>
      </c>
      <c r="C69" s="1">
        <v>0</v>
      </c>
      <c r="D69" s="1"/>
      <c r="E69" s="1">
        <v>4258.9399999999996</v>
      </c>
      <c r="F69" s="1"/>
      <c r="G69" s="1"/>
      <c r="H69" s="1"/>
      <c r="I69" s="1"/>
      <c r="J69" s="1"/>
      <c r="K69" s="1">
        <v>0</v>
      </c>
      <c r="L69" s="1">
        <v>0</v>
      </c>
      <c r="M69" s="4">
        <f t="shared" si="31"/>
        <v>0</v>
      </c>
      <c r="N69" s="4"/>
      <c r="O69" s="4">
        <f t="shared" si="32"/>
        <v>0</v>
      </c>
      <c r="P69" s="4">
        <f t="shared" si="32"/>
        <v>0</v>
      </c>
      <c r="Q69" s="4">
        <f t="shared" si="33"/>
        <v>0</v>
      </c>
      <c r="R69" s="4"/>
      <c r="S69" s="63" t="s">
        <v>247</v>
      </c>
      <c r="T69" s="4">
        <v>32500</v>
      </c>
      <c r="U69" s="46" t="s">
        <v>265</v>
      </c>
      <c r="V69" s="4"/>
      <c r="W69" s="4">
        <v>86.851900000000001</v>
      </c>
      <c r="X69" s="1">
        <f t="shared" si="34"/>
        <v>86.851900000000001</v>
      </c>
      <c r="Y69" s="1">
        <f t="shared" si="42"/>
        <v>2171.2975000000001</v>
      </c>
      <c r="Z69" s="1">
        <f t="shared" si="35"/>
        <v>2171.2975000000001</v>
      </c>
      <c r="AA69" s="1">
        <f t="shared" si="36"/>
        <v>0</v>
      </c>
      <c r="AB69" s="1">
        <f t="shared" si="37"/>
        <v>0</v>
      </c>
      <c r="AC69" s="4"/>
      <c r="AX69">
        <f t="shared" si="43"/>
        <v>1.053066225814641E-2</v>
      </c>
      <c r="AY69">
        <f t="shared" si="44"/>
        <v>-667.04208568465424</v>
      </c>
      <c r="AZ69">
        <f t="shared" si="38"/>
        <v>-361.0582736820445</v>
      </c>
      <c r="BA69">
        <f t="shared" si="39"/>
        <v>-305.98381200260974</v>
      </c>
    </row>
    <row r="70" spans="1:53" x14ac:dyDescent="0.35">
      <c r="A70" s="1">
        <v>69</v>
      </c>
      <c r="B70" s="1">
        <v>4490.8701254733214</v>
      </c>
      <c r="C70" s="1">
        <v>0</v>
      </c>
      <c r="D70" s="1"/>
      <c r="E70" s="1">
        <v>4490.87</v>
      </c>
      <c r="F70" s="1"/>
      <c r="G70" s="1"/>
      <c r="H70" s="1"/>
      <c r="I70" s="1"/>
      <c r="J70" s="1"/>
      <c r="K70" s="1">
        <v>0</v>
      </c>
      <c r="L70" s="1">
        <v>0</v>
      </c>
      <c r="M70" s="4">
        <f t="shared" si="31"/>
        <v>0</v>
      </c>
      <c r="N70" s="4"/>
      <c r="O70" s="4">
        <f t="shared" si="32"/>
        <v>0</v>
      </c>
      <c r="P70" s="4">
        <f t="shared" si="32"/>
        <v>0</v>
      </c>
      <c r="Q70" s="4">
        <f t="shared" si="33"/>
        <v>0</v>
      </c>
      <c r="R70" s="4"/>
      <c r="S70" s="63" t="s">
        <v>247</v>
      </c>
      <c r="T70" s="4">
        <v>34600</v>
      </c>
      <c r="U70" s="46" t="s">
        <v>266</v>
      </c>
      <c r="V70" s="4"/>
      <c r="W70" s="4">
        <v>90.9893</v>
      </c>
      <c r="X70" s="1">
        <f t="shared" si="34"/>
        <v>90.9893</v>
      </c>
      <c r="Y70" s="1">
        <f t="shared" si="42"/>
        <v>2274.7325000000001</v>
      </c>
      <c r="Z70" s="1">
        <f t="shared" si="35"/>
        <v>2274.7325000000001</v>
      </c>
      <c r="AA70" s="1">
        <f t="shared" si="36"/>
        <v>0</v>
      </c>
      <c r="AB70" s="1">
        <f t="shared" si="37"/>
        <v>0</v>
      </c>
      <c r="AC70" s="4"/>
      <c r="AX70">
        <f t="shared" si="43"/>
        <v>1.1104145102703576E-2</v>
      </c>
      <c r="AY70">
        <f t="shared" si="44"/>
        <v>-703.36811944780663</v>
      </c>
      <c r="AZ70">
        <f t="shared" si="38"/>
        <v>-380.72092364329444</v>
      </c>
      <c r="BA70">
        <f t="shared" si="39"/>
        <v>-322.64719580451219</v>
      </c>
    </row>
    <row r="71" spans="1:53" x14ac:dyDescent="0.35">
      <c r="A71" s="1">
        <v>70</v>
      </c>
      <c r="B71" s="1">
        <v>6097.7538980173758</v>
      </c>
      <c r="C71" s="1">
        <v>0</v>
      </c>
      <c r="D71" s="1"/>
      <c r="E71" s="1">
        <v>6097.75</v>
      </c>
      <c r="F71" s="1"/>
      <c r="G71" s="1"/>
      <c r="H71" s="1"/>
      <c r="I71" s="1"/>
      <c r="J71" s="1"/>
      <c r="K71" s="1">
        <v>0</v>
      </c>
      <c r="L71" s="1">
        <v>0</v>
      </c>
      <c r="M71" s="4">
        <f t="shared" si="31"/>
        <v>0</v>
      </c>
      <c r="N71" s="4"/>
      <c r="O71" s="4">
        <f t="shared" si="32"/>
        <v>0</v>
      </c>
      <c r="P71" s="4">
        <f t="shared" si="32"/>
        <v>0</v>
      </c>
      <c r="Q71" s="4">
        <f t="shared" si="33"/>
        <v>0</v>
      </c>
      <c r="R71" s="4"/>
      <c r="S71" s="63"/>
      <c r="T71" s="4"/>
      <c r="U71" s="46"/>
      <c r="V71" s="4"/>
      <c r="W71" s="4">
        <v>124.14400000000001</v>
      </c>
      <c r="X71" s="1">
        <f t="shared" si="34"/>
        <v>124.14400000000001</v>
      </c>
      <c r="Y71" s="1">
        <f t="shared" si="42"/>
        <v>3103.6000000000004</v>
      </c>
      <c r="Z71" s="1">
        <f t="shared" si="35"/>
        <v>3103.6000000000004</v>
      </c>
      <c r="AA71" s="1">
        <f t="shared" si="36"/>
        <v>0</v>
      </c>
      <c r="AB71" s="1">
        <f t="shared" si="37"/>
        <v>0</v>
      </c>
      <c r="AC71" s="4"/>
      <c r="AX71">
        <f t="shared" si="43"/>
        <v>1.5077332942694453E-2</v>
      </c>
      <c r="AY71">
        <f t="shared" si="44"/>
        <v>-955.04113284771779</v>
      </c>
      <c r="AZ71">
        <f t="shared" si="38"/>
        <v>-516.94714639693393</v>
      </c>
      <c r="BA71">
        <f t="shared" si="39"/>
        <v>-438.09398645078386</v>
      </c>
    </row>
    <row r="72" spans="1:53" x14ac:dyDescent="0.35">
      <c r="A72" s="1">
        <v>71</v>
      </c>
      <c r="B72" s="1">
        <v>4593.5313049109664</v>
      </c>
      <c r="C72" s="1">
        <v>0</v>
      </c>
      <c r="D72" s="1"/>
      <c r="E72" s="1">
        <v>4593.53</v>
      </c>
      <c r="F72" s="1"/>
      <c r="G72" s="1"/>
      <c r="H72" s="1"/>
      <c r="I72" s="1"/>
      <c r="J72" s="1"/>
      <c r="K72" s="1">
        <v>0</v>
      </c>
      <c r="L72" s="1">
        <v>0</v>
      </c>
      <c r="M72" s="4">
        <f t="shared" si="31"/>
        <v>0</v>
      </c>
      <c r="N72" s="4"/>
      <c r="O72" s="4">
        <f t="shared" si="32"/>
        <v>0</v>
      </c>
      <c r="P72" s="4">
        <f t="shared" si="32"/>
        <v>0</v>
      </c>
      <c r="Q72" s="4">
        <f t="shared" si="33"/>
        <v>0</v>
      </c>
      <c r="R72" s="4"/>
      <c r="S72" s="63"/>
      <c r="T72" s="4"/>
      <c r="U72" s="46"/>
      <c r="V72" s="4"/>
      <c r="W72" s="4">
        <v>96.512100000000004</v>
      </c>
      <c r="X72" s="1">
        <f t="shared" si="34"/>
        <v>96.512100000000004</v>
      </c>
      <c r="Y72" s="1">
        <f t="shared" si="42"/>
        <v>2412.8025000000002</v>
      </c>
      <c r="Z72" s="1">
        <f t="shared" si="35"/>
        <v>2412.8025000000002</v>
      </c>
      <c r="AA72" s="1">
        <f t="shared" si="36"/>
        <v>0</v>
      </c>
      <c r="AB72" s="1">
        <f t="shared" si="37"/>
        <v>0</v>
      </c>
      <c r="AC72" s="4"/>
      <c r="AX72">
        <f t="shared" si="43"/>
        <v>1.1357985583732882E-2</v>
      </c>
      <c r="AY72">
        <f t="shared" si="44"/>
        <v>-719.44709717458716</v>
      </c>
      <c r="AZ72">
        <f t="shared" si="38"/>
        <v>-389.42419449410545</v>
      </c>
      <c r="BA72">
        <f t="shared" si="39"/>
        <v>-330.02290268048171</v>
      </c>
    </row>
    <row r="73" spans="1:53" x14ac:dyDescent="0.35">
      <c r="A73" s="1">
        <v>72</v>
      </c>
      <c r="B73" s="1">
        <v>8062.2213477933838</v>
      </c>
      <c r="C73" s="1">
        <v>0</v>
      </c>
      <c r="D73" s="1"/>
      <c r="E73" s="1">
        <v>8062.22</v>
      </c>
      <c r="F73" s="1"/>
      <c r="G73" s="1"/>
      <c r="H73" s="1"/>
      <c r="I73" s="1"/>
      <c r="J73" s="1"/>
      <c r="K73" s="1">
        <v>0</v>
      </c>
      <c r="L73" s="1">
        <v>0</v>
      </c>
      <c r="M73" s="4">
        <f t="shared" si="31"/>
        <v>0</v>
      </c>
      <c r="N73" s="4"/>
      <c r="O73" s="4">
        <f t="shared" si="32"/>
        <v>0</v>
      </c>
      <c r="P73" s="4">
        <f t="shared" si="32"/>
        <v>0</v>
      </c>
      <c r="Q73" s="4">
        <f t="shared" si="33"/>
        <v>0</v>
      </c>
      <c r="R73" s="4"/>
      <c r="S73" s="63"/>
      <c r="T73" s="4"/>
      <c r="U73" s="46"/>
      <c r="V73" s="4"/>
      <c r="W73" s="4">
        <v>174.48599999999999</v>
      </c>
      <c r="X73" s="1">
        <f t="shared" si="34"/>
        <v>174.48599999999999</v>
      </c>
      <c r="Y73" s="1">
        <f t="shared" si="42"/>
        <v>4362.1499999999996</v>
      </c>
      <c r="Z73" s="1">
        <f t="shared" si="35"/>
        <v>4362.1499999999996</v>
      </c>
      <c r="AA73" s="1">
        <f t="shared" si="36"/>
        <v>0</v>
      </c>
      <c r="AB73" s="1">
        <f t="shared" si="37"/>
        <v>0</v>
      </c>
      <c r="AC73" s="4"/>
      <c r="AX73">
        <f t="shared" si="43"/>
        <v>1.9934683746076182E-2</v>
      </c>
      <c r="AY73">
        <f t="shared" si="44"/>
        <v>-1262.7195419889192</v>
      </c>
      <c r="AZ73">
        <f t="shared" si="38"/>
        <v>-683.48811530706951</v>
      </c>
      <c r="BA73">
        <f t="shared" si="39"/>
        <v>-579.23142668184971</v>
      </c>
    </row>
    <row r="74" spans="1:53" x14ac:dyDescent="0.35">
      <c r="A74" s="1">
        <v>73</v>
      </c>
      <c r="B74" s="1">
        <v>4657.9117518025187</v>
      </c>
      <c r="C74" s="1">
        <v>0</v>
      </c>
      <c r="D74" s="1"/>
      <c r="E74" s="1">
        <v>4657.91</v>
      </c>
      <c r="F74" s="1"/>
      <c r="G74" s="1"/>
      <c r="H74" s="1"/>
      <c r="I74" s="1"/>
      <c r="J74" s="1"/>
      <c r="K74" s="1">
        <v>0</v>
      </c>
      <c r="L74" s="1">
        <v>0</v>
      </c>
      <c r="M74" s="4">
        <f t="shared" si="31"/>
        <v>0</v>
      </c>
      <c r="N74" s="4"/>
      <c r="O74" s="4">
        <f t="shared" si="32"/>
        <v>0</v>
      </c>
      <c r="P74" s="4">
        <f t="shared" si="32"/>
        <v>0</v>
      </c>
      <c r="Q74" s="4">
        <f t="shared" si="33"/>
        <v>0</v>
      </c>
      <c r="R74" s="4"/>
      <c r="S74" s="63"/>
      <c r="T74" s="4"/>
      <c r="U74" s="46"/>
      <c r="V74" s="4"/>
      <c r="W74" s="4">
        <v>98.659400000000005</v>
      </c>
      <c r="X74" s="1">
        <f t="shared" si="34"/>
        <v>98.659400000000005</v>
      </c>
      <c r="Y74" s="1">
        <f t="shared" si="42"/>
        <v>2466.4850000000001</v>
      </c>
      <c r="Z74" s="1">
        <f t="shared" si="35"/>
        <v>2466.4850000000001</v>
      </c>
      <c r="AA74" s="1">
        <f t="shared" si="36"/>
        <v>0</v>
      </c>
      <c r="AB74" s="1">
        <f t="shared" si="37"/>
        <v>0</v>
      </c>
      <c r="AC74" s="4"/>
      <c r="AX74">
        <f t="shared" si="43"/>
        <v>1.1517172958136269E-2</v>
      </c>
      <c r="AY74">
        <f t="shared" si="44"/>
        <v>-729.53047803266713</v>
      </c>
      <c r="AZ74">
        <f t="shared" si="38"/>
        <v>-394.8821530901663</v>
      </c>
      <c r="BA74">
        <f t="shared" si="39"/>
        <v>-334.64832494250084</v>
      </c>
    </row>
    <row r="75" spans="1:53" x14ac:dyDescent="0.35">
      <c r="A75" s="1">
        <v>74</v>
      </c>
      <c r="B75" s="1">
        <v>4129.0607113934348</v>
      </c>
      <c r="C75" s="1">
        <v>0</v>
      </c>
      <c r="D75" s="1"/>
      <c r="E75" s="1">
        <v>4129.0600000000004</v>
      </c>
      <c r="F75" s="1"/>
      <c r="G75" s="1"/>
      <c r="H75" s="1"/>
      <c r="I75" s="1"/>
      <c r="J75" s="1"/>
      <c r="K75" s="1">
        <v>0</v>
      </c>
      <c r="L75" s="1">
        <v>0</v>
      </c>
      <c r="M75" s="4">
        <f t="shared" si="31"/>
        <v>0</v>
      </c>
      <c r="N75" s="4"/>
      <c r="O75" s="4">
        <f t="shared" si="32"/>
        <v>0</v>
      </c>
      <c r="P75" s="4">
        <f t="shared" si="32"/>
        <v>0</v>
      </c>
      <c r="Q75" s="4">
        <f t="shared" si="33"/>
        <v>0</v>
      </c>
      <c r="R75" s="4"/>
      <c r="S75" s="63"/>
      <c r="T75" s="4"/>
      <c r="U75" s="46"/>
      <c r="V75" s="4"/>
      <c r="W75" s="4">
        <v>86.753399999999999</v>
      </c>
      <c r="X75" s="1">
        <f t="shared" si="34"/>
        <v>86.753399999999999</v>
      </c>
      <c r="Y75" s="1">
        <f t="shared" si="42"/>
        <v>2168.835</v>
      </c>
      <c r="Z75" s="1">
        <f t="shared" si="35"/>
        <v>2168.835</v>
      </c>
      <c r="AA75" s="1">
        <f t="shared" si="36"/>
        <v>0</v>
      </c>
      <c r="AB75" s="1">
        <f t="shared" si="37"/>
        <v>0</v>
      </c>
      <c r="AC75" s="4"/>
      <c r="AX75">
        <f t="shared" si="43"/>
        <v>1.0209533563911015E-2</v>
      </c>
      <c r="AY75">
        <f t="shared" si="44"/>
        <v>-646.70088123568814</v>
      </c>
      <c r="AZ75">
        <f t="shared" si="38"/>
        <v>-350.04793367415886</v>
      </c>
      <c r="BA75">
        <f t="shared" si="39"/>
        <v>-296.65294756152929</v>
      </c>
    </row>
    <row r="76" spans="1:53" x14ac:dyDescent="0.35">
      <c r="A76" s="1">
        <v>75</v>
      </c>
      <c r="B76" s="1">
        <v>14350.316193396229</v>
      </c>
      <c r="C76" s="1">
        <v>0</v>
      </c>
      <c r="D76" s="1"/>
      <c r="E76" s="1">
        <v>14350.3</v>
      </c>
      <c r="F76" s="1"/>
      <c r="G76" s="1"/>
      <c r="H76" s="1"/>
      <c r="I76" s="1"/>
      <c r="J76" s="1"/>
      <c r="K76" s="1">
        <v>0</v>
      </c>
      <c r="L76" s="1">
        <v>0</v>
      </c>
      <c r="M76" s="4">
        <f t="shared" si="31"/>
        <v>0</v>
      </c>
      <c r="N76" s="4"/>
      <c r="O76" s="4">
        <f t="shared" si="32"/>
        <v>0</v>
      </c>
      <c r="P76" s="4">
        <f t="shared" si="32"/>
        <v>0</v>
      </c>
      <c r="Q76" s="4">
        <f t="shared" si="33"/>
        <v>0</v>
      </c>
      <c r="R76" s="4"/>
      <c r="S76" s="63"/>
      <c r="T76" s="4"/>
      <c r="U76" s="46"/>
      <c r="V76" s="4"/>
      <c r="W76" s="4">
        <v>250.209</v>
      </c>
      <c r="X76" s="1">
        <f t="shared" si="34"/>
        <v>250.209</v>
      </c>
      <c r="Y76" s="1">
        <f t="shared" si="42"/>
        <v>6255.2250000000004</v>
      </c>
      <c r="Z76" s="1">
        <f t="shared" si="35"/>
        <v>6255.2250000000004</v>
      </c>
      <c r="AA76" s="1">
        <f t="shared" si="36"/>
        <v>0</v>
      </c>
      <c r="AB76" s="1">
        <f t="shared" si="37"/>
        <v>0</v>
      </c>
      <c r="AC76" s="4"/>
      <c r="AX76">
        <f t="shared" si="43"/>
        <v>3.5482654547787408E-2</v>
      </c>
      <c r="AY76">
        <f t="shared" si="44"/>
        <v>-2247.5722148314603</v>
      </c>
      <c r="AZ76">
        <f t="shared" si="38"/>
        <v>-1216.571729548137</v>
      </c>
      <c r="BA76">
        <f t="shared" si="39"/>
        <v>-1031.0004852833233</v>
      </c>
    </row>
    <row r="77" spans="1:53" x14ac:dyDescent="0.35">
      <c r="A77" s="1">
        <v>76</v>
      </c>
      <c r="B77" s="1">
        <v>5149.4780654648821</v>
      </c>
      <c r="C77" s="1">
        <v>0</v>
      </c>
      <c r="D77" s="1"/>
      <c r="E77" s="1">
        <v>5149.4799999999996</v>
      </c>
      <c r="F77" s="1"/>
      <c r="G77" s="1"/>
      <c r="H77" s="1"/>
      <c r="I77" s="1"/>
      <c r="J77" s="1"/>
      <c r="K77" s="1">
        <v>0</v>
      </c>
      <c r="L77" s="1">
        <v>0</v>
      </c>
      <c r="M77" s="4">
        <f t="shared" si="31"/>
        <v>0</v>
      </c>
      <c r="N77" s="4"/>
      <c r="O77" s="4">
        <f t="shared" si="32"/>
        <v>0</v>
      </c>
      <c r="P77" s="4">
        <f t="shared" si="32"/>
        <v>0</v>
      </c>
      <c r="Q77" s="4">
        <f t="shared" si="33"/>
        <v>0</v>
      </c>
      <c r="R77" s="4"/>
      <c r="S77" s="63"/>
      <c r="T77" s="4"/>
      <c r="U77" s="46"/>
      <c r="V77" s="4"/>
      <c r="W77" s="4">
        <v>108.91500000000001</v>
      </c>
      <c r="X77" s="1">
        <f t="shared" si="34"/>
        <v>108.91500000000001</v>
      </c>
      <c r="Y77" s="1">
        <f t="shared" si="42"/>
        <v>2722.875</v>
      </c>
      <c r="Z77" s="1">
        <f t="shared" si="35"/>
        <v>2722.875</v>
      </c>
      <c r="AA77" s="1">
        <f t="shared" si="36"/>
        <v>0</v>
      </c>
      <c r="AB77" s="1">
        <f t="shared" si="37"/>
        <v>0</v>
      </c>
      <c r="AC77" s="4"/>
      <c r="AX77">
        <f t="shared" si="43"/>
        <v>1.2732621974028859E-2</v>
      </c>
      <c r="AY77">
        <f t="shared" si="44"/>
        <v>-806.52047417247888</v>
      </c>
      <c r="AZ77">
        <f t="shared" si="38"/>
        <v>-436.55549828621321</v>
      </c>
      <c r="BA77">
        <f t="shared" si="39"/>
        <v>-369.96497588626568</v>
      </c>
    </row>
    <row r="78" spans="1:53" x14ac:dyDescent="0.35">
      <c r="A78" s="1">
        <v>77</v>
      </c>
      <c r="B78" s="1">
        <v>4612.9275296437472</v>
      </c>
      <c r="C78" s="1">
        <v>0</v>
      </c>
      <c r="D78" s="1"/>
      <c r="E78" s="1">
        <v>4612.93</v>
      </c>
      <c r="F78" s="1"/>
      <c r="G78" s="1"/>
      <c r="H78" s="1"/>
      <c r="I78" s="1"/>
      <c r="J78" s="1"/>
      <c r="K78" s="1">
        <v>0</v>
      </c>
      <c r="L78" s="1">
        <v>0</v>
      </c>
      <c r="M78" s="4">
        <f t="shared" si="31"/>
        <v>0</v>
      </c>
      <c r="N78" s="4"/>
      <c r="O78" s="4">
        <f t="shared" si="32"/>
        <v>0</v>
      </c>
      <c r="P78" s="4">
        <f t="shared" si="32"/>
        <v>0</v>
      </c>
      <c r="Q78" s="4">
        <f t="shared" si="33"/>
        <v>0</v>
      </c>
      <c r="R78" s="4"/>
      <c r="S78" s="63"/>
      <c r="T78" s="4"/>
      <c r="U78" s="46"/>
      <c r="V78" s="4"/>
      <c r="W78" s="4">
        <v>98.416499999999999</v>
      </c>
      <c r="X78" s="1">
        <f t="shared" si="34"/>
        <v>98.416499999999999</v>
      </c>
      <c r="Y78" s="1">
        <f t="shared" si="42"/>
        <v>2460.4124999999999</v>
      </c>
      <c r="Z78" s="1">
        <f t="shared" si="35"/>
        <v>2460.4124999999999</v>
      </c>
      <c r="AA78" s="1">
        <f t="shared" si="36"/>
        <v>0</v>
      </c>
      <c r="AB78" s="1">
        <f t="shared" si="37"/>
        <v>0</v>
      </c>
      <c r="AC78" s="4"/>
      <c r="AX78">
        <f t="shared" si="43"/>
        <v>1.1405944773791791E-2</v>
      </c>
      <c r="AY78">
        <f t="shared" si="44"/>
        <v>-722.48496861898684</v>
      </c>
      <c r="AZ78">
        <f t="shared" si="38"/>
        <v>-391.06854144450381</v>
      </c>
      <c r="BA78">
        <f t="shared" si="39"/>
        <v>-331.41642717448303</v>
      </c>
    </row>
    <row r="79" spans="1:53" x14ac:dyDescent="0.35">
      <c r="A79" s="1">
        <v>78</v>
      </c>
      <c r="B79" s="1">
        <v>4299.5858542619962</v>
      </c>
      <c r="C79" s="1">
        <v>0</v>
      </c>
      <c r="D79" s="1"/>
      <c r="E79" s="1">
        <v>4299.59</v>
      </c>
      <c r="F79" s="1"/>
      <c r="G79" s="1"/>
      <c r="H79" s="1"/>
      <c r="I79" s="1"/>
      <c r="J79" s="1"/>
      <c r="K79" s="1">
        <v>0</v>
      </c>
      <c r="L79" s="1">
        <v>0</v>
      </c>
      <c r="M79" s="4">
        <f t="shared" si="31"/>
        <v>0</v>
      </c>
      <c r="N79" s="4"/>
      <c r="O79" s="4">
        <f t="shared" ref="O79:P100" si="45">$T$19*C79</f>
        <v>0</v>
      </c>
      <c r="P79" s="4">
        <f t="shared" si="45"/>
        <v>0</v>
      </c>
      <c r="Q79" s="4">
        <f t="shared" si="33"/>
        <v>0</v>
      </c>
      <c r="R79" s="4"/>
      <c r="S79" s="63"/>
      <c r="T79" s="4"/>
      <c r="U79" s="46"/>
      <c r="V79" s="4"/>
      <c r="W79" s="4">
        <v>78.811800000000005</v>
      </c>
      <c r="X79" s="1">
        <f t="shared" si="34"/>
        <v>78.811800000000005</v>
      </c>
      <c r="Y79" s="1">
        <f t="shared" si="42"/>
        <v>1970.2950000000001</v>
      </c>
      <c r="Z79" s="1">
        <f t="shared" si="35"/>
        <v>1970.2950000000001</v>
      </c>
      <c r="AA79" s="1">
        <f t="shared" si="36"/>
        <v>0</v>
      </c>
      <c r="AB79" s="1">
        <f t="shared" si="37"/>
        <v>0</v>
      </c>
      <c r="AC79" s="4"/>
      <c r="AX79">
        <f t="shared" si="43"/>
        <v>1.0631174777566062E-2</v>
      </c>
      <c r="AY79">
        <f t="shared" si="44"/>
        <v>-673.40883441778715</v>
      </c>
      <c r="AZ79">
        <f t="shared" si="38"/>
        <v>-364.50448398254275</v>
      </c>
      <c r="BA79">
        <f t="shared" si="39"/>
        <v>-308.9043504352444</v>
      </c>
    </row>
    <row r="80" spans="1:53" x14ac:dyDescent="0.35">
      <c r="A80" s="1">
        <v>79</v>
      </c>
      <c r="B80" s="1">
        <v>3153.09355833985</v>
      </c>
      <c r="C80" s="1">
        <v>0</v>
      </c>
      <c r="D80" s="1"/>
      <c r="E80" s="1">
        <v>3153.09</v>
      </c>
      <c r="F80" s="1"/>
      <c r="G80" s="1"/>
      <c r="H80" s="1"/>
      <c r="I80" s="1"/>
      <c r="J80" s="1"/>
      <c r="K80" s="1">
        <v>0</v>
      </c>
      <c r="L80" s="1">
        <v>0</v>
      </c>
      <c r="M80" s="4">
        <f t="shared" si="31"/>
        <v>0</v>
      </c>
      <c r="N80" s="4"/>
      <c r="O80" s="4">
        <f t="shared" si="45"/>
        <v>0</v>
      </c>
      <c r="P80" s="4">
        <f t="shared" si="45"/>
        <v>0</v>
      </c>
      <c r="Q80" s="4">
        <f t="shared" si="33"/>
        <v>0</v>
      </c>
      <c r="R80" s="4"/>
      <c r="S80" s="63"/>
      <c r="T80" s="4"/>
      <c r="U80" s="46"/>
      <c r="V80" s="4"/>
      <c r="W80" s="4">
        <v>66.247900000000001</v>
      </c>
      <c r="X80" s="1">
        <f t="shared" si="34"/>
        <v>66.247900000000001</v>
      </c>
      <c r="Y80" s="1">
        <f t="shared" si="42"/>
        <v>1656.1975</v>
      </c>
      <c r="Z80" s="1">
        <f t="shared" si="35"/>
        <v>1656.1975</v>
      </c>
      <c r="AA80" s="1">
        <f t="shared" si="36"/>
        <v>0</v>
      </c>
      <c r="AB80" s="1">
        <f t="shared" si="37"/>
        <v>0</v>
      </c>
      <c r="AC80" s="4"/>
      <c r="AX80">
        <f t="shared" si="43"/>
        <v>7.7963529151303286E-3</v>
      </c>
      <c r="AY80">
        <f t="shared" si="44"/>
        <v>-493.84315836538389</v>
      </c>
      <c r="AZ80">
        <f t="shared" si="38"/>
        <v>-267.30870818455179</v>
      </c>
      <c r="BA80">
        <f t="shared" si="39"/>
        <v>-226.5344501808321</v>
      </c>
    </row>
    <row r="81" spans="1:53" x14ac:dyDescent="0.35">
      <c r="A81" s="1">
        <v>80</v>
      </c>
      <c r="B81" s="1">
        <v>4296.4999200900902</v>
      </c>
      <c r="C81" s="1">
        <v>0</v>
      </c>
      <c r="D81" s="1"/>
      <c r="E81" s="1">
        <v>4296.5</v>
      </c>
      <c r="F81" s="1"/>
      <c r="G81" s="1"/>
      <c r="H81" s="1"/>
      <c r="I81" s="1"/>
      <c r="J81" s="1"/>
      <c r="K81" s="1">
        <v>0</v>
      </c>
      <c r="L81" s="1">
        <v>0</v>
      </c>
      <c r="M81" s="4">
        <f t="shared" si="31"/>
        <v>0</v>
      </c>
      <c r="N81" s="4"/>
      <c r="O81" s="4">
        <f t="shared" si="45"/>
        <v>0</v>
      </c>
      <c r="P81" s="4">
        <f t="shared" si="45"/>
        <v>0</v>
      </c>
      <c r="Q81" s="4">
        <f t="shared" si="33"/>
        <v>0</v>
      </c>
      <c r="R81" s="4"/>
      <c r="S81" s="63"/>
      <c r="T81" s="4"/>
      <c r="U81" s="46"/>
      <c r="V81" s="4"/>
      <c r="W81" s="4">
        <v>89.923500000000004</v>
      </c>
      <c r="X81" s="1">
        <f t="shared" si="34"/>
        <v>89.923500000000004</v>
      </c>
      <c r="Y81" s="1">
        <f t="shared" si="42"/>
        <v>2248.0875000000001</v>
      </c>
      <c r="Z81" s="1">
        <f>Y81-M81</f>
        <v>2248.0875000000001</v>
      </c>
      <c r="AA81" s="1">
        <f t="shared" si="36"/>
        <v>0</v>
      </c>
      <c r="AB81" s="1">
        <f t="shared" si="37"/>
        <v>0</v>
      </c>
      <c r="AC81" s="4"/>
      <c r="AX81">
        <f t="shared" si="43"/>
        <v>1.0623544483243395E-2</v>
      </c>
      <c r="AY81">
        <f t="shared" si="44"/>
        <v>-672.92550988276639</v>
      </c>
      <c r="AZ81">
        <f t="shared" si="38"/>
        <v>-364.24286882213852</v>
      </c>
      <c r="BA81">
        <f t="shared" si="39"/>
        <v>-308.68264106062787</v>
      </c>
    </row>
    <row r="82" spans="1:53" x14ac:dyDescent="0.35">
      <c r="A82" s="1">
        <v>81</v>
      </c>
      <c r="B82" s="1">
        <v>1722.7511821559251</v>
      </c>
      <c r="C82" s="1">
        <v>0</v>
      </c>
      <c r="D82" s="1"/>
      <c r="E82" s="1">
        <v>1722.75</v>
      </c>
      <c r="F82" s="1"/>
      <c r="G82" s="1"/>
      <c r="H82" s="1"/>
      <c r="I82" s="1"/>
      <c r="J82" s="1"/>
      <c r="K82" s="1">
        <v>0</v>
      </c>
      <c r="L82" s="1">
        <v>0</v>
      </c>
      <c r="M82" s="4">
        <f t="shared" si="31"/>
        <v>0</v>
      </c>
      <c r="N82" s="4"/>
      <c r="O82" s="4">
        <f t="shared" si="45"/>
        <v>0</v>
      </c>
      <c r="P82" s="4">
        <f t="shared" si="45"/>
        <v>0</v>
      </c>
      <c r="Q82" s="4">
        <f t="shared" si="33"/>
        <v>0</v>
      </c>
      <c r="R82" s="4"/>
      <c r="S82" s="63"/>
      <c r="T82" s="4"/>
      <c r="U82" s="46"/>
      <c r="V82" s="4"/>
      <c r="W82" s="4">
        <v>30.037500000000001</v>
      </c>
      <c r="X82" s="1">
        <f t="shared" si="34"/>
        <v>30.037500000000001</v>
      </c>
      <c r="Y82" s="1">
        <f t="shared" si="42"/>
        <v>750.9375</v>
      </c>
      <c r="Z82" s="1">
        <f t="shared" ref="Z82:Z96" si="46">Y82-M82</f>
        <v>750.9375</v>
      </c>
      <c r="AA82" s="1">
        <f t="shared" si="36"/>
        <v>0</v>
      </c>
      <c r="AB82" s="1">
        <f t="shared" si="37"/>
        <v>0</v>
      </c>
      <c r="AC82" s="4"/>
      <c r="AX82">
        <f t="shared" si="43"/>
        <v>4.2596821034759516E-3</v>
      </c>
      <c r="AY82">
        <f t="shared" si="44"/>
        <v>-269.82037454084394</v>
      </c>
      <c r="AZ82">
        <f t="shared" si="38"/>
        <v>-146.04907355428207</v>
      </c>
      <c r="BA82">
        <f t="shared" si="39"/>
        <v>-123.77130098656187</v>
      </c>
    </row>
    <row r="83" spans="1:53" x14ac:dyDescent="0.35">
      <c r="A83" s="1">
        <v>82</v>
      </c>
      <c r="B83" s="1">
        <v>8378.7212496204556</v>
      </c>
      <c r="C83" s="1">
        <v>0</v>
      </c>
      <c r="D83" s="1"/>
      <c r="E83" s="1">
        <v>8378.7199999999993</v>
      </c>
      <c r="F83" s="1"/>
      <c r="G83" s="1"/>
      <c r="H83" s="1"/>
      <c r="I83" s="1"/>
      <c r="J83" s="1"/>
      <c r="K83" s="1">
        <v>0</v>
      </c>
      <c r="L83" s="1">
        <v>0</v>
      </c>
      <c r="M83" s="4">
        <f t="shared" si="31"/>
        <v>0</v>
      </c>
      <c r="N83" s="4"/>
      <c r="O83" s="4">
        <f t="shared" si="45"/>
        <v>0</v>
      </c>
      <c r="P83" s="4">
        <f t="shared" si="45"/>
        <v>0</v>
      </c>
      <c r="Q83" s="4">
        <f t="shared" si="33"/>
        <v>0</v>
      </c>
      <c r="R83" s="4"/>
      <c r="S83" s="63"/>
      <c r="T83" s="4"/>
      <c r="U83" s="46"/>
      <c r="V83" s="4"/>
      <c r="W83" s="4">
        <v>122.405</v>
      </c>
      <c r="X83" s="1">
        <f t="shared" si="34"/>
        <v>122.405</v>
      </c>
      <c r="Y83" s="1">
        <f t="shared" si="42"/>
        <v>3060.125</v>
      </c>
      <c r="Z83" s="1">
        <f t="shared" si="46"/>
        <v>3060.125</v>
      </c>
      <c r="AA83" s="1">
        <f t="shared" si="36"/>
        <v>0</v>
      </c>
      <c r="AB83" s="1">
        <f t="shared" si="37"/>
        <v>0</v>
      </c>
      <c r="AC83" s="4"/>
      <c r="AX83">
        <f t="shared" si="43"/>
        <v>2.0717262786815824E-2</v>
      </c>
      <c r="AY83">
        <f t="shared" si="44"/>
        <v>-1312.290323270433</v>
      </c>
      <c r="AZ83">
        <f t="shared" si="38"/>
        <v>-710.31991662617668</v>
      </c>
      <c r="BA83">
        <f t="shared" si="39"/>
        <v>-601.97040664425629</v>
      </c>
    </row>
    <row r="84" spans="1:53" x14ac:dyDescent="0.35">
      <c r="A84" s="1">
        <v>83</v>
      </c>
      <c r="B84" s="1">
        <v>4180.060549855245</v>
      </c>
      <c r="C84" s="1">
        <v>0</v>
      </c>
      <c r="D84" s="1"/>
      <c r="E84" s="1">
        <v>4180.0600000000004</v>
      </c>
      <c r="F84" s="1"/>
      <c r="G84" s="1"/>
      <c r="H84" s="1"/>
      <c r="I84" s="1"/>
      <c r="J84" s="1"/>
      <c r="K84" s="1">
        <v>0</v>
      </c>
      <c r="L84" s="1">
        <v>0</v>
      </c>
      <c r="M84" s="4">
        <f t="shared" si="31"/>
        <v>0</v>
      </c>
      <c r="N84" s="4"/>
      <c r="O84" s="4">
        <f t="shared" si="45"/>
        <v>0</v>
      </c>
      <c r="P84" s="4">
        <f t="shared" si="45"/>
        <v>0</v>
      </c>
      <c r="Q84" s="4">
        <f t="shared" si="33"/>
        <v>0</v>
      </c>
      <c r="R84" s="4"/>
      <c r="S84" s="63"/>
      <c r="T84" s="4"/>
      <c r="U84" s="46"/>
      <c r="V84" s="4"/>
      <c r="W84" s="4">
        <v>92.304299999999998</v>
      </c>
      <c r="X84" s="1">
        <f t="shared" si="34"/>
        <v>92.304299999999998</v>
      </c>
      <c r="Y84" s="1">
        <f t="shared" si="42"/>
        <v>2307.6075000000001</v>
      </c>
      <c r="Z84" s="1">
        <f t="shared" si="46"/>
        <v>2307.6075000000001</v>
      </c>
      <c r="AA84" s="1">
        <f t="shared" si="36"/>
        <v>0</v>
      </c>
      <c r="AB84" s="1">
        <f t="shared" si="37"/>
        <v>0</v>
      </c>
      <c r="AC84" s="4"/>
      <c r="AX84">
        <f t="shared" si="43"/>
        <v>1.0335635987421803E-2</v>
      </c>
      <c r="AY84">
        <f t="shared" si="44"/>
        <v>-654.68856724503246</v>
      </c>
      <c r="AZ84">
        <f t="shared" si="38"/>
        <v>-354.37152911609849</v>
      </c>
      <c r="BA84">
        <f t="shared" si="39"/>
        <v>-300.31703812893397</v>
      </c>
    </row>
    <row r="85" spans="1:53" x14ac:dyDescent="0.35">
      <c r="A85" s="1">
        <v>84</v>
      </c>
      <c r="B85" s="1">
        <v>3330.950005722922</v>
      </c>
      <c r="C85" s="1">
        <v>0</v>
      </c>
      <c r="D85" s="1"/>
      <c r="E85" s="1">
        <v>3330.95</v>
      </c>
      <c r="F85" s="1"/>
      <c r="G85" s="1"/>
      <c r="H85" s="1"/>
      <c r="I85" s="1"/>
      <c r="J85" s="1"/>
      <c r="K85" s="1">
        <v>0</v>
      </c>
      <c r="L85" s="1">
        <v>0</v>
      </c>
      <c r="M85" s="4">
        <f t="shared" si="31"/>
        <v>0</v>
      </c>
      <c r="N85" s="4"/>
      <c r="O85" s="4">
        <f t="shared" si="45"/>
        <v>0</v>
      </c>
      <c r="P85" s="4">
        <f t="shared" si="45"/>
        <v>0</v>
      </c>
      <c r="Q85" s="4">
        <f t="shared" si="33"/>
        <v>0</v>
      </c>
      <c r="R85" s="4"/>
      <c r="S85" s="63"/>
      <c r="T85" s="4"/>
      <c r="U85" s="46"/>
      <c r="V85" s="4"/>
      <c r="W85" s="4">
        <v>57.065800000000003</v>
      </c>
      <c r="X85" s="1">
        <f t="shared" si="34"/>
        <v>57.065800000000003</v>
      </c>
      <c r="Y85" s="1">
        <f t="shared" si="42"/>
        <v>1426.645</v>
      </c>
      <c r="Z85" s="1">
        <f t="shared" si="46"/>
        <v>1426.645</v>
      </c>
      <c r="AA85" s="1">
        <f t="shared" si="36"/>
        <v>0</v>
      </c>
      <c r="AB85" s="1">
        <f t="shared" si="37"/>
        <v>0</v>
      </c>
      <c r="AC85" s="4"/>
      <c r="AX85">
        <f t="shared" si="43"/>
        <v>8.2361215443744976E-3</v>
      </c>
      <c r="AY85">
        <f t="shared" si="44"/>
        <v>-521.69935358641897</v>
      </c>
      <c r="AZ85">
        <f t="shared" si="38"/>
        <v>-282.38678192788035</v>
      </c>
      <c r="BA85">
        <f t="shared" si="39"/>
        <v>-239.31257165853862</v>
      </c>
    </row>
    <row r="86" spans="1:53" x14ac:dyDescent="0.35">
      <c r="A86" s="1">
        <v>85</v>
      </c>
      <c r="B86" s="1">
        <v>2875.5642031497382</v>
      </c>
      <c r="C86" s="1">
        <v>0</v>
      </c>
      <c r="D86" s="1"/>
      <c r="E86" s="1">
        <v>2875.56</v>
      </c>
      <c r="F86" s="1"/>
      <c r="G86" s="1"/>
      <c r="H86" s="1"/>
      <c r="I86" s="1"/>
      <c r="J86" s="1"/>
      <c r="K86" s="1">
        <v>0</v>
      </c>
      <c r="L86" s="1">
        <v>0</v>
      </c>
      <c r="M86" s="4">
        <f t="shared" si="31"/>
        <v>0</v>
      </c>
      <c r="N86" s="4"/>
      <c r="O86" s="4">
        <f t="shared" si="45"/>
        <v>0</v>
      </c>
      <c r="P86" s="4">
        <f t="shared" si="45"/>
        <v>0</v>
      </c>
      <c r="Q86" s="4">
        <f t="shared" si="33"/>
        <v>0</v>
      </c>
      <c r="R86" s="4"/>
      <c r="S86" s="63"/>
      <c r="T86" s="4"/>
      <c r="U86" s="46"/>
      <c r="V86" s="4"/>
      <c r="W86" s="4">
        <v>62.269399999999997</v>
      </c>
      <c r="X86" s="1">
        <f t="shared" si="34"/>
        <v>62.269399999999997</v>
      </c>
      <c r="Y86" s="1">
        <f t="shared" si="42"/>
        <v>1556.7349999999999</v>
      </c>
      <c r="Z86" s="1">
        <f t="shared" si="46"/>
        <v>1556.7349999999999</v>
      </c>
      <c r="AA86" s="1">
        <f t="shared" si="36"/>
        <v>0</v>
      </c>
      <c r="AB86" s="1">
        <f t="shared" si="37"/>
        <v>0</v>
      </c>
      <c r="AC86" s="4"/>
      <c r="AX86">
        <f t="shared" si="43"/>
        <v>7.1101326183529955E-3</v>
      </c>
      <c r="AY86">
        <f t="shared" si="44"/>
        <v>-450.37601387051666</v>
      </c>
      <c r="AZ86">
        <f t="shared" si="38"/>
        <v>-243.78069924776003</v>
      </c>
      <c r="BA86">
        <f t="shared" si="39"/>
        <v>-206.59531462275663</v>
      </c>
    </row>
    <row r="87" spans="1:53" ht="15" thickBot="1" x14ac:dyDescent="0.4">
      <c r="A87" s="1">
        <v>86</v>
      </c>
      <c r="B87" s="1">
        <v>2673.7959050516761</v>
      </c>
      <c r="C87" s="1">
        <v>0</v>
      </c>
      <c r="D87" s="1"/>
      <c r="E87" s="1">
        <v>2673.8</v>
      </c>
      <c r="F87" s="1"/>
      <c r="G87" s="1"/>
      <c r="H87" s="1"/>
      <c r="I87" s="1"/>
      <c r="J87" s="1"/>
      <c r="K87" s="1">
        <v>0</v>
      </c>
      <c r="L87" s="1">
        <v>0</v>
      </c>
      <c r="M87" s="4">
        <f t="shared" si="31"/>
        <v>0</v>
      </c>
      <c r="N87" s="4"/>
      <c r="O87" s="4">
        <f t="shared" si="45"/>
        <v>0</v>
      </c>
      <c r="P87" s="4">
        <f t="shared" si="45"/>
        <v>0</v>
      </c>
      <c r="Q87" s="4">
        <f t="shared" si="33"/>
        <v>0</v>
      </c>
      <c r="R87" s="4"/>
      <c r="S87" s="66"/>
      <c r="T87" s="52"/>
      <c r="U87" s="53"/>
      <c r="V87" s="4"/>
      <c r="W87" s="4">
        <v>54.038899999999998</v>
      </c>
      <c r="X87" s="1">
        <f t="shared" si="34"/>
        <v>54.038899999999998</v>
      </c>
      <c r="Y87" s="1">
        <f t="shared" si="42"/>
        <v>1350.9724999999999</v>
      </c>
      <c r="Z87" s="1">
        <f t="shared" si="46"/>
        <v>1350.9724999999999</v>
      </c>
      <c r="AA87" s="1">
        <f t="shared" si="36"/>
        <v>0</v>
      </c>
      <c r="AB87" s="1">
        <f t="shared" si="37"/>
        <v>0</v>
      </c>
      <c r="AC87" s="4"/>
      <c r="AX87">
        <f t="shared" si="43"/>
        <v>6.611239442507637E-3</v>
      </c>
      <c r="AY87">
        <f t="shared" si="44"/>
        <v>-418.77470177902961</v>
      </c>
      <c r="AZ87">
        <f t="shared" si="38"/>
        <v>-226.67545891179432</v>
      </c>
      <c r="BA87">
        <f t="shared" si="39"/>
        <v>-192.09924286723529</v>
      </c>
    </row>
    <row r="88" spans="1:53" x14ac:dyDescent="0.35">
      <c r="A88" s="1">
        <v>87</v>
      </c>
      <c r="B88" s="1">
        <v>19513.44492845656</v>
      </c>
      <c r="C88" s="1">
        <v>0</v>
      </c>
      <c r="D88" s="1"/>
      <c r="E88" s="1">
        <v>19513.400000000001</v>
      </c>
      <c r="F88" s="1"/>
      <c r="G88" s="1"/>
      <c r="H88" s="1"/>
      <c r="I88" s="1"/>
      <c r="J88" s="1"/>
      <c r="K88" s="1">
        <v>0</v>
      </c>
      <c r="L88" s="1">
        <v>0</v>
      </c>
      <c r="M88" s="4">
        <f t="shared" si="31"/>
        <v>0</v>
      </c>
      <c r="N88" s="4"/>
      <c r="O88" s="4">
        <f t="shared" si="45"/>
        <v>0</v>
      </c>
      <c r="P88" s="4">
        <f t="shared" si="45"/>
        <v>0</v>
      </c>
      <c r="Q88" s="4">
        <f t="shared" si="33"/>
        <v>0</v>
      </c>
      <c r="R88" s="4"/>
      <c r="S88" s="4"/>
      <c r="T88" s="4"/>
      <c r="U88" s="4"/>
      <c r="V88" s="4"/>
      <c r="W88" s="4">
        <v>382.77600000000001</v>
      </c>
      <c r="X88" s="1">
        <f t="shared" si="34"/>
        <v>382.77600000000001</v>
      </c>
      <c r="Y88" s="1">
        <f t="shared" si="42"/>
        <v>9569.4</v>
      </c>
      <c r="Z88" s="1">
        <f t="shared" si="46"/>
        <v>9569.4</v>
      </c>
      <c r="AA88" s="1">
        <f t="shared" si="36"/>
        <v>0</v>
      </c>
      <c r="AB88" s="1">
        <f t="shared" si="37"/>
        <v>0</v>
      </c>
      <c r="AC88" s="4"/>
      <c r="AX88">
        <f t="shared" si="43"/>
        <v>4.8249029227127677E-2</v>
      </c>
      <c r="AY88">
        <f t="shared" si="44"/>
        <v>-3056.2306813159616</v>
      </c>
      <c r="AZ88">
        <f t="shared" si="38"/>
        <v>-1654.284485869324</v>
      </c>
      <c r="BA88">
        <f t="shared" si="39"/>
        <v>-1401.9461954466376</v>
      </c>
    </row>
    <row r="89" spans="1:53" x14ac:dyDescent="0.35">
      <c r="A89" s="1">
        <v>88</v>
      </c>
      <c r="B89" s="1">
        <v>5533.3813285011611</v>
      </c>
      <c r="C89" s="1">
        <v>0</v>
      </c>
      <c r="D89" s="1"/>
      <c r="E89" s="1">
        <v>5533.38</v>
      </c>
      <c r="F89" s="1"/>
      <c r="G89" s="1"/>
      <c r="H89" s="1"/>
      <c r="I89" s="1"/>
      <c r="J89" s="1"/>
      <c r="K89" s="1">
        <v>0</v>
      </c>
      <c r="L89" s="1">
        <v>0</v>
      </c>
      <c r="M89" s="4">
        <f t="shared" si="31"/>
        <v>0</v>
      </c>
      <c r="N89" s="4"/>
      <c r="O89" s="4">
        <f t="shared" si="45"/>
        <v>0</v>
      </c>
      <c r="P89" s="4">
        <f t="shared" si="45"/>
        <v>0</v>
      </c>
      <c r="Q89" s="4">
        <f t="shared" si="33"/>
        <v>0</v>
      </c>
      <c r="R89" s="4"/>
      <c r="S89" s="4"/>
      <c r="T89" s="4"/>
      <c r="U89" s="4"/>
      <c r="V89" s="4"/>
      <c r="W89" s="4">
        <v>110.304</v>
      </c>
      <c r="X89" s="1">
        <f t="shared" si="34"/>
        <v>110.304</v>
      </c>
      <c r="Y89" s="1">
        <f t="shared" si="42"/>
        <v>2757.6</v>
      </c>
      <c r="Z89" s="1">
        <f t="shared" si="46"/>
        <v>2757.6</v>
      </c>
      <c r="AA89" s="1">
        <f t="shared" si="36"/>
        <v>0</v>
      </c>
      <c r="AB89" s="1">
        <f t="shared" si="37"/>
        <v>0</v>
      </c>
      <c r="AC89" s="4"/>
      <c r="AX89">
        <f t="shared" si="43"/>
        <v>1.3681862860327463E-2</v>
      </c>
      <c r="AY89">
        <f t="shared" si="44"/>
        <v>-866.64809056469073</v>
      </c>
      <c r="AZ89">
        <f t="shared" si="38"/>
        <v>-469.10153074967531</v>
      </c>
      <c r="BA89">
        <f t="shared" si="39"/>
        <v>-397.54655981501543</v>
      </c>
    </row>
    <row r="90" spans="1:53" x14ac:dyDescent="0.35">
      <c r="A90" s="1">
        <v>89</v>
      </c>
      <c r="B90" s="1">
        <v>7532.7075080212007</v>
      </c>
      <c r="C90" s="1">
        <v>0</v>
      </c>
      <c r="D90" s="1"/>
      <c r="E90" s="1">
        <v>7532.71</v>
      </c>
      <c r="F90" s="1"/>
      <c r="G90" s="1"/>
      <c r="H90" s="1"/>
      <c r="I90" s="1"/>
      <c r="J90" s="1"/>
      <c r="K90" s="1">
        <v>0</v>
      </c>
      <c r="L90" s="1">
        <v>0</v>
      </c>
      <c r="M90" s="4">
        <f t="shared" si="31"/>
        <v>0</v>
      </c>
      <c r="N90" s="4"/>
      <c r="O90" s="4">
        <f t="shared" si="45"/>
        <v>0</v>
      </c>
      <c r="P90" s="4">
        <f t="shared" si="45"/>
        <v>0</v>
      </c>
      <c r="Q90" s="4">
        <f t="shared" si="33"/>
        <v>0</v>
      </c>
      <c r="R90" s="4"/>
      <c r="S90" s="4"/>
      <c r="T90" s="4"/>
      <c r="U90" s="4"/>
      <c r="V90" s="4"/>
      <c r="W90" s="4">
        <v>158.81</v>
      </c>
      <c r="X90" s="1">
        <f t="shared" si="34"/>
        <v>158.81</v>
      </c>
      <c r="Y90" s="1">
        <f t="shared" si="42"/>
        <v>3970.25</v>
      </c>
      <c r="Z90" s="1">
        <f t="shared" si="46"/>
        <v>3970.25</v>
      </c>
      <c r="AA90" s="1">
        <f t="shared" si="36"/>
        <v>0</v>
      </c>
      <c r="AB90" s="1">
        <f t="shared" si="37"/>
        <v>0</v>
      </c>
      <c r="AC90" s="4"/>
      <c r="AX90">
        <f t="shared" si="43"/>
        <v>1.8625405511248506E-2</v>
      </c>
      <c r="AY90">
        <f t="shared" si="44"/>
        <v>-1179.7861363690242</v>
      </c>
      <c r="AZ90">
        <f t="shared" si="38"/>
        <v>-638.59770598161049</v>
      </c>
      <c r="BA90">
        <f t="shared" si="39"/>
        <v>-541.18843038741375</v>
      </c>
    </row>
    <row r="91" spans="1:53" x14ac:dyDescent="0.35">
      <c r="A91" s="1">
        <v>90</v>
      </c>
      <c r="B91" s="1">
        <v>4797.2959806436729</v>
      </c>
      <c r="C91" s="1">
        <v>0</v>
      </c>
      <c r="D91" s="1"/>
      <c r="E91" s="1">
        <v>4797.3</v>
      </c>
      <c r="F91" s="1"/>
      <c r="G91" s="1"/>
      <c r="H91" s="1"/>
      <c r="I91" s="1"/>
      <c r="J91" s="1"/>
      <c r="K91" s="1">
        <v>0</v>
      </c>
      <c r="L91" s="1">
        <v>0</v>
      </c>
      <c r="M91" s="4">
        <f t="shared" si="31"/>
        <v>0</v>
      </c>
      <c r="N91" s="4"/>
      <c r="O91" s="4">
        <f t="shared" si="45"/>
        <v>0</v>
      </c>
      <c r="P91" s="4">
        <f t="shared" si="45"/>
        <v>0</v>
      </c>
      <c r="Q91" s="4">
        <f t="shared" si="33"/>
        <v>0</v>
      </c>
      <c r="R91" s="4"/>
      <c r="S91" s="4"/>
      <c r="T91" s="4"/>
      <c r="U91" s="4"/>
      <c r="V91" s="4"/>
      <c r="W91" s="4">
        <v>100.91</v>
      </c>
      <c r="X91" s="1">
        <f t="shared" si="34"/>
        <v>100.91</v>
      </c>
      <c r="Y91" s="1">
        <f t="shared" si="42"/>
        <v>2522.75</v>
      </c>
      <c r="Z91" s="1">
        <f t="shared" si="46"/>
        <v>2522.75</v>
      </c>
      <c r="AA91" s="1">
        <f t="shared" si="36"/>
        <v>0</v>
      </c>
      <c r="AB91" s="1">
        <f t="shared" si="37"/>
        <v>0</v>
      </c>
      <c r="AC91" s="4"/>
      <c r="AX91">
        <f t="shared" si="43"/>
        <v>1.1861815011644215E-2</v>
      </c>
      <c r="AY91">
        <f t="shared" si="44"/>
        <v>-751.36108550550114</v>
      </c>
      <c r="AZ91">
        <f t="shared" si="38"/>
        <v>-406.69868103754698</v>
      </c>
      <c r="BA91">
        <f t="shared" si="39"/>
        <v>-344.66240446795416</v>
      </c>
    </row>
    <row r="92" spans="1:53" x14ac:dyDescent="0.35">
      <c r="A92" s="1">
        <v>91</v>
      </c>
      <c r="B92" s="1">
        <v>5147.5629031179114</v>
      </c>
      <c r="C92" s="1">
        <v>0</v>
      </c>
      <c r="D92" s="1"/>
      <c r="E92" s="1">
        <v>5147.5600000000004</v>
      </c>
      <c r="F92" s="1"/>
      <c r="G92" s="1"/>
      <c r="H92" s="1"/>
      <c r="I92" s="1"/>
      <c r="J92" s="1"/>
      <c r="K92" s="1">
        <v>0</v>
      </c>
      <c r="L92" s="1">
        <v>0</v>
      </c>
      <c r="M92" s="4">
        <f t="shared" si="31"/>
        <v>0</v>
      </c>
      <c r="N92" s="4"/>
      <c r="O92" s="4">
        <f t="shared" si="45"/>
        <v>0</v>
      </c>
      <c r="P92" s="4">
        <f t="shared" si="45"/>
        <v>0</v>
      </c>
      <c r="Q92" s="4">
        <f t="shared" si="33"/>
        <v>0</v>
      </c>
      <c r="R92" s="4"/>
      <c r="S92" s="4"/>
      <c r="T92" s="4"/>
      <c r="U92" s="4" t="s">
        <v>6</v>
      </c>
      <c r="V92" s="4"/>
      <c r="W92" s="4">
        <v>83.866</v>
      </c>
      <c r="X92" s="1">
        <f t="shared" si="34"/>
        <v>83.866</v>
      </c>
      <c r="Y92" s="1">
        <f t="shared" si="42"/>
        <v>2096.65</v>
      </c>
      <c r="Z92" s="1">
        <f t="shared" si="46"/>
        <v>2096.65</v>
      </c>
      <c r="AA92" s="1">
        <f t="shared" si="36"/>
        <v>0</v>
      </c>
      <c r="AB92" s="1">
        <f t="shared" si="37"/>
        <v>0</v>
      </c>
      <c r="AC92" s="4"/>
      <c r="AX92">
        <f t="shared" si="43"/>
        <v>1.2727886535238195E-2</v>
      </c>
      <c r="AY92">
        <f t="shared" si="44"/>
        <v>-806.22051801681425</v>
      </c>
      <c r="AZ92">
        <f t="shared" si="38"/>
        <v>-436.39313723873386</v>
      </c>
      <c r="BA92">
        <f t="shared" si="39"/>
        <v>-369.8273807780804</v>
      </c>
    </row>
    <row r="93" spans="1:53" x14ac:dyDescent="0.35">
      <c r="A93" s="1">
        <v>92</v>
      </c>
      <c r="B93" s="1">
        <v>2534.563494353717</v>
      </c>
      <c r="C93" s="1">
        <v>0</v>
      </c>
      <c r="D93" s="1"/>
      <c r="E93" s="1">
        <v>2534.56</v>
      </c>
      <c r="F93" s="1"/>
      <c r="G93" s="1"/>
      <c r="H93" s="1"/>
      <c r="I93" s="1"/>
      <c r="J93" s="1"/>
      <c r="K93" s="1">
        <v>0</v>
      </c>
      <c r="L93" s="1">
        <v>0</v>
      </c>
      <c r="M93" s="4">
        <f t="shared" si="31"/>
        <v>0</v>
      </c>
      <c r="N93" s="4"/>
      <c r="O93" s="4">
        <f t="shared" si="45"/>
        <v>0</v>
      </c>
      <c r="P93" s="4">
        <f t="shared" si="45"/>
        <v>0</v>
      </c>
      <c r="Q93" s="4">
        <f t="shared" si="33"/>
        <v>0</v>
      </c>
      <c r="R93" s="4"/>
      <c r="S93" s="4"/>
      <c r="T93" s="4"/>
      <c r="U93" s="4"/>
      <c r="V93" s="4"/>
      <c r="W93" s="4">
        <v>53.252299999999998</v>
      </c>
      <c r="X93" s="1">
        <f t="shared" si="34"/>
        <v>53.252299999999998</v>
      </c>
      <c r="Y93" s="1">
        <f t="shared" si="42"/>
        <v>1331.3074999999999</v>
      </c>
      <c r="Z93" s="1">
        <f t="shared" si="46"/>
        <v>1331.3074999999999</v>
      </c>
      <c r="AA93" s="1">
        <f t="shared" si="36"/>
        <v>0</v>
      </c>
      <c r="AB93" s="1">
        <f t="shared" si="37"/>
        <v>0</v>
      </c>
      <c r="AC93" s="4"/>
      <c r="AX93">
        <f t="shared" si="43"/>
        <v>6.2669727752041804E-3</v>
      </c>
      <c r="AY93">
        <f t="shared" si="44"/>
        <v>-396.96787233559593</v>
      </c>
      <c r="AZ93">
        <f t="shared" si="38"/>
        <v>-214.87180159796304</v>
      </c>
      <c r="BA93">
        <f t="shared" si="39"/>
        <v>-182.09607073763289</v>
      </c>
    </row>
    <row r="94" spans="1:53" x14ac:dyDescent="0.35">
      <c r="A94" s="1">
        <v>93</v>
      </c>
      <c r="B94" s="1">
        <v>5159.4345472126533</v>
      </c>
      <c r="C94" s="1">
        <v>0</v>
      </c>
      <c r="D94" s="1"/>
      <c r="E94" s="1">
        <v>5159.43</v>
      </c>
      <c r="F94" s="1"/>
      <c r="G94" s="1"/>
      <c r="H94" s="1"/>
      <c r="I94" s="1"/>
      <c r="J94" s="1"/>
      <c r="K94" s="1">
        <v>0</v>
      </c>
      <c r="L94" s="1">
        <v>0</v>
      </c>
      <c r="M94" s="4">
        <f t="shared" si="31"/>
        <v>0</v>
      </c>
      <c r="N94" s="4"/>
      <c r="O94" s="4">
        <f t="shared" si="45"/>
        <v>0</v>
      </c>
      <c r="P94" s="4">
        <f t="shared" si="45"/>
        <v>0</v>
      </c>
      <c r="Q94" s="4">
        <f t="shared" si="33"/>
        <v>0</v>
      </c>
      <c r="R94" s="4"/>
      <c r="S94" s="4"/>
      <c r="T94" s="4"/>
      <c r="U94" s="4"/>
      <c r="V94" s="4"/>
      <c r="W94" s="4">
        <v>109.45699999999999</v>
      </c>
      <c r="X94" s="1">
        <f t="shared" si="34"/>
        <v>109.45699999999999</v>
      </c>
      <c r="Y94" s="1">
        <f t="shared" si="42"/>
        <v>2736.4249999999997</v>
      </c>
      <c r="Z94" s="1">
        <f t="shared" si="46"/>
        <v>2736.4249999999997</v>
      </c>
      <c r="AA94" s="1">
        <f t="shared" si="36"/>
        <v>0</v>
      </c>
      <c r="AB94" s="1">
        <f t="shared" si="37"/>
        <v>0</v>
      </c>
      <c r="AC94" s="4"/>
      <c r="AX94">
        <f t="shared" si="43"/>
        <v>1.2757240414320097E-2</v>
      </c>
      <c r="AY94">
        <f t="shared" si="44"/>
        <v>-808.07987616977175</v>
      </c>
      <c r="AZ94">
        <f t="shared" si="38"/>
        <v>-437.39957545196057</v>
      </c>
      <c r="BA94">
        <f t="shared" si="39"/>
        <v>-370.68030071781118</v>
      </c>
    </row>
    <row r="95" spans="1:53" x14ac:dyDescent="0.35">
      <c r="A95" s="1">
        <v>94</v>
      </c>
      <c r="B95" s="1">
        <v>4317.7330751348463</v>
      </c>
      <c r="C95" s="1">
        <v>0</v>
      </c>
      <c r="D95" s="1"/>
      <c r="E95" s="1">
        <v>4317.7299999999996</v>
      </c>
      <c r="F95" s="1"/>
      <c r="G95" s="1"/>
      <c r="H95" s="1"/>
      <c r="I95" s="1"/>
      <c r="J95" s="1"/>
      <c r="K95" s="1">
        <v>0</v>
      </c>
      <c r="L95" s="1">
        <v>0</v>
      </c>
      <c r="M95" s="4">
        <f t="shared" si="31"/>
        <v>0</v>
      </c>
      <c r="N95" s="4"/>
      <c r="O95" s="4">
        <f t="shared" si="45"/>
        <v>0</v>
      </c>
      <c r="P95" s="4">
        <f t="shared" si="45"/>
        <v>0</v>
      </c>
      <c r="Q95" s="4">
        <f t="shared" si="33"/>
        <v>0</v>
      </c>
      <c r="R95" s="4"/>
      <c r="S95" s="4"/>
      <c r="T95" s="4"/>
      <c r="U95" s="4"/>
      <c r="V95" s="4"/>
      <c r="W95" s="4">
        <v>97.187200000000004</v>
      </c>
      <c r="X95" s="1">
        <f t="shared" si="34"/>
        <v>97.187200000000004</v>
      </c>
      <c r="Y95" s="1">
        <f t="shared" si="42"/>
        <v>2429.6800000000003</v>
      </c>
      <c r="Z95" s="1">
        <f t="shared" si="46"/>
        <v>2429.6800000000003</v>
      </c>
      <c r="AA95" s="1">
        <f t="shared" si="36"/>
        <v>0</v>
      </c>
      <c r="AB95" s="1">
        <f t="shared" si="37"/>
        <v>0</v>
      </c>
      <c r="AC95" s="4"/>
      <c r="AX95">
        <f t="shared" si="43"/>
        <v>1.067604567522127E-2</v>
      </c>
      <c r="AY95">
        <f t="shared" si="44"/>
        <v>-676.25108464144409</v>
      </c>
      <c r="AZ95">
        <f t="shared" si="38"/>
        <v>-366.04294457018722</v>
      </c>
      <c r="BA95">
        <f t="shared" si="39"/>
        <v>-310.20814007125688</v>
      </c>
    </row>
    <row r="96" spans="1:53" x14ac:dyDescent="0.35">
      <c r="A96" s="1">
        <v>95</v>
      </c>
      <c r="B96" s="1">
        <v>6988.6643510423764</v>
      </c>
      <c r="C96" s="1">
        <v>0</v>
      </c>
      <c r="D96" s="1"/>
      <c r="E96" s="1">
        <v>6988.66</v>
      </c>
      <c r="F96" s="1"/>
      <c r="G96" s="1"/>
      <c r="H96" s="1"/>
      <c r="I96" s="1"/>
      <c r="J96" s="1"/>
      <c r="K96" s="1">
        <v>0</v>
      </c>
      <c r="L96" s="1">
        <v>0</v>
      </c>
      <c r="M96" s="4">
        <f t="shared" si="31"/>
        <v>0</v>
      </c>
      <c r="N96" s="4"/>
      <c r="O96" s="4">
        <f t="shared" si="45"/>
        <v>0</v>
      </c>
      <c r="P96" s="4">
        <f t="shared" si="45"/>
        <v>0</v>
      </c>
      <c r="Q96" s="4">
        <f t="shared" si="33"/>
        <v>0</v>
      </c>
      <c r="R96" s="4"/>
      <c r="S96" s="4"/>
      <c r="T96" s="4"/>
      <c r="U96" s="4"/>
      <c r="V96" s="4"/>
      <c r="W96" s="4">
        <v>114.952</v>
      </c>
      <c r="X96" s="1">
        <f t="shared" si="34"/>
        <v>114.952</v>
      </c>
      <c r="Y96" s="1">
        <f t="shared" si="42"/>
        <v>2873.8</v>
      </c>
      <c r="Z96" s="1">
        <f t="shared" si="46"/>
        <v>2873.8</v>
      </c>
      <c r="AA96" s="1">
        <f t="shared" si="36"/>
        <v>0</v>
      </c>
      <c r="AB96" s="1">
        <f t="shared" si="37"/>
        <v>0</v>
      </c>
      <c r="AC96" s="4"/>
      <c r="AX96">
        <f t="shared" si="43"/>
        <v>1.7280202023185243E-2</v>
      </c>
      <c r="AY96">
        <f t="shared" si="44"/>
        <v>-1094.5771230751222</v>
      </c>
      <c r="AZ96">
        <f t="shared" si="38"/>
        <v>-592.47554982040072</v>
      </c>
      <c r="BA96">
        <f t="shared" si="39"/>
        <v>-502.10157325472153</v>
      </c>
    </row>
    <row r="97" spans="1:53" x14ac:dyDescent="0.35">
      <c r="A97" s="1">
        <v>96</v>
      </c>
      <c r="B97" s="1">
        <v>2938.8092172996649</v>
      </c>
      <c r="C97" s="1">
        <v>0</v>
      </c>
      <c r="D97" s="1"/>
      <c r="E97" s="1">
        <v>2938.81</v>
      </c>
      <c r="F97" s="1"/>
      <c r="G97" s="1"/>
      <c r="H97" s="1"/>
      <c r="I97" s="1"/>
      <c r="J97" s="1"/>
      <c r="K97" s="1">
        <v>0</v>
      </c>
      <c r="L97" s="1">
        <v>0</v>
      </c>
      <c r="M97" s="4">
        <f t="shared" si="31"/>
        <v>0</v>
      </c>
      <c r="N97" s="4"/>
      <c r="O97" s="4">
        <f t="shared" si="45"/>
        <v>0</v>
      </c>
      <c r="P97" s="4">
        <f t="shared" si="45"/>
        <v>0</v>
      </c>
      <c r="Q97" s="4">
        <f t="shared" si="33"/>
        <v>0</v>
      </c>
      <c r="R97" s="4"/>
      <c r="S97" s="4"/>
      <c r="T97" s="4"/>
      <c r="U97" s="4"/>
      <c r="V97" s="4"/>
      <c r="W97" s="4">
        <v>61.982599999999998</v>
      </c>
      <c r="X97" s="1">
        <f t="shared" si="34"/>
        <v>61.982599999999998</v>
      </c>
      <c r="Y97" s="1">
        <f t="shared" si="42"/>
        <v>1549.5650000000001</v>
      </c>
      <c r="Z97" s="1">
        <f>Y97-M97</f>
        <v>1549.5650000000001</v>
      </c>
      <c r="AA97" s="1">
        <f t="shared" si="36"/>
        <v>0</v>
      </c>
      <c r="AB97" s="1">
        <f t="shared" si="37"/>
        <v>0</v>
      </c>
      <c r="AC97" s="4"/>
      <c r="AX97">
        <f t="shared" si="43"/>
        <v>7.2665125167962422E-3</v>
      </c>
      <c r="AY97">
        <f t="shared" si="44"/>
        <v>-460.28156121973899</v>
      </c>
      <c r="AZ97">
        <f t="shared" si="38"/>
        <v>-249.14239965998374</v>
      </c>
      <c r="BA97">
        <f t="shared" si="39"/>
        <v>-211.13916155975525</v>
      </c>
    </row>
    <row r="98" spans="1:53" x14ac:dyDescent="0.35">
      <c r="A98" s="1">
        <v>97</v>
      </c>
      <c r="B98" s="1">
        <v>6184.3427862351964</v>
      </c>
      <c r="C98" s="1">
        <v>0</v>
      </c>
      <c r="D98" s="1"/>
      <c r="E98" s="1">
        <v>6184.34</v>
      </c>
      <c r="F98" s="1"/>
      <c r="G98" s="1"/>
      <c r="H98" s="1"/>
      <c r="I98" s="1"/>
      <c r="J98" s="1"/>
      <c r="K98" s="1">
        <v>0</v>
      </c>
      <c r="L98" s="1">
        <v>0</v>
      </c>
      <c r="M98" s="4">
        <f t="shared" si="31"/>
        <v>0</v>
      </c>
      <c r="N98" s="4"/>
      <c r="O98" s="4">
        <f t="shared" si="45"/>
        <v>0</v>
      </c>
      <c r="P98" s="4">
        <f t="shared" si="45"/>
        <v>0</v>
      </c>
      <c r="Q98" s="4">
        <f t="shared" si="33"/>
        <v>0</v>
      </c>
      <c r="R98" s="4"/>
      <c r="S98" s="4"/>
      <c r="T98" s="4"/>
      <c r="U98" s="4"/>
      <c r="V98" s="4"/>
      <c r="W98" s="4">
        <v>129.93600000000001</v>
      </c>
      <c r="X98" s="1">
        <f t="shared" si="34"/>
        <v>129.93600000000001</v>
      </c>
      <c r="Y98" s="1">
        <f t="shared" si="42"/>
        <v>3248.4</v>
      </c>
      <c r="Z98" s="1">
        <f t="shared" ref="Z98:Z100" si="47">Y98-M98</f>
        <v>3248.4</v>
      </c>
      <c r="AA98" s="1">
        <f t="shared" si="36"/>
        <v>0</v>
      </c>
      <c r="AB98" s="1">
        <f t="shared" si="37"/>
        <v>0</v>
      </c>
      <c r="AC98" s="4"/>
      <c r="AX98">
        <f t="shared" si="43"/>
        <v>1.5291433006198544E-2</v>
      </c>
      <c r="AY98">
        <f t="shared" si="44"/>
        <v>-968.60283954802594</v>
      </c>
      <c r="AZ98">
        <f t="shared" si="38"/>
        <v>-524.28786224452483</v>
      </c>
      <c r="BA98">
        <f t="shared" si="39"/>
        <v>-444.31497730350111</v>
      </c>
    </row>
    <row r="99" spans="1:53" x14ac:dyDescent="0.35">
      <c r="A99" s="1">
        <v>98</v>
      </c>
      <c r="B99" s="1">
        <v>3973.5840486666689</v>
      </c>
      <c r="C99" s="1">
        <v>0</v>
      </c>
      <c r="D99" s="1"/>
      <c r="E99" s="1">
        <v>3973.58</v>
      </c>
      <c r="F99" s="1"/>
      <c r="G99" s="1"/>
      <c r="H99" s="1"/>
      <c r="I99" s="1"/>
      <c r="J99" s="1"/>
      <c r="K99" s="1">
        <v>0</v>
      </c>
      <c r="L99" s="1">
        <v>0</v>
      </c>
      <c r="M99" s="4">
        <f t="shared" si="31"/>
        <v>0</v>
      </c>
      <c r="N99" s="4"/>
      <c r="O99" s="4">
        <f t="shared" si="45"/>
        <v>0</v>
      </c>
      <c r="P99" s="4">
        <f t="shared" si="45"/>
        <v>0</v>
      </c>
      <c r="Q99" s="4">
        <f t="shared" si="33"/>
        <v>0</v>
      </c>
      <c r="R99" s="4"/>
      <c r="S99" s="4"/>
      <c r="T99" s="4"/>
      <c r="U99" s="4"/>
      <c r="V99" s="4"/>
      <c r="W99" s="4">
        <v>82.931700000000006</v>
      </c>
      <c r="X99" s="1">
        <f t="shared" si="34"/>
        <v>82.931700000000006</v>
      </c>
      <c r="Y99" s="1">
        <f t="shared" si="42"/>
        <v>2073.2925</v>
      </c>
      <c r="Z99" s="1">
        <f t="shared" si="47"/>
        <v>2073.2925</v>
      </c>
      <c r="AA99" s="1">
        <f t="shared" si="36"/>
        <v>0</v>
      </c>
      <c r="AB99" s="1">
        <f t="shared" si="37"/>
        <v>0</v>
      </c>
      <c r="AC99" s="4"/>
      <c r="AX99">
        <f t="shared" si="43"/>
        <v>9.8251012880343769E-3</v>
      </c>
      <c r="AY99">
        <f t="shared" si="44"/>
        <v>-622.34984795600269</v>
      </c>
      <c r="AZ99">
        <f t="shared" si="38"/>
        <v>-336.86714309583579</v>
      </c>
      <c r="BA99">
        <f t="shared" si="39"/>
        <v>-285.4827048601669</v>
      </c>
    </row>
    <row r="100" spans="1:53" x14ac:dyDescent="0.35">
      <c r="A100" s="1">
        <v>99</v>
      </c>
      <c r="B100" s="1">
        <v>6386.1720264839241</v>
      </c>
      <c r="C100" s="1">
        <v>0</v>
      </c>
      <c r="D100" s="1"/>
      <c r="E100" s="1">
        <v>6386.17</v>
      </c>
      <c r="F100" s="1"/>
      <c r="G100" s="1"/>
      <c r="H100" s="1"/>
      <c r="I100" s="1"/>
      <c r="J100" s="1"/>
      <c r="K100" s="1">
        <v>0</v>
      </c>
      <c r="L100" s="1">
        <v>0</v>
      </c>
      <c r="M100" s="4">
        <f t="shared" si="31"/>
        <v>0</v>
      </c>
      <c r="N100" s="4"/>
      <c r="O100" s="4">
        <f t="shared" si="45"/>
        <v>0</v>
      </c>
      <c r="P100" s="4">
        <f t="shared" si="45"/>
        <v>0</v>
      </c>
      <c r="Q100" s="4">
        <f t="shared" si="33"/>
        <v>0</v>
      </c>
      <c r="R100" s="4"/>
      <c r="S100" s="4"/>
      <c r="T100" s="4"/>
      <c r="U100" s="4"/>
      <c r="V100" s="4"/>
      <c r="W100" s="4">
        <v>106.389</v>
      </c>
      <c r="X100" s="1">
        <f t="shared" si="34"/>
        <v>106.389</v>
      </c>
      <c r="Y100" s="1">
        <f t="shared" si="42"/>
        <v>2659.7249999999999</v>
      </c>
      <c r="Z100" s="1">
        <f t="shared" si="47"/>
        <v>2659.7249999999999</v>
      </c>
      <c r="AA100" s="1">
        <f t="shared" si="36"/>
        <v>0</v>
      </c>
      <c r="AB100" s="1">
        <f t="shared" si="37"/>
        <v>0</v>
      </c>
      <c r="AC100" s="4"/>
      <c r="AX100">
        <f t="shared" si="43"/>
        <v>1.5790476867872029E-2</v>
      </c>
      <c r="AY100">
        <f t="shared" si="44"/>
        <v>-1000.2136965082603</v>
      </c>
      <c r="AZ100">
        <f t="shared" si="38"/>
        <v>-541.3982690518518</v>
      </c>
      <c r="BA100">
        <f t="shared" si="39"/>
        <v>-458.81542745640854</v>
      </c>
    </row>
    <row r="101" spans="1:53" x14ac:dyDescent="0.35">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X101">
        <f t="shared" si="43"/>
        <v>0</v>
      </c>
      <c r="AY101">
        <f t="shared" si="44"/>
        <v>0</v>
      </c>
      <c r="AZ101">
        <f t="shared" si="38"/>
        <v>0</v>
      </c>
      <c r="BA101">
        <f t="shared" si="39"/>
        <v>0</v>
      </c>
    </row>
    <row r="102" spans="1:53" x14ac:dyDescent="0.35">
      <c r="A102" s="1" t="s">
        <v>57</v>
      </c>
      <c r="B102" s="1">
        <f>SUM(B2:B100)</f>
        <v>404431.86611276446</v>
      </c>
      <c r="C102" s="1">
        <f t="shared" ref="C102:Z102" si="48">SUM(C2:C100)</f>
        <v>162</v>
      </c>
      <c r="D102" s="1">
        <f t="shared" si="48"/>
        <v>283691.82999999996</v>
      </c>
      <c r="E102" s="1">
        <f t="shared" si="48"/>
        <v>404431.70899999997</v>
      </c>
      <c r="F102" s="1">
        <f t="shared" si="48"/>
        <v>95787.414000000004</v>
      </c>
      <c r="G102" s="1">
        <f t="shared" si="48"/>
        <v>9329.0467000000008</v>
      </c>
      <c r="H102" s="1">
        <f t="shared" si="48"/>
        <v>123333.31999999998</v>
      </c>
      <c r="I102" s="1">
        <f t="shared" si="48"/>
        <v>66729.77399999999</v>
      </c>
      <c r="J102" s="1">
        <f t="shared" si="48"/>
        <v>78629.764999999985</v>
      </c>
      <c r="K102" s="1">
        <f t="shared" si="48"/>
        <v>405</v>
      </c>
      <c r="L102" s="1">
        <f t="shared" si="48"/>
        <v>125.40000000000002</v>
      </c>
      <c r="M102" s="1">
        <f t="shared" si="48"/>
        <v>537328</v>
      </c>
      <c r="N102" s="1"/>
      <c r="O102" s="1">
        <f t="shared" si="48"/>
        <v>5293.9999999999991</v>
      </c>
      <c r="P102" s="1"/>
      <c r="Q102" s="1">
        <f t="shared" si="48"/>
        <v>132350</v>
      </c>
      <c r="R102" s="1">
        <f t="shared" si="48"/>
        <v>0</v>
      </c>
      <c r="S102" s="1">
        <f t="shared" si="48"/>
        <v>0</v>
      </c>
      <c r="T102" s="1">
        <f t="shared" si="48"/>
        <v>173477.1882133038</v>
      </c>
      <c r="U102" s="1">
        <f t="shared" si="48"/>
        <v>53583.7</v>
      </c>
      <c r="V102" s="1">
        <f t="shared" si="48"/>
        <v>0</v>
      </c>
      <c r="W102" s="1">
        <f t="shared" si="48"/>
        <v>22905.599420000006</v>
      </c>
      <c r="X102" s="1">
        <f t="shared" si="48"/>
        <v>-189870.8005800001</v>
      </c>
      <c r="Y102" s="1">
        <f t="shared" si="48"/>
        <v>572639.98549999995</v>
      </c>
      <c r="Z102" s="1">
        <f t="shared" si="48"/>
        <v>359863.58549999987</v>
      </c>
      <c r="AA102" s="1"/>
      <c r="AB102" s="1"/>
      <c r="AC102" s="4"/>
      <c r="AX102">
        <f t="shared" si="43"/>
        <v>1</v>
      </c>
      <c r="AY102">
        <f t="shared" si="44"/>
        <v>-63342.842960198206</v>
      </c>
      <c r="AZ102">
        <f t="shared" si="38"/>
        <v>-34286.378656074892</v>
      </c>
      <c r="BA102">
        <f t="shared" si="39"/>
        <v>-29056.464304123314</v>
      </c>
    </row>
    <row r="103" spans="1:53" x14ac:dyDescent="0.35">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X103">
        <f t="shared" si="43"/>
        <v>0</v>
      </c>
      <c r="AY103">
        <f t="shared" si="44"/>
        <v>0</v>
      </c>
      <c r="AZ103">
        <f t="shared" si="38"/>
        <v>0</v>
      </c>
    </row>
    <row r="104" spans="1:53" ht="15" thickBot="1" x14ac:dyDescent="0.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1:53" x14ac:dyDescent="0.35">
      <c r="F105" s="93" t="s">
        <v>368</v>
      </c>
      <c r="G105" s="74"/>
      <c r="H105" s="74" t="s">
        <v>357</v>
      </c>
      <c r="I105" s="75" t="s">
        <v>6</v>
      </c>
    </row>
    <row r="106" spans="1:53" x14ac:dyDescent="0.35">
      <c r="F106" s="94" t="s">
        <v>383</v>
      </c>
      <c r="G106">
        <f>SUM(B47:B100)</f>
        <v>235777.38014431737</v>
      </c>
      <c r="H106">
        <f>G106*T4</f>
        <v>36545.493922369191</v>
      </c>
      <c r="I106" s="30" t="s">
        <v>380</v>
      </c>
    </row>
    <row r="107" spans="1:53" x14ac:dyDescent="0.35">
      <c r="F107" s="94" t="s">
        <v>363</v>
      </c>
      <c r="G107">
        <f>G117</f>
        <v>95787.414000000004</v>
      </c>
      <c r="H107">
        <f>H117</f>
        <v>9329.0467000000008</v>
      </c>
      <c r="I107" s="30" t="s">
        <v>377</v>
      </c>
    </row>
    <row r="108" spans="1:53" x14ac:dyDescent="0.35">
      <c r="F108" s="94" t="s">
        <v>361</v>
      </c>
      <c r="G108">
        <f>G106-G107</f>
        <v>139989.96614431735</v>
      </c>
      <c r="H108">
        <f>G108*T4</f>
        <v>21698.444752369189</v>
      </c>
      <c r="I108" s="30" t="s">
        <v>376</v>
      </c>
    </row>
    <row r="109" spans="1:53" x14ac:dyDescent="0.35">
      <c r="F109" s="94" t="s">
        <v>365</v>
      </c>
      <c r="I109" s="30"/>
    </row>
    <row r="110" spans="1:53" ht="15" thickBot="1" x14ac:dyDescent="0.4">
      <c r="F110" s="95" t="s">
        <v>370</v>
      </c>
      <c r="G110" s="19"/>
      <c r="H110" s="19">
        <f>H106-H107-H108</f>
        <v>5518.0024700000031</v>
      </c>
      <c r="I110" s="20"/>
    </row>
    <row r="113" spans="6:9" ht="15" thickBot="1" x14ac:dyDescent="0.4"/>
    <row r="114" spans="6:9" x14ac:dyDescent="0.35">
      <c r="F114" s="93" t="s">
        <v>368</v>
      </c>
      <c r="G114" s="74"/>
      <c r="H114" s="74" t="s">
        <v>357</v>
      </c>
      <c r="I114" s="75"/>
    </row>
    <row r="115" spans="6:9" x14ac:dyDescent="0.35">
      <c r="F115" s="94" t="s">
        <v>373</v>
      </c>
      <c r="G115">
        <f>SUM(D2:D46)</f>
        <v>283691.82999999996</v>
      </c>
      <c r="H115">
        <f>G115*T4</f>
        <v>43972.233649999995</v>
      </c>
      <c r="I115" s="30" t="s">
        <v>380</v>
      </c>
    </row>
    <row r="116" spans="6:9" x14ac:dyDescent="0.35">
      <c r="F116" s="94" t="s">
        <v>375</v>
      </c>
      <c r="G116">
        <f>SUM(B2:B46)</f>
        <v>168654.48596844697</v>
      </c>
      <c r="H116">
        <f>G116*T4</f>
        <v>26141.445325109282</v>
      </c>
      <c r="I116" s="30" t="s">
        <v>380</v>
      </c>
    </row>
    <row r="117" spans="6:9" x14ac:dyDescent="0.35">
      <c r="F117" s="94" t="s">
        <v>358</v>
      </c>
      <c r="G117">
        <f>F102</f>
        <v>95787.414000000004</v>
      </c>
      <c r="H117">
        <f>G102</f>
        <v>9329.0467000000008</v>
      </c>
      <c r="I117" s="30" t="s">
        <v>377</v>
      </c>
    </row>
    <row r="118" spans="6:9" x14ac:dyDescent="0.35">
      <c r="F118" s="94" t="s">
        <v>306</v>
      </c>
      <c r="G118">
        <f>I102</f>
        <v>66729.77399999999</v>
      </c>
      <c r="H118">
        <f>G118*T4</f>
        <v>10343.114969999999</v>
      </c>
      <c r="I118" s="30" t="s">
        <v>379</v>
      </c>
    </row>
    <row r="119" spans="6:9" x14ac:dyDescent="0.35">
      <c r="F119" s="94" t="s">
        <v>371</v>
      </c>
      <c r="G119">
        <f>G115-G117-G118</f>
        <v>121174.64199999998</v>
      </c>
      <c r="H119">
        <f>G119*T6</f>
        <v>10542.193853999997</v>
      </c>
      <c r="I119" s="30" t="s">
        <v>393</v>
      </c>
    </row>
    <row r="120" spans="6:9" x14ac:dyDescent="0.35">
      <c r="F120" s="94" t="s">
        <v>392</v>
      </c>
      <c r="G120">
        <f>G116-G118</f>
        <v>101924.71196844698</v>
      </c>
      <c r="H120">
        <f>G120*T4</f>
        <v>15798.330355109281</v>
      </c>
      <c r="I120" s="30" t="s">
        <v>394</v>
      </c>
    </row>
    <row r="121" spans="6:9" x14ac:dyDescent="0.35">
      <c r="F121" s="94" t="s">
        <v>389</v>
      </c>
      <c r="G121">
        <f>G117+G118+G119</f>
        <v>283691.82999999996</v>
      </c>
      <c r="I121" s="30"/>
    </row>
    <row r="122" spans="6:9" x14ac:dyDescent="0.35">
      <c r="F122" s="94" t="s">
        <v>390</v>
      </c>
      <c r="G122">
        <f>G118+G120</f>
        <v>168654.48596844697</v>
      </c>
      <c r="I122" s="30"/>
    </row>
    <row r="123" spans="6:9" ht="15" thickBot="1" x14ac:dyDescent="0.4">
      <c r="F123" s="95" t="s">
        <v>370</v>
      </c>
      <c r="G123" s="19"/>
      <c r="H123" s="19">
        <f>H117+H118+H119-H120</f>
        <v>14416.025168890717</v>
      </c>
      <c r="I123" s="20"/>
    </row>
  </sheetData>
  <mergeCells count="2">
    <mergeCell ref="S16:T16"/>
    <mergeCell ref="AI31:AL32"/>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152B1-8D86-4F8C-9C7A-3456D507313C}">
  <dimension ref="A1:AZ125"/>
  <sheetViews>
    <sheetView topLeftCell="V51" zoomScale="80" zoomScaleNormal="80" workbookViewId="0">
      <selection activeCell="AC5" sqref="AC5"/>
    </sheetView>
  </sheetViews>
  <sheetFormatPr defaultRowHeight="14.5" x14ac:dyDescent="0.35"/>
  <cols>
    <col min="1" max="1" width="23.26953125" style="1" bestFit="1" customWidth="1"/>
    <col min="2" max="2" width="25.54296875" style="1" bestFit="1" customWidth="1"/>
    <col min="3" max="3" width="16.7265625" bestFit="1" customWidth="1"/>
    <col min="4" max="8" width="16.7265625" customWidth="1"/>
    <col min="9" max="9" width="19.6328125" bestFit="1" customWidth="1"/>
    <col min="10" max="10" width="16.7265625" customWidth="1"/>
    <col min="11" max="11" width="16.1796875" bestFit="1" customWidth="1"/>
    <col min="12" max="12" width="20.54296875" customWidth="1"/>
    <col min="13" max="13" width="12" customWidth="1"/>
    <col min="14" max="15" width="12.26953125" customWidth="1"/>
    <col min="16" max="16" width="13" customWidth="1"/>
    <col min="17" max="17" width="8.7265625" customWidth="1"/>
    <col min="18" max="18" width="28.7265625" bestFit="1" customWidth="1"/>
    <col min="19" max="19" width="12.6328125" bestFit="1" customWidth="1"/>
    <col min="20" max="20" width="21.6328125" bestFit="1" customWidth="1"/>
    <col min="22" max="22" width="12.453125" customWidth="1"/>
    <col min="24" max="24" width="14.36328125" customWidth="1"/>
    <col min="25" max="25" width="10.36328125" customWidth="1"/>
    <col min="26" max="26" width="12.453125" customWidth="1"/>
    <col min="27" max="27" width="11.1796875" customWidth="1"/>
    <col min="29" max="29" width="14" customWidth="1"/>
    <col min="31" max="31" width="23" customWidth="1"/>
    <col min="32" max="32" width="20.54296875" customWidth="1"/>
    <col min="33" max="33" width="19.81640625" customWidth="1"/>
    <col min="34" max="34" width="18.1796875" customWidth="1"/>
    <col min="35" max="35" width="16" customWidth="1"/>
    <col min="36" max="36" width="15.26953125" bestFit="1" customWidth="1"/>
    <col min="37" max="37" width="14.81640625" bestFit="1" customWidth="1"/>
    <col min="48" max="48" width="15" bestFit="1" customWidth="1"/>
    <col min="49" max="49" width="14.81640625" bestFit="1" customWidth="1"/>
    <col min="50" max="51" width="14.26953125" bestFit="1" customWidth="1"/>
  </cols>
  <sheetData>
    <row r="1" spans="1:52" ht="63" customHeight="1" x14ac:dyDescent="0.35">
      <c r="A1" s="57" t="s">
        <v>7</v>
      </c>
      <c r="B1" s="60" t="s">
        <v>8</v>
      </c>
      <c r="C1" s="60" t="s">
        <v>253</v>
      </c>
      <c r="D1" s="61" t="s">
        <v>281</v>
      </c>
      <c r="E1" s="61" t="s">
        <v>301</v>
      </c>
      <c r="F1" s="61" t="s">
        <v>308</v>
      </c>
      <c r="G1" s="61" t="s">
        <v>312</v>
      </c>
      <c r="H1" s="61" t="s">
        <v>309</v>
      </c>
      <c r="I1" s="61" t="s">
        <v>310</v>
      </c>
      <c r="J1" s="61" t="s">
        <v>311</v>
      </c>
      <c r="K1" s="60" t="s">
        <v>254</v>
      </c>
      <c r="L1" s="61" t="s">
        <v>255</v>
      </c>
      <c r="M1" s="61" t="s">
        <v>256</v>
      </c>
      <c r="N1" s="61" t="s">
        <v>257</v>
      </c>
      <c r="O1" s="61" t="s">
        <v>282</v>
      </c>
      <c r="P1" s="61" t="s">
        <v>396</v>
      </c>
      <c r="Q1" s="69"/>
      <c r="R1" s="69"/>
      <c r="S1" s="69"/>
      <c r="T1" s="69"/>
      <c r="U1" s="69"/>
      <c r="V1" s="61" t="s">
        <v>276</v>
      </c>
      <c r="W1" s="61" t="s">
        <v>277</v>
      </c>
      <c r="X1" s="61" t="s">
        <v>278</v>
      </c>
      <c r="Y1" s="61" t="s">
        <v>279</v>
      </c>
      <c r="Z1" s="61" t="s">
        <v>31</v>
      </c>
      <c r="AA1" s="12" t="s">
        <v>283</v>
      </c>
      <c r="AB1" s="1"/>
      <c r="AC1" s="6" t="s">
        <v>33</v>
      </c>
      <c r="AD1" s="6" t="s">
        <v>34</v>
      </c>
      <c r="AE1" s="6" t="s">
        <v>35</v>
      </c>
      <c r="AF1" s="6" t="s">
        <v>36</v>
      </c>
      <c r="AG1" s="6" t="s">
        <v>37</v>
      </c>
      <c r="AH1" s="6" t="s">
        <v>38</v>
      </c>
      <c r="AI1" s="12" t="s">
        <v>39</v>
      </c>
      <c r="AJ1" s="12" t="s">
        <v>40</v>
      </c>
      <c r="AK1" s="12" t="s">
        <v>41</v>
      </c>
      <c r="AV1" s="6" t="s">
        <v>320</v>
      </c>
      <c r="AW1" s="86" t="s">
        <v>321</v>
      </c>
      <c r="AX1" s="86" t="s">
        <v>322</v>
      </c>
      <c r="AY1" s="6" t="s">
        <v>322</v>
      </c>
    </row>
    <row r="2" spans="1:52" ht="15" thickBot="1" x14ac:dyDescent="0.4">
      <c r="A2" s="1">
        <v>1</v>
      </c>
      <c r="B2" s="62">
        <v>1079.529030351737</v>
      </c>
      <c r="C2" s="62">
        <v>2</v>
      </c>
      <c r="D2" s="62">
        <v>3494.71</v>
      </c>
      <c r="E2" s="62">
        <v>1079.53</v>
      </c>
      <c r="F2" s="62">
        <v>1395.84</v>
      </c>
      <c r="G2" s="62">
        <v>139.60599999999999</v>
      </c>
      <c r="H2" s="62">
        <v>1682.91</v>
      </c>
      <c r="I2" s="62">
        <v>473.57100000000003</v>
      </c>
      <c r="J2" s="62">
        <v>556.52700000000004</v>
      </c>
      <c r="K2" s="62">
        <v>5</v>
      </c>
      <c r="L2" s="62">
        <v>1.2</v>
      </c>
      <c r="M2" s="62">
        <f>(C2*$S$18*1000)+S29</f>
        <v>7240</v>
      </c>
      <c r="N2" s="62">
        <f>$S$38*C2</f>
        <v>71.2</v>
      </c>
      <c r="O2" s="56">
        <f>N2/D2</f>
        <v>2.0373650460267088E-2</v>
      </c>
      <c r="P2" s="56">
        <f t="shared" ref="P2:P46" si="0">N2*25</f>
        <v>1780</v>
      </c>
      <c r="Q2" s="56"/>
      <c r="R2" s="56"/>
      <c r="S2" s="56"/>
      <c r="T2" s="56"/>
      <c r="U2" s="56"/>
      <c r="V2" s="1">
        <v>273.161</v>
      </c>
      <c r="W2" s="1">
        <f>V2-M2</f>
        <v>-6966.8389999999999</v>
      </c>
      <c r="X2" s="1">
        <f t="shared" ref="X2:X65" si="1">V2*$S$47</f>
        <v>6829.0249999999996</v>
      </c>
      <c r="Y2" s="1">
        <f>X2-M2</f>
        <v>-410.97500000000036</v>
      </c>
      <c r="Z2" s="1">
        <f t="shared" ref="Z2:Z65" si="2">(M2/($S$47*B2))+O2</f>
        <v>0.28863878447490421</v>
      </c>
      <c r="AA2" s="1">
        <f t="shared" ref="AA2:AA65" si="3">(M2/($S$50*B2))+O2</f>
        <v>0.51955652152622989</v>
      </c>
      <c r="AB2" s="1"/>
      <c r="AC2" s="1" t="s">
        <v>284</v>
      </c>
      <c r="AD2" s="1">
        <v>0</v>
      </c>
      <c r="AE2">
        <f>-AC5</f>
        <v>-700053</v>
      </c>
      <c r="AF2">
        <f>AE2</f>
        <v>-700053</v>
      </c>
      <c r="AH2">
        <f>AE2</f>
        <v>-700053</v>
      </c>
      <c r="AI2">
        <f>AE2</f>
        <v>-700053</v>
      </c>
      <c r="AK2">
        <f>AE2</f>
        <v>-700053</v>
      </c>
      <c r="AV2" s="1">
        <f>AK27+AK63</f>
        <v>-387894.44296019827</v>
      </c>
      <c r="AW2">
        <f>B2/$B$102</f>
        <v>2.6692481992770093E-3</v>
      </c>
      <c r="AX2">
        <f>AW2*$AV$2</f>
        <v>-1035.3865433810679</v>
      </c>
      <c r="AY2">
        <f>(AX2)*1.1</f>
        <v>-1138.9251977191748</v>
      </c>
      <c r="AZ2">
        <f>AY2-AX2</f>
        <v>-103.53865433810688</v>
      </c>
    </row>
    <row r="3" spans="1:52" x14ac:dyDescent="0.35">
      <c r="A3" s="1">
        <v>2</v>
      </c>
      <c r="B3" s="62">
        <v>3886.3217817133332</v>
      </c>
      <c r="C3" s="62">
        <v>4</v>
      </c>
      <c r="D3" s="62">
        <v>6989.42</v>
      </c>
      <c r="E3" s="62">
        <v>3886.32</v>
      </c>
      <c r="F3" s="62">
        <v>2567.4899999999998</v>
      </c>
      <c r="G3" s="62">
        <v>253.81899999999999</v>
      </c>
      <c r="H3" s="62">
        <v>3085.9</v>
      </c>
      <c r="I3" s="62">
        <v>1442.46</v>
      </c>
      <c r="J3" s="62">
        <v>2007.51</v>
      </c>
      <c r="K3" s="62">
        <v>10</v>
      </c>
      <c r="L3" s="62">
        <v>3.3</v>
      </c>
      <c r="M3" s="62">
        <f>(C3*$S$18*1000)+S31</f>
        <v>14096</v>
      </c>
      <c r="N3" s="62">
        <f>$S$38*C3</f>
        <v>142.4</v>
      </c>
      <c r="O3" s="56">
        <f t="shared" ref="O3:O46" si="4">N3/D3</f>
        <v>2.0373650460267088E-2</v>
      </c>
      <c r="P3" s="56">
        <f t="shared" si="0"/>
        <v>3560</v>
      </c>
      <c r="Q3" s="56"/>
      <c r="R3" s="80" t="s">
        <v>267</v>
      </c>
      <c r="S3" s="81"/>
      <c r="T3" s="82"/>
      <c r="U3" s="56"/>
      <c r="V3" s="1">
        <v>434.72800000000001</v>
      </c>
      <c r="W3" s="1">
        <f t="shared" ref="W3:W66" si="5">V3-M3</f>
        <v>-13661.272000000001</v>
      </c>
      <c r="X3" s="1">
        <f t="shared" si="1"/>
        <v>10868.2</v>
      </c>
      <c r="Y3" s="1">
        <f t="shared" ref="Y3:Y66" si="6">X3-M3</f>
        <v>-3227.7999999999993</v>
      </c>
      <c r="Z3" s="1">
        <f t="shared" si="2"/>
        <v>0.16545685037775415</v>
      </c>
      <c r="AA3" s="1">
        <f t="shared" si="3"/>
        <v>0.29034182408918408</v>
      </c>
      <c r="AB3" s="1"/>
      <c r="AC3" s="1"/>
      <c r="AD3" s="1">
        <v>1</v>
      </c>
      <c r="AE3">
        <f>AC8</f>
        <v>14416.025168890717</v>
      </c>
      <c r="AF3">
        <f>AF2+AE3</f>
        <v>-685636.97483110928</v>
      </c>
      <c r="AG3">
        <f t="shared" ref="AG3:AG27" si="7">AE3/(1+$S$20)^AD3</f>
        <v>13587.205625721695</v>
      </c>
      <c r="AH3">
        <f>AH2+AG3</f>
        <v>-686465.79437427828</v>
      </c>
      <c r="AI3">
        <f t="shared" ref="AI3:AI27" si="8">$AC$8*((1+$S$44)^AD3)</f>
        <v>14776.425798112985</v>
      </c>
      <c r="AJ3">
        <f t="shared" ref="AJ3:AJ27" si="9">AI3/(1+$S$20)^AD3</f>
        <v>13926.885766364736</v>
      </c>
      <c r="AK3">
        <f>AK2+AJ3</f>
        <v>-686126.11423363525</v>
      </c>
      <c r="AV3" s="1"/>
      <c r="AW3">
        <f t="shared" ref="AW3:AW66" si="10">B3/$B$102</f>
        <v>9.6093362253253847E-3</v>
      </c>
      <c r="AX3">
        <f t="shared" ref="AX3:AX66" si="11">AW3*$AV$2</f>
        <v>-3727.4081223398443</v>
      </c>
      <c r="AY3">
        <f t="shared" ref="AY3:AY46" si="12">(AX3)*1.1</f>
        <v>-4100.1489345738291</v>
      </c>
      <c r="AZ3">
        <f t="shared" ref="AZ3:AZ46" si="13">AY3-AX3</f>
        <v>-372.7408122339848</v>
      </c>
    </row>
    <row r="4" spans="1:52" ht="29" x14ac:dyDescent="0.35">
      <c r="A4" s="1">
        <v>3</v>
      </c>
      <c r="B4" s="1">
        <v>3457.332910813851</v>
      </c>
      <c r="C4" s="1">
        <v>2</v>
      </c>
      <c r="D4" s="1">
        <v>3494.71</v>
      </c>
      <c r="E4" s="1">
        <v>3457.33</v>
      </c>
      <c r="F4" s="1">
        <v>613.53200000000004</v>
      </c>
      <c r="G4" s="1">
        <v>54.761099999999999</v>
      </c>
      <c r="H4" s="1">
        <v>1498.2</v>
      </c>
      <c r="I4" s="1">
        <v>1382.98</v>
      </c>
      <c r="J4" s="1">
        <v>2074.35</v>
      </c>
      <c r="K4" s="1">
        <v>5</v>
      </c>
      <c r="L4" s="1">
        <v>0</v>
      </c>
      <c r="M4" s="1">
        <f>C4*$S$18*1000</f>
        <v>5200</v>
      </c>
      <c r="N4" s="1">
        <f>$S$19*C4</f>
        <v>53</v>
      </c>
      <c r="O4" s="4">
        <f t="shared" si="4"/>
        <v>1.5165779134749377E-2</v>
      </c>
      <c r="P4" s="4">
        <f t="shared" si="0"/>
        <v>1325</v>
      </c>
      <c r="Q4" s="4"/>
      <c r="R4" s="63" t="s">
        <v>302</v>
      </c>
      <c r="S4" s="4">
        <v>0.155</v>
      </c>
      <c r="T4" s="30"/>
      <c r="U4" s="4"/>
      <c r="V4" s="1">
        <v>78.388900000000007</v>
      </c>
      <c r="W4" s="1">
        <f t="shared" si="5"/>
        <v>-5121.6111000000001</v>
      </c>
      <c r="X4" s="1">
        <f t="shared" si="1"/>
        <v>1959.7225000000001</v>
      </c>
      <c r="Y4" s="1">
        <f t="shared" si="6"/>
        <v>-3240.2775000000001</v>
      </c>
      <c r="Z4" s="1">
        <f t="shared" si="2"/>
        <v>7.5327761033980797E-2</v>
      </c>
      <c r="AA4" s="1">
        <f t="shared" si="3"/>
        <v>0.12711409833689449</v>
      </c>
      <c r="AB4" s="1"/>
      <c r="AC4" s="6" t="s">
        <v>285</v>
      </c>
      <c r="AD4" s="1">
        <f>AD3+1</f>
        <v>2</v>
      </c>
      <c r="AE4">
        <f>AE3</f>
        <v>14416.025168890717</v>
      </c>
      <c r="AF4">
        <f>AF3+AE4</f>
        <v>-671220.94966221857</v>
      </c>
      <c r="AG4">
        <f t="shared" si="7"/>
        <v>12806.037347522803</v>
      </c>
      <c r="AH4">
        <f t="shared" ref="AH4:AH27" si="14">AH3+AG4</f>
        <v>-673659.75702675548</v>
      </c>
      <c r="AI4">
        <f t="shared" si="8"/>
        <v>15145.836443065809</v>
      </c>
      <c r="AJ4">
        <f t="shared" si="9"/>
        <v>13454.342988241146</v>
      </c>
      <c r="AK4">
        <f t="shared" ref="AK4:AK27" si="15">AK3+AJ4</f>
        <v>-672671.77124539413</v>
      </c>
      <c r="AV4" s="1"/>
      <c r="AW4">
        <f t="shared" si="10"/>
        <v>8.5486164679463485E-3</v>
      </c>
      <c r="AX4">
        <f t="shared" si="11"/>
        <v>-3315.9608229144264</v>
      </c>
      <c r="AY4">
        <f t="shared" si="12"/>
        <v>-3647.5569052058695</v>
      </c>
      <c r="AZ4">
        <f t="shared" si="13"/>
        <v>-331.59608229144305</v>
      </c>
    </row>
    <row r="5" spans="1:52" x14ac:dyDescent="0.35">
      <c r="A5" s="1">
        <v>4</v>
      </c>
      <c r="B5" s="62">
        <v>1453.8912212817379</v>
      </c>
      <c r="C5" s="62">
        <v>2</v>
      </c>
      <c r="D5" s="62">
        <v>3494.71</v>
      </c>
      <c r="E5" s="62">
        <v>1453.89</v>
      </c>
      <c r="F5" s="62">
        <v>1292.6199999999999</v>
      </c>
      <c r="G5" s="62">
        <v>127.47</v>
      </c>
      <c r="H5" s="62">
        <v>1638.92</v>
      </c>
      <c r="I5" s="62">
        <v>615.08299999999997</v>
      </c>
      <c r="J5" s="62">
        <v>724.553</v>
      </c>
      <c r="K5" s="62">
        <v>5</v>
      </c>
      <c r="L5" s="62">
        <v>1.2</v>
      </c>
      <c r="M5" s="62">
        <f>(C5*$S$18*1000)+S29</f>
        <v>7240</v>
      </c>
      <c r="N5" s="62">
        <f>$S$38*C5</f>
        <v>71.2</v>
      </c>
      <c r="O5" s="56">
        <f t="shared" si="4"/>
        <v>2.0373650460267088E-2</v>
      </c>
      <c r="P5" s="56">
        <f t="shared" si="0"/>
        <v>1780</v>
      </c>
      <c r="Q5" s="56"/>
      <c r="R5" s="83" t="s">
        <v>303</v>
      </c>
      <c r="S5" s="56">
        <v>0.129</v>
      </c>
      <c r="T5" s="46" t="s">
        <v>6</v>
      </c>
      <c r="U5" s="56"/>
      <c r="V5" s="1">
        <v>253.096</v>
      </c>
      <c r="W5" s="1">
        <f t="shared" si="5"/>
        <v>-6986.9040000000005</v>
      </c>
      <c r="X5" s="1">
        <f t="shared" si="1"/>
        <v>6327.4</v>
      </c>
      <c r="Y5" s="1">
        <f t="shared" si="6"/>
        <v>-912.60000000000036</v>
      </c>
      <c r="Z5" s="1">
        <f t="shared" si="2"/>
        <v>0.2195632430246208</v>
      </c>
      <c r="AA5" s="1">
        <f t="shared" si="3"/>
        <v>0.39102201320019814</v>
      </c>
      <c r="AB5" s="1"/>
      <c r="AC5" s="1">
        <f>SUM(M2:M46) + (T10*45/99)+T39+T40+T11+T12+P102</f>
        <v>700053</v>
      </c>
      <c r="AD5" s="1">
        <f t="shared" ref="AD5:AD27" si="16">AD4+1</f>
        <v>3</v>
      </c>
      <c r="AE5">
        <f t="shared" ref="AE5:AE27" si="17">AE4</f>
        <v>14416.025168890717</v>
      </c>
      <c r="AF5">
        <f t="shared" ref="AF5:AF27" si="18">AF4+AE5</f>
        <v>-656804.92449332785</v>
      </c>
      <c r="AG5">
        <f t="shared" si="7"/>
        <v>12069.780723395668</v>
      </c>
      <c r="AH5">
        <f t="shared" si="14"/>
        <v>-661589.97630335984</v>
      </c>
      <c r="AI5">
        <f t="shared" si="8"/>
        <v>15524.482354142454</v>
      </c>
      <c r="AJ5">
        <f t="shared" si="9"/>
        <v>12997.833706830514</v>
      </c>
      <c r="AK5">
        <f t="shared" si="15"/>
        <v>-659673.93753856362</v>
      </c>
      <c r="AV5" s="1" t="s">
        <v>324</v>
      </c>
      <c r="AW5">
        <f t="shared" si="10"/>
        <v>3.5948977889797666E-3</v>
      </c>
      <c r="AX5">
        <f t="shared" si="11"/>
        <v>-1394.440875355155</v>
      </c>
      <c r="AY5">
        <f t="shared" si="12"/>
        <v>-1533.8849628906705</v>
      </c>
      <c r="AZ5">
        <f t="shared" si="13"/>
        <v>-139.44408753551556</v>
      </c>
    </row>
    <row r="6" spans="1:52" x14ac:dyDescent="0.35">
      <c r="A6" s="1">
        <v>5</v>
      </c>
      <c r="B6" s="1">
        <v>3955.020115733626</v>
      </c>
      <c r="C6" s="1">
        <v>4</v>
      </c>
      <c r="D6" s="1">
        <v>6989.42</v>
      </c>
      <c r="E6" s="1">
        <v>3955.02</v>
      </c>
      <c r="F6" s="1">
        <v>1833.18</v>
      </c>
      <c r="G6" s="1">
        <v>168.476</v>
      </c>
      <c r="H6" s="1">
        <v>3471.67</v>
      </c>
      <c r="I6" s="1">
        <v>1684.57</v>
      </c>
      <c r="J6" s="1">
        <v>2270.4499999999998</v>
      </c>
      <c r="K6" s="1">
        <v>10</v>
      </c>
      <c r="L6" s="1">
        <v>0</v>
      </c>
      <c r="M6" s="1">
        <f>C6*$S$18*1000</f>
        <v>10400</v>
      </c>
      <c r="N6" s="1">
        <f>$S$19*C6</f>
        <v>106</v>
      </c>
      <c r="O6" s="4">
        <f t="shared" si="4"/>
        <v>1.5165779134749377E-2</v>
      </c>
      <c r="P6" s="4">
        <f t="shared" si="0"/>
        <v>2650</v>
      </c>
      <c r="Q6" s="4"/>
      <c r="R6" s="63" t="s">
        <v>395</v>
      </c>
      <c r="S6" s="1">
        <v>8.6999999999999994E-2</v>
      </c>
      <c r="T6" s="78"/>
      <c r="U6" s="4"/>
      <c r="V6" s="1">
        <v>379.79399999999998</v>
      </c>
      <c r="W6" s="1">
        <f t="shared" si="5"/>
        <v>-10020.206</v>
      </c>
      <c r="X6" s="1">
        <f t="shared" si="1"/>
        <v>9494.85</v>
      </c>
      <c r="Y6" s="1">
        <f t="shared" si="6"/>
        <v>-905.14999999999964</v>
      </c>
      <c r="Z6" s="1">
        <f t="shared" si="2"/>
        <v>0.12034855642204902</v>
      </c>
      <c r="AA6" s="1">
        <f t="shared" si="3"/>
        <v>0.21088797369358894</v>
      </c>
      <c r="AB6" s="1"/>
      <c r="AC6" s="1"/>
      <c r="AD6" s="1">
        <f t="shared" si="16"/>
        <v>4</v>
      </c>
      <c r="AE6">
        <f t="shared" si="17"/>
        <v>14416.025168890717</v>
      </c>
      <c r="AF6">
        <f t="shared" si="18"/>
        <v>-642388.89932443714</v>
      </c>
      <c r="AG6">
        <f t="shared" si="7"/>
        <v>11375.853650702798</v>
      </c>
      <c r="AH6">
        <f t="shared" si="14"/>
        <v>-650214.1226526571</v>
      </c>
      <c r="AI6">
        <f t="shared" si="8"/>
        <v>15912.594412996013</v>
      </c>
      <c r="AJ6">
        <f t="shared" si="9"/>
        <v>12556.813901509213</v>
      </c>
      <c r="AK6">
        <f t="shared" si="15"/>
        <v>-647117.12363705446</v>
      </c>
      <c r="AV6" s="1">
        <f>SUM(AY2:AY46)</f>
        <v>-177933.93079503693</v>
      </c>
      <c r="AW6">
        <f t="shared" si="10"/>
        <v>9.7792000263176096E-3</v>
      </c>
      <c r="AX6">
        <f t="shared" si="11"/>
        <v>-3793.2973468048253</v>
      </c>
      <c r="AY6">
        <f t="shared" si="12"/>
        <v>-4172.6270814853078</v>
      </c>
      <c r="AZ6">
        <f t="shared" si="13"/>
        <v>-379.32973468048249</v>
      </c>
    </row>
    <row r="7" spans="1:52" ht="29" x14ac:dyDescent="0.35">
      <c r="A7" s="1">
        <v>6</v>
      </c>
      <c r="B7" s="62">
        <v>2105.0165005377999</v>
      </c>
      <c r="C7" s="62">
        <v>2</v>
      </c>
      <c r="D7" s="62">
        <v>3494.71</v>
      </c>
      <c r="E7" s="62">
        <v>2105.02</v>
      </c>
      <c r="F7" s="62">
        <v>1453.58</v>
      </c>
      <c r="G7" s="62">
        <v>145.85</v>
      </c>
      <c r="H7" s="62">
        <v>1123.08</v>
      </c>
      <c r="I7" s="62">
        <v>912.81600000000003</v>
      </c>
      <c r="J7" s="62">
        <v>775.86</v>
      </c>
      <c r="K7" s="62">
        <v>5</v>
      </c>
      <c r="L7" s="62">
        <v>4.2</v>
      </c>
      <c r="M7" s="62">
        <f>(C7*$S$18*1000)+S32</f>
        <v>9904</v>
      </c>
      <c r="N7" s="62">
        <f>$S$38*C7</f>
        <v>71.2</v>
      </c>
      <c r="O7" s="56">
        <f t="shared" si="4"/>
        <v>2.0373650460267088E-2</v>
      </c>
      <c r="P7" s="56">
        <f t="shared" si="0"/>
        <v>1780</v>
      </c>
      <c r="Q7" s="56"/>
      <c r="R7" s="84"/>
      <c r="S7" s="62"/>
      <c r="T7" s="85"/>
      <c r="U7" s="56"/>
      <c r="V7" s="1">
        <v>264.803</v>
      </c>
      <c r="W7" s="1">
        <f t="shared" si="5"/>
        <v>-9639.1970000000001</v>
      </c>
      <c r="X7" s="1">
        <f t="shared" si="1"/>
        <v>6620.0749999999998</v>
      </c>
      <c r="Y7" s="1">
        <f t="shared" si="6"/>
        <v>-3283.9250000000002</v>
      </c>
      <c r="Z7" s="1">
        <f t="shared" si="2"/>
        <v>0.20857170016618964</v>
      </c>
      <c r="AA7" s="1">
        <f t="shared" si="3"/>
        <v>0.37056915061829859</v>
      </c>
      <c r="AB7" s="1"/>
      <c r="AC7" s="6" t="s">
        <v>286</v>
      </c>
      <c r="AD7" s="1">
        <f t="shared" si="16"/>
        <v>5</v>
      </c>
      <c r="AE7">
        <f t="shared" si="17"/>
        <v>14416.025168890717</v>
      </c>
      <c r="AF7">
        <f t="shared" si="18"/>
        <v>-627972.87415554642</v>
      </c>
      <c r="AG7">
        <f t="shared" si="7"/>
        <v>10721.822479455983</v>
      </c>
      <c r="AH7">
        <f t="shared" si="14"/>
        <v>-639492.30017320113</v>
      </c>
      <c r="AI7">
        <f t="shared" si="8"/>
        <v>16310.409273320913</v>
      </c>
      <c r="AJ7">
        <f t="shared" si="9"/>
        <v>12130.758010411821</v>
      </c>
      <c r="AK7">
        <f t="shared" si="15"/>
        <v>-634986.3656266426</v>
      </c>
      <c r="AV7" s="1"/>
      <c r="AW7">
        <f t="shared" si="10"/>
        <v>5.2048730006623049E-3</v>
      </c>
      <c r="AX7">
        <f t="shared" si="11"/>
        <v>-2018.9413132704804</v>
      </c>
      <c r="AY7">
        <f t="shared" si="12"/>
        <v>-2220.8354445975287</v>
      </c>
      <c r="AZ7">
        <f t="shared" si="13"/>
        <v>-201.8941313270484</v>
      </c>
    </row>
    <row r="8" spans="1:52" x14ac:dyDescent="0.35">
      <c r="A8" s="1">
        <v>7</v>
      </c>
      <c r="B8" s="1">
        <v>1617.7934488334181</v>
      </c>
      <c r="C8" s="1">
        <v>2</v>
      </c>
      <c r="D8" s="1">
        <v>3494.71</v>
      </c>
      <c r="E8" s="1">
        <v>1617.79</v>
      </c>
      <c r="F8" s="1">
        <v>1038.05</v>
      </c>
      <c r="G8" s="1">
        <v>96.850499999999997</v>
      </c>
      <c r="H8" s="1">
        <v>1831.46</v>
      </c>
      <c r="I8" s="1">
        <v>625.19600000000003</v>
      </c>
      <c r="J8" s="1">
        <v>992.59699999999998</v>
      </c>
      <c r="K8" s="1">
        <v>5</v>
      </c>
      <c r="L8" s="1">
        <v>0</v>
      </c>
      <c r="M8" s="1">
        <f>C8*$S$18*1000</f>
        <v>5200</v>
      </c>
      <c r="N8" s="1">
        <f>$S$19*C8</f>
        <v>53</v>
      </c>
      <c r="O8" s="4">
        <f t="shared" si="4"/>
        <v>1.5165779134749377E-2</v>
      </c>
      <c r="P8" s="4">
        <f t="shared" si="0"/>
        <v>1325</v>
      </c>
      <c r="Q8" s="4"/>
      <c r="R8" s="65"/>
      <c r="S8" s="1"/>
      <c r="T8" s="78">
        <v>25</v>
      </c>
      <c r="U8" s="4"/>
      <c r="V8" s="1">
        <v>199.303</v>
      </c>
      <c r="W8" s="1">
        <f t="shared" si="5"/>
        <v>-5000.6970000000001</v>
      </c>
      <c r="X8" s="1">
        <f t="shared" si="1"/>
        <v>4982.5749999999998</v>
      </c>
      <c r="Y8" s="1">
        <f t="shared" si="6"/>
        <v>-217.42500000000018</v>
      </c>
      <c r="Z8" s="1">
        <f t="shared" si="2"/>
        <v>0.14373596227524091</v>
      </c>
      <c r="AA8" s="1">
        <f t="shared" si="3"/>
        <v>0.25440683216717741</v>
      </c>
      <c r="AB8" s="1"/>
      <c r="AC8" s="1">
        <f>H125</f>
        <v>14416.025168890717</v>
      </c>
      <c r="AD8" s="1">
        <f t="shared" si="16"/>
        <v>6</v>
      </c>
      <c r="AE8">
        <f t="shared" si="17"/>
        <v>14416.025168890717</v>
      </c>
      <c r="AF8">
        <f t="shared" si="18"/>
        <v>-613556.84898665571</v>
      </c>
      <c r="AG8">
        <f t="shared" si="7"/>
        <v>10105.393477338344</v>
      </c>
      <c r="AH8">
        <f t="shared" si="14"/>
        <v>-629386.90669586277</v>
      </c>
      <c r="AI8">
        <f t="shared" si="8"/>
        <v>16718.169505153932</v>
      </c>
      <c r="AJ8">
        <f t="shared" si="9"/>
        <v>11719.158304120747</v>
      </c>
      <c r="AK8">
        <f t="shared" si="15"/>
        <v>-623267.20732252183</v>
      </c>
      <c r="AV8" s="1"/>
      <c r="AW8">
        <f t="shared" si="10"/>
        <v>4.0001631532722544E-3</v>
      </c>
      <c r="AX8">
        <f t="shared" si="11"/>
        <v>-1551.6410580884512</v>
      </c>
      <c r="AY8">
        <f t="shared" si="12"/>
        <v>-1706.8051638972966</v>
      </c>
      <c r="AZ8">
        <f t="shared" si="13"/>
        <v>-155.16410580884531</v>
      </c>
    </row>
    <row r="9" spans="1:52" ht="29" x14ac:dyDescent="0.35">
      <c r="A9" s="1">
        <v>8</v>
      </c>
      <c r="B9" s="62">
        <v>10161.74794678937</v>
      </c>
      <c r="C9" s="62">
        <v>10</v>
      </c>
      <c r="D9" s="62">
        <v>17473.5</v>
      </c>
      <c r="E9" s="62">
        <v>10161.700000000001</v>
      </c>
      <c r="F9" s="62">
        <v>6690.31</v>
      </c>
      <c r="G9" s="62">
        <v>666.70799999999997</v>
      </c>
      <c r="H9" s="62">
        <v>7473.12</v>
      </c>
      <c r="I9" s="62">
        <v>3557.92</v>
      </c>
      <c r="J9" s="62">
        <v>5438.81</v>
      </c>
      <c r="K9" s="62">
        <v>25</v>
      </c>
      <c r="L9" s="62">
        <v>9.6999999999999993</v>
      </c>
      <c r="M9" s="62">
        <f>(C9*$S$18*1000)+S35</f>
        <v>34000</v>
      </c>
      <c r="N9" s="62">
        <f>$S$38*C9</f>
        <v>356</v>
      </c>
      <c r="O9" s="56">
        <f t="shared" si="4"/>
        <v>2.0373708758977881E-2</v>
      </c>
      <c r="P9" s="56">
        <f t="shared" si="0"/>
        <v>8900</v>
      </c>
      <c r="Q9" s="56"/>
      <c r="R9" s="65"/>
      <c r="S9" s="1" t="s">
        <v>314</v>
      </c>
      <c r="T9" s="78" t="s">
        <v>315</v>
      </c>
      <c r="U9" s="56"/>
      <c r="V9" s="1">
        <v>1025.3900000000001</v>
      </c>
      <c r="W9" s="1">
        <f t="shared" si="5"/>
        <v>-32974.61</v>
      </c>
      <c r="X9" s="1">
        <f t="shared" si="1"/>
        <v>25634.750000000004</v>
      </c>
      <c r="Y9" s="1">
        <f t="shared" si="6"/>
        <v>-8365.2499999999964</v>
      </c>
      <c r="Z9" s="1">
        <f t="shared" si="2"/>
        <v>0.15420895119182088</v>
      </c>
      <c r="AA9" s="1">
        <f t="shared" si="3"/>
        <v>0.26941188814381944</v>
      </c>
      <c r="AB9" s="1"/>
      <c r="AC9" s="1"/>
      <c r="AD9" s="1">
        <f t="shared" si="16"/>
        <v>7</v>
      </c>
      <c r="AE9">
        <f t="shared" si="17"/>
        <v>14416.025168890717</v>
      </c>
      <c r="AF9">
        <f t="shared" si="18"/>
        <v>-599140.82381776499</v>
      </c>
      <c r="AG9">
        <f t="shared" si="7"/>
        <v>9524.4047854272812</v>
      </c>
      <c r="AH9">
        <f t="shared" si="14"/>
        <v>-619862.5019104355</v>
      </c>
      <c r="AI9">
        <f t="shared" si="8"/>
        <v>17136.123742782784</v>
      </c>
      <c r="AJ9">
        <f t="shared" si="9"/>
        <v>11321.524280606758</v>
      </c>
      <c r="AK9">
        <f t="shared" si="15"/>
        <v>-611945.68304191506</v>
      </c>
      <c r="AV9" s="73" t="s">
        <v>323</v>
      </c>
      <c r="AW9">
        <f t="shared" si="10"/>
        <v>2.512598239218878E-2</v>
      </c>
      <c r="AX9">
        <f t="shared" si="11"/>
        <v>-9746.2289438458174</v>
      </c>
      <c r="AY9">
        <f t="shared" si="12"/>
        <v>-10720.851838230399</v>
      </c>
      <c r="AZ9">
        <f t="shared" si="13"/>
        <v>-974.62289438458174</v>
      </c>
    </row>
    <row r="10" spans="1:52" x14ac:dyDescent="0.35">
      <c r="A10" s="1">
        <v>9</v>
      </c>
      <c r="B10" s="62">
        <v>5057.043251595851</v>
      </c>
      <c r="C10" s="62">
        <v>4</v>
      </c>
      <c r="D10" s="62">
        <v>6989.42</v>
      </c>
      <c r="E10" s="62">
        <v>5057.04</v>
      </c>
      <c r="F10" s="62">
        <v>2433.36</v>
      </c>
      <c r="G10" s="62">
        <v>235.053</v>
      </c>
      <c r="H10" s="62">
        <v>2459.33</v>
      </c>
      <c r="I10" s="62">
        <v>2123.7399999999998</v>
      </c>
      <c r="J10" s="62">
        <v>1740.61</v>
      </c>
      <c r="K10" s="62">
        <v>10</v>
      </c>
      <c r="L10" s="62">
        <v>6</v>
      </c>
      <c r="M10" s="62">
        <f>(C10*$S$18*1000)+S34</f>
        <v>14600</v>
      </c>
      <c r="N10" s="62">
        <f>$S$38*C10</f>
        <v>142.4</v>
      </c>
      <c r="O10" s="56">
        <f t="shared" si="4"/>
        <v>2.0373650460267088E-2</v>
      </c>
      <c r="P10" s="56">
        <f t="shared" si="0"/>
        <v>3560</v>
      </c>
      <c r="Q10" s="56"/>
      <c r="R10" s="50" t="s">
        <v>319</v>
      </c>
      <c r="S10" s="1">
        <f>200+90</f>
        <v>290</v>
      </c>
      <c r="T10" s="78">
        <f>S10*99</f>
        <v>28710</v>
      </c>
      <c r="U10" s="56"/>
      <c r="V10" s="1">
        <v>508.49599999999998</v>
      </c>
      <c r="W10" s="1">
        <f t="shared" si="5"/>
        <v>-14091.504000000001</v>
      </c>
      <c r="X10" s="1">
        <f t="shared" si="1"/>
        <v>12712.4</v>
      </c>
      <c r="Y10" s="1">
        <f t="shared" si="6"/>
        <v>-1887.6000000000004</v>
      </c>
      <c r="Z10" s="1">
        <f t="shared" si="2"/>
        <v>0.1358561509936978</v>
      </c>
      <c r="AA10" s="1">
        <f t="shared" si="3"/>
        <v>0.23526138227788448</v>
      </c>
      <c r="AB10" s="1"/>
      <c r="AC10" s="1"/>
      <c r="AD10" s="1">
        <f t="shared" si="16"/>
        <v>8</v>
      </c>
      <c r="AE10">
        <f t="shared" si="17"/>
        <v>14416.025168890717</v>
      </c>
      <c r="AF10">
        <f t="shared" si="18"/>
        <v>-584724.79864887428</v>
      </c>
      <c r="AG10">
        <f t="shared" si="7"/>
        <v>8976.8188364064863</v>
      </c>
      <c r="AH10">
        <f t="shared" si="14"/>
        <v>-610885.68307402905</v>
      </c>
      <c r="AI10">
        <f t="shared" si="8"/>
        <v>17564.52683635235</v>
      </c>
      <c r="AJ10">
        <f t="shared" si="9"/>
        <v>10937.38208069927</v>
      </c>
      <c r="AK10">
        <f t="shared" si="15"/>
        <v>-601008.30096121575</v>
      </c>
      <c r="AV10" s="1">
        <f>AV2-AV6</f>
        <v>-209960.51216516134</v>
      </c>
      <c r="AW10">
        <f t="shared" si="10"/>
        <v>1.2504067249205919E-2</v>
      </c>
      <c r="AX10">
        <f t="shared" si="11"/>
        <v>-4850.2582003675889</v>
      </c>
      <c r="AY10">
        <f t="shared" si="12"/>
        <v>-5335.2840204043478</v>
      </c>
      <c r="AZ10">
        <f t="shared" si="13"/>
        <v>-485.02582003675889</v>
      </c>
    </row>
    <row r="11" spans="1:52" x14ac:dyDescent="0.35">
      <c r="A11" s="1">
        <v>10</v>
      </c>
      <c r="B11" s="1">
        <v>507.10444675644749</v>
      </c>
      <c r="C11" s="1">
        <v>2</v>
      </c>
      <c r="D11" s="1">
        <v>3494.71</v>
      </c>
      <c r="E11" s="1">
        <v>507.10399999999998</v>
      </c>
      <c r="F11" s="1">
        <v>1300.33</v>
      </c>
      <c r="G11" s="1">
        <v>126.497</v>
      </c>
      <c r="H11" s="1">
        <v>1951.2</v>
      </c>
      <c r="I11" s="1">
        <v>243.18299999999999</v>
      </c>
      <c r="J11" s="1">
        <v>263.92099999999999</v>
      </c>
      <c r="K11" s="1">
        <v>5</v>
      </c>
      <c r="L11" s="1">
        <v>0</v>
      </c>
      <c r="M11" s="1">
        <f>C11*$S$18*1000</f>
        <v>5200</v>
      </c>
      <c r="N11" s="1">
        <f>$S$19*C11</f>
        <v>53</v>
      </c>
      <c r="O11" s="4">
        <f t="shared" si="4"/>
        <v>1.5165779134749377E-2</v>
      </c>
      <c r="P11" s="4">
        <f t="shared" si="0"/>
        <v>1325</v>
      </c>
      <c r="Q11" s="4"/>
      <c r="R11" s="65" t="s">
        <v>316</v>
      </c>
      <c r="S11" s="1"/>
      <c r="T11" s="78">
        <v>0</v>
      </c>
      <c r="U11" s="4"/>
      <c r="V11" s="1">
        <v>293.03699999999998</v>
      </c>
      <c r="W11" s="1">
        <f t="shared" si="5"/>
        <v>-4906.9629999999997</v>
      </c>
      <c r="X11" s="1">
        <f t="shared" si="1"/>
        <v>7325.9249999999993</v>
      </c>
      <c r="Y11" s="1">
        <f t="shared" si="6"/>
        <v>2125.9249999999993</v>
      </c>
      <c r="Z11" s="1">
        <f t="shared" si="2"/>
        <v>0.42533769012944511</v>
      </c>
      <c r="AA11" s="1">
        <f t="shared" si="3"/>
        <v>0.7784061939318998</v>
      </c>
      <c r="AB11" s="1"/>
      <c r="AC11" s="2" t="s">
        <v>329</v>
      </c>
      <c r="AD11" s="1">
        <f t="shared" si="16"/>
        <v>9</v>
      </c>
      <c r="AE11">
        <f t="shared" si="17"/>
        <v>14416.025168890717</v>
      </c>
      <c r="AF11">
        <f t="shared" si="18"/>
        <v>-570308.77347998356</v>
      </c>
      <c r="AG11">
        <f t="shared" si="7"/>
        <v>8460.7152086771785</v>
      </c>
      <c r="AH11">
        <f t="shared" si="14"/>
        <v>-602424.96786535182</v>
      </c>
      <c r="AI11">
        <f t="shared" si="8"/>
        <v>18003.640007261158</v>
      </c>
      <c r="AJ11">
        <f t="shared" si="9"/>
        <v>10566.273923389965</v>
      </c>
      <c r="AK11">
        <f t="shared" si="15"/>
        <v>-590442.02703782578</v>
      </c>
      <c r="AV11" s="1" t="s">
        <v>6</v>
      </c>
      <c r="AW11">
        <f t="shared" si="10"/>
        <v>1.2538686717011949E-3</v>
      </c>
      <c r="AX11">
        <f t="shared" si="11"/>
        <v>-486.36868995477869</v>
      </c>
      <c r="AY11">
        <f t="shared" si="12"/>
        <v>-535.00555895025661</v>
      </c>
      <c r="AZ11">
        <f t="shared" si="13"/>
        <v>-48.636868995477926</v>
      </c>
    </row>
    <row r="12" spans="1:52" x14ac:dyDescent="0.35">
      <c r="A12" s="1">
        <v>11</v>
      </c>
      <c r="B12" s="1">
        <v>480.82648360578531</v>
      </c>
      <c r="C12" s="1">
        <v>2</v>
      </c>
      <c r="D12" s="1">
        <v>3494.71</v>
      </c>
      <c r="E12" s="1">
        <v>480.82600000000002</v>
      </c>
      <c r="F12" s="1">
        <v>1315.33</v>
      </c>
      <c r="G12" s="1">
        <v>128.179</v>
      </c>
      <c r="H12" s="1">
        <v>1959.92</v>
      </c>
      <c r="I12" s="1">
        <v>219.46199999999999</v>
      </c>
      <c r="J12" s="1">
        <v>261.36500000000001</v>
      </c>
      <c r="K12" s="1">
        <v>5</v>
      </c>
      <c r="L12" s="1">
        <v>0</v>
      </c>
      <c r="M12" s="1">
        <f>C12*$S$18*1000</f>
        <v>5200</v>
      </c>
      <c r="N12" s="1">
        <f>$S$19*C12</f>
        <v>53</v>
      </c>
      <c r="O12" s="4">
        <f t="shared" si="4"/>
        <v>1.5165779134749377E-2</v>
      </c>
      <c r="P12" s="4">
        <f t="shared" si="0"/>
        <v>1325</v>
      </c>
      <c r="Q12" s="4"/>
      <c r="R12" s="65" t="s">
        <v>317</v>
      </c>
      <c r="S12" s="1"/>
      <c r="T12" s="78">
        <v>0</v>
      </c>
      <c r="U12" s="4"/>
      <c r="V12" s="1">
        <v>292.19799999999998</v>
      </c>
      <c r="W12" s="1">
        <f t="shared" si="5"/>
        <v>-4907.8019999999997</v>
      </c>
      <c r="X12" s="1">
        <f t="shared" si="1"/>
        <v>7304.95</v>
      </c>
      <c r="Y12" s="1">
        <f t="shared" si="6"/>
        <v>2104.9499999999998</v>
      </c>
      <c r="Z12" s="1">
        <f t="shared" si="2"/>
        <v>0.44775426394569157</v>
      </c>
      <c r="AA12" s="1">
        <f t="shared" si="3"/>
        <v>0.82011854584881139</v>
      </c>
      <c r="AB12" s="1"/>
      <c r="AC12" s="1">
        <f>MIN(V2:V46)</f>
        <v>59.389600000000002</v>
      </c>
      <c r="AD12" s="1">
        <f t="shared" si="16"/>
        <v>10</v>
      </c>
      <c r="AE12">
        <f t="shared" si="17"/>
        <v>14416.025168890717</v>
      </c>
      <c r="AF12">
        <f t="shared" si="18"/>
        <v>-555892.74831109284</v>
      </c>
      <c r="AG12">
        <f t="shared" si="7"/>
        <v>7974.2838913074247</v>
      </c>
      <c r="AH12">
        <f t="shared" si="14"/>
        <v>-594450.6839740444</v>
      </c>
      <c r="AI12">
        <f t="shared" si="8"/>
        <v>18453.731007442686</v>
      </c>
      <c r="AJ12">
        <f t="shared" si="9"/>
        <v>10207.757560296617</v>
      </c>
      <c r="AK12">
        <f t="shared" si="15"/>
        <v>-580234.26947752922</v>
      </c>
      <c r="AV12" s="1"/>
      <c r="AW12">
        <f t="shared" si="10"/>
        <v>1.1888936651488298E-3</v>
      </c>
      <c r="AX12">
        <f t="shared" si="11"/>
        <v>-461.16524598181383</v>
      </c>
      <c r="AY12">
        <f t="shared" si="12"/>
        <v>-507.28177057999523</v>
      </c>
      <c r="AZ12">
        <f t="shared" si="13"/>
        <v>-46.1165245981814</v>
      </c>
    </row>
    <row r="13" spans="1:52" x14ac:dyDescent="0.35">
      <c r="A13" s="1">
        <v>12</v>
      </c>
      <c r="B13" s="1">
        <v>569.06841271947087</v>
      </c>
      <c r="C13" s="1">
        <v>2</v>
      </c>
      <c r="D13" s="1">
        <v>3497.79</v>
      </c>
      <c r="E13" s="1">
        <v>569.06799999999998</v>
      </c>
      <c r="F13" s="1">
        <v>1277.03</v>
      </c>
      <c r="G13" s="1">
        <v>123.822</v>
      </c>
      <c r="H13" s="1">
        <v>1953.43</v>
      </c>
      <c r="I13" s="1">
        <v>267.33100000000002</v>
      </c>
      <c r="J13" s="1">
        <v>301.738</v>
      </c>
      <c r="K13" s="1">
        <v>5</v>
      </c>
      <c r="L13" s="1">
        <v>0</v>
      </c>
      <c r="M13" s="1">
        <f>C13*$S$18*1000</f>
        <v>5200</v>
      </c>
      <c r="N13" s="1">
        <f>$S$19*C13</f>
        <v>53</v>
      </c>
      <c r="O13" s="4">
        <f t="shared" si="4"/>
        <v>1.5152424816812901E-2</v>
      </c>
      <c r="P13" s="4">
        <f t="shared" si="0"/>
        <v>1325</v>
      </c>
      <c r="Q13" s="4"/>
      <c r="R13" s="65" t="s">
        <v>318</v>
      </c>
      <c r="T13" s="78">
        <v>0</v>
      </c>
      <c r="U13" s="4"/>
      <c r="V13" s="1">
        <v>288.43700000000001</v>
      </c>
      <c r="W13" s="1">
        <f t="shared" si="5"/>
        <v>-4911.5630000000001</v>
      </c>
      <c r="X13" s="1">
        <f t="shared" si="1"/>
        <v>7210.9250000000002</v>
      </c>
      <c r="Y13" s="1">
        <f t="shared" si="6"/>
        <v>2010.9250000000002</v>
      </c>
      <c r="Z13" s="1">
        <f t="shared" si="2"/>
        <v>0.38066208121472672</v>
      </c>
      <c r="AA13" s="1">
        <f t="shared" si="3"/>
        <v>0.69528613042571619</v>
      </c>
      <c r="AB13" s="1"/>
      <c r="AC13" s="1"/>
      <c r="AD13" s="1">
        <f t="shared" si="16"/>
        <v>11</v>
      </c>
      <c r="AE13">
        <f t="shared" si="17"/>
        <v>14416.025168890717</v>
      </c>
      <c r="AF13">
        <f t="shared" si="18"/>
        <v>-541476.72314220213</v>
      </c>
      <c r="AG13">
        <f t="shared" si="7"/>
        <v>7515.8189361992709</v>
      </c>
      <c r="AH13">
        <f t="shared" si="14"/>
        <v>-586934.8650378451</v>
      </c>
      <c r="AI13">
        <f t="shared" si="8"/>
        <v>18915.074282628753</v>
      </c>
      <c r="AJ13">
        <f t="shared" si="9"/>
        <v>9861.4057486371694</v>
      </c>
      <c r="AK13">
        <f t="shared" si="15"/>
        <v>-570372.86372889206</v>
      </c>
      <c r="AV13" s="1"/>
      <c r="AW13">
        <f t="shared" si="10"/>
        <v>1.4070810447977958E-3</v>
      </c>
      <c r="AX13">
        <f t="shared" si="11"/>
        <v>-545.79891807169474</v>
      </c>
      <c r="AY13">
        <f t="shared" si="12"/>
        <v>-600.37880987886422</v>
      </c>
      <c r="AZ13">
        <f t="shared" si="13"/>
        <v>-54.579891807169474</v>
      </c>
    </row>
    <row r="14" spans="1:52" x14ac:dyDescent="0.35">
      <c r="A14" s="1">
        <v>13</v>
      </c>
      <c r="B14" s="62">
        <v>4563.0069277860366</v>
      </c>
      <c r="C14" s="62">
        <v>6</v>
      </c>
      <c r="D14" s="62">
        <v>10493.4</v>
      </c>
      <c r="E14" s="62">
        <v>4563.01</v>
      </c>
      <c r="F14" s="62">
        <v>4058.52</v>
      </c>
      <c r="G14" s="62">
        <v>405.589</v>
      </c>
      <c r="H14" s="62">
        <v>4703.5600000000004</v>
      </c>
      <c r="I14" s="62">
        <v>1886.93</v>
      </c>
      <c r="J14" s="62">
        <v>2197.59</v>
      </c>
      <c r="K14" s="62">
        <v>15</v>
      </c>
      <c r="L14" s="62">
        <v>5</v>
      </c>
      <c r="M14" s="62">
        <f>(C14*$S$18*1000)+S33</f>
        <v>19100</v>
      </c>
      <c r="N14" s="62">
        <f>$S$38*C14</f>
        <v>213.60000000000002</v>
      </c>
      <c r="O14" s="56">
        <f t="shared" si="4"/>
        <v>2.0355652124192353E-2</v>
      </c>
      <c r="P14" s="56">
        <f t="shared" si="0"/>
        <v>5340.0000000000009</v>
      </c>
      <c r="Q14" s="56"/>
      <c r="R14" s="65"/>
      <c r="S14" s="1"/>
      <c r="T14" s="78"/>
      <c r="U14" s="56"/>
      <c r="V14" s="1">
        <v>766.77200000000005</v>
      </c>
      <c r="W14" s="1">
        <f t="shared" si="5"/>
        <v>-18333.227999999999</v>
      </c>
      <c r="X14" s="1">
        <f t="shared" si="1"/>
        <v>19169.300000000003</v>
      </c>
      <c r="Y14" s="1">
        <f t="shared" si="6"/>
        <v>69.30000000000291</v>
      </c>
      <c r="Z14" s="1">
        <f t="shared" si="2"/>
        <v>0.18778910381318453</v>
      </c>
      <c r="AA14" s="1">
        <f t="shared" si="3"/>
        <v>0.33191276681817639</v>
      </c>
      <c r="AB14" s="1"/>
      <c r="AC14" s="2" t="s">
        <v>330</v>
      </c>
      <c r="AD14" s="1">
        <f t="shared" si="16"/>
        <v>12</v>
      </c>
      <c r="AE14">
        <f t="shared" si="17"/>
        <v>14416.025168890717</v>
      </c>
      <c r="AF14">
        <f t="shared" si="18"/>
        <v>-527060.69797331141</v>
      </c>
      <c r="AG14">
        <f t="shared" si="7"/>
        <v>7083.7124752113768</v>
      </c>
      <c r="AH14">
        <f t="shared" si="14"/>
        <v>-579851.15256263374</v>
      </c>
      <c r="AI14">
        <f t="shared" si="8"/>
        <v>19387.951139694469</v>
      </c>
      <c r="AJ14">
        <f t="shared" si="9"/>
        <v>9526.8057420858586</v>
      </c>
      <c r="AK14">
        <f t="shared" si="15"/>
        <v>-560846.05798680615</v>
      </c>
      <c r="AV14" s="1"/>
      <c r="AW14">
        <f t="shared" si="10"/>
        <v>1.1282510875425851E-2</v>
      </c>
      <c r="AX14">
        <f t="shared" si="11"/>
        <v>-4376.4232712156891</v>
      </c>
      <c r="AY14">
        <f t="shared" si="12"/>
        <v>-4814.0655983372581</v>
      </c>
      <c r="AZ14">
        <f t="shared" si="13"/>
        <v>-437.642327121569</v>
      </c>
    </row>
    <row r="15" spans="1:52" x14ac:dyDescent="0.35">
      <c r="A15" s="1">
        <v>14</v>
      </c>
      <c r="B15" s="62">
        <v>2172.7675547581462</v>
      </c>
      <c r="C15" s="62">
        <v>2</v>
      </c>
      <c r="D15" s="62">
        <v>3497.79</v>
      </c>
      <c r="E15" s="62">
        <v>2172.77</v>
      </c>
      <c r="F15" s="62">
        <v>1243.8900000000001</v>
      </c>
      <c r="G15" s="62">
        <v>122.795</v>
      </c>
      <c r="H15" s="62">
        <v>1461.09</v>
      </c>
      <c r="I15" s="62">
        <v>834.95399999999995</v>
      </c>
      <c r="J15" s="62">
        <v>850.149</v>
      </c>
      <c r="K15" s="62">
        <v>5</v>
      </c>
      <c r="L15" s="62">
        <v>2</v>
      </c>
      <c r="M15" s="62">
        <f>(C15*$S$18*1000)+S30</f>
        <v>8600</v>
      </c>
      <c r="N15" s="62">
        <f>$S$38*C15</f>
        <v>71.2</v>
      </c>
      <c r="O15" s="56">
        <f t="shared" si="4"/>
        <v>2.0355710319944882E-2</v>
      </c>
      <c r="P15" s="56">
        <f t="shared" si="0"/>
        <v>1780</v>
      </c>
      <c r="Q15" s="56"/>
      <c r="R15" s="63" t="s">
        <v>313</v>
      </c>
      <c r="S15" s="4">
        <v>45</v>
      </c>
      <c r="T15" s="46"/>
      <c r="U15" s="56"/>
      <c r="V15" s="1">
        <v>247.65100000000001</v>
      </c>
      <c r="W15" s="1">
        <f t="shared" si="5"/>
        <v>-8352.3490000000002</v>
      </c>
      <c r="X15" s="1">
        <f t="shared" si="1"/>
        <v>6191.2750000000005</v>
      </c>
      <c r="Y15" s="1">
        <f t="shared" si="6"/>
        <v>-2408.7249999999995</v>
      </c>
      <c r="Z15" s="1">
        <f t="shared" si="2"/>
        <v>0.1786791348605378</v>
      </c>
      <c r="AA15" s="1">
        <f t="shared" si="3"/>
        <v>0.31496105256638202</v>
      </c>
      <c r="AB15" s="1"/>
      <c r="AC15" s="1">
        <f>MAX(V2:V46)</f>
        <v>1572.32</v>
      </c>
      <c r="AD15" s="1">
        <f t="shared" si="16"/>
        <v>13</v>
      </c>
      <c r="AE15">
        <f t="shared" si="17"/>
        <v>14416.025168890717</v>
      </c>
      <c r="AF15">
        <f t="shared" si="18"/>
        <v>-512644.6728044207</v>
      </c>
      <c r="AG15">
        <f t="shared" si="7"/>
        <v>6676.4490812548311</v>
      </c>
      <c r="AH15">
        <f t="shared" si="14"/>
        <v>-573174.70348137897</v>
      </c>
      <c r="AI15">
        <f t="shared" si="8"/>
        <v>19872.649918186831</v>
      </c>
      <c r="AJ15">
        <f t="shared" si="9"/>
        <v>9203.5587989048108</v>
      </c>
      <c r="AK15">
        <f t="shared" si="15"/>
        <v>-551642.49918790138</v>
      </c>
      <c r="AV15" s="1"/>
      <c r="AW15">
        <f t="shared" si="10"/>
        <v>5.3723945534804394E-3</v>
      </c>
      <c r="AX15">
        <f t="shared" si="11"/>
        <v>-2083.9219926846981</v>
      </c>
      <c r="AY15">
        <f t="shared" si="12"/>
        <v>-2292.3141919531681</v>
      </c>
      <c r="AZ15">
        <f t="shared" si="13"/>
        <v>-208.39219926846999</v>
      </c>
    </row>
    <row r="16" spans="1:52" x14ac:dyDescent="0.35">
      <c r="A16" s="1">
        <v>15</v>
      </c>
      <c r="B16" s="62">
        <v>4548.2349752288228</v>
      </c>
      <c r="C16" s="62">
        <v>4</v>
      </c>
      <c r="D16" s="62">
        <v>6995.57</v>
      </c>
      <c r="E16" s="62">
        <v>4548.2299999999996</v>
      </c>
      <c r="F16" s="62">
        <v>2204.15</v>
      </c>
      <c r="G16" s="62">
        <v>210.84200000000001</v>
      </c>
      <c r="H16" s="62">
        <v>2953.48</v>
      </c>
      <c r="I16" s="62">
        <v>1935.56</v>
      </c>
      <c r="J16" s="62">
        <v>1638.43</v>
      </c>
      <c r="K16" s="62">
        <v>10</v>
      </c>
      <c r="L16" s="62">
        <v>3.3</v>
      </c>
      <c r="M16" s="62">
        <f>(C16*$S$18*1000)+S31</f>
        <v>14096</v>
      </c>
      <c r="N16" s="62">
        <f>$S$38*C16</f>
        <v>142.4</v>
      </c>
      <c r="O16" s="56">
        <f t="shared" si="4"/>
        <v>2.0355739417945929E-2</v>
      </c>
      <c r="P16" s="56">
        <f t="shared" si="0"/>
        <v>3560</v>
      </c>
      <c r="Q16" s="56"/>
      <c r="R16" s="106" t="s">
        <v>258</v>
      </c>
      <c r="S16" s="107"/>
      <c r="T16" s="46" t="s">
        <v>299</v>
      </c>
      <c r="U16" s="56"/>
      <c r="V16" s="1">
        <v>513.93200000000002</v>
      </c>
      <c r="W16" s="1">
        <f t="shared" si="5"/>
        <v>-13582.067999999999</v>
      </c>
      <c r="X16" s="1">
        <f t="shared" si="1"/>
        <v>12848.300000000001</v>
      </c>
      <c r="Y16" s="1">
        <f t="shared" si="6"/>
        <v>-1247.6999999999989</v>
      </c>
      <c r="Z16" s="1">
        <f t="shared" si="2"/>
        <v>0.14432470827528449</v>
      </c>
      <c r="AA16" s="1">
        <f t="shared" si="3"/>
        <v>0.25103493678959066</v>
      </c>
      <c r="AB16" s="1"/>
      <c r="AC16" s="1"/>
      <c r="AD16" s="1">
        <f t="shared" si="16"/>
        <v>14</v>
      </c>
      <c r="AE16">
        <f t="shared" si="17"/>
        <v>14416.025168890717</v>
      </c>
      <c r="AF16">
        <f t="shared" si="18"/>
        <v>-498228.64763552998</v>
      </c>
      <c r="AG16">
        <f t="shared" si="7"/>
        <v>6292.6004535860811</v>
      </c>
      <c r="AH16">
        <f t="shared" si="14"/>
        <v>-566882.10302779288</v>
      </c>
      <c r="AI16">
        <f t="shared" si="8"/>
        <v>20369.466166141498</v>
      </c>
      <c r="AJ16">
        <f t="shared" si="9"/>
        <v>8891.2797067647771</v>
      </c>
      <c r="AK16">
        <f t="shared" si="15"/>
        <v>-542751.21948113665</v>
      </c>
      <c r="AV16" s="1"/>
      <c r="AW16">
        <f t="shared" si="10"/>
        <v>1.1245985680961834E-2</v>
      </c>
      <c r="AX16">
        <f t="shared" si="11"/>
        <v>-4362.2553512550567</v>
      </c>
      <c r="AY16">
        <f t="shared" si="12"/>
        <v>-4798.4808863805629</v>
      </c>
      <c r="AZ16">
        <f t="shared" si="13"/>
        <v>-436.22553512550621</v>
      </c>
    </row>
    <row r="17" spans="1:52" x14ac:dyDescent="0.35">
      <c r="A17" s="1">
        <v>16</v>
      </c>
      <c r="B17" s="1">
        <v>5476.90270703035</v>
      </c>
      <c r="C17" s="1">
        <v>4</v>
      </c>
      <c r="D17" s="1">
        <v>6995.57</v>
      </c>
      <c r="E17" s="1">
        <v>5476.9</v>
      </c>
      <c r="F17" s="1">
        <v>1485.71</v>
      </c>
      <c r="G17" s="1">
        <v>133.98400000000001</v>
      </c>
      <c r="H17" s="1">
        <v>3239.46</v>
      </c>
      <c r="I17" s="1">
        <v>2270.4</v>
      </c>
      <c r="J17" s="1">
        <v>3206.5</v>
      </c>
      <c r="K17" s="1">
        <v>10</v>
      </c>
      <c r="L17" s="1">
        <v>0</v>
      </c>
      <c r="M17" s="1">
        <f>C17*$S$18*1000</f>
        <v>10400</v>
      </c>
      <c r="N17" s="1">
        <f>$S$19*C17</f>
        <v>106</v>
      </c>
      <c r="O17" s="4">
        <f t="shared" si="4"/>
        <v>1.5152446476841773E-2</v>
      </c>
      <c r="P17" s="4">
        <f t="shared" si="0"/>
        <v>2650</v>
      </c>
      <c r="Q17" s="4"/>
      <c r="R17" s="50" t="s">
        <v>245</v>
      </c>
      <c r="S17" s="2" t="s">
        <v>246</v>
      </c>
      <c r="T17" s="46">
        <v>1700</v>
      </c>
      <c r="U17" s="4"/>
      <c r="V17" s="1">
        <v>271.02499999999998</v>
      </c>
      <c r="W17" s="1">
        <f t="shared" si="5"/>
        <v>-10128.975</v>
      </c>
      <c r="X17" s="1">
        <f t="shared" si="1"/>
        <v>6775.6249999999991</v>
      </c>
      <c r="Y17" s="1">
        <f t="shared" si="6"/>
        <v>-3624.3750000000009</v>
      </c>
      <c r="Z17" s="1">
        <f t="shared" si="2"/>
        <v>9.1107785151382653E-2</v>
      </c>
      <c r="AA17" s="1">
        <f t="shared" si="3"/>
        <v>0.15648875606329785</v>
      </c>
      <c r="AB17" s="1"/>
      <c r="AC17" s="2" t="s">
        <v>331</v>
      </c>
      <c r="AD17" s="1">
        <f t="shared" si="16"/>
        <v>15</v>
      </c>
      <c r="AE17">
        <f t="shared" si="17"/>
        <v>14416.025168890717</v>
      </c>
      <c r="AF17">
        <f t="shared" si="18"/>
        <v>-483812.62246663927</v>
      </c>
      <c r="AG17">
        <f t="shared" si="7"/>
        <v>5930.8204086579462</v>
      </c>
      <c r="AH17">
        <f t="shared" si="14"/>
        <v>-560951.28261913499</v>
      </c>
      <c r="AI17">
        <f t="shared" si="8"/>
        <v>20878.702820295039</v>
      </c>
      <c r="AJ17">
        <f t="shared" si="9"/>
        <v>8589.5963236888783</v>
      </c>
      <c r="AK17">
        <f t="shared" si="15"/>
        <v>-534161.62315744779</v>
      </c>
      <c r="AV17" s="1"/>
      <c r="AW17">
        <f t="shared" si="10"/>
        <v>1.3542213573999803E-2</v>
      </c>
      <c r="AX17">
        <f t="shared" si="11"/>
        <v>-5252.9493907346896</v>
      </c>
      <c r="AY17">
        <f t="shared" si="12"/>
        <v>-5778.2443298081589</v>
      </c>
      <c r="AZ17">
        <f t="shared" si="13"/>
        <v>-525.29493907346932</v>
      </c>
    </row>
    <row r="18" spans="1:52" x14ac:dyDescent="0.35">
      <c r="A18" s="1">
        <v>17</v>
      </c>
      <c r="B18" s="62">
        <v>2180.0429312531028</v>
      </c>
      <c r="C18" s="62">
        <v>2</v>
      </c>
      <c r="D18" s="62">
        <v>3497.79</v>
      </c>
      <c r="E18" s="62">
        <v>2180.04</v>
      </c>
      <c r="F18" s="62">
        <v>1266.75</v>
      </c>
      <c r="G18" s="62">
        <v>125.211</v>
      </c>
      <c r="H18" s="62">
        <v>1479.9</v>
      </c>
      <c r="I18" s="62">
        <v>802.71100000000001</v>
      </c>
      <c r="J18" s="62">
        <v>951.178</v>
      </c>
      <c r="K18" s="62">
        <v>5</v>
      </c>
      <c r="L18" s="62">
        <v>2</v>
      </c>
      <c r="M18" s="62">
        <f>(C18*$S$18*1000)+S30</f>
        <v>8600</v>
      </c>
      <c r="N18" s="62">
        <f>$S$38*C18</f>
        <v>71.2</v>
      </c>
      <c r="O18" s="56">
        <f t="shared" si="4"/>
        <v>2.0355710319944882E-2</v>
      </c>
      <c r="P18" s="56">
        <f t="shared" si="0"/>
        <v>1780</v>
      </c>
      <c r="Q18" s="56"/>
      <c r="R18" s="65" t="s">
        <v>247</v>
      </c>
      <c r="S18" s="1">
        <v>2.6</v>
      </c>
      <c r="T18" s="46">
        <v>1120</v>
      </c>
      <c r="U18" s="56"/>
      <c r="V18" s="1">
        <v>231.06299999999999</v>
      </c>
      <c r="W18" s="1">
        <f t="shared" si="5"/>
        <v>-8368.9369999999999</v>
      </c>
      <c r="X18" s="1">
        <f t="shared" si="1"/>
        <v>5776.5749999999998</v>
      </c>
      <c r="Y18" s="1">
        <f t="shared" si="6"/>
        <v>-2823.4250000000002</v>
      </c>
      <c r="Z18" s="1">
        <f t="shared" si="2"/>
        <v>0.17815076796234947</v>
      </c>
      <c r="AA18" s="1">
        <f t="shared" si="3"/>
        <v>0.31397787707403685</v>
      </c>
      <c r="AB18" s="1"/>
      <c r="AC18" s="1">
        <f>MIN(V47:V100)</f>
        <v>7.2637200000000002</v>
      </c>
      <c r="AD18" s="1">
        <f t="shared" si="16"/>
        <v>16</v>
      </c>
      <c r="AE18">
        <f t="shared" si="17"/>
        <v>14416.025168890717</v>
      </c>
      <c r="AF18">
        <f t="shared" si="18"/>
        <v>-469396.59729774855</v>
      </c>
      <c r="AG18">
        <f t="shared" si="7"/>
        <v>5589.8401589613068</v>
      </c>
      <c r="AH18">
        <f t="shared" si="14"/>
        <v>-555361.44246017362</v>
      </c>
      <c r="AI18">
        <f t="shared" si="8"/>
        <v>21400.670390802414</v>
      </c>
      <c r="AJ18">
        <f t="shared" si="9"/>
        <v>8298.1491345721952</v>
      </c>
      <c r="AK18">
        <f t="shared" si="15"/>
        <v>-525863.47402287554</v>
      </c>
      <c r="AW18">
        <f t="shared" si="10"/>
        <v>5.3903836812039408E-3</v>
      </c>
      <c r="AX18">
        <f t="shared" si="11"/>
        <v>-2090.8998753623455</v>
      </c>
      <c r="AY18">
        <f t="shared" si="12"/>
        <v>-2299.9898628985802</v>
      </c>
      <c r="AZ18">
        <f t="shared" si="13"/>
        <v>-209.08998753623473</v>
      </c>
    </row>
    <row r="19" spans="1:52" x14ac:dyDescent="0.35">
      <c r="A19" s="1">
        <v>18</v>
      </c>
      <c r="B19" s="62">
        <v>5524.0028847571884</v>
      </c>
      <c r="C19" s="62">
        <v>4</v>
      </c>
      <c r="D19" s="62">
        <v>6995.57</v>
      </c>
      <c r="E19" s="62">
        <v>5524</v>
      </c>
      <c r="F19" s="62">
        <v>2468.4299999999998</v>
      </c>
      <c r="G19" s="62">
        <v>237.523</v>
      </c>
      <c r="H19" s="62">
        <v>2577.7199999999998</v>
      </c>
      <c r="I19" s="62">
        <v>1982.7</v>
      </c>
      <c r="J19" s="62">
        <v>2035.42</v>
      </c>
      <c r="K19" s="62">
        <v>10</v>
      </c>
      <c r="L19" s="62">
        <v>6</v>
      </c>
      <c r="M19" s="62">
        <f>(C19*$S$18*1000)+S34</f>
        <v>14600</v>
      </c>
      <c r="N19" s="62">
        <f>$S$38*C19</f>
        <v>142.4</v>
      </c>
      <c r="O19" s="56">
        <f t="shared" si="4"/>
        <v>2.0355739417945929E-2</v>
      </c>
      <c r="P19" s="56">
        <f t="shared" si="0"/>
        <v>3560</v>
      </c>
      <c r="Q19" s="56"/>
      <c r="R19" s="65" t="s">
        <v>248</v>
      </c>
      <c r="S19" s="1">
        <v>26.5</v>
      </c>
      <c r="T19" s="46">
        <v>700</v>
      </c>
      <c r="U19" s="56"/>
      <c r="V19" s="1">
        <v>453.73200000000003</v>
      </c>
      <c r="W19" s="1">
        <f t="shared" si="5"/>
        <v>-14146.268</v>
      </c>
      <c r="X19" s="1">
        <f t="shared" si="1"/>
        <v>11343.300000000001</v>
      </c>
      <c r="Y19" s="1">
        <f t="shared" si="6"/>
        <v>-3256.6999999999989</v>
      </c>
      <c r="Z19" s="1">
        <f t="shared" si="2"/>
        <v>0.12607617660516696</v>
      </c>
      <c r="AA19" s="1">
        <f t="shared" si="3"/>
        <v>0.21707840171734977</v>
      </c>
      <c r="AB19" s="1"/>
      <c r="AC19" s="1"/>
      <c r="AD19" s="1">
        <f t="shared" si="16"/>
        <v>17</v>
      </c>
      <c r="AE19">
        <f t="shared" si="17"/>
        <v>14416.025168890717</v>
      </c>
      <c r="AF19">
        <f t="shared" si="18"/>
        <v>-454980.57212885784</v>
      </c>
      <c r="AG19">
        <f t="shared" si="7"/>
        <v>5268.4638633000077</v>
      </c>
      <c r="AH19">
        <f t="shared" si="14"/>
        <v>-550092.97859687358</v>
      </c>
      <c r="AI19">
        <f t="shared" si="8"/>
        <v>21935.68715057247</v>
      </c>
      <c r="AJ19">
        <f t="shared" si="9"/>
        <v>8016.5908227488226</v>
      </c>
      <c r="AK19">
        <f t="shared" si="15"/>
        <v>-517846.8832001267</v>
      </c>
      <c r="AW19">
        <f t="shared" si="10"/>
        <v>1.3658673679331133E-2</v>
      </c>
      <c r="AX19">
        <f t="shared" si="11"/>
        <v>-5298.1236184192712</v>
      </c>
      <c r="AY19">
        <f t="shared" si="12"/>
        <v>-5827.9359802611989</v>
      </c>
      <c r="AZ19">
        <f t="shared" si="13"/>
        <v>-529.81236184192767</v>
      </c>
    </row>
    <row r="20" spans="1:52" x14ac:dyDescent="0.35">
      <c r="A20" s="1">
        <v>19</v>
      </c>
      <c r="B20" s="1">
        <v>6393.5501464958952</v>
      </c>
      <c r="C20" s="1">
        <v>4</v>
      </c>
      <c r="D20" s="1">
        <v>6995.57</v>
      </c>
      <c r="E20" s="1">
        <v>6393.55</v>
      </c>
      <c r="F20" s="1">
        <v>1450.97</v>
      </c>
      <c r="G20" s="1">
        <v>130.24100000000001</v>
      </c>
      <c r="H20" s="1">
        <v>3311.12</v>
      </c>
      <c r="I20" s="1">
        <v>2233.48</v>
      </c>
      <c r="J20" s="1">
        <v>4160.07</v>
      </c>
      <c r="K20" s="1">
        <v>10</v>
      </c>
      <c r="L20" s="1">
        <v>0</v>
      </c>
      <c r="M20" s="1">
        <f>C20*$S$18*1000</f>
        <v>10400</v>
      </c>
      <c r="N20" s="1">
        <f>$S$19*C20</f>
        <v>106</v>
      </c>
      <c r="O20" s="4">
        <f t="shared" si="4"/>
        <v>1.5152446476841773E-2</v>
      </c>
      <c r="P20" s="4">
        <f t="shared" si="0"/>
        <v>2650</v>
      </c>
      <c r="Q20" s="4"/>
      <c r="R20" s="65" t="s">
        <v>250</v>
      </c>
      <c r="S20" s="1">
        <v>6.0999999999999999E-2</v>
      </c>
      <c r="T20" s="30" t="s">
        <v>300</v>
      </c>
      <c r="U20" s="4"/>
      <c r="V20" s="1">
        <v>120.19499999999999</v>
      </c>
      <c r="W20" s="1">
        <f t="shared" si="5"/>
        <v>-10279.805</v>
      </c>
      <c r="X20" s="1">
        <f t="shared" si="1"/>
        <v>3004.875</v>
      </c>
      <c r="Y20" s="1">
        <f t="shared" si="6"/>
        <v>-7395.125</v>
      </c>
      <c r="Z20" s="1">
        <f t="shared" si="2"/>
        <v>8.0218018884684161E-2</v>
      </c>
      <c r="AA20" s="1">
        <f t="shared" si="3"/>
        <v>0.13622527750796973</v>
      </c>
      <c r="AB20" s="1"/>
      <c r="AC20" s="2" t="s">
        <v>332</v>
      </c>
      <c r="AD20" s="1">
        <f>AD19+1</f>
        <v>18</v>
      </c>
      <c r="AE20">
        <f t="shared" si="17"/>
        <v>14416.025168890717</v>
      </c>
      <c r="AF20">
        <f t="shared" si="18"/>
        <v>-440564.54695996712</v>
      </c>
      <c r="AG20">
        <f t="shared" si="7"/>
        <v>4965.5644328935032</v>
      </c>
      <c r="AH20">
        <f t="shared" si="14"/>
        <v>-545127.41416398005</v>
      </c>
      <c r="AI20">
        <f t="shared" si="8"/>
        <v>22484.079329336782</v>
      </c>
      <c r="AJ20">
        <f t="shared" si="9"/>
        <v>7744.5858560957049</v>
      </c>
      <c r="AK20">
        <f t="shared" si="15"/>
        <v>-510102.29734403099</v>
      </c>
      <c r="AW20">
        <f t="shared" si="10"/>
        <v>1.5808720039664811E-2</v>
      </c>
      <c r="AX20">
        <f t="shared" si="11"/>
        <v>-6132.1146536995057</v>
      </c>
      <c r="AY20">
        <f t="shared" si="12"/>
        <v>-6745.3261190694566</v>
      </c>
      <c r="AZ20">
        <f t="shared" si="13"/>
        <v>-613.21146536995093</v>
      </c>
    </row>
    <row r="21" spans="1:52" x14ac:dyDescent="0.35">
      <c r="A21" s="1">
        <v>20</v>
      </c>
      <c r="B21" s="62">
        <v>6287.6864400653858</v>
      </c>
      <c r="C21" s="62">
        <v>10</v>
      </c>
      <c r="D21" s="62">
        <v>17488.900000000001</v>
      </c>
      <c r="E21" s="62">
        <v>6287.69</v>
      </c>
      <c r="F21" s="62">
        <v>8120.34</v>
      </c>
      <c r="G21" s="62">
        <v>841.88900000000001</v>
      </c>
      <c r="H21" s="62">
        <v>7131.35</v>
      </c>
      <c r="I21" s="62">
        <v>2494.35</v>
      </c>
      <c r="J21" s="62">
        <v>3382.63</v>
      </c>
      <c r="K21" s="62">
        <v>25</v>
      </c>
      <c r="L21" s="62">
        <v>13.5</v>
      </c>
      <c r="M21" s="62">
        <f>(C21*$S$18*1000)+S36</f>
        <v>33300</v>
      </c>
      <c r="N21" s="62">
        <f>$S$38*C21</f>
        <v>356</v>
      </c>
      <c r="O21" s="56">
        <f t="shared" si="4"/>
        <v>2.0355768516030166E-2</v>
      </c>
      <c r="P21" s="56">
        <f t="shared" si="0"/>
        <v>8900</v>
      </c>
      <c r="Q21" s="56"/>
      <c r="R21" s="65" t="s">
        <v>251</v>
      </c>
      <c r="S21" s="1" t="s">
        <v>252</v>
      </c>
      <c r="T21" s="46">
        <v>1.2</v>
      </c>
      <c r="U21" s="56"/>
      <c r="V21" s="1">
        <v>1324.72</v>
      </c>
      <c r="W21" s="1">
        <f t="shared" si="5"/>
        <v>-31975.279999999999</v>
      </c>
      <c r="X21" s="1">
        <f t="shared" si="1"/>
        <v>33118</v>
      </c>
      <c r="Y21" s="1">
        <f t="shared" si="6"/>
        <v>-182</v>
      </c>
      <c r="Z21" s="1">
        <f t="shared" si="2"/>
        <v>0.23219839341418722</v>
      </c>
      <c r="AA21" s="1">
        <f t="shared" si="3"/>
        <v>0.41454866316570171</v>
      </c>
      <c r="AB21" s="1"/>
      <c r="AC21" s="1">
        <f>MAX(V47:V100)</f>
        <v>382.77600000000001</v>
      </c>
      <c r="AD21" s="1">
        <f t="shared" si="16"/>
        <v>19</v>
      </c>
      <c r="AE21">
        <f t="shared" si="17"/>
        <v>14416.025168890717</v>
      </c>
      <c r="AF21">
        <f t="shared" si="18"/>
        <v>-426148.5217910764</v>
      </c>
      <c r="AG21">
        <f t="shared" si="7"/>
        <v>4680.0795785989667</v>
      </c>
      <c r="AH21">
        <f t="shared" si="14"/>
        <v>-540447.33458538109</v>
      </c>
      <c r="AI21">
        <f t="shared" si="8"/>
        <v>23046.181312570203</v>
      </c>
      <c r="AJ21">
        <f t="shared" si="9"/>
        <v>7481.8100871801116</v>
      </c>
      <c r="AK21">
        <f t="shared" si="15"/>
        <v>-502620.48725685087</v>
      </c>
      <c r="AW21">
        <f t="shared" si="10"/>
        <v>1.5546960976394084E-2</v>
      </c>
      <c r="AX21">
        <f t="shared" si="11"/>
        <v>-6030.5797676623233</v>
      </c>
      <c r="AY21">
        <f t="shared" si="12"/>
        <v>-6633.6377444285563</v>
      </c>
      <c r="AZ21">
        <f t="shared" si="13"/>
        <v>-603.05797676623297</v>
      </c>
    </row>
    <row r="22" spans="1:52" x14ac:dyDescent="0.35">
      <c r="A22" s="1">
        <v>21</v>
      </c>
      <c r="B22" s="62">
        <v>1195.617299383852</v>
      </c>
      <c r="C22" s="62">
        <v>2</v>
      </c>
      <c r="D22" s="62">
        <v>3497.79</v>
      </c>
      <c r="E22" s="62">
        <v>1195.6199999999999</v>
      </c>
      <c r="F22" s="62">
        <v>1334.89</v>
      </c>
      <c r="G22" s="62">
        <v>132.762</v>
      </c>
      <c r="H22" s="62">
        <v>1658.19</v>
      </c>
      <c r="I22" s="62">
        <v>558.10699999999997</v>
      </c>
      <c r="J22" s="62">
        <v>464.2</v>
      </c>
      <c r="K22" s="62">
        <v>5</v>
      </c>
      <c r="L22" s="62">
        <v>1.2</v>
      </c>
      <c r="M22" s="62">
        <f>(C22*$S$18*1000)+S29</f>
        <v>7240</v>
      </c>
      <c r="N22" s="62">
        <f>$S$38*C22</f>
        <v>71.2</v>
      </c>
      <c r="O22" s="56">
        <f t="shared" si="4"/>
        <v>2.0355710319944882E-2</v>
      </c>
      <c r="P22" s="56">
        <f t="shared" si="0"/>
        <v>1780</v>
      </c>
      <c r="Q22" s="56"/>
      <c r="R22" s="65" t="s">
        <v>262</v>
      </c>
      <c r="S22" s="1">
        <v>7.0000000000000007E-2</v>
      </c>
      <c r="T22" s="46">
        <v>2</v>
      </c>
      <c r="U22" s="56"/>
      <c r="V22" s="1">
        <v>291.58100000000002</v>
      </c>
      <c r="W22" s="1">
        <f t="shared" si="5"/>
        <v>-6948.4189999999999</v>
      </c>
      <c r="X22" s="1">
        <f t="shared" si="1"/>
        <v>7289.5250000000005</v>
      </c>
      <c r="Y22" s="1">
        <f t="shared" si="6"/>
        <v>49.525000000000546</v>
      </c>
      <c r="Z22" s="1">
        <f t="shared" si="2"/>
        <v>0.2625736843733833</v>
      </c>
      <c r="AA22" s="1">
        <f t="shared" si="3"/>
        <v>0.47107050095382247</v>
      </c>
      <c r="AB22" s="1"/>
      <c r="AC22" s="1"/>
      <c r="AD22" s="1">
        <f t="shared" si="16"/>
        <v>20</v>
      </c>
      <c r="AE22">
        <f t="shared" si="17"/>
        <v>14416.025168890717</v>
      </c>
      <c r="AF22">
        <f t="shared" si="18"/>
        <v>-411732.49662218569</v>
      </c>
      <c r="AG22">
        <f t="shared" si="7"/>
        <v>4411.0080853901663</v>
      </c>
      <c r="AH22">
        <f t="shared" si="14"/>
        <v>-536036.32649999089</v>
      </c>
      <c r="AI22">
        <f t="shared" si="8"/>
        <v>23622.335845384456</v>
      </c>
      <c r="AJ22">
        <f t="shared" si="9"/>
        <v>7227.950366974188</v>
      </c>
      <c r="AK22">
        <f t="shared" si="15"/>
        <v>-495392.5368898767</v>
      </c>
      <c r="AW22">
        <f t="shared" si="10"/>
        <v>2.9562885607299989E-3</v>
      </c>
      <c r="AX22">
        <f t="shared" si="11"/>
        <v>-1146.7279044939692</v>
      </c>
      <c r="AY22">
        <f t="shared" si="12"/>
        <v>-1261.4006949433663</v>
      </c>
      <c r="AZ22">
        <f t="shared" si="13"/>
        <v>-114.6727904493971</v>
      </c>
    </row>
    <row r="23" spans="1:52" x14ac:dyDescent="0.35">
      <c r="A23" s="1">
        <v>22</v>
      </c>
      <c r="B23" s="1">
        <v>4102.942217502793</v>
      </c>
      <c r="C23" s="1">
        <v>4</v>
      </c>
      <c r="D23" s="1">
        <v>6995.57</v>
      </c>
      <c r="E23" s="1">
        <v>4102.9399999999996</v>
      </c>
      <c r="F23" s="1">
        <v>1869.19</v>
      </c>
      <c r="G23" s="1">
        <v>171.71799999999999</v>
      </c>
      <c r="H23" s="1">
        <v>3587.24</v>
      </c>
      <c r="I23" s="1">
        <v>1539.14</v>
      </c>
      <c r="J23" s="1">
        <v>2563.8000000000002</v>
      </c>
      <c r="K23" s="1">
        <v>10</v>
      </c>
      <c r="L23" s="1">
        <v>0</v>
      </c>
      <c r="M23" s="1">
        <f>C23*$S$18*1000</f>
        <v>10400</v>
      </c>
      <c r="N23" s="1">
        <f>$S$19*C23</f>
        <v>106</v>
      </c>
      <c r="O23" s="4">
        <f t="shared" si="4"/>
        <v>1.5152446476841773E-2</v>
      </c>
      <c r="P23" s="4">
        <f t="shared" si="0"/>
        <v>2650</v>
      </c>
      <c r="Q23" s="4"/>
      <c r="R23" s="65" t="s">
        <v>263</v>
      </c>
      <c r="S23" s="1">
        <v>2.5000000000000001E-2</v>
      </c>
      <c r="T23" s="46">
        <v>3.3</v>
      </c>
      <c r="U23" s="4"/>
      <c r="V23" s="1">
        <v>325.01499999999999</v>
      </c>
      <c r="W23" s="1">
        <f t="shared" si="5"/>
        <v>-10074.985000000001</v>
      </c>
      <c r="X23" s="1">
        <f t="shared" si="1"/>
        <v>8125.375</v>
      </c>
      <c r="Y23" s="1">
        <f t="shared" si="6"/>
        <v>-2274.625</v>
      </c>
      <c r="Z23" s="1">
        <f t="shared" si="2"/>
        <v>0.1165431017547495</v>
      </c>
      <c r="AA23" s="1">
        <f t="shared" si="3"/>
        <v>0.20381832952865786</v>
      </c>
      <c r="AB23" s="1"/>
      <c r="AC23" s="1"/>
      <c r="AD23" s="1">
        <f t="shared" si="16"/>
        <v>21</v>
      </c>
      <c r="AE23">
        <f t="shared" si="17"/>
        <v>14416.025168890717</v>
      </c>
      <c r="AF23">
        <f t="shared" si="18"/>
        <v>-397316.47145329497</v>
      </c>
      <c r="AG23">
        <f t="shared" si="7"/>
        <v>4157.4063010274904</v>
      </c>
      <c r="AH23">
        <f t="shared" si="14"/>
        <v>-531878.92019896337</v>
      </c>
      <c r="AI23">
        <f t="shared" si="8"/>
        <v>24212.894241519065</v>
      </c>
      <c r="AJ23">
        <f t="shared" si="9"/>
        <v>6982.7041716762888</v>
      </c>
      <c r="AK23">
        <f t="shared" si="15"/>
        <v>-488409.8327182004</v>
      </c>
      <c r="AW23">
        <f t="shared" si="10"/>
        <v>1.0144952861748048E-2</v>
      </c>
      <c r="AX23">
        <f t="shared" si="11"/>
        <v>-3935.1708391652287</v>
      </c>
      <c r="AY23">
        <f t="shared" si="12"/>
        <v>-4328.6879230817522</v>
      </c>
      <c r="AZ23">
        <f t="shared" si="13"/>
        <v>-393.51708391652346</v>
      </c>
    </row>
    <row r="24" spans="1:52" x14ac:dyDescent="0.35">
      <c r="A24" s="1">
        <v>23</v>
      </c>
      <c r="B24" s="62">
        <v>2916.9354826987528</v>
      </c>
      <c r="C24" s="62">
        <v>2</v>
      </c>
      <c r="D24" s="62">
        <v>3465.23</v>
      </c>
      <c r="E24" s="62">
        <v>2916.94</v>
      </c>
      <c r="F24" s="62">
        <v>1050.31</v>
      </c>
      <c r="G24" s="62">
        <v>98.870500000000007</v>
      </c>
      <c r="H24" s="62">
        <v>1426.38</v>
      </c>
      <c r="I24" s="62">
        <v>1031.08</v>
      </c>
      <c r="J24" s="62">
        <v>949.72299999999996</v>
      </c>
      <c r="K24" s="62">
        <v>5</v>
      </c>
      <c r="L24" s="62">
        <v>2</v>
      </c>
      <c r="M24" s="62">
        <f>(C24*$S$18*1000)+S30</f>
        <v>8600</v>
      </c>
      <c r="N24" s="62">
        <f>$S$38*C24</f>
        <v>71.2</v>
      </c>
      <c r="O24" s="56">
        <f t="shared" si="4"/>
        <v>2.0546976679758633E-2</v>
      </c>
      <c r="P24" s="56">
        <f t="shared" si="0"/>
        <v>1780</v>
      </c>
      <c r="Q24" s="56"/>
      <c r="R24" s="63"/>
      <c r="S24" s="4"/>
      <c r="T24" s="46">
        <v>4.2</v>
      </c>
      <c r="U24" s="56"/>
      <c r="V24" s="1">
        <v>235.66200000000001</v>
      </c>
      <c r="W24" s="1">
        <f t="shared" si="5"/>
        <v>-8364.3379999999997</v>
      </c>
      <c r="X24" s="1">
        <f t="shared" si="1"/>
        <v>5891.55</v>
      </c>
      <c r="Y24" s="1">
        <f t="shared" si="6"/>
        <v>-2708.45</v>
      </c>
      <c r="Z24" s="1">
        <f t="shared" si="2"/>
        <v>0.13847896456237396</v>
      </c>
      <c r="AA24" s="1">
        <f t="shared" si="3"/>
        <v>0.23999266990409021</v>
      </c>
      <c r="AB24" s="1"/>
      <c r="AC24" s="1"/>
      <c r="AD24" s="1">
        <f t="shared" si="16"/>
        <v>22</v>
      </c>
      <c r="AE24">
        <f t="shared" si="17"/>
        <v>14416.025168890717</v>
      </c>
      <c r="AF24">
        <f t="shared" si="18"/>
        <v>-382900.44628440426</v>
      </c>
      <c r="AG24">
        <f t="shared" si="7"/>
        <v>3918.3848266046084</v>
      </c>
      <c r="AH24">
        <f t="shared" si="14"/>
        <v>-527960.53537235875</v>
      </c>
      <c r="AI24">
        <f t="shared" si="8"/>
        <v>24818.216597557039</v>
      </c>
      <c r="AJ24">
        <f t="shared" si="9"/>
        <v>6745.7792421943395</v>
      </c>
      <c r="AK24">
        <f t="shared" si="15"/>
        <v>-481664.05347600608</v>
      </c>
      <c r="AW24">
        <f t="shared" si="10"/>
        <v>7.2124274250077204E-3</v>
      </c>
      <c r="AX24">
        <f t="shared" si="11"/>
        <v>-2797.6605184142268</v>
      </c>
      <c r="AY24">
        <f t="shared" si="12"/>
        <v>-3077.4265702556495</v>
      </c>
      <c r="AZ24">
        <f t="shared" si="13"/>
        <v>-279.76605184142272</v>
      </c>
    </row>
    <row r="25" spans="1:52" x14ac:dyDescent="0.35">
      <c r="A25" s="1">
        <v>24</v>
      </c>
      <c r="B25" s="62">
        <v>4395.7178346280416</v>
      </c>
      <c r="C25" s="62">
        <v>4</v>
      </c>
      <c r="D25" s="62">
        <v>6930.46</v>
      </c>
      <c r="E25" s="62">
        <v>4395.72</v>
      </c>
      <c r="F25" s="62">
        <v>2268.81</v>
      </c>
      <c r="G25" s="62">
        <v>218.07400000000001</v>
      </c>
      <c r="H25" s="62">
        <v>2973.31</v>
      </c>
      <c r="I25" s="62">
        <v>1797.8</v>
      </c>
      <c r="J25" s="62">
        <v>1736.79</v>
      </c>
      <c r="K25" s="62">
        <v>10</v>
      </c>
      <c r="L25" s="62">
        <v>3.3</v>
      </c>
      <c r="M25" s="62">
        <f>(C25*$S$18*1000)+S31</f>
        <v>14096</v>
      </c>
      <c r="N25" s="62">
        <f>$S$38*C25</f>
        <v>142.4</v>
      </c>
      <c r="O25" s="56">
        <f t="shared" si="4"/>
        <v>2.0546976679758633E-2</v>
      </c>
      <c r="P25" s="56">
        <f t="shared" si="0"/>
        <v>3560</v>
      </c>
      <c r="Q25" s="56"/>
      <c r="R25" s="63"/>
      <c r="S25" s="4"/>
      <c r="T25" s="46">
        <v>5</v>
      </c>
      <c r="U25" s="56"/>
      <c r="V25" s="1">
        <v>486.286</v>
      </c>
      <c r="W25" s="1">
        <f t="shared" si="5"/>
        <v>-13609.714</v>
      </c>
      <c r="X25" s="1">
        <f t="shared" si="1"/>
        <v>12157.15</v>
      </c>
      <c r="Y25" s="1">
        <f t="shared" si="6"/>
        <v>-1938.8500000000004</v>
      </c>
      <c r="Z25" s="1">
        <f t="shared" si="2"/>
        <v>0.14881726635992215</v>
      </c>
      <c r="AA25" s="1">
        <f t="shared" si="3"/>
        <v>0.25922999342808173</v>
      </c>
      <c r="AB25" s="1"/>
      <c r="AC25" s="1"/>
      <c r="AD25" s="1">
        <f t="shared" si="16"/>
        <v>23</v>
      </c>
      <c r="AE25">
        <f t="shared" si="17"/>
        <v>14416.025168890717</v>
      </c>
      <c r="AF25">
        <f t="shared" si="18"/>
        <v>-368484.42111551354</v>
      </c>
      <c r="AG25">
        <f t="shared" si="7"/>
        <v>3693.1053973653243</v>
      </c>
      <c r="AH25">
        <f t="shared" si="14"/>
        <v>-524267.4299749934</v>
      </c>
      <c r="AI25">
        <f t="shared" si="8"/>
        <v>25438.672012495968</v>
      </c>
      <c r="AJ25">
        <f t="shared" si="9"/>
        <v>6516.8932358616403</v>
      </c>
      <c r="AK25">
        <f t="shared" si="15"/>
        <v>-475147.16024014447</v>
      </c>
      <c r="AW25">
        <f t="shared" si="10"/>
        <v>1.0868871132430546E-2</v>
      </c>
      <c r="AX25">
        <f t="shared" si="11"/>
        <v>-4215.9747135203261</v>
      </c>
      <c r="AY25">
        <f t="shared" si="12"/>
        <v>-4637.5721848723588</v>
      </c>
      <c r="AZ25">
        <f t="shared" si="13"/>
        <v>-421.5974713520327</v>
      </c>
    </row>
    <row r="26" spans="1:52" x14ac:dyDescent="0.35">
      <c r="A26" s="1">
        <v>25</v>
      </c>
      <c r="B26" s="1">
        <v>3480.4540913845358</v>
      </c>
      <c r="C26" s="1">
        <v>2</v>
      </c>
      <c r="D26" s="1">
        <v>3465.23</v>
      </c>
      <c r="E26" s="1">
        <v>3480.45</v>
      </c>
      <c r="F26" s="1">
        <v>621.553</v>
      </c>
      <c r="G26" s="1">
        <v>55.542900000000003</v>
      </c>
      <c r="H26" s="1">
        <v>1519.54</v>
      </c>
      <c r="I26" s="1">
        <v>1324.14</v>
      </c>
      <c r="J26" s="1">
        <v>2156.31</v>
      </c>
      <c r="K26" s="1">
        <v>5</v>
      </c>
      <c r="L26" s="1">
        <v>0</v>
      </c>
      <c r="M26" s="1">
        <f>C26*$S$18*1000</f>
        <v>5200</v>
      </c>
      <c r="N26" s="1">
        <f>$S$19*C26</f>
        <v>53</v>
      </c>
      <c r="O26" s="4">
        <f t="shared" si="4"/>
        <v>1.5294800056561902E-2</v>
      </c>
      <c r="P26" s="4">
        <f t="shared" si="0"/>
        <v>1325</v>
      </c>
      <c r="Q26" s="4"/>
      <c r="R26" s="63" t="s">
        <v>298</v>
      </c>
      <c r="S26" s="4">
        <v>1</v>
      </c>
      <c r="T26" s="46">
        <v>6</v>
      </c>
      <c r="U26" s="4"/>
      <c r="V26" s="1">
        <v>59.389600000000002</v>
      </c>
      <c r="W26" s="1">
        <f t="shared" si="5"/>
        <v>-5140.6103999999996</v>
      </c>
      <c r="X26" s="1">
        <f t="shared" si="1"/>
        <v>1484.74</v>
      </c>
      <c r="Y26" s="1">
        <f t="shared" si="6"/>
        <v>-3715.26</v>
      </c>
      <c r="Z26" s="1">
        <f t="shared" si="2"/>
        <v>7.505711685162611E-2</v>
      </c>
      <c r="AA26" s="1">
        <f t="shared" si="3"/>
        <v>0.12649942971852179</v>
      </c>
      <c r="AB26" s="1"/>
      <c r="AC26" s="1"/>
      <c r="AD26" s="1">
        <f>AD25+1</f>
        <v>24</v>
      </c>
      <c r="AE26">
        <f t="shared" si="17"/>
        <v>14416.025168890717</v>
      </c>
      <c r="AF26">
        <f t="shared" si="18"/>
        <v>-354068.39594662283</v>
      </c>
      <c r="AG26">
        <f t="shared" si="7"/>
        <v>3480.77794285139</v>
      </c>
      <c r="AH26">
        <f t="shared" si="14"/>
        <v>-520786.65203214198</v>
      </c>
      <c r="AI26">
        <f t="shared" si="8"/>
        <v>26074.638812808364</v>
      </c>
      <c r="AJ26">
        <f t="shared" si="9"/>
        <v>6295.7733899700097</v>
      </c>
      <c r="AK26">
        <f t="shared" si="15"/>
        <v>-468851.38685017446</v>
      </c>
      <c r="AW26">
        <f t="shared" si="10"/>
        <v>8.6057860000925569E-3</v>
      </c>
      <c r="AX26">
        <f t="shared" si="11"/>
        <v>-3338.1365667405753</v>
      </c>
      <c r="AY26">
        <f t="shared" si="12"/>
        <v>-3671.950223414633</v>
      </c>
      <c r="AZ26">
        <f t="shared" si="13"/>
        <v>-333.81365667405771</v>
      </c>
    </row>
    <row r="27" spans="1:52" x14ac:dyDescent="0.35">
      <c r="A27" s="1">
        <v>26</v>
      </c>
      <c r="B27" s="1">
        <v>5233.1130996820621</v>
      </c>
      <c r="C27" s="1">
        <v>4</v>
      </c>
      <c r="D27" s="1">
        <v>6930.46</v>
      </c>
      <c r="E27" s="1">
        <v>5233.1099999999997</v>
      </c>
      <c r="F27" s="1">
        <v>1642.54</v>
      </c>
      <c r="G27" s="1">
        <v>148.89400000000001</v>
      </c>
      <c r="H27" s="1">
        <v>3427.61</v>
      </c>
      <c r="I27" s="1">
        <v>1860.31</v>
      </c>
      <c r="J27" s="1">
        <v>3372.81</v>
      </c>
      <c r="K27" s="1">
        <v>10</v>
      </c>
      <c r="L27" s="1">
        <v>0</v>
      </c>
      <c r="M27" s="1">
        <f>C27*$S$18*1000</f>
        <v>10400</v>
      </c>
      <c r="N27" s="1">
        <f>$S$19*C27</f>
        <v>106</v>
      </c>
      <c r="O27" s="4">
        <f t="shared" si="4"/>
        <v>1.5294800056561902E-2</v>
      </c>
      <c r="P27" s="4">
        <f t="shared" si="0"/>
        <v>2650</v>
      </c>
      <c r="Q27" s="4"/>
      <c r="R27" s="67" t="s">
        <v>259</v>
      </c>
      <c r="S27" s="76"/>
      <c r="T27" s="46"/>
      <c r="U27" s="4"/>
      <c r="V27" s="1">
        <v>212.84299999999999</v>
      </c>
      <c r="W27" s="1">
        <f t="shared" si="5"/>
        <v>-10187.156999999999</v>
      </c>
      <c r="X27" s="1">
        <f t="shared" si="1"/>
        <v>5321.0749999999998</v>
      </c>
      <c r="Y27" s="1">
        <f t="shared" si="6"/>
        <v>-5078.9250000000002</v>
      </c>
      <c r="Z27" s="1">
        <f t="shared" si="2"/>
        <v>9.4788591242782216E-2</v>
      </c>
      <c r="AA27" s="1">
        <f t="shared" si="3"/>
        <v>0.1632153975729371</v>
      </c>
      <c r="AB27" s="1"/>
      <c r="AC27" s="1"/>
      <c r="AD27" s="1">
        <f t="shared" si="16"/>
        <v>25</v>
      </c>
      <c r="AE27">
        <f t="shared" si="17"/>
        <v>14416.025168890717</v>
      </c>
      <c r="AF27">
        <f t="shared" si="18"/>
        <v>-339652.37077773211</v>
      </c>
      <c r="AG27">
        <f t="shared" si="7"/>
        <v>3280.6578160710555</v>
      </c>
      <c r="AH27">
        <f t="shared" si="14"/>
        <v>-517505.99421607092</v>
      </c>
      <c r="AI27">
        <f t="shared" si="8"/>
        <v>26726.50478312857</v>
      </c>
      <c r="AJ27">
        <f t="shared" si="9"/>
        <v>6082.1561967193775</v>
      </c>
      <c r="AK27">
        <f t="shared" si="15"/>
        <v>-462769.23065345507</v>
      </c>
      <c r="AW27">
        <f t="shared" si="10"/>
        <v>1.2939418325219101E-2</v>
      </c>
      <c r="AX27">
        <f t="shared" si="11"/>
        <v>-5019.1284634898448</v>
      </c>
      <c r="AY27">
        <f t="shared" si="12"/>
        <v>-5521.0413098388299</v>
      </c>
      <c r="AZ27">
        <f t="shared" si="13"/>
        <v>-501.91284634898511</v>
      </c>
    </row>
    <row r="28" spans="1:52" x14ac:dyDescent="0.35">
      <c r="A28" s="1">
        <v>27</v>
      </c>
      <c r="B28" s="1">
        <v>6696.2920887280334</v>
      </c>
      <c r="C28" s="1">
        <v>4</v>
      </c>
      <c r="D28" s="1">
        <v>6930.46</v>
      </c>
      <c r="E28" s="1">
        <v>6696.29</v>
      </c>
      <c r="F28" s="1">
        <v>1385.43</v>
      </c>
      <c r="G28" s="1">
        <v>124.053</v>
      </c>
      <c r="H28" s="1">
        <v>3240.4</v>
      </c>
      <c r="I28" s="1">
        <v>2304.63</v>
      </c>
      <c r="J28" s="1">
        <v>4391.67</v>
      </c>
      <c r="K28" s="1">
        <v>10</v>
      </c>
      <c r="L28" s="1">
        <v>0</v>
      </c>
      <c r="M28" s="1">
        <f>C28*$S$18*1000</f>
        <v>10400</v>
      </c>
      <c r="N28" s="1">
        <f>$S$19*C28</f>
        <v>106</v>
      </c>
      <c r="O28" s="4">
        <f t="shared" si="4"/>
        <v>1.5294800056561902E-2</v>
      </c>
      <c r="P28" s="4">
        <f t="shared" si="0"/>
        <v>2650</v>
      </c>
      <c r="Q28" s="4"/>
      <c r="R28" s="50" t="s">
        <v>245</v>
      </c>
      <c r="S28" s="2" t="s">
        <v>246</v>
      </c>
      <c r="T28" s="46"/>
      <c r="U28" s="4"/>
      <c r="V28" s="1">
        <v>83.282200000000003</v>
      </c>
      <c r="W28" s="1">
        <f t="shared" si="5"/>
        <v>-10316.7178</v>
      </c>
      <c r="X28" s="1">
        <f t="shared" si="1"/>
        <v>2082.0550000000003</v>
      </c>
      <c r="Y28" s="1">
        <f t="shared" si="6"/>
        <v>-8317.9449999999997</v>
      </c>
      <c r="Z28" s="1">
        <f t="shared" si="2"/>
        <v>7.7418732896985462E-2</v>
      </c>
      <c r="AA28" s="1">
        <f t="shared" si="3"/>
        <v>0.13089388180491782</v>
      </c>
      <c r="AB28" s="1"/>
      <c r="AD28" s="1"/>
      <c r="AW28">
        <f t="shared" si="10"/>
        <v>1.6557281089371333E-2</v>
      </c>
      <c r="AX28">
        <f t="shared" si="11"/>
        <v>-6422.4773250971184</v>
      </c>
      <c r="AY28">
        <f t="shared" si="12"/>
        <v>-7064.7250576068309</v>
      </c>
      <c r="AZ28">
        <f t="shared" si="13"/>
        <v>-642.24773250971248</v>
      </c>
    </row>
    <row r="29" spans="1:52" x14ac:dyDescent="0.35">
      <c r="A29" s="1">
        <v>28</v>
      </c>
      <c r="B29" s="62">
        <v>8230.4847304692612</v>
      </c>
      <c r="C29" s="62">
        <v>6</v>
      </c>
      <c r="D29" s="62">
        <v>10395.700000000001</v>
      </c>
      <c r="E29" s="62">
        <v>8230.48</v>
      </c>
      <c r="F29" s="62">
        <v>2928.68</v>
      </c>
      <c r="G29" s="62">
        <v>274</v>
      </c>
      <c r="H29" s="62">
        <v>4210.74</v>
      </c>
      <c r="I29" s="62">
        <v>3393.9</v>
      </c>
      <c r="J29" s="62">
        <v>2532.5700000000002</v>
      </c>
      <c r="K29" s="62">
        <v>15</v>
      </c>
      <c r="L29" s="62">
        <v>5</v>
      </c>
      <c r="M29" s="62">
        <f>(C29*$S$18*1000)+S33</f>
        <v>19100</v>
      </c>
      <c r="N29" s="62">
        <f>$S$38*C29</f>
        <v>213.60000000000002</v>
      </c>
      <c r="O29" s="56">
        <f t="shared" si="4"/>
        <v>2.0546956914878269E-2</v>
      </c>
      <c r="P29" s="56">
        <f t="shared" si="0"/>
        <v>5340.0000000000009</v>
      </c>
      <c r="Q29" s="56"/>
      <c r="R29" s="63" t="s">
        <v>288</v>
      </c>
      <c r="S29" s="4">
        <f>(T21*T17*$S$26)</f>
        <v>2040</v>
      </c>
      <c r="T29" s="46" t="s">
        <v>289</v>
      </c>
      <c r="U29" s="56"/>
      <c r="V29" s="1">
        <v>774.16899999999998</v>
      </c>
      <c r="W29" s="1">
        <f t="shared" si="5"/>
        <v>-18325.830999999998</v>
      </c>
      <c r="X29" s="1">
        <f t="shared" si="1"/>
        <v>19354.224999999999</v>
      </c>
      <c r="Y29" s="1">
        <f t="shared" si="6"/>
        <v>254.22499999999854</v>
      </c>
      <c r="Z29" s="1">
        <f t="shared" si="2"/>
        <v>0.11337259538203578</v>
      </c>
      <c r="AA29" s="1">
        <f t="shared" si="3"/>
        <v>0.19327521282024138</v>
      </c>
      <c r="AB29" s="1"/>
      <c r="AC29" s="1"/>
      <c r="AE29" s="18" t="s">
        <v>51</v>
      </c>
      <c r="AF29" s="4">
        <f>AD5-(AF5/AE6)</f>
        <v>48.560750400928136</v>
      </c>
      <c r="AG29" s="4"/>
      <c r="AH29" s="10">
        <f>AD6-(AH6/AG7)</f>
        <v>64.643992558030902</v>
      </c>
      <c r="AI29" s="10"/>
      <c r="AJ29" s="10"/>
      <c r="AK29" s="10">
        <f>AD15-(AK15/AJ6)</f>
        <v>56.931725317805267</v>
      </c>
      <c r="AW29">
        <f t="shared" si="10"/>
        <v>2.0350732521592207E-2</v>
      </c>
      <c r="AX29">
        <f t="shared" si="11"/>
        <v>-7893.9360552950002</v>
      </c>
      <c r="AY29">
        <f t="shared" si="12"/>
        <v>-8683.3296608245</v>
      </c>
      <c r="AZ29">
        <f t="shared" si="13"/>
        <v>-789.39360552949984</v>
      </c>
    </row>
    <row r="30" spans="1:52" ht="15" thickBot="1" x14ac:dyDescent="0.4">
      <c r="A30" s="1">
        <v>29</v>
      </c>
      <c r="B30" s="62">
        <v>3184.1460343074909</v>
      </c>
      <c r="C30" s="62">
        <v>2</v>
      </c>
      <c r="D30" s="62">
        <v>3465.23</v>
      </c>
      <c r="E30" s="62">
        <v>3184.15</v>
      </c>
      <c r="F30" s="62">
        <v>1055.81</v>
      </c>
      <c r="G30" s="62">
        <v>98.489099999999993</v>
      </c>
      <c r="H30" s="62">
        <v>1177.54</v>
      </c>
      <c r="I30" s="62">
        <v>1255.03</v>
      </c>
      <c r="J30" s="62">
        <v>807.74400000000003</v>
      </c>
      <c r="K30" s="62">
        <v>5</v>
      </c>
      <c r="L30" s="62">
        <v>3.3</v>
      </c>
      <c r="M30" s="62">
        <f>(C30*$S$18*1000)+S31</f>
        <v>8896</v>
      </c>
      <c r="N30" s="62">
        <f>$S$38*C30</f>
        <v>71.2</v>
      </c>
      <c r="O30" s="56">
        <f t="shared" si="4"/>
        <v>2.0546976679758633E-2</v>
      </c>
      <c r="P30" s="56">
        <f t="shared" si="0"/>
        <v>1780</v>
      </c>
      <c r="Q30" s="56"/>
      <c r="R30" s="63" t="s">
        <v>288</v>
      </c>
      <c r="S30" s="4">
        <f>(T22*T17*$S$26)</f>
        <v>3400</v>
      </c>
      <c r="T30" s="46" t="s">
        <v>296</v>
      </c>
      <c r="U30" s="56"/>
      <c r="V30" s="1">
        <v>270.46199999999999</v>
      </c>
      <c r="W30" s="1">
        <f t="shared" si="5"/>
        <v>-8625.5380000000005</v>
      </c>
      <c r="X30" s="1">
        <f t="shared" si="1"/>
        <v>6761.5499999999993</v>
      </c>
      <c r="Y30" s="1">
        <f t="shared" si="6"/>
        <v>-2134.4500000000007</v>
      </c>
      <c r="Z30" s="1">
        <f t="shared" si="2"/>
        <v>0.13230064506243078</v>
      </c>
      <c r="AA30" s="1">
        <f t="shared" si="3"/>
        <v>0.22849616560556227</v>
      </c>
      <c r="AB30" s="1"/>
      <c r="AC30" s="1"/>
      <c r="AE30" s="4"/>
      <c r="AF30" s="4"/>
      <c r="AG30" s="4"/>
      <c r="AH30" s="4"/>
      <c r="AI30" s="4"/>
      <c r="AJ30" s="4"/>
      <c r="AK30" s="4"/>
      <c r="AP30" t="s">
        <v>6</v>
      </c>
      <c r="AW30">
        <f t="shared" si="10"/>
        <v>7.8731334029442709E-3</v>
      </c>
      <c r="AX30">
        <f t="shared" si="11"/>
        <v>-3053.9446956863981</v>
      </c>
      <c r="AY30">
        <f t="shared" si="12"/>
        <v>-3359.3391652550381</v>
      </c>
      <c r="AZ30">
        <f t="shared" si="13"/>
        <v>-305.39446956864003</v>
      </c>
    </row>
    <row r="31" spans="1:52" ht="15" customHeight="1" thickBot="1" x14ac:dyDescent="0.4">
      <c r="A31" s="1">
        <v>30</v>
      </c>
      <c r="B31" s="62">
        <v>2455.556329062375</v>
      </c>
      <c r="C31" s="62">
        <v>2</v>
      </c>
      <c r="D31" s="62">
        <v>3465.23</v>
      </c>
      <c r="E31" s="62">
        <v>2455.56</v>
      </c>
      <c r="F31" s="62">
        <v>981.01199999999994</v>
      </c>
      <c r="G31" s="62">
        <v>91.956100000000006</v>
      </c>
      <c r="H31" s="62">
        <v>1498.17</v>
      </c>
      <c r="I31" s="62">
        <v>1029.33</v>
      </c>
      <c r="J31" s="62">
        <v>829.81899999999996</v>
      </c>
      <c r="K31" s="62">
        <v>5</v>
      </c>
      <c r="L31" s="62">
        <v>1.2</v>
      </c>
      <c r="M31" s="62">
        <f>(C31*$S$18*1000)+S29</f>
        <v>7240</v>
      </c>
      <c r="N31" s="62">
        <f>$S$38*C31</f>
        <v>71.2</v>
      </c>
      <c r="O31" s="56">
        <f t="shared" si="4"/>
        <v>2.0546976679758633E-2</v>
      </c>
      <c r="P31" s="56">
        <f t="shared" si="0"/>
        <v>1780</v>
      </c>
      <c r="Q31" s="56"/>
      <c r="R31" s="63" t="s">
        <v>288</v>
      </c>
      <c r="S31" s="4">
        <f>(T23*T18*$S$26)</f>
        <v>3696</v>
      </c>
      <c r="T31" s="46" t="s">
        <v>290</v>
      </c>
      <c r="U31" s="56"/>
      <c r="V31" s="1">
        <v>253.29300000000001</v>
      </c>
      <c r="W31" s="1">
        <f t="shared" si="5"/>
        <v>-6986.7070000000003</v>
      </c>
      <c r="X31" s="1">
        <f t="shared" si="1"/>
        <v>6332.3249999999998</v>
      </c>
      <c r="Y31" s="1">
        <f t="shared" si="6"/>
        <v>-907.67500000000018</v>
      </c>
      <c r="Z31" s="1">
        <f t="shared" si="2"/>
        <v>0.13848359111310798</v>
      </c>
      <c r="AA31" s="1">
        <f t="shared" si="3"/>
        <v>0.24000127890535689</v>
      </c>
      <c r="AB31" s="1"/>
      <c r="AE31" s="4" t="s">
        <v>53</v>
      </c>
      <c r="AF31" s="9">
        <f>IRR(AE2:AE27)</f>
        <v>-4.5674009164134444E-2</v>
      </c>
      <c r="AG31" s="4"/>
      <c r="AH31" s="100" t="s">
        <v>54</v>
      </c>
      <c r="AI31" s="101"/>
      <c r="AJ31" s="101"/>
      <c r="AK31" s="102"/>
      <c r="AW31">
        <f t="shared" si="10"/>
        <v>6.0716193129492719E-3</v>
      </c>
      <c r="AX31">
        <f t="shared" si="11"/>
        <v>-2355.1473912628394</v>
      </c>
      <c r="AY31">
        <f t="shared" si="12"/>
        <v>-2590.6621303891234</v>
      </c>
      <c r="AZ31">
        <f t="shared" si="13"/>
        <v>-235.51473912628398</v>
      </c>
    </row>
    <row r="32" spans="1:52" ht="15" thickBot="1" x14ac:dyDescent="0.4">
      <c r="A32" s="1">
        <v>31</v>
      </c>
      <c r="B32" s="1">
        <v>1553.515228702383</v>
      </c>
      <c r="C32" s="1">
        <v>2</v>
      </c>
      <c r="D32" s="1">
        <v>3465.23</v>
      </c>
      <c r="E32" s="1">
        <v>1553.52</v>
      </c>
      <c r="F32" s="1">
        <v>992.22699999999998</v>
      </c>
      <c r="G32" s="1">
        <v>92.273499999999999</v>
      </c>
      <c r="H32" s="1">
        <v>1784.82</v>
      </c>
      <c r="I32" s="1">
        <v>688.178</v>
      </c>
      <c r="J32" s="1">
        <v>865.33699999999999</v>
      </c>
      <c r="K32" s="1">
        <v>5</v>
      </c>
      <c r="L32" s="1">
        <v>0</v>
      </c>
      <c r="M32" s="1">
        <f>C32*$S$18*1000</f>
        <v>5200</v>
      </c>
      <c r="N32" s="1">
        <f>$S$19*C32</f>
        <v>53</v>
      </c>
      <c r="O32" s="4">
        <f t="shared" si="4"/>
        <v>1.5294800056561902E-2</v>
      </c>
      <c r="P32" s="4">
        <f t="shared" si="0"/>
        <v>1325</v>
      </c>
      <c r="Q32" s="4"/>
      <c r="R32" s="63" t="s">
        <v>288</v>
      </c>
      <c r="S32" s="4">
        <f>(T24*T18*$S$26)</f>
        <v>4704</v>
      </c>
      <c r="T32" s="46" t="s">
        <v>291</v>
      </c>
      <c r="U32" s="4"/>
      <c r="V32" s="1">
        <v>220.10300000000001</v>
      </c>
      <c r="W32" s="1">
        <f t="shared" si="5"/>
        <v>-4979.8969999999999</v>
      </c>
      <c r="X32" s="1">
        <f t="shared" si="1"/>
        <v>5502.5749999999998</v>
      </c>
      <c r="Y32" s="1">
        <f t="shared" si="6"/>
        <v>302.57499999999982</v>
      </c>
      <c r="Z32" s="1">
        <f t="shared" si="2"/>
        <v>0.1491847009452309</v>
      </c>
      <c r="AA32" s="1">
        <f t="shared" si="3"/>
        <v>0.26443468689961436</v>
      </c>
      <c r="AB32" s="1"/>
      <c r="AC32" t="s">
        <v>6</v>
      </c>
      <c r="AE32" s="4"/>
      <c r="AF32" s="8"/>
      <c r="AG32" s="4"/>
      <c r="AH32" s="103"/>
      <c r="AI32" s="104"/>
      <c r="AJ32" s="104"/>
      <c r="AK32" s="105"/>
      <c r="AW32">
        <f t="shared" si="10"/>
        <v>3.841228545203777E-3</v>
      </c>
      <c r="AX32">
        <f t="shared" si="11"/>
        <v>-1489.9912068246319</v>
      </c>
      <c r="AY32">
        <f t="shared" si="12"/>
        <v>-1638.9903275070953</v>
      </c>
      <c r="AZ32">
        <f t="shared" si="13"/>
        <v>-148.9991206824634</v>
      </c>
    </row>
    <row r="33" spans="1:52" x14ac:dyDescent="0.35">
      <c r="A33" s="1">
        <v>32</v>
      </c>
      <c r="B33" s="62">
        <v>14627.53150971361</v>
      </c>
      <c r="C33" s="62">
        <v>10</v>
      </c>
      <c r="D33" s="62">
        <v>17326.099999999999</v>
      </c>
      <c r="E33" s="62">
        <v>14627.5</v>
      </c>
      <c r="F33" s="62">
        <v>6319.47</v>
      </c>
      <c r="G33" s="62">
        <v>606.04600000000005</v>
      </c>
      <c r="H33" s="62">
        <v>5835.93</v>
      </c>
      <c r="I33" s="62">
        <v>5167.72</v>
      </c>
      <c r="J33" s="62">
        <v>4764.6000000000004</v>
      </c>
      <c r="K33" s="62">
        <v>25</v>
      </c>
      <c r="L33" s="62">
        <f>19.4</f>
        <v>19.399999999999999</v>
      </c>
      <c r="M33" s="62">
        <f>(C33*$S$18*1000)+S37</f>
        <v>42000</v>
      </c>
      <c r="N33" s="62">
        <f>$S$38*C33</f>
        <v>356</v>
      </c>
      <c r="O33" s="56">
        <f t="shared" si="4"/>
        <v>2.0547035974627877E-2</v>
      </c>
      <c r="P33" s="56">
        <f t="shared" si="0"/>
        <v>8900</v>
      </c>
      <c r="Q33" s="56"/>
      <c r="R33" s="63" t="s">
        <v>288</v>
      </c>
      <c r="S33" s="4">
        <f>(T25*T19*$S$26)</f>
        <v>3500</v>
      </c>
      <c r="T33" s="46" t="s">
        <v>293</v>
      </c>
      <c r="U33" s="56"/>
      <c r="V33" s="1">
        <v>1176.7</v>
      </c>
      <c r="W33" s="1">
        <f t="shared" si="5"/>
        <v>-40823.300000000003</v>
      </c>
      <c r="X33" s="1">
        <f t="shared" si="1"/>
        <v>29417.5</v>
      </c>
      <c r="Y33" s="1">
        <f t="shared" si="6"/>
        <v>-12582.5</v>
      </c>
      <c r="Z33" s="1">
        <f t="shared" si="2"/>
        <v>0.13539895059086871</v>
      </c>
      <c r="AA33" s="1">
        <f t="shared" si="3"/>
        <v>0.23426138501273194</v>
      </c>
      <c r="AB33" s="1"/>
      <c r="AW33">
        <f t="shared" si="10"/>
        <v>3.6168098350675297E-2</v>
      </c>
      <c r="AX33">
        <f t="shared" si="11"/>
        <v>-14029.40436266486</v>
      </c>
      <c r="AY33">
        <f t="shared" si="12"/>
        <v>-15432.344798931346</v>
      </c>
      <c r="AZ33">
        <f t="shared" si="13"/>
        <v>-1402.9404362664864</v>
      </c>
    </row>
    <row r="34" spans="1:52" x14ac:dyDescent="0.35">
      <c r="A34" s="1">
        <v>33</v>
      </c>
      <c r="B34" s="62">
        <v>4264.5516094210579</v>
      </c>
      <c r="C34" s="62">
        <v>4</v>
      </c>
      <c r="D34" s="62">
        <v>6930.46</v>
      </c>
      <c r="E34" s="62">
        <v>4264.55</v>
      </c>
      <c r="F34" s="62">
        <v>2602.7800000000002</v>
      </c>
      <c r="G34" s="62">
        <v>255.268</v>
      </c>
      <c r="H34" s="62">
        <v>2529.48</v>
      </c>
      <c r="I34" s="62">
        <v>1820.92</v>
      </c>
      <c r="J34" s="62">
        <v>1578.24</v>
      </c>
      <c r="K34" s="62">
        <v>10</v>
      </c>
      <c r="L34" s="62">
        <v>6</v>
      </c>
      <c r="M34" s="62">
        <f>(C34*$S$18*1000)+S34</f>
        <v>14600</v>
      </c>
      <c r="N34" s="62">
        <f>$S$38*C34</f>
        <v>142.4</v>
      </c>
      <c r="O34" s="56">
        <f t="shared" si="4"/>
        <v>2.0546976679758633E-2</v>
      </c>
      <c r="P34" s="56">
        <f t="shared" si="0"/>
        <v>3560</v>
      </c>
      <c r="Q34" s="56"/>
      <c r="R34" s="63" t="s">
        <v>288</v>
      </c>
      <c r="S34" s="4">
        <f>(T26*T19*$S$26)</f>
        <v>4200</v>
      </c>
      <c r="T34" s="46" t="s">
        <v>292</v>
      </c>
      <c r="U34" s="56"/>
      <c r="V34" s="1">
        <v>513.029</v>
      </c>
      <c r="W34" s="1">
        <f t="shared" si="5"/>
        <v>-14086.971</v>
      </c>
      <c r="X34" s="1">
        <f t="shared" si="1"/>
        <v>12825.725</v>
      </c>
      <c r="Y34" s="1">
        <f t="shared" si="6"/>
        <v>-1774.2749999999996</v>
      </c>
      <c r="Z34" s="1">
        <f t="shared" si="2"/>
        <v>0.15748986153308134</v>
      </c>
      <c r="AA34" s="1">
        <f t="shared" si="3"/>
        <v>0.27536780043021791</v>
      </c>
      <c r="AB34" s="1"/>
      <c r="AW34">
        <f t="shared" si="10"/>
        <v>1.0544548950630927E-2</v>
      </c>
      <c r="AX34">
        <f t="shared" si="11"/>
        <v>-4090.1719414715267</v>
      </c>
      <c r="AY34">
        <f t="shared" si="12"/>
        <v>-4499.1891356186798</v>
      </c>
      <c r="AZ34">
        <f t="shared" si="13"/>
        <v>-409.01719414715308</v>
      </c>
    </row>
    <row r="35" spans="1:52" x14ac:dyDescent="0.35">
      <c r="A35" s="1">
        <v>34</v>
      </c>
      <c r="B35" s="1">
        <v>5041.8344142687847</v>
      </c>
      <c r="C35" s="1">
        <v>4</v>
      </c>
      <c r="D35" s="1">
        <v>7106.6</v>
      </c>
      <c r="E35" s="1">
        <v>5041.83</v>
      </c>
      <c r="F35" s="1">
        <v>1667.85</v>
      </c>
      <c r="G35" s="1">
        <v>152.785</v>
      </c>
      <c r="H35" s="1">
        <v>3300.83</v>
      </c>
      <c r="I35" s="1">
        <v>2137.92</v>
      </c>
      <c r="J35" s="1">
        <v>2903.92</v>
      </c>
      <c r="K35" s="1">
        <v>10</v>
      </c>
      <c r="L35" s="1">
        <v>0</v>
      </c>
      <c r="M35" s="1">
        <f>C35*$S$18*1000</f>
        <v>10400</v>
      </c>
      <c r="N35" s="1">
        <f>$S$19*C35</f>
        <v>106</v>
      </c>
      <c r="O35" s="4">
        <f t="shared" si="4"/>
        <v>1.4915712154898262E-2</v>
      </c>
      <c r="P35" s="4">
        <f t="shared" si="0"/>
        <v>2650</v>
      </c>
      <c r="Q35" s="4"/>
      <c r="R35" s="63" t="s">
        <v>288</v>
      </c>
      <c r="S35" s="4">
        <f xml:space="preserve"> 8000 *S26</f>
        <v>8000</v>
      </c>
      <c r="T35" s="46" t="s">
        <v>294</v>
      </c>
      <c r="U35" s="4"/>
      <c r="V35" s="1">
        <v>321.40800000000002</v>
      </c>
      <c r="W35" s="1">
        <f t="shared" si="5"/>
        <v>-10078.592000000001</v>
      </c>
      <c r="X35" s="1">
        <f t="shared" si="1"/>
        <v>8035.2000000000007</v>
      </c>
      <c r="Y35" s="1">
        <f t="shared" si="6"/>
        <v>-2364.7999999999993</v>
      </c>
      <c r="Z35" s="1">
        <f t="shared" si="2"/>
        <v>9.7425363567226989E-2</v>
      </c>
      <c r="AA35" s="1">
        <f t="shared" si="3"/>
        <v>0.1684481674027381</v>
      </c>
      <c r="AB35" s="1"/>
      <c r="AW35">
        <f t="shared" si="10"/>
        <v>1.2466461811550257E-2</v>
      </c>
      <c r="AX35">
        <f t="shared" si="11"/>
        <v>-4835.671260075871</v>
      </c>
      <c r="AY35">
        <f t="shared" si="12"/>
        <v>-5319.2383860834589</v>
      </c>
      <c r="AZ35">
        <f t="shared" si="13"/>
        <v>-483.56712600758783</v>
      </c>
    </row>
    <row r="36" spans="1:52" x14ac:dyDescent="0.35">
      <c r="A36" s="1">
        <v>35</v>
      </c>
      <c r="B36" s="62">
        <v>1680.154057549307</v>
      </c>
      <c r="C36" s="62">
        <v>2</v>
      </c>
      <c r="D36" s="62">
        <v>3553.3</v>
      </c>
      <c r="E36" s="62">
        <v>1680.15</v>
      </c>
      <c r="F36" s="62">
        <v>1252.81</v>
      </c>
      <c r="G36" s="62">
        <v>122.58499999999999</v>
      </c>
      <c r="H36" s="62">
        <v>1604.06</v>
      </c>
      <c r="I36" s="62">
        <v>745.89400000000001</v>
      </c>
      <c r="J36" s="62">
        <v>657.86699999999996</v>
      </c>
      <c r="K36" s="62">
        <v>5</v>
      </c>
      <c r="L36" s="62">
        <v>1.2</v>
      </c>
      <c r="M36" s="62">
        <f>(C36*$S$18*1000)+S29</f>
        <v>7240</v>
      </c>
      <c r="N36" s="62">
        <f>$S$38*C36</f>
        <v>71.2</v>
      </c>
      <c r="O36" s="56">
        <f t="shared" si="4"/>
        <v>2.0037711423184081E-2</v>
      </c>
      <c r="P36" s="56">
        <f t="shared" si="0"/>
        <v>1780</v>
      </c>
      <c r="Q36" s="56"/>
      <c r="R36" s="63" t="s">
        <v>288</v>
      </c>
      <c r="S36" s="4">
        <f>7300*S26</f>
        <v>7300</v>
      </c>
      <c r="T36" s="46" t="s">
        <v>295</v>
      </c>
      <c r="U36" s="56"/>
      <c r="V36" s="1">
        <v>275.78899999999999</v>
      </c>
      <c r="W36" s="1">
        <f t="shared" si="5"/>
        <v>-6964.2110000000002</v>
      </c>
      <c r="X36" s="1">
        <f t="shared" si="1"/>
        <v>6894.7249999999995</v>
      </c>
      <c r="Y36" s="1">
        <f t="shared" si="6"/>
        <v>-345.27500000000055</v>
      </c>
      <c r="Z36" s="1">
        <f t="shared" si="2"/>
        <v>0.19240285776126101</v>
      </c>
      <c r="AA36" s="1">
        <f t="shared" si="3"/>
        <v>0.34077163361842333</v>
      </c>
      <c r="AB36" s="1"/>
      <c r="AW36">
        <f t="shared" si="10"/>
        <v>4.1543562669733927E-3</v>
      </c>
      <c r="AX36">
        <f t="shared" si="11"/>
        <v>-1611.451710035853</v>
      </c>
      <c r="AY36">
        <f t="shared" si="12"/>
        <v>-1772.5968810394384</v>
      </c>
      <c r="AZ36">
        <f t="shared" si="13"/>
        <v>-161.14517100358535</v>
      </c>
    </row>
    <row r="37" spans="1:52" x14ac:dyDescent="0.35">
      <c r="A37" s="1">
        <v>36</v>
      </c>
      <c r="B37" s="1">
        <v>5659.8657296841702</v>
      </c>
      <c r="C37" s="1">
        <v>4</v>
      </c>
      <c r="D37" s="1">
        <v>7106.6</v>
      </c>
      <c r="E37" s="1">
        <v>5659.87</v>
      </c>
      <c r="F37" s="1">
        <v>1537.84</v>
      </c>
      <c r="G37" s="1">
        <v>139.857</v>
      </c>
      <c r="H37" s="1">
        <v>3205.84</v>
      </c>
      <c r="I37" s="1">
        <v>2362.91</v>
      </c>
      <c r="J37" s="1">
        <v>3296.95</v>
      </c>
      <c r="K37" s="1">
        <v>10</v>
      </c>
      <c r="L37" s="1">
        <v>0</v>
      </c>
      <c r="M37" s="1">
        <f>C37*$S$18*1000</f>
        <v>10400</v>
      </c>
      <c r="N37" s="1">
        <f>$S$19*C37</f>
        <v>106</v>
      </c>
      <c r="O37" s="4">
        <f t="shared" si="4"/>
        <v>1.4915712154898262E-2</v>
      </c>
      <c r="P37" s="4">
        <f t="shared" si="0"/>
        <v>2650</v>
      </c>
      <c r="Q37" s="4"/>
      <c r="R37" s="63" t="s">
        <v>288</v>
      </c>
      <c r="S37" s="4">
        <f>16000*S26</f>
        <v>16000</v>
      </c>
      <c r="T37" s="46" t="s">
        <v>297</v>
      </c>
      <c r="U37" s="4"/>
      <c r="V37" s="1">
        <v>274.303</v>
      </c>
      <c r="W37" s="1">
        <f t="shared" si="5"/>
        <v>-10125.697</v>
      </c>
      <c r="X37" s="1">
        <f t="shared" si="1"/>
        <v>6857.5749999999998</v>
      </c>
      <c r="Y37" s="1">
        <f t="shared" si="6"/>
        <v>-3542.4250000000002</v>
      </c>
      <c r="Z37" s="1">
        <f t="shared" si="2"/>
        <v>8.841568898618847E-2</v>
      </c>
      <c r="AA37" s="1">
        <f t="shared" si="3"/>
        <v>0.15168312918317045</v>
      </c>
      <c r="AB37" s="1"/>
      <c r="AW37">
        <f t="shared" si="10"/>
        <v>1.399460874358025E-2</v>
      </c>
      <c r="AX37">
        <f t="shared" si="11"/>
        <v>-5428.4309630369808</v>
      </c>
      <c r="AY37">
        <f t="shared" si="12"/>
        <v>-5971.2740593406797</v>
      </c>
      <c r="AZ37">
        <f t="shared" si="13"/>
        <v>-542.84309630369899</v>
      </c>
    </row>
    <row r="38" spans="1:52" x14ac:dyDescent="0.35">
      <c r="A38" s="1">
        <v>37</v>
      </c>
      <c r="B38" s="62">
        <v>7074.8321611913698</v>
      </c>
      <c r="C38" s="62">
        <v>6</v>
      </c>
      <c r="D38" s="62">
        <v>10659.9</v>
      </c>
      <c r="E38" s="62">
        <v>7074.83</v>
      </c>
      <c r="F38" s="62">
        <v>3404.59</v>
      </c>
      <c r="G38" s="62">
        <v>327.08699999999999</v>
      </c>
      <c r="H38" s="62">
        <v>4373.93</v>
      </c>
      <c r="I38" s="62">
        <v>3025.14</v>
      </c>
      <c r="J38" s="62">
        <v>2437.81</v>
      </c>
      <c r="K38" s="62">
        <v>15</v>
      </c>
      <c r="L38" s="62">
        <v>5</v>
      </c>
      <c r="M38" s="62">
        <f>(C38*$S$18*1000)+S33</f>
        <v>19100</v>
      </c>
      <c r="N38" s="62">
        <f>$S$38*C38</f>
        <v>213.60000000000002</v>
      </c>
      <c r="O38" s="56">
        <f t="shared" si="4"/>
        <v>2.0037711423184085E-2</v>
      </c>
      <c r="P38" s="56">
        <f t="shared" si="0"/>
        <v>5340.0000000000009</v>
      </c>
      <c r="Q38" s="56"/>
      <c r="R38" s="65" t="s">
        <v>248</v>
      </c>
      <c r="S38" s="1">
        <v>35.6</v>
      </c>
      <c r="T38" s="30"/>
      <c r="U38" s="56"/>
      <c r="V38" s="1">
        <v>798.74900000000002</v>
      </c>
      <c r="W38" s="1">
        <f>V38-M38</f>
        <v>-18301.251</v>
      </c>
      <c r="X38" s="1">
        <f t="shared" si="1"/>
        <v>19968.725000000002</v>
      </c>
      <c r="Y38" s="1">
        <f t="shared" si="6"/>
        <v>868.72500000000218</v>
      </c>
      <c r="Z38" s="1">
        <f t="shared" si="2"/>
        <v>0.12802613893541298</v>
      </c>
      <c r="AA38" s="1">
        <f t="shared" si="3"/>
        <v>0.22098060877529327</v>
      </c>
      <c r="AB38" s="1"/>
      <c r="AC38" s="1" t="s">
        <v>287</v>
      </c>
      <c r="AD38" s="1">
        <v>0</v>
      </c>
      <c r="AE38">
        <f>-AC41</f>
        <v>-15950</v>
      </c>
      <c r="AF38">
        <f>AE38</f>
        <v>-15950</v>
      </c>
      <c r="AH38">
        <f>AE38</f>
        <v>-15950</v>
      </c>
      <c r="AI38">
        <f>AE38</f>
        <v>-15950</v>
      </c>
      <c r="AK38">
        <f>AE38</f>
        <v>-15950</v>
      </c>
      <c r="AW38">
        <f t="shared" si="10"/>
        <v>1.7493260927215738E-2</v>
      </c>
      <c r="AX38">
        <f t="shared" si="11"/>
        <v>-6785.53870291975</v>
      </c>
      <c r="AY38">
        <f t="shared" si="12"/>
        <v>-7464.0925732117257</v>
      </c>
      <c r="AZ38">
        <f t="shared" si="13"/>
        <v>-678.55387029197573</v>
      </c>
    </row>
    <row r="39" spans="1:52" x14ac:dyDescent="0.35">
      <c r="A39" s="1">
        <v>38</v>
      </c>
      <c r="B39" s="1">
        <v>1036.155497852058</v>
      </c>
      <c r="C39" s="1">
        <v>2</v>
      </c>
      <c r="D39" s="1">
        <v>3553.3</v>
      </c>
      <c r="E39" s="1">
        <v>1036.1600000000001</v>
      </c>
      <c r="F39" s="1">
        <v>1206.4100000000001</v>
      </c>
      <c r="G39" s="1">
        <v>115.129</v>
      </c>
      <c r="H39" s="1">
        <v>1906.9</v>
      </c>
      <c r="I39" s="1">
        <v>439.99</v>
      </c>
      <c r="J39" s="1">
        <v>596.16499999999996</v>
      </c>
      <c r="K39" s="1">
        <v>5</v>
      </c>
      <c r="L39" s="1">
        <v>0</v>
      </c>
      <c r="M39" s="1">
        <f>C39*$S$18*1000</f>
        <v>5200</v>
      </c>
      <c r="N39" s="1">
        <f>$S$19*C39</f>
        <v>53</v>
      </c>
      <c r="O39" s="4">
        <f t="shared" si="4"/>
        <v>1.4915712154898262E-2</v>
      </c>
      <c r="P39" s="4">
        <f t="shared" si="0"/>
        <v>1325</v>
      </c>
      <c r="Q39" s="4"/>
      <c r="R39" s="68" t="s">
        <v>260</v>
      </c>
      <c r="S39" s="1">
        <v>220</v>
      </c>
      <c r="T39" s="78">
        <f>S39*S15</f>
        <v>9900</v>
      </c>
      <c r="U39" s="4"/>
      <c r="V39" s="1">
        <v>256.82299999999998</v>
      </c>
      <c r="W39" s="1">
        <f t="shared" si="5"/>
        <v>-4943.1769999999997</v>
      </c>
      <c r="X39" s="1">
        <f t="shared" si="1"/>
        <v>6420.5749999999998</v>
      </c>
      <c r="Y39" s="1">
        <f t="shared" si="6"/>
        <v>1220.5749999999998</v>
      </c>
      <c r="Z39" s="1">
        <f t="shared" si="2"/>
        <v>0.21565778265607527</v>
      </c>
      <c r="AA39" s="1">
        <f t="shared" si="3"/>
        <v>0.38845289753895179</v>
      </c>
      <c r="AB39" s="1"/>
      <c r="AC39" s="1"/>
      <c r="AD39" s="1">
        <v>1</v>
      </c>
      <c r="AE39">
        <f>AC44</f>
        <v>5518.0024700000031</v>
      </c>
      <c r="AF39">
        <f>AF38+AE39</f>
        <v>-10431.997529999997</v>
      </c>
      <c r="AG39">
        <f t="shared" ref="AG39:AG63" si="19">AE39/(1+$S$20)^AD39</f>
        <v>5200.7563336475059</v>
      </c>
      <c r="AH39">
        <f>AH38+AG39</f>
        <v>-10749.243666352493</v>
      </c>
      <c r="AI39">
        <f>$AC$44*((1+$S$44)^AD39)</f>
        <v>5655.9525317500029</v>
      </c>
      <c r="AJ39">
        <f t="shared" ref="AJ39:AJ63" si="20">AI39/(1+$S$20)^AD39</f>
        <v>5330.7752419886929</v>
      </c>
      <c r="AK39">
        <f>AK38+AJ39</f>
        <v>-10619.224758011307</v>
      </c>
      <c r="AW39">
        <f t="shared" si="10"/>
        <v>2.562002613224239E-3</v>
      </c>
      <c r="AX39">
        <f t="shared" si="11"/>
        <v>-993.78657651918854</v>
      </c>
      <c r="AY39">
        <f t="shared" si="12"/>
        <v>-1093.1652341711074</v>
      </c>
      <c r="AZ39">
        <f t="shared" si="13"/>
        <v>-99.378657651918843</v>
      </c>
    </row>
    <row r="40" spans="1:52" ht="29" x14ac:dyDescent="0.35">
      <c r="A40" s="1">
        <v>39</v>
      </c>
      <c r="B40" s="62">
        <v>1397.7981728371551</v>
      </c>
      <c r="C40" s="62">
        <v>2</v>
      </c>
      <c r="D40" s="62">
        <v>3553.3</v>
      </c>
      <c r="E40" s="62">
        <v>1397.8</v>
      </c>
      <c r="F40" s="62">
        <v>1337.82</v>
      </c>
      <c r="G40" s="62">
        <v>132.495</v>
      </c>
      <c r="H40" s="62">
        <v>1638.51</v>
      </c>
      <c r="I40" s="62">
        <v>629.24800000000005</v>
      </c>
      <c r="J40" s="62">
        <v>605.05899999999997</v>
      </c>
      <c r="K40" s="62">
        <v>5</v>
      </c>
      <c r="L40" s="62">
        <v>1.2</v>
      </c>
      <c r="M40" s="62">
        <f>(C40*$S$18*1000)+S29</f>
        <v>7240</v>
      </c>
      <c r="N40" s="62">
        <f>$S$38*C40</f>
        <v>71.2</v>
      </c>
      <c r="O40" s="56">
        <f t="shared" si="4"/>
        <v>2.0037711423184081E-2</v>
      </c>
      <c r="P40" s="56">
        <f t="shared" si="0"/>
        <v>1780</v>
      </c>
      <c r="Q40" s="56"/>
      <c r="R40" s="68" t="s">
        <v>261</v>
      </c>
      <c r="S40" s="1">
        <v>165</v>
      </c>
      <c r="T40" s="78">
        <f>S40*S15</f>
        <v>7425</v>
      </c>
      <c r="U40" s="56"/>
      <c r="V40" s="1">
        <v>278.79599999999999</v>
      </c>
      <c r="W40" s="1">
        <f t="shared" si="5"/>
        <v>-6961.2039999999997</v>
      </c>
      <c r="X40" s="1">
        <f t="shared" si="1"/>
        <v>6969.9</v>
      </c>
      <c r="Y40" s="1">
        <f t="shared" si="6"/>
        <v>-270.10000000000036</v>
      </c>
      <c r="Z40" s="1">
        <f t="shared" si="2"/>
        <v>0.22722069794275418</v>
      </c>
      <c r="AA40" s="1">
        <f t="shared" si="3"/>
        <v>0.40556003592032402</v>
      </c>
      <c r="AB40" s="1"/>
      <c r="AC40" s="6" t="s">
        <v>285</v>
      </c>
      <c r="AD40" s="1">
        <f>AD39+1</f>
        <v>2</v>
      </c>
      <c r="AE40">
        <f>AE39</f>
        <v>5518.0024700000031</v>
      </c>
      <c r="AF40">
        <f>AF39+AE40</f>
        <v>-4913.9950599999938</v>
      </c>
      <c r="AG40">
        <f t="shared" si="19"/>
        <v>4901.7496075848303</v>
      </c>
      <c r="AH40">
        <f t="shared" ref="AH40:AH63" si="21">AH39+AG40</f>
        <v>-5847.4940587676629</v>
      </c>
      <c r="AI40">
        <f t="shared" ref="AI40:AI63" si="22">$AC$44*((1+$S$44)^AD40)</f>
        <v>5797.3513450437531</v>
      </c>
      <c r="AJ40">
        <f t="shared" si="20"/>
        <v>5149.9006814688128</v>
      </c>
      <c r="AK40">
        <f>AK39+AJ40</f>
        <v>-5469.3240765424944</v>
      </c>
      <c r="AW40">
        <f t="shared" si="10"/>
        <v>3.4562018722021732E-3</v>
      </c>
      <c r="AX40">
        <f t="shared" si="11"/>
        <v>-1340.6414999758563</v>
      </c>
      <c r="AY40">
        <f t="shared" si="12"/>
        <v>-1474.705649973442</v>
      </c>
      <c r="AZ40">
        <f t="shared" si="13"/>
        <v>-134.06414999758567</v>
      </c>
    </row>
    <row r="41" spans="1:52" x14ac:dyDescent="0.35">
      <c r="A41" s="1">
        <v>40</v>
      </c>
      <c r="B41" s="62">
        <v>2769.3097556877569</v>
      </c>
      <c r="C41" s="62">
        <v>2</v>
      </c>
      <c r="D41" s="62">
        <v>3553.3</v>
      </c>
      <c r="E41" s="62">
        <v>2769.31</v>
      </c>
      <c r="F41" s="62">
        <v>1224.25</v>
      </c>
      <c r="G41" s="62">
        <v>117.764</v>
      </c>
      <c r="H41" s="62">
        <v>1185.83</v>
      </c>
      <c r="I41" s="62">
        <v>1159.6300000000001</v>
      </c>
      <c r="J41" s="62">
        <v>850.86400000000003</v>
      </c>
      <c r="K41" s="62">
        <v>5</v>
      </c>
      <c r="L41" s="62">
        <v>3.3</v>
      </c>
      <c r="M41" s="62">
        <f>(C41*$S$18*1000)+S31</f>
        <v>8896</v>
      </c>
      <c r="N41" s="62">
        <f>$S$38*C41</f>
        <v>71.2</v>
      </c>
      <c r="O41" s="56">
        <f t="shared" si="4"/>
        <v>2.0037711423184081E-2</v>
      </c>
      <c r="P41" s="56">
        <f t="shared" si="0"/>
        <v>1780</v>
      </c>
      <c r="Q41" s="56"/>
      <c r="R41" s="65" t="s">
        <v>250</v>
      </c>
      <c r="S41" s="1">
        <v>3.1E-2</v>
      </c>
      <c r="T41" s="30"/>
      <c r="U41" s="56"/>
      <c r="V41" s="1">
        <v>268.85399999999998</v>
      </c>
      <c r="W41" s="1">
        <f t="shared" si="5"/>
        <v>-8627.1460000000006</v>
      </c>
      <c r="X41" s="1">
        <f t="shared" si="1"/>
        <v>6721.3499999999995</v>
      </c>
      <c r="Y41" s="1">
        <f t="shared" si="6"/>
        <v>-2174.6500000000005</v>
      </c>
      <c r="Z41" s="1">
        <f t="shared" si="2"/>
        <v>0.14853182417787206</v>
      </c>
      <c r="AA41" s="1">
        <f t="shared" si="3"/>
        <v>0.25913721406842516</v>
      </c>
      <c r="AB41" s="1"/>
      <c r="AC41" s="1">
        <f>(T10*55/99)</f>
        <v>15950</v>
      </c>
      <c r="AD41" s="1">
        <f t="shared" ref="AD41:AD55" si="23">AD40+1</f>
        <v>3</v>
      </c>
      <c r="AE41">
        <f t="shared" ref="AE41:AE63" si="24">AE40</f>
        <v>5518.0024700000031</v>
      </c>
      <c r="AF41">
        <f t="shared" ref="AF41:AF63" si="25">AF40+AE41</f>
        <v>604.00741000000926</v>
      </c>
      <c r="AG41">
        <f t="shared" si="19"/>
        <v>4619.9336546511131</v>
      </c>
      <c r="AH41">
        <f t="shared" si="21"/>
        <v>-1227.5604041165498</v>
      </c>
      <c r="AI41">
        <f t="shared" si="22"/>
        <v>5942.285128669846</v>
      </c>
      <c r="AJ41">
        <f t="shared" si="20"/>
        <v>4975.1632408157711</v>
      </c>
      <c r="AK41">
        <f t="shared" ref="AK41:AK63" si="26">AK40+AJ41</f>
        <v>-494.16083572672323</v>
      </c>
      <c r="AW41">
        <f t="shared" si="10"/>
        <v>6.8474074070998467E-3</v>
      </c>
      <c r="AX41">
        <f t="shared" si="11"/>
        <v>-2656.0712818985307</v>
      </c>
      <c r="AY41">
        <f t="shared" si="12"/>
        <v>-2921.6784100883842</v>
      </c>
      <c r="AZ41">
        <f t="shared" si="13"/>
        <v>-265.60712818985348</v>
      </c>
    </row>
    <row r="42" spans="1:52" x14ac:dyDescent="0.35">
      <c r="A42" s="1">
        <v>41</v>
      </c>
      <c r="B42" s="1">
        <v>975.76163139608616</v>
      </c>
      <c r="C42" s="1">
        <v>2</v>
      </c>
      <c r="D42" s="1">
        <v>3553.3</v>
      </c>
      <c r="E42" s="1">
        <v>975.76199999999994</v>
      </c>
      <c r="F42" s="1">
        <v>1216.8800000000001</v>
      </c>
      <c r="G42" s="1">
        <v>117.163</v>
      </c>
      <c r="H42" s="1">
        <v>1888.06</v>
      </c>
      <c r="I42" s="1">
        <v>448.36099999999999</v>
      </c>
      <c r="J42" s="1">
        <v>527.40099999999995</v>
      </c>
      <c r="K42" s="1">
        <v>5</v>
      </c>
      <c r="L42" s="1">
        <v>0</v>
      </c>
      <c r="M42" s="1">
        <f>C42*$S$18*1000</f>
        <v>5200</v>
      </c>
      <c r="N42" s="1">
        <f>$S$19*C42</f>
        <v>53</v>
      </c>
      <c r="O42" s="4">
        <f t="shared" si="4"/>
        <v>1.4915712154898262E-2</v>
      </c>
      <c r="P42" s="4">
        <f t="shared" si="0"/>
        <v>1325</v>
      </c>
      <c r="Q42" s="4"/>
      <c r="R42" s="65" t="s">
        <v>251</v>
      </c>
      <c r="S42" s="1" t="s">
        <v>252</v>
      </c>
      <c r="T42" s="30"/>
      <c r="U42" s="4"/>
      <c r="V42" s="1">
        <v>269.17599999999999</v>
      </c>
      <c r="W42" s="1">
        <f t="shared" si="5"/>
        <v>-4930.8239999999996</v>
      </c>
      <c r="X42" s="1">
        <f t="shared" si="1"/>
        <v>6729.4</v>
      </c>
      <c r="Y42" s="1">
        <f t="shared" si="6"/>
        <v>1529.3999999999996</v>
      </c>
      <c r="Z42" s="1">
        <f t="shared" si="2"/>
        <v>0.22808252801175949</v>
      </c>
      <c r="AA42" s="1">
        <f t="shared" si="3"/>
        <v>0.41157263720133941</v>
      </c>
      <c r="AB42" s="1"/>
      <c r="AC42" s="1"/>
      <c r="AD42" s="1">
        <f t="shared" si="23"/>
        <v>4</v>
      </c>
      <c r="AE42">
        <f t="shared" si="24"/>
        <v>5518.0024700000031</v>
      </c>
      <c r="AF42">
        <f t="shared" si="25"/>
        <v>6122.0098800000123</v>
      </c>
      <c r="AG42">
        <f t="shared" si="19"/>
        <v>4354.3201269096262</v>
      </c>
      <c r="AH42">
        <f t="shared" si="21"/>
        <v>3126.7597227930764</v>
      </c>
      <c r="AI42">
        <f t="shared" si="22"/>
        <v>6090.8422568865917</v>
      </c>
      <c r="AJ42">
        <f t="shared" si="20"/>
        <v>4806.3546859907301</v>
      </c>
      <c r="AK42">
        <f t="shared" si="26"/>
        <v>4312.1938502640069</v>
      </c>
      <c r="AW42">
        <f t="shared" si="10"/>
        <v>2.412672475031981E-3</v>
      </c>
      <c r="AX42">
        <f t="shared" si="11"/>
        <v>-935.86224574793312</v>
      </c>
      <c r="AY42">
        <f t="shared" si="12"/>
        <v>-1029.4484703227265</v>
      </c>
      <c r="AZ42">
        <f t="shared" si="13"/>
        <v>-93.586224574793391</v>
      </c>
    </row>
    <row r="43" spans="1:52" ht="29" x14ac:dyDescent="0.35">
      <c r="A43" s="1">
        <v>42</v>
      </c>
      <c r="B43" s="62">
        <v>1220.838737866377</v>
      </c>
      <c r="C43" s="62">
        <v>2</v>
      </c>
      <c r="D43" s="62">
        <v>3553.3</v>
      </c>
      <c r="E43" s="62">
        <v>1220.8399999999999</v>
      </c>
      <c r="F43" s="62">
        <v>1565.05</v>
      </c>
      <c r="G43" s="62">
        <v>159.86699999999999</v>
      </c>
      <c r="H43" s="62">
        <v>1546.75</v>
      </c>
      <c r="I43" s="62">
        <v>497.50700000000001</v>
      </c>
      <c r="J43" s="62">
        <v>659.64099999999996</v>
      </c>
      <c r="K43" s="62">
        <v>5</v>
      </c>
      <c r="L43" s="62">
        <v>2</v>
      </c>
      <c r="M43" s="62">
        <f>(C43*$S$18*1000)+S30</f>
        <v>8600</v>
      </c>
      <c r="N43" s="62">
        <f>$S$38*C43</f>
        <v>71.2</v>
      </c>
      <c r="O43" s="56">
        <f t="shared" si="4"/>
        <v>2.0037711423184081E-2</v>
      </c>
      <c r="P43" s="56">
        <f t="shared" si="0"/>
        <v>1780</v>
      </c>
      <c r="Q43" s="56"/>
      <c r="R43" s="65" t="s">
        <v>262</v>
      </c>
      <c r="S43" s="1">
        <v>7.0000000000000007E-2</v>
      </c>
      <c r="T43" s="30"/>
      <c r="U43" s="56"/>
      <c r="V43" s="1">
        <v>269.30700000000002</v>
      </c>
      <c r="W43" s="1">
        <f t="shared" si="5"/>
        <v>-8330.6929999999993</v>
      </c>
      <c r="X43" s="1">
        <f t="shared" si="1"/>
        <v>6732.6750000000002</v>
      </c>
      <c r="Y43" s="1">
        <f t="shared" si="6"/>
        <v>-1867.3249999999998</v>
      </c>
      <c r="Z43" s="1">
        <f t="shared" si="2"/>
        <v>0.30181120806140382</v>
      </c>
      <c r="AA43" s="1">
        <f t="shared" si="3"/>
        <v>0.54435669740996329</v>
      </c>
      <c r="AB43" s="1"/>
      <c r="AC43" s="6" t="s">
        <v>328</v>
      </c>
      <c r="AD43" s="1">
        <f t="shared" si="23"/>
        <v>5</v>
      </c>
      <c r="AE43">
        <f t="shared" si="24"/>
        <v>5518.0024700000031</v>
      </c>
      <c r="AF43">
        <f t="shared" si="25"/>
        <v>11640.012350000015</v>
      </c>
      <c r="AG43">
        <f t="shared" si="19"/>
        <v>4103.9774994435684</v>
      </c>
      <c r="AH43">
        <f t="shared" si="21"/>
        <v>7230.7372222366448</v>
      </c>
      <c r="AI43">
        <f t="shared" si="22"/>
        <v>6243.113313308756</v>
      </c>
      <c r="AJ43">
        <f t="shared" si="20"/>
        <v>4643.2738483887824</v>
      </c>
      <c r="AK43">
        <f t="shared" si="26"/>
        <v>8955.4676986527884</v>
      </c>
      <c r="AW43">
        <f t="shared" si="10"/>
        <v>3.018651199769655E-3</v>
      </c>
      <c r="AX43">
        <f t="shared" si="11"/>
        <v>-1170.9180256257846</v>
      </c>
      <c r="AY43">
        <f t="shared" si="12"/>
        <v>-1288.0098281883631</v>
      </c>
      <c r="AZ43">
        <f t="shared" si="13"/>
        <v>-117.09180256257855</v>
      </c>
    </row>
    <row r="44" spans="1:52" x14ac:dyDescent="0.35">
      <c r="A44" s="1">
        <v>43</v>
      </c>
      <c r="B44" s="62">
        <v>3438.0361146713012</v>
      </c>
      <c r="C44" s="62">
        <v>10</v>
      </c>
      <c r="D44" s="62">
        <v>17766.5</v>
      </c>
      <c r="E44" s="62">
        <v>3438.04</v>
      </c>
      <c r="F44" s="62">
        <v>8491</v>
      </c>
      <c r="G44" s="62">
        <v>881.13699999999994</v>
      </c>
      <c r="H44" s="62">
        <v>7948</v>
      </c>
      <c r="I44" s="62">
        <v>1634.71</v>
      </c>
      <c r="J44" s="62">
        <v>1636.63</v>
      </c>
      <c r="K44" s="62">
        <v>25</v>
      </c>
      <c r="L44" s="62">
        <v>9.6999999999999993</v>
      </c>
      <c r="M44" s="62">
        <f>(C44*$S$18*1000)+S35</f>
        <v>34000</v>
      </c>
      <c r="N44" s="62">
        <f>$S$38*C44</f>
        <v>356</v>
      </c>
      <c r="O44" s="56">
        <f t="shared" si="4"/>
        <v>2.0037711423184081E-2</v>
      </c>
      <c r="P44" s="56">
        <f t="shared" si="0"/>
        <v>8900</v>
      </c>
      <c r="Q44" s="56"/>
      <c r="R44" s="65" t="s">
        <v>263</v>
      </c>
      <c r="S44" s="1">
        <v>2.5000000000000001E-2</v>
      </c>
      <c r="T44" s="46"/>
      <c r="U44" s="56"/>
      <c r="V44" s="1">
        <v>1572.32</v>
      </c>
      <c r="W44" s="1">
        <f t="shared" si="5"/>
        <v>-32427.68</v>
      </c>
      <c r="X44" s="1">
        <f t="shared" si="1"/>
        <v>39308</v>
      </c>
      <c r="Y44" s="1">
        <f t="shared" si="6"/>
        <v>5308</v>
      </c>
      <c r="Z44" s="1">
        <f t="shared" si="2"/>
        <v>0.41561238098421771</v>
      </c>
      <c r="AA44" s="1">
        <f t="shared" si="3"/>
        <v>0.75611584545931365</v>
      </c>
      <c r="AB44" s="1"/>
      <c r="AC44" s="1">
        <f>H110</f>
        <v>5518.0024700000031</v>
      </c>
      <c r="AD44" s="1">
        <f t="shared" si="23"/>
        <v>6</v>
      </c>
      <c r="AE44">
        <f t="shared" si="24"/>
        <v>5518.0024700000031</v>
      </c>
      <c r="AF44">
        <f t="shared" si="25"/>
        <v>17158.014820000019</v>
      </c>
      <c r="AG44">
        <f t="shared" si="19"/>
        <v>3868.0278034340886</v>
      </c>
      <c r="AH44">
        <f t="shared" si="21"/>
        <v>11098.765025670733</v>
      </c>
      <c r="AI44">
        <f t="shared" si="22"/>
        <v>6399.1911461414747</v>
      </c>
      <c r="AJ44">
        <f t="shared" si="20"/>
        <v>4485.7263851069756</v>
      </c>
      <c r="AK44">
        <f t="shared" si="26"/>
        <v>13441.194083759765</v>
      </c>
      <c r="AW44">
        <f t="shared" si="10"/>
        <v>8.5009031254542674E-3</v>
      </c>
      <c r="AX44">
        <f t="shared" si="11"/>
        <v>-3297.4530825066913</v>
      </c>
      <c r="AY44">
        <f t="shared" si="12"/>
        <v>-3627.1983907573608</v>
      </c>
      <c r="AZ44">
        <f t="shared" si="13"/>
        <v>-329.7453082506695</v>
      </c>
    </row>
    <row r="45" spans="1:52" x14ac:dyDescent="0.35">
      <c r="A45" s="1">
        <v>44</v>
      </c>
      <c r="B45" s="1">
        <v>1279.200878938675</v>
      </c>
      <c r="C45" s="1">
        <v>2</v>
      </c>
      <c r="D45" s="1">
        <v>3553.3</v>
      </c>
      <c r="E45" s="1">
        <v>1279.2</v>
      </c>
      <c r="F45" s="1">
        <v>1135.29</v>
      </c>
      <c r="G45" s="1">
        <v>107.304</v>
      </c>
      <c r="H45" s="1">
        <v>1864.24</v>
      </c>
      <c r="I45" s="1">
        <v>553.76199999999994</v>
      </c>
      <c r="J45" s="1">
        <v>725.43899999999996</v>
      </c>
      <c r="K45" s="1">
        <v>5</v>
      </c>
      <c r="L45" s="1">
        <v>0</v>
      </c>
      <c r="M45" s="1">
        <f>C45*$S$18*1000</f>
        <v>5200</v>
      </c>
      <c r="N45" s="1">
        <f>$S$19*C45</f>
        <v>53</v>
      </c>
      <c r="O45" s="4">
        <f t="shared" si="4"/>
        <v>1.4915712154898262E-2</v>
      </c>
      <c r="P45" s="4">
        <f t="shared" si="0"/>
        <v>1325</v>
      </c>
      <c r="Q45" s="4"/>
      <c r="R45" s="63"/>
      <c r="S45" s="4"/>
      <c r="T45" s="30"/>
      <c r="U45" s="4"/>
      <c r="V45" s="1">
        <v>242.89599999999999</v>
      </c>
      <c r="W45" s="1">
        <f t="shared" si="5"/>
        <v>-4957.1040000000003</v>
      </c>
      <c r="X45" s="1">
        <f t="shared" si="1"/>
        <v>6072.4</v>
      </c>
      <c r="Y45" s="1">
        <f>X45-M45</f>
        <v>872.39999999999964</v>
      </c>
      <c r="Z45" s="1">
        <f t="shared" si="2"/>
        <v>0.17751722644761284</v>
      </c>
      <c r="AA45" s="1">
        <f t="shared" si="3"/>
        <v>0.31748164582513722</v>
      </c>
      <c r="AB45" s="1"/>
      <c r="AC45" s="1"/>
      <c r="AD45" s="1">
        <f t="shared" si="23"/>
        <v>7</v>
      </c>
      <c r="AE45">
        <f t="shared" si="24"/>
        <v>5518.0024700000031</v>
      </c>
      <c r="AF45">
        <f t="shared" si="25"/>
        <v>22676.017290000022</v>
      </c>
      <c r="AG45">
        <f t="shared" si="19"/>
        <v>3645.6435470632323</v>
      </c>
      <c r="AH45">
        <f t="shared" si="21"/>
        <v>14744.408572733966</v>
      </c>
      <c r="AI45">
        <f t="shared" si="22"/>
        <v>6559.1709247950121</v>
      </c>
      <c r="AJ45">
        <f t="shared" si="20"/>
        <v>4333.5245473465138</v>
      </c>
      <c r="AK45">
        <f t="shared" si="26"/>
        <v>17774.71863110628</v>
      </c>
      <c r="AW45">
        <f t="shared" si="10"/>
        <v>3.1629576848971781E-3</v>
      </c>
      <c r="AX45">
        <f t="shared" si="11"/>
        <v>-1226.8937092898693</v>
      </c>
      <c r="AY45">
        <f t="shared" si="12"/>
        <v>-1349.5830802188564</v>
      </c>
      <c r="AZ45">
        <f t="shared" si="13"/>
        <v>-122.68937092898705</v>
      </c>
    </row>
    <row r="46" spans="1:52" x14ac:dyDescent="0.35">
      <c r="A46" s="62">
        <v>45</v>
      </c>
      <c r="B46" s="62">
        <v>3266.9511427123548</v>
      </c>
      <c r="C46" s="62">
        <v>2</v>
      </c>
      <c r="D46" s="62">
        <v>3553.3</v>
      </c>
      <c r="E46" s="62">
        <v>3266.95</v>
      </c>
      <c r="F46" s="62">
        <v>1185.51</v>
      </c>
      <c r="G46" s="62">
        <v>112.761</v>
      </c>
      <c r="H46" s="62">
        <v>1014.2</v>
      </c>
      <c r="I46" s="62">
        <v>1335.02</v>
      </c>
      <c r="J46" s="62">
        <v>888.14800000000002</v>
      </c>
      <c r="K46" s="62">
        <v>5</v>
      </c>
      <c r="L46" s="62">
        <v>4.2</v>
      </c>
      <c r="M46" s="62">
        <f>(C46*$S$18*1000)+S32</f>
        <v>9904</v>
      </c>
      <c r="N46" s="62">
        <f>$S$38*C46</f>
        <v>71.2</v>
      </c>
      <c r="O46" s="56">
        <f t="shared" si="4"/>
        <v>2.0037711423184081E-2</v>
      </c>
      <c r="P46" s="56">
        <f t="shared" si="0"/>
        <v>1780</v>
      </c>
      <c r="Q46" s="4"/>
      <c r="R46" s="63"/>
      <c r="S46" s="4"/>
      <c r="T46" s="30"/>
      <c r="U46" s="56"/>
      <c r="V46" s="1">
        <v>270.36200000000002</v>
      </c>
      <c r="W46" s="1">
        <f t="shared" si="5"/>
        <v>-9633.6380000000008</v>
      </c>
      <c r="X46" s="1">
        <f t="shared" si="1"/>
        <v>6759.05</v>
      </c>
      <c r="Y46" s="1">
        <f t="shared" si="6"/>
        <v>-3144.95</v>
      </c>
      <c r="Z46" s="1">
        <f t="shared" si="2"/>
        <v>0.14130062069065846</v>
      </c>
      <c r="AA46" s="1">
        <f t="shared" si="3"/>
        <v>0.24568152243981223</v>
      </c>
      <c r="AB46" s="1"/>
      <c r="AC46" s="1"/>
      <c r="AD46" s="1">
        <f t="shared" si="23"/>
        <v>8</v>
      </c>
      <c r="AE46">
        <f t="shared" si="24"/>
        <v>5518.0024700000031</v>
      </c>
      <c r="AF46">
        <f t="shared" si="25"/>
        <v>28194.019760000025</v>
      </c>
      <c r="AG46">
        <f t="shared" si="19"/>
        <v>3436.0448134431972</v>
      </c>
      <c r="AH46">
        <f t="shared" si="21"/>
        <v>18180.453386177163</v>
      </c>
      <c r="AI46">
        <f t="shared" si="22"/>
        <v>6723.1501979148861</v>
      </c>
      <c r="AJ46">
        <f t="shared" si="20"/>
        <v>4186.4869566731159</v>
      </c>
      <c r="AK46">
        <f t="shared" si="26"/>
        <v>21961.205587779397</v>
      </c>
      <c r="AW46" s="79">
        <f t="shared" si="10"/>
        <v>8.0778776759432135E-3</v>
      </c>
      <c r="AX46" s="79">
        <f t="shared" si="11"/>
        <v>-3133.3638614106139</v>
      </c>
      <c r="AY46" s="79">
        <f t="shared" si="12"/>
        <v>-3446.7002475516756</v>
      </c>
      <c r="AZ46" s="79">
        <f t="shared" si="13"/>
        <v>-313.33638614106167</v>
      </c>
    </row>
    <row r="47" spans="1:52" x14ac:dyDescent="0.35">
      <c r="A47" s="70">
        <v>46</v>
      </c>
      <c r="B47" s="70">
        <v>1763.99702425654</v>
      </c>
      <c r="C47" s="70">
        <v>0</v>
      </c>
      <c r="D47" s="70"/>
      <c r="E47" s="70">
        <v>1764</v>
      </c>
      <c r="F47" s="70"/>
      <c r="G47" s="70"/>
      <c r="H47" s="70"/>
      <c r="I47" s="70"/>
      <c r="J47" s="70"/>
      <c r="K47" s="70">
        <v>0</v>
      </c>
      <c r="L47" s="70">
        <v>0</v>
      </c>
      <c r="M47" s="71">
        <f t="shared" ref="M47:M100" si="27">$S$18*C47*1000</f>
        <v>0</v>
      </c>
      <c r="N47" s="71">
        <f t="shared" ref="N47:O78" si="28">$S$19*C47</f>
        <v>0</v>
      </c>
      <c r="O47" s="71">
        <f t="shared" si="28"/>
        <v>0</v>
      </c>
      <c r="P47" s="71">
        <f t="shared" ref="P47:P100" si="29">$S$19*K47</f>
        <v>0</v>
      </c>
      <c r="Q47" s="71"/>
      <c r="R47" s="50" t="s">
        <v>49</v>
      </c>
      <c r="S47" s="4">
        <v>25</v>
      </c>
      <c r="T47" s="30"/>
      <c r="U47" s="71"/>
      <c r="V47" s="70">
        <v>36.3322</v>
      </c>
      <c r="W47" s="70">
        <f t="shared" si="5"/>
        <v>36.3322</v>
      </c>
      <c r="X47" s="70">
        <f t="shared" si="1"/>
        <v>908.30500000000006</v>
      </c>
      <c r="Y47" s="70">
        <f t="shared" si="6"/>
        <v>908.30500000000006</v>
      </c>
      <c r="Z47" s="70">
        <f t="shared" si="2"/>
        <v>0</v>
      </c>
      <c r="AA47" s="70">
        <f t="shared" si="3"/>
        <v>0</v>
      </c>
      <c r="AB47" s="4"/>
      <c r="AC47" s="1"/>
      <c r="AD47" s="1">
        <f t="shared" si="23"/>
        <v>9</v>
      </c>
      <c r="AE47">
        <f t="shared" si="24"/>
        <v>5518.0024700000031</v>
      </c>
      <c r="AF47">
        <f t="shared" si="25"/>
        <v>33712.022230000031</v>
      </c>
      <c r="AG47">
        <f t="shared" si="19"/>
        <v>3238.4965253941541</v>
      </c>
      <c r="AH47">
        <f t="shared" si="21"/>
        <v>21418.949911571319</v>
      </c>
      <c r="AI47">
        <f t="shared" si="22"/>
        <v>6891.2289528627571</v>
      </c>
      <c r="AJ47">
        <f t="shared" si="20"/>
        <v>4044.4383888689381</v>
      </c>
      <c r="AK47">
        <f t="shared" si="26"/>
        <v>26005.643976648335</v>
      </c>
      <c r="AW47">
        <f t="shared" si="10"/>
        <v>4.3616667529474519E-3</v>
      </c>
      <c r="AX47">
        <f>AW47*$AV$2</f>
        <v>-1691.8662955125685</v>
      </c>
      <c r="AY47">
        <f t="shared" ref="AY47:AY103" si="30">AW47*$AV$10</f>
        <v>-915.77778534260324</v>
      </c>
      <c r="AZ47">
        <f>AX47-AY47</f>
        <v>-776.08851016996528</v>
      </c>
    </row>
    <row r="48" spans="1:52" x14ac:dyDescent="0.35">
      <c r="A48" s="1">
        <v>47</v>
      </c>
      <c r="B48" s="1">
        <v>2322.9032263370332</v>
      </c>
      <c r="C48" s="1">
        <v>0</v>
      </c>
      <c r="D48" s="1"/>
      <c r="E48" s="1">
        <v>2322.9</v>
      </c>
      <c r="F48" s="1"/>
      <c r="G48" s="1"/>
      <c r="H48" s="1"/>
      <c r="I48" s="1"/>
      <c r="J48" s="1"/>
      <c r="K48" s="1">
        <v>0</v>
      </c>
      <c r="L48" s="1">
        <v>0</v>
      </c>
      <c r="M48" s="4">
        <f t="shared" si="27"/>
        <v>0</v>
      </c>
      <c r="N48" s="4">
        <f t="shared" si="28"/>
        <v>0</v>
      </c>
      <c r="O48" s="4">
        <f t="shared" si="28"/>
        <v>0</v>
      </c>
      <c r="P48" s="4">
        <f t="shared" si="29"/>
        <v>0</v>
      </c>
      <c r="Q48" s="4"/>
      <c r="R48" s="65"/>
      <c r="S48" s="4"/>
      <c r="T48" s="46"/>
      <c r="U48" s="4"/>
      <c r="V48" s="1">
        <v>48.805199999999999</v>
      </c>
      <c r="W48" s="1">
        <f>V48-M48</f>
        <v>48.805199999999999</v>
      </c>
      <c r="X48" s="1">
        <f t="shared" si="1"/>
        <v>1220.1299999999999</v>
      </c>
      <c r="Y48" s="1">
        <f t="shared" si="6"/>
        <v>1220.1299999999999</v>
      </c>
      <c r="Z48" s="1">
        <f t="shared" si="2"/>
        <v>0</v>
      </c>
      <c r="AA48" s="1">
        <f t="shared" si="3"/>
        <v>0</v>
      </c>
      <c r="AB48" s="4"/>
      <c r="AC48" s="1"/>
      <c r="AD48" s="1">
        <f t="shared" si="23"/>
        <v>10</v>
      </c>
      <c r="AE48">
        <f t="shared" si="24"/>
        <v>5518.0024700000031</v>
      </c>
      <c r="AF48">
        <f t="shared" si="25"/>
        <v>39230.024700000038</v>
      </c>
      <c r="AG48">
        <f t="shared" si="19"/>
        <v>3052.3058674779959</v>
      </c>
      <c r="AH48">
        <f t="shared" si="21"/>
        <v>24471.255779049316</v>
      </c>
      <c r="AI48">
        <f t="shared" si="22"/>
        <v>7063.5096766843262</v>
      </c>
      <c r="AJ48">
        <f t="shared" si="20"/>
        <v>3907.2095651184368</v>
      </c>
      <c r="AK48">
        <f t="shared" si="26"/>
        <v>29912.85354176677</v>
      </c>
      <c r="AW48">
        <f t="shared" si="10"/>
        <v>5.7436206712983317E-3</v>
      </c>
      <c r="AX48">
        <f t="shared" si="11"/>
        <v>-2227.9185408679464</v>
      </c>
      <c r="AY48">
        <f t="shared" si="30"/>
        <v>-1205.9335378282055</v>
      </c>
      <c r="AZ48">
        <f t="shared" ref="AZ48:AZ102" si="31">AX48-AY48</f>
        <v>-1021.9850030397408</v>
      </c>
    </row>
    <row r="49" spans="1:52" x14ac:dyDescent="0.35">
      <c r="A49" s="1">
        <v>48</v>
      </c>
      <c r="B49" s="1">
        <v>1052.7350255677291</v>
      </c>
      <c r="C49" s="1">
        <v>0</v>
      </c>
      <c r="D49" s="1"/>
      <c r="E49" s="1">
        <v>1052.74</v>
      </c>
      <c r="F49" s="1"/>
      <c r="G49" s="1"/>
      <c r="H49" s="1"/>
      <c r="I49" s="1"/>
      <c r="J49" s="1"/>
      <c r="K49" s="1">
        <v>0</v>
      </c>
      <c r="L49" s="1">
        <v>0</v>
      </c>
      <c r="M49" s="4">
        <f t="shared" si="27"/>
        <v>0</v>
      </c>
      <c r="N49" s="4">
        <f t="shared" si="28"/>
        <v>0</v>
      </c>
      <c r="O49" s="4">
        <f t="shared" si="28"/>
        <v>0</v>
      </c>
      <c r="P49" s="4">
        <f t="shared" si="29"/>
        <v>0</v>
      </c>
      <c r="Q49" s="4"/>
      <c r="R49" s="63"/>
      <c r="S49" s="4"/>
      <c r="T49" s="46"/>
      <c r="U49" s="4"/>
      <c r="V49" s="1">
        <v>22.118400000000001</v>
      </c>
      <c r="W49" s="1">
        <f t="shared" si="5"/>
        <v>22.118400000000001</v>
      </c>
      <c r="X49" s="1">
        <f t="shared" si="1"/>
        <v>552.96</v>
      </c>
      <c r="Y49" s="1">
        <f t="shared" si="6"/>
        <v>552.96</v>
      </c>
      <c r="Z49" s="1">
        <f t="shared" si="2"/>
        <v>0</v>
      </c>
      <c r="AA49" s="1">
        <f t="shared" si="3"/>
        <v>0</v>
      </c>
      <c r="AB49" s="4"/>
      <c r="AC49" s="1"/>
      <c r="AD49" s="1">
        <f t="shared" si="23"/>
        <v>11</v>
      </c>
      <c r="AE49">
        <f t="shared" si="24"/>
        <v>5518.0024700000031</v>
      </c>
      <c r="AF49">
        <f t="shared" si="25"/>
        <v>44748.027170000045</v>
      </c>
      <c r="AG49">
        <f t="shared" si="19"/>
        <v>2876.8198562469338</v>
      </c>
      <c r="AH49">
        <f t="shared" si="21"/>
        <v>27348.075635296249</v>
      </c>
      <c r="AI49">
        <f t="shared" si="22"/>
        <v>7240.0974186014346</v>
      </c>
      <c r="AJ49">
        <f t="shared" si="20"/>
        <v>3774.6369502793577</v>
      </c>
      <c r="AK49">
        <f t="shared" si="26"/>
        <v>33687.490492046127</v>
      </c>
      <c r="AW49">
        <f t="shared" si="10"/>
        <v>2.602997225926316E-3</v>
      </c>
      <c r="AX49">
        <f t="shared" si="11"/>
        <v>-1009.6881589776297</v>
      </c>
      <c r="AY49">
        <f t="shared" si="30"/>
        <v>-546.52663071998347</v>
      </c>
      <c r="AZ49">
        <f t="shared" si="31"/>
        <v>-463.16152825764618</v>
      </c>
    </row>
    <row r="50" spans="1:52" x14ac:dyDescent="0.35">
      <c r="A50" s="1">
        <v>49</v>
      </c>
      <c r="B50" s="1">
        <v>2650.8063291642311</v>
      </c>
      <c r="C50" s="1">
        <v>0</v>
      </c>
      <c r="D50" s="1"/>
      <c r="E50" s="1">
        <v>2650.81</v>
      </c>
      <c r="F50" s="1"/>
      <c r="G50" s="1"/>
      <c r="H50" s="1"/>
      <c r="I50" s="1"/>
      <c r="J50" s="1"/>
      <c r="K50" s="1">
        <v>0</v>
      </c>
      <c r="L50" s="1">
        <v>0</v>
      </c>
      <c r="M50" s="4">
        <f t="shared" si="27"/>
        <v>0</v>
      </c>
      <c r="N50" s="4">
        <f t="shared" si="28"/>
        <v>0</v>
      </c>
      <c r="O50" s="4">
        <f t="shared" si="28"/>
        <v>0</v>
      </c>
      <c r="P50" s="4">
        <f t="shared" si="29"/>
        <v>0</v>
      </c>
      <c r="Q50" s="4"/>
      <c r="R50" s="50" t="s">
        <v>280</v>
      </c>
      <c r="S50" s="1">
        <f>1+((1-(1+$S$20)^(1-$S$47))/$S$20)</f>
        <v>13.43521330378282</v>
      </c>
      <c r="T50" s="46"/>
      <c r="U50" s="4"/>
      <c r="V50" s="4">
        <v>53.152200000000001</v>
      </c>
      <c r="W50" s="1">
        <f t="shared" si="5"/>
        <v>53.152200000000001</v>
      </c>
      <c r="X50" s="1">
        <f t="shared" si="1"/>
        <v>1328.8050000000001</v>
      </c>
      <c r="Y50" s="1">
        <f t="shared" si="6"/>
        <v>1328.8050000000001</v>
      </c>
      <c r="Z50" s="1">
        <f t="shared" si="2"/>
        <v>0</v>
      </c>
      <c r="AA50" s="1">
        <f t="shared" si="3"/>
        <v>0</v>
      </c>
      <c r="AB50" s="4"/>
      <c r="AC50" s="1"/>
      <c r="AD50" s="1">
        <f t="shared" si="23"/>
        <v>12</v>
      </c>
      <c r="AE50">
        <f t="shared" si="24"/>
        <v>5518.0024700000031</v>
      </c>
      <c r="AF50">
        <f t="shared" si="25"/>
        <v>50266.029640000052</v>
      </c>
      <c r="AG50">
        <f t="shared" si="19"/>
        <v>2711.4230501856114</v>
      </c>
      <c r="AH50">
        <f t="shared" si="21"/>
        <v>30059.49868548186</v>
      </c>
      <c r="AI50">
        <f t="shared" si="22"/>
        <v>7421.0998540664696</v>
      </c>
      <c r="AJ50">
        <f t="shared" si="20"/>
        <v>3646.5625579984367</v>
      </c>
      <c r="AK50">
        <f t="shared" si="26"/>
        <v>37334.05305004456</v>
      </c>
      <c r="AW50">
        <f t="shared" si="10"/>
        <v>6.554395316676476E-3</v>
      </c>
      <c r="AX50">
        <f t="shared" si="11"/>
        <v>-2542.4135203031542</v>
      </c>
      <c r="AY50">
        <f t="shared" si="30"/>
        <v>-1376.1641976223277</v>
      </c>
      <c r="AZ50">
        <f t="shared" si="31"/>
        <v>-1166.2493226808265</v>
      </c>
    </row>
    <row r="51" spans="1:52" x14ac:dyDescent="0.35">
      <c r="A51" s="1">
        <v>50</v>
      </c>
      <c r="B51" s="1">
        <v>2336.365059758562</v>
      </c>
      <c r="C51" s="1">
        <v>0</v>
      </c>
      <c r="D51" s="1"/>
      <c r="E51" s="1">
        <v>2336.37</v>
      </c>
      <c r="F51" s="1"/>
      <c r="G51" s="1"/>
      <c r="H51" s="1"/>
      <c r="I51" s="1"/>
      <c r="J51" s="1"/>
      <c r="K51" s="1">
        <v>0</v>
      </c>
      <c r="L51" s="1">
        <v>0</v>
      </c>
      <c r="M51" s="4">
        <f t="shared" si="27"/>
        <v>0</v>
      </c>
      <c r="N51" s="4">
        <f t="shared" si="28"/>
        <v>0</v>
      </c>
      <c r="O51" s="4">
        <f t="shared" si="28"/>
        <v>0</v>
      </c>
      <c r="P51" s="4">
        <f t="shared" si="29"/>
        <v>0</v>
      </c>
      <c r="Q51" s="4"/>
      <c r="R51" s="63"/>
      <c r="S51" s="4"/>
      <c r="T51" s="46"/>
      <c r="U51" s="4"/>
      <c r="V51" s="4">
        <v>49.088000000000001</v>
      </c>
      <c r="W51" s="1">
        <f t="shared" si="5"/>
        <v>49.088000000000001</v>
      </c>
      <c r="X51" s="1">
        <f t="shared" si="1"/>
        <v>1227.2</v>
      </c>
      <c r="Y51" s="1">
        <f t="shared" si="6"/>
        <v>1227.2</v>
      </c>
      <c r="Z51" s="1">
        <f t="shared" si="2"/>
        <v>0</v>
      </c>
      <c r="AA51" s="1">
        <f t="shared" si="3"/>
        <v>0</v>
      </c>
      <c r="AB51" s="4"/>
      <c r="AC51" s="1"/>
      <c r="AD51" s="1">
        <f t="shared" si="23"/>
        <v>13</v>
      </c>
      <c r="AE51">
        <f t="shared" si="24"/>
        <v>5518.0024700000031</v>
      </c>
      <c r="AF51">
        <f t="shared" si="25"/>
        <v>55784.032110000058</v>
      </c>
      <c r="AG51">
        <f t="shared" si="19"/>
        <v>2555.5353913153735</v>
      </c>
      <c r="AH51">
        <f t="shared" si="21"/>
        <v>32615.034076797234</v>
      </c>
      <c r="AI51">
        <f t="shared" si="22"/>
        <v>7606.6273504181308</v>
      </c>
      <c r="AJ51">
        <f t="shared" si="20"/>
        <v>3522.8337624395822</v>
      </c>
      <c r="AK51">
        <f t="shared" si="26"/>
        <v>40856.886812484139</v>
      </c>
      <c r="AW51">
        <f t="shared" si="10"/>
        <v>5.7769064594606701E-3</v>
      </c>
      <c r="AX51">
        <f t="shared" si="11"/>
        <v>-2240.8299131256676</v>
      </c>
      <c r="AY51">
        <f t="shared" si="30"/>
        <v>-1212.9222389585912</v>
      </c>
      <c r="AZ51">
        <f t="shared" si="31"/>
        <v>-1027.9076741670765</v>
      </c>
    </row>
    <row r="52" spans="1:52" ht="15" thickBot="1" x14ac:dyDescent="0.4">
      <c r="A52" s="1">
        <v>51</v>
      </c>
      <c r="B52" s="1">
        <v>586.05584352134008</v>
      </c>
      <c r="C52" s="1">
        <v>0</v>
      </c>
      <c r="D52" s="1"/>
      <c r="E52" s="1">
        <v>586.05600000000004</v>
      </c>
      <c r="F52" s="1"/>
      <c r="G52" s="1"/>
      <c r="H52" s="1"/>
      <c r="I52" s="1"/>
      <c r="J52" s="1"/>
      <c r="K52" s="1">
        <v>0</v>
      </c>
      <c r="L52" s="1">
        <v>0</v>
      </c>
      <c r="M52" s="4">
        <f t="shared" si="27"/>
        <v>0</v>
      </c>
      <c r="N52" s="4">
        <f t="shared" si="28"/>
        <v>0</v>
      </c>
      <c r="O52" s="4">
        <f t="shared" si="28"/>
        <v>0</v>
      </c>
      <c r="P52" s="4">
        <f t="shared" si="29"/>
        <v>0</v>
      </c>
      <c r="Q52" s="4"/>
      <c r="R52" s="66"/>
      <c r="S52" s="52"/>
      <c r="T52" s="53"/>
      <c r="U52" s="4"/>
      <c r="V52" s="4">
        <v>11.751200000000001</v>
      </c>
      <c r="W52" s="1">
        <f t="shared" si="5"/>
        <v>11.751200000000001</v>
      </c>
      <c r="X52" s="1">
        <f t="shared" si="1"/>
        <v>293.78000000000003</v>
      </c>
      <c r="Y52" s="1">
        <f t="shared" si="6"/>
        <v>293.78000000000003</v>
      </c>
      <c r="Z52" s="1">
        <f t="shared" si="2"/>
        <v>0</v>
      </c>
      <c r="AA52" s="1">
        <f t="shared" si="3"/>
        <v>0</v>
      </c>
      <c r="AB52" s="4"/>
      <c r="AC52" s="1" t="s">
        <v>6</v>
      </c>
      <c r="AD52" s="1">
        <f t="shared" si="23"/>
        <v>14</v>
      </c>
      <c r="AE52">
        <f t="shared" si="24"/>
        <v>5518.0024700000031</v>
      </c>
      <c r="AF52">
        <f t="shared" si="25"/>
        <v>61302.034580000065</v>
      </c>
      <c r="AG52">
        <f t="shared" si="19"/>
        <v>2408.6101708910214</v>
      </c>
      <c r="AH52">
        <f t="shared" si="21"/>
        <v>35023.644247688258</v>
      </c>
      <c r="AI52">
        <f t="shared" si="22"/>
        <v>7796.7930341785832</v>
      </c>
      <c r="AJ52">
        <f t="shared" si="20"/>
        <v>3403.3031164001618</v>
      </c>
      <c r="AK52">
        <f t="shared" si="26"/>
        <v>44260.189928884298</v>
      </c>
      <c r="AW52">
        <f t="shared" si="10"/>
        <v>1.4490842404538294E-3</v>
      </c>
      <c r="AX52">
        <f t="shared" si="11"/>
        <v>-562.09172425324016</v>
      </c>
      <c r="AY52">
        <f t="shared" si="30"/>
        <v>-304.25046929614984</v>
      </c>
      <c r="AZ52">
        <f t="shared" si="31"/>
        <v>-257.84125495709031</v>
      </c>
    </row>
    <row r="53" spans="1:52" x14ac:dyDescent="0.35">
      <c r="A53" s="1">
        <v>52</v>
      </c>
      <c r="B53" s="1">
        <v>5329.6971333659421</v>
      </c>
      <c r="C53" s="1">
        <v>0</v>
      </c>
      <c r="D53" s="1"/>
      <c r="E53" s="1">
        <v>5329.7</v>
      </c>
      <c r="F53" s="1"/>
      <c r="G53" s="1"/>
      <c r="H53" s="1"/>
      <c r="I53" s="1"/>
      <c r="J53" s="1"/>
      <c r="K53" s="1">
        <v>0</v>
      </c>
      <c r="L53" s="1">
        <v>0</v>
      </c>
      <c r="M53" s="4">
        <f t="shared" si="27"/>
        <v>0</v>
      </c>
      <c r="N53" s="4">
        <f t="shared" si="28"/>
        <v>0</v>
      </c>
      <c r="O53" s="4">
        <f t="shared" si="28"/>
        <v>0</v>
      </c>
      <c r="P53" s="4">
        <f t="shared" si="29"/>
        <v>0</v>
      </c>
      <c r="Q53" s="4"/>
      <c r="R53" s="4"/>
      <c r="S53" s="4"/>
      <c r="T53" s="4"/>
      <c r="U53" s="4"/>
      <c r="V53" s="4">
        <v>110.047</v>
      </c>
      <c r="W53" s="1">
        <f t="shared" si="5"/>
        <v>110.047</v>
      </c>
      <c r="X53" s="1">
        <f t="shared" si="1"/>
        <v>2751.1749999999997</v>
      </c>
      <c r="Y53" s="1">
        <f t="shared" si="6"/>
        <v>2751.1749999999997</v>
      </c>
      <c r="Z53" s="1">
        <f t="shared" si="2"/>
        <v>0</v>
      </c>
      <c r="AA53" s="1">
        <f t="shared" si="3"/>
        <v>0</v>
      </c>
      <c r="AB53" s="4"/>
      <c r="AC53" s="1"/>
      <c r="AD53" s="1">
        <f t="shared" si="23"/>
        <v>15</v>
      </c>
      <c r="AE53">
        <f t="shared" si="24"/>
        <v>5518.0024700000031</v>
      </c>
      <c r="AF53">
        <f t="shared" si="25"/>
        <v>66820.037050000072</v>
      </c>
      <c r="AG53">
        <f t="shared" si="19"/>
        <v>2270.1321120556281</v>
      </c>
      <c r="AH53">
        <f t="shared" si="21"/>
        <v>37293.77635974389</v>
      </c>
      <c r="AI53">
        <f t="shared" si="22"/>
        <v>7991.7128600330498</v>
      </c>
      <c r="AJ53">
        <f t="shared" si="20"/>
        <v>3287.8281755986495</v>
      </c>
      <c r="AK53">
        <f t="shared" si="26"/>
        <v>47548.018104482944</v>
      </c>
      <c r="AW53">
        <f t="shared" si="10"/>
        <v>1.3178232429093275E-2</v>
      </c>
      <c r="AX53">
        <f t="shared" si="11"/>
        <v>-5111.7631272831559</v>
      </c>
      <c r="AY53">
        <f t="shared" si="30"/>
        <v>-2766.9084302439624</v>
      </c>
      <c r="AZ53">
        <f t="shared" si="31"/>
        <v>-2344.8546970391935</v>
      </c>
    </row>
    <row r="54" spans="1:52" x14ac:dyDescent="0.35">
      <c r="A54" s="1">
        <v>53</v>
      </c>
      <c r="B54" s="1">
        <v>5328.3833046167756</v>
      </c>
      <c r="C54" s="1">
        <v>0</v>
      </c>
      <c r="D54" s="1"/>
      <c r="E54" s="1">
        <v>5328.38</v>
      </c>
      <c r="F54" s="1"/>
      <c r="G54" s="1"/>
      <c r="H54" s="1"/>
      <c r="I54" s="1"/>
      <c r="J54" s="1"/>
      <c r="K54" s="1">
        <v>0</v>
      </c>
      <c r="L54" s="1">
        <v>0</v>
      </c>
      <c r="M54" s="4">
        <f t="shared" si="27"/>
        <v>0</v>
      </c>
      <c r="N54" s="4">
        <f t="shared" si="28"/>
        <v>0</v>
      </c>
      <c r="O54" s="4">
        <f t="shared" si="28"/>
        <v>0</v>
      </c>
      <c r="P54" s="4">
        <f t="shared" si="29"/>
        <v>0</v>
      </c>
      <c r="Q54" s="4"/>
      <c r="R54" s="4"/>
      <c r="S54" s="4"/>
      <c r="T54" s="4"/>
      <c r="U54" s="4"/>
      <c r="V54" s="4">
        <v>104.018</v>
      </c>
      <c r="W54" s="1">
        <f t="shared" si="5"/>
        <v>104.018</v>
      </c>
      <c r="X54" s="1">
        <f t="shared" si="1"/>
        <v>2600.4499999999998</v>
      </c>
      <c r="Y54" s="1">
        <f t="shared" si="6"/>
        <v>2600.4499999999998</v>
      </c>
      <c r="Z54" s="1">
        <f t="shared" si="2"/>
        <v>0</v>
      </c>
      <c r="AA54" s="1">
        <f t="shared" si="3"/>
        <v>0</v>
      </c>
      <c r="AB54" s="4"/>
      <c r="AC54" s="1"/>
      <c r="AD54" s="1">
        <f t="shared" si="23"/>
        <v>16</v>
      </c>
      <c r="AE54">
        <f t="shared" si="24"/>
        <v>5518.0024700000031</v>
      </c>
      <c r="AF54">
        <f t="shared" si="25"/>
        <v>72338.039520000078</v>
      </c>
      <c r="AG54">
        <f t="shared" si="19"/>
        <v>2139.61556272915</v>
      </c>
      <c r="AH54">
        <f t="shared" si="21"/>
        <v>39433.391922473042</v>
      </c>
      <c r="AI54">
        <f t="shared" si="22"/>
        <v>8191.5056815338748</v>
      </c>
      <c r="AJ54">
        <f t="shared" si="20"/>
        <v>3176.271328924237</v>
      </c>
      <c r="AK54">
        <f t="shared" si="26"/>
        <v>50724.289433407183</v>
      </c>
      <c r="AW54">
        <f t="shared" si="10"/>
        <v>1.3174983850385086E-2</v>
      </c>
      <c r="AX54">
        <f t="shared" si="11"/>
        <v>-5110.5030216547311</v>
      </c>
      <c r="AY54">
        <f t="shared" si="30"/>
        <v>-2766.2263569945821</v>
      </c>
      <c r="AZ54">
        <f t="shared" si="31"/>
        <v>-2344.276664660149</v>
      </c>
    </row>
    <row r="55" spans="1:52" x14ac:dyDescent="0.35">
      <c r="A55" s="1">
        <v>54</v>
      </c>
      <c r="B55" s="1">
        <v>1132.850191183687</v>
      </c>
      <c r="C55" s="1">
        <v>0</v>
      </c>
      <c r="D55" s="1"/>
      <c r="E55" s="1">
        <v>1132.8499999999999</v>
      </c>
      <c r="F55" s="1"/>
      <c r="G55" s="1"/>
      <c r="H55" s="1"/>
      <c r="I55" s="1"/>
      <c r="J55" s="1"/>
      <c r="K55" s="1">
        <v>0</v>
      </c>
      <c r="L55" s="1">
        <v>0</v>
      </c>
      <c r="M55" s="4">
        <f t="shared" si="27"/>
        <v>0</v>
      </c>
      <c r="N55" s="4">
        <f t="shared" si="28"/>
        <v>0</v>
      </c>
      <c r="O55" s="4">
        <f t="shared" si="28"/>
        <v>0</v>
      </c>
      <c r="P55" s="4">
        <f t="shared" si="29"/>
        <v>0</v>
      </c>
      <c r="Q55" s="4"/>
      <c r="R55" s="4"/>
      <c r="S55" s="4"/>
      <c r="T55" s="4"/>
      <c r="U55" s="4"/>
      <c r="V55" s="4">
        <v>23.8017</v>
      </c>
      <c r="W55" s="1">
        <f t="shared" si="5"/>
        <v>23.8017</v>
      </c>
      <c r="X55" s="1">
        <f t="shared" si="1"/>
        <v>595.04250000000002</v>
      </c>
      <c r="Y55" s="1">
        <f t="shared" si="6"/>
        <v>595.04250000000002</v>
      </c>
      <c r="Z55" s="1">
        <f t="shared" si="2"/>
        <v>0</v>
      </c>
      <c r="AA55" s="1">
        <f t="shared" si="3"/>
        <v>0</v>
      </c>
      <c r="AB55" s="4"/>
      <c r="AC55" s="1"/>
      <c r="AD55" s="1">
        <f t="shared" si="23"/>
        <v>17</v>
      </c>
      <c r="AE55">
        <f t="shared" si="24"/>
        <v>5518.0024700000031</v>
      </c>
      <c r="AF55">
        <f t="shared" si="25"/>
        <v>77856.041990000085</v>
      </c>
      <c r="AG55">
        <f t="shared" si="19"/>
        <v>2016.6027923931672</v>
      </c>
      <c r="AH55">
        <f t="shared" si="21"/>
        <v>41449.99471486621</v>
      </c>
      <c r="AI55">
        <f t="shared" si="22"/>
        <v>8396.2933235722212</v>
      </c>
      <c r="AJ55">
        <f t="shared" si="20"/>
        <v>3068.4996344461292</v>
      </c>
      <c r="AK55">
        <f t="shared" si="26"/>
        <v>53792.789067853315</v>
      </c>
      <c r="AW55">
        <f t="shared" si="10"/>
        <v>2.8010903346271524E-3</v>
      </c>
      <c r="AX55">
        <f t="shared" si="11"/>
        <v>-1086.5273750313947</v>
      </c>
      <c r="AY55">
        <f t="shared" si="30"/>
        <v>-588.11836127920014</v>
      </c>
      <c r="AZ55">
        <f t="shared" si="31"/>
        <v>-498.4090137521946</v>
      </c>
    </row>
    <row r="56" spans="1:52" x14ac:dyDescent="0.35">
      <c r="A56" s="1">
        <v>55</v>
      </c>
      <c r="B56" s="1">
        <v>1734.337401732017</v>
      </c>
      <c r="C56" s="1">
        <v>0</v>
      </c>
      <c r="D56" s="1"/>
      <c r="E56" s="1">
        <v>1734.34</v>
      </c>
      <c r="F56" s="1"/>
      <c r="G56" s="1"/>
      <c r="H56" s="1"/>
      <c r="I56" s="1"/>
      <c r="J56" s="1"/>
      <c r="K56" s="1">
        <v>0</v>
      </c>
      <c r="L56" s="1">
        <v>0</v>
      </c>
      <c r="M56" s="4">
        <f t="shared" si="27"/>
        <v>0</v>
      </c>
      <c r="N56" s="4">
        <f t="shared" si="28"/>
        <v>0</v>
      </c>
      <c r="O56" s="4">
        <f t="shared" si="28"/>
        <v>0</v>
      </c>
      <c r="P56" s="4">
        <f t="shared" si="29"/>
        <v>0</v>
      </c>
      <c r="Q56" s="4"/>
      <c r="R56" s="4"/>
      <c r="S56" s="4"/>
      <c r="T56" s="4"/>
      <c r="U56" s="4"/>
      <c r="V56" s="4">
        <v>36.4392</v>
      </c>
      <c r="W56" s="1">
        <f t="shared" si="5"/>
        <v>36.4392</v>
      </c>
      <c r="X56" s="1">
        <f t="shared" si="1"/>
        <v>910.98</v>
      </c>
      <c r="Y56" s="1">
        <f t="shared" si="6"/>
        <v>910.98</v>
      </c>
      <c r="Z56" s="1">
        <f t="shared" si="2"/>
        <v>0</v>
      </c>
      <c r="AA56" s="1">
        <f t="shared" si="3"/>
        <v>0</v>
      </c>
      <c r="AB56" s="4"/>
      <c r="AC56" s="1"/>
      <c r="AD56" s="1">
        <f>AD55+1</f>
        <v>18</v>
      </c>
      <c r="AE56">
        <f t="shared" si="24"/>
        <v>5518.0024700000031</v>
      </c>
      <c r="AF56">
        <f t="shared" si="25"/>
        <v>83374.044460000092</v>
      </c>
      <c r="AG56">
        <f t="shared" si="19"/>
        <v>1900.6623867984608</v>
      </c>
      <c r="AH56">
        <f t="shared" si="21"/>
        <v>43350.65710166467</v>
      </c>
      <c r="AI56">
        <f t="shared" si="22"/>
        <v>8606.2006566615273</v>
      </c>
      <c r="AJ56">
        <f t="shared" si="20"/>
        <v>2964.3846609870711</v>
      </c>
      <c r="AK56">
        <f t="shared" si="26"/>
        <v>56757.173728840389</v>
      </c>
      <c r="AW56">
        <f t="shared" si="10"/>
        <v>4.2883302406453942E-3</v>
      </c>
      <c r="AX56">
        <f t="shared" si="11"/>
        <v>-1663.4194699245181</v>
      </c>
      <c r="AY56">
        <f t="shared" si="30"/>
        <v>-900.38001365925652</v>
      </c>
      <c r="AZ56">
        <f t="shared" si="31"/>
        <v>-763.03945626526161</v>
      </c>
    </row>
    <row r="57" spans="1:52" x14ac:dyDescent="0.35">
      <c r="A57" s="1">
        <v>56</v>
      </c>
      <c r="B57" s="1">
        <v>1696.5437943175671</v>
      </c>
      <c r="C57" s="1">
        <v>0</v>
      </c>
      <c r="D57" s="1"/>
      <c r="E57" s="1">
        <v>1696.54</v>
      </c>
      <c r="F57" s="1"/>
      <c r="G57" s="1"/>
      <c r="H57" s="1"/>
      <c r="I57" s="1"/>
      <c r="J57" s="1"/>
      <c r="K57" s="1">
        <v>0</v>
      </c>
      <c r="L57" s="1">
        <v>0</v>
      </c>
      <c r="M57" s="4">
        <f t="shared" si="27"/>
        <v>0</v>
      </c>
      <c r="N57" s="4">
        <f t="shared" si="28"/>
        <v>0</v>
      </c>
      <c r="O57" s="4">
        <f t="shared" si="28"/>
        <v>0</v>
      </c>
      <c r="P57" s="4">
        <f t="shared" si="29"/>
        <v>0</v>
      </c>
      <c r="Q57" s="4"/>
      <c r="R57" s="4"/>
      <c r="S57" s="4"/>
      <c r="T57" s="4"/>
      <c r="U57" s="4"/>
      <c r="V57" s="4">
        <v>33.6798</v>
      </c>
      <c r="W57" s="1">
        <f t="shared" si="5"/>
        <v>33.6798</v>
      </c>
      <c r="X57" s="1">
        <f t="shared" si="1"/>
        <v>841.995</v>
      </c>
      <c r="Y57" s="1">
        <f t="shared" si="6"/>
        <v>841.995</v>
      </c>
      <c r="Z57" s="1">
        <f t="shared" si="2"/>
        <v>0</v>
      </c>
      <c r="AA57" s="1">
        <f t="shared" si="3"/>
        <v>0</v>
      </c>
      <c r="AB57" s="4"/>
      <c r="AC57" s="1"/>
      <c r="AD57" s="1">
        <f t="shared" ref="AD57:AD61" si="32">AD56+1</f>
        <v>19</v>
      </c>
      <c r="AE57">
        <f t="shared" si="24"/>
        <v>5518.0024700000031</v>
      </c>
      <c r="AF57">
        <f t="shared" si="25"/>
        <v>88892.046930000099</v>
      </c>
      <c r="AG57">
        <f t="shared" si="19"/>
        <v>1791.3877349655618</v>
      </c>
      <c r="AH57">
        <f t="shared" si="21"/>
        <v>45142.04483663023</v>
      </c>
      <c r="AI57">
        <f t="shared" si="22"/>
        <v>8821.3556730780656</v>
      </c>
      <c r="AJ57">
        <f t="shared" si="20"/>
        <v>2863.8023350723356</v>
      </c>
      <c r="AK57">
        <f t="shared" si="26"/>
        <v>59620.976063912727</v>
      </c>
      <c r="AW57">
        <f t="shared" si="10"/>
        <v>4.1948816017492885E-3</v>
      </c>
      <c r="AX57">
        <f t="shared" si="11"/>
        <v>-1627.1712621945246</v>
      </c>
      <c r="AY57">
        <f t="shared" si="30"/>
        <v>-880.75948957549303</v>
      </c>
      <c r="AZ57">
        <f t="shared" si="31"/>
        <v>-746.41177261903158</v>
      </c>
    </row>
    <row r="58" spans="1:52" x14ac:dyDescent="0.35">
      <c r="A58" s="1">
        <v>57</v>
      </c>
      <c r="B58" s="1">
        <v>2227.6855671211929</v>
      </c>
      <c r="C58" s="1">
        <v>0</v>
      </c>
      <c r="D58" s="1"/>
      <c r="E58" s="1">
        <v>2227.69</v>
      </c>
      <c r="F58" s="1"/>
      <c r="G58" s="1"/>
      <c r="H58" s="1"/>
      <c r="I58" s="1"/>
      <c r="J58" s="1"/>
      <c r="K58" s="1">
        <v>0</v>
      </c>
      <c r="L58" s="1">
        <v>0</v>
      </c>
      <c r="M58" s="4">
        <f t="shared" si="27"/>
        <v>0</v>
      </c>
      <c r="N58" s="4">
        <f t="shared" si="28"/>
        <v>0</v>
      </c>
      <c r="O58" s="4">
        <f t="shared" si="28"/>
        <v>0</v>
      </c>
      <c r="P58" s="4">
        <f t="shared" si="29"/>
        <v>0</v>
      </c>
      <c r="Q58" s="4"/>
      <c r="R58" s="4"/>
      <c r="S58" s="4"/>
      <c r="T58" s="4"/>
      <c r="U58" s="4"/>
      <c r="V58" s="4">
        <v>43.985100000000003</v>
      </c>
      <c r="W58" s="1">
        <f t="shared" si="5"/>
        <v>43.985100000000003</v>
      </c>
      <c r="X58" s="1">
        <f t="shared" si="1"/>
        <v>1099.6275000000001</v>
      </c>
      <c r="Y58" s="1">
        <f t="shared" si="6"/>
        <v>1099.6275000000001</v>
      </c>
      <c r="Z58" s="1">
        <f t="shared" si="2"/>
        <v>0</v>
      </c>
      <c r="AA58" s="1">
        <f t="shared" si="3"/>
        <v>0</v>
      </c>
      <c r="AB58" s="4"/>
      <c r="AC58" s="1"/>
      <c r="AD58" s="1">
        <f t="shared" si="32"/>
        <v>20</v>
      </c>
      <c r="AE58">
        <f t="shared" si="24"/>
        <v>5518.0024700000031</v>
      </c>
      <c r="AF58">
        <f t="shared" si="25"/>
        <v>94410.049400000105</v>
      </c>
      <c r="AG58">
        <f t="shared" si="19"/>
        <v>1688.3956031720656</v>
      </c>
      <c r="AH58">
        <f t="shared" si="21"/>
        <v>46830.440439802296</v>
      </c>
      <c r="AI58">
        <f t="shared" si="22"/>
        <v>9041.8895649050155</v>
      </c>
      <c r="AJ58">
        <f t="shared" si="20"/>
        <v>2766.6327930717657</v>
      </c>
      <c r="AK58">
        <f t="shared" si="26"/>
        <v>62387.608856984494</v>
      </c>
      <c r="AW58">
        <f t="shared" si="10"/>
        <v>5.5081850709065181E-3</v>
      </c>
      <c r="AX58">
        <f t="shared" si="11"/>
        <v>-2136.5943798009639</v>
      </c>
      <c r="AY58">
        <f t="shared" si="30"/>
        <v>-1156.5013585880281</v>
      </c>
      <c r="AZ58">
        <f t="shared" si="31"/>
        <v>-980.09302121293581</v>
      </c>
    </row>
    <row r="59" spans="1:52" x14ac:dyDescent="0.35">
      <c r="A59" s="1">
        <v>58</v>
      </c>
      <c r="B59" s="1">
        <v>404.30530639696019</v>
      </c>
      <c r="C59" s="1">
        <v>0</v>
      </c>
      <c r="D59" s="1"/>
      <c r="E59" s="1">
        <v>404.30500000000001</v>
      </c>
      <c r="F59" s="1"/>
      <c r="G59" s="1"/>
      <c r="H59" s="1"/>
      <c r="I59" s="1"/>
      <c r="J59" s="1"/>
      <c r="K59" s="1">
        <v>0</v>
      </c>
      <c r="L59" s="1">
        <v>0</v>
      </c>
      <c r="M59" s="4">
        <f t="shared" si="27"/>
        <v>0</v>
      </c>
      <c r="N59" s="4">
        <f t="shared" si="28"/>
        <v>0</v>
      </c>
      <c r="O59" s="4">
        <f t="shared" si="28"/>
        <v>0</v>
      </c>
      <c r="P59" s="4">
        <f t="shared" si="29"/>
        <v>0</v>
      </c>
      <c r="Q59" s="4"/>
      <c r="R59" s="4"/>
      <c r="S59" s="4"/>
      <c r="T59" s="4"/>
      <c r="U59" s="4"/>
      <c r="V59" s="4">
        <v>7.2637200000000002</v>
      </c>
      <c r="W59" s="1">
        <f t="shared" si="5"/>
        <v>7.2637200000000002</v>
      </c>
      <c r="X59" s="1">
        <f t="shared" si="1"/>
        <v>181.59300000000002</v>
      </c>
      <c r="Y59" s="1">
        <f t="shared" si="6"/>
        <v>181.59300000000002</v>
      </c>
      <c r="Z59" s="1">
        <f t="shared" si="2"/>
        <v>0</v>
      </c>
      <c r="AA59" s="1">
        <f t="shared" si="3"/>
        <v>0</v>
      </c>
      <c r="AB59" s="4"/>
      <c r="AC59" s="1"/>
      <c r="AD59" s="1">
        <f t="shared" si="32"/>
        <v>21</v>
      </c>
      <c r="AE59">
        <f t="shared" si="24"/>
        <v>5518.0024700000031</v>
      </c>
      <c r="AF59">
        <f t="shared" si="25"/>
        <v>99928.051870000112</v>
      </c>
      <c r="AG59">
        <f t="shared" si="19"/>
        <v>1591.324790925604</v>
      </c>
      <c r="AH59">
        <f t="shared" si="21"/>
        <v>48421.765230727899</v>
      </c>
      <c r="AI59">
        <f t="shared" si="22"/>
        <v>9267.9368040276404</v>
      </c>
      <c r="AJ59">
        <f t="shared" si="20"/>
        <v>2672.7602383586805</v>
      </c>
      <c r="AK59">
        <f t="shared" si="26"/>
        <v>65060.369095343172</v>
      </c>
      <c r="AW59">
        <f t="shared" si="10"/>
        <v>9.9968706789348551E-4</v>
      </c>
      <c r="AX59">
        <f t="shared" si="11"/>
        <v>-387.7730583350575</v>
      </c>
      <c r="AY59">
        <f t="shared" si="30"/>
        <v>-209.89480877980463</v>
      </c>
      <c r="AZ59">
        <f t="shared" si="31"/>
        <v>-177.87824955525286</v>
      </c>
    </row>
    <row r="60" spans="1:52" x14ac:dyDescent="0.35">
      <c r="A60" s="1">
        <v>59</v>
      </c>
      <c r="B60" s="1">
        <v>3141.552121160008</v>
      </c>
      <c r="C60" s="1">
        <v>0</v>
      </c>
      <c r="D60" s="1"/>
      <c r="E60" s="1">
        <v>3141.55</v>
      </c>
      <c r="F60" s="1"/>
      <c r="G60" s="1"/>
      <c r="H60" s="1"/>
      <c r="I60" s="1"/>
      <c r="J60" s="1"/>
      <c r="K60" s="1">
        <v>0</v>
      </c>
      <c r="L60" s="1">
        <v>0</v>
      </c>
      <c r="M60" s="4">
        <f t="shared" si="27"/>
        <v>0</v>
      </c>
      <c r="N60" s="4">
        <f t="shared" si="28"/>
        <v>0</v>
      </c>
      <c r="O60" s="4">
        <f t="shared" si="28"/>
        <v>0</v>
      </c>
      <c r="P60" s="4">
        <f t="shared" si="29"/>
        <v>0</v>
      </c>
      <c r="Q60" s="4"/>
      <c r="R60" s="4"/>
      <c r="S60" s="4"/>
      <c r="T60" s="4"/>
      <c r="U60" s="4"/>
      <c r="V60" s="4">
        <v>63.6265</v>
      </c>
      <c r="W60" s="1">
        <f t="shared" si="5"/>
        <v>63.6265</v>
      </c>
      <c r="X60" s="1">
        <f t="shared" si="1"/>
        <v>1590.6624999999999</v>
      </c>
      <c r="Y60" s="1">
        <f t="shared" si="6"/>
        <v>1590.6624999999999</v>
      </c>
      <c r="Z60" s="1">
        <f t="shared" si="2"/>
        <v>0</v>
      </c>
      <c r="AA60" s="1">
        <f t="shared" si="3"/>
        <v>0</v>
      </c>
      <c r="AB60" s="4"/>
      <c r="AC60" s="1"/>
      <c r="AD60" s="1">
        <f t="shared" si="32"/>
        <v>22</v>
      </c>
      <c r="AE60">
        <f t="shared" si="24"/>
        <v>5518.0024700000031</v>
      </c>
      <c r="AF60">
        <f t="shared" si="25"/>
        <v>105446.05434000012</v>
      </c>
      <c r="AG60">
        <f t="shared" si="19"/>
        <v>1499.8348642088631</v>
      </c>
      <c r="AH60">
        <f t="shared" si="21"/>
        <v>49921.600094936759</v>
      </c>
      <c r="AI60">
        <f t="shared" si="22"/>
        <v>9499.6352241283312</v>
      </c>
      <c r="AJ60">
        <f t="shared" si="20"/>
        <v>2582.0728033154073</v>
      </c>
      <c r="AK60">
        <f t="shared" si="26"/>
        <v>67642.441898658581</v>
      </c>
      <c r="AW60">
        <f t="shared" si="10"/>
        <v>7.7678155071096069E-3</v>
      </c>
      <c r="AX60">
        <f t="shared" si="11"/>
        <v>-3013.0924691478708</v>
      </c>
      <c r="AY60">
        <f t="shared" si="30"/>
        <v>-1630.9345222772156</v>
      </c>
      <c r="AZ60">
        <f t="shared" si="31"/>
        <v>-1382.1579468706552</v>
      </c>
    </row>
    <row r="61" spans="1:52" x14ac:dyDescent="0.35">
      <c r="A61" s="1">
        <v>60</v>
      </c>
      <c r="B61" s="1">
        <v>2862.8042339526478</v>
      </c>
      <c r="C61" s="1">
        <v>0</v>
      </c>
      <c r="D61" s="1"/>
      <c r="E61" s="1">
        <v>2862.8</v>
      </c>
      <c r="F61" s="1"/>
      <c r="G61" s="1"/>
      <c r="H61" s="1"/>
      <c r="I61" s="1"/>
      <c r="J61" s="1"/>
      <c r="K61" s="1">
        <v>0</v>
      </c>
      <c r="L61" s="1">
        <v>0</v>
      </c>
      <c r="M61" s="4">
        <f t="shared" si="27"/>
        <v>0</v>
      </c>
      <c r="N61" s="4">
        <f t="shared" si="28"/>
        <v>0</v>
      </c>
      <c r="O61" s="4">
        <f t="shared" si="28"/>
        <v>0</v>
      </c>
      <c r="P61" s="4">
        <f t="shared" si="29"/>
        <v>0</v>
      </c>
      <c r="Q61" s="4"/>
      <c r="R61" s="4"/>
      <c r="S61" s="4"/>
      <c r="T61" s="4"/>
      <c r="U61" s="4"/>
      <c r="V61" s="4">
        <v>59.825899999999997</v>
      </c>
      <c r="W61" s="1">
        <f t="shared" si="5"/>
        <v>59.825899999999997</v>
      </c>
      <c r="X61" s="1">
        <f t="shared" si="1"/>
        <v>1495.6475</v>
      </c>
      <c r="Y61" s="1">
        <f t="shared" si="6"/>
        <v>1495.6475</v>
      </c>
      <c r="Z61" s="1">
        <f t="shared" si="2"/>
        <v>0</v>
      </c>
      <c r="AA61" s="1">
        <f t="shared" si="3"/>
        <v>0</v>
      </c>
      <c r="AB61" s="4"/>
      <c r="AC61" s="1"/>
      <c r="AD61" s="1">
        <f t="shared" si="32"/>
        <v>23</v>
      </c>
      <c r="AE61">
        <f t="shared" si="24"/>
        <v>5518.0024700000031</v>
      </c>
      <c r="AF61">
        <f t="shared" si="25"/>
        <v>110964.05681000013</v>
      </c>
      <c r="AG61">
        <f t="shared" si="19"/>
        <v>1413.6049615540655</v>
      </c>
      <c r="AH61">
        <f t="shared" si="21"/>
        <v>51335.205056490828</v>
      </c>
      <c r="AI61">
        <f t="shared" si="22"/>
        <v>9737.1261047315384</v>
      </c>
      <c r="AJ61">
        <f t="shared" si="20"/>
        <v>2494.462416021011</v>
      </c>
      <c r="AK61">
        <f t="shared" si="26"/>
        <v>70136.904314679588</v>
      </c>
      <c r="AW61">
        <f t="shared" si="10"/>
        <v>7.0785822627399868E-3</v>
      </c>
      <c r="AX61">
        <f t="shared" si="11"/>
        <v>-2745.7427237534671</v>
      </c>
      <c r="AY61">
        <f t="shared" si="30"/>
        <v>-1486.2227572881143</v>
      </c>
      <c r="AZ61">
        <f t="shared" si="31"/>
        <v>-1259.5199664653528</v>
      </c>
    </row>
    <row r="62" spans="1:52" x14ac:dyDescent="0.35">
      <c r="A62" s="1">
        <v>61</v>
      </c>
      <c r="B62" s="1">
        <v>2954.0094942934988</v>
      </c>
      <c r="C62" s="1">
        <v>0</v>
      </c>
      <c r="D62" s="1"/>
      <c r="E62" s="1">
        <v>2954.01</v>
      </c>
      <c r="F62" s="1"/>
      <c r="G62" s="1"/>
      <c r="H62" s="1"/>
      <c r="I62" s="1"/>
      <c r="J62" s="1"/>
      <c r="K62" s="1">
        <v>0</v>
      </c>
      <c r="L62" s="1">
        <v>0</v>
      </c>
      <c r="M62" s="4">
        <f t="shared" si="27"/>
        <v>0</v>
      </c>
      <c r="N62" s="4">
        <f t="shared" si="28"/>
        <v>0</v>
      </c>
      <c r="O62" s="4">
        <f t="shared" si="28"/>
        <v>0</v>
      </c>
      <c r="P62" s="4">
        <f t="shared" si="29"/>
        <v>0</v>
      </c>
      <c r="Q62" s="4"/>
      <c r="R62" s="4"/>
      <c r="S62" s="4"/>
      <c r="T62" s="4"/>
      <c r="U62" s="4"/>
      <c r="V62" s="4">
        <v>64.215500000000006</v>
      </c>
      <c r="W62" s="1">
        <f t="shared" si="5"/>
        <v>64.215500000000006</v>
      </c>
      <c r="X62" s="1">
        <f t="shared" si="1"/>
        <v>1605.3875</v>
      </c>
      <c r="Y62" s="1">
        <f t="shared" si="6"/>
        <v>1605.3875</v>
      </c>
      <c r="Z62" s="1">
        <f t="shared" si="2"/>
        <v>0</v>
      </c>
      <c r="AA62" s="1">
        <f t="shared" si="3"/>
        <v>0</v>
      </c>
      <c r="AB62" s="4"/>
      <c r="AC62" s="1"/>
      <c r="AD62" s="1">
        <f>AD61+1</f>
        <v>24</v>
      </c>
      <c r="AE62">
        <f t="shared" si="24"/>
        <v>5518.0024700000031</v>
      </c>
      <c r="AF62">
        <f t="shared" si="25"/>
        <v>116482.05928000013</v>
      </c>
      <c r="AG62">
        <f t="shared" si="19"/>
        <v>1332.3326687597225</v>
      </c>
      <c r="AH62">
        <f t="shared" si="21"/>
        <v>52667.53772525055</v>
      </c>
      <c r="AI62">
        <f t="shared" si="22"/>
        <v>9980.554257349826</v>
      </c>
      <c r="AJ62">
        <f t="shared" si="20"/>
        <v>2409.8246714623338</v>
      </c>
      <c r="AK62">
        <f t="shared" si="26"/>
        <v>72546.728986141927</v>
      </c>
      <c r="AW62">
        <f t="shared" si="10"/>
        <v>7.3040967881345346E-3</v>
      </c>
      <c r="AX62">
        <f t="shared" si="11"/>
        <v>-2833.2185549608184</v>
      </c>
      <c r="AY62">
        <f t="shared" si="30"/>
        <v>-1533.5719025406368</v>
      </c>
      <c r="AZ62">
        <f t="shared" si="31"/>
        <v>-1299.6466524201817</v>
      </c>
    </row>
    <row r="63" spans="1:52" x14ac:dyDescent="0.35">
      <c r="A63" s="1">
        <v>62</v>
      </c>
      <c r="B63" s="1">
        <v>1204.0745303370161</v>
      </c>
      <c r="C63" s="1">
        <v>0</v>
      </c>
      <c r="D63" s="1"/>
      <c r="E63" s="1">
        <v>1204.07</v>
      </c>
      <c r="F63" s="1"/>
      <c r="G63" s="1"/>
      <c r="H63" s="1"/>
      <c r="I63" s="1"/>
      <c r="J63" s="1"/>
      <c r="K63" s="1">
        <v>0</v>
      </c>
      <c r="L63" s="1">
        <v>0</v>
      </c>
      <c r="M63" s="4">
        <f t="shared" si="27"/>
        <v>0</v>
      </c>
      <c r="N63" s="4">
        <f t="shared" si="28"/>
        <v>0</v>
      </c>
      <c r="O63" s="4">
        <f t="shared" si="28"/>
        <v>0</v>
      </c>
      <c r="P63" s="4">
        <f t="shared" si="29"/>
        <v>0</v>
      </c>
      <c r="Q63" s="4"/>
      <c r="R63" s="4"/>
      <c r="S63" s="4"/>
      <c r="T63" s="4"/>
      <c r="U63" s="4"/>
      <c r="V63" s="4">
        <v>25.6633</v>
      </c>
      <c r="W63" s="1">
        <f t="shared" si="5"/>
        <v>25.6633</v>
      </c>
      <c r="X63" s="1">
        <f t="shared" si="1"/>
        <v>641.58249999999998</v>
      </c>
      <c r="Y63" s="1">
        <f>X63-M63</f>
        <v>641.58249999999998</v>
      </c>
      <c r="Z63" s="1">
        <f t="shared" si="2"/>
        <v>0</v>
      </c>
      <c r="AA63" s="1">
        <f t="shared" si="3"/>
        <v>0</v>
      </c>
      <c r="AB63" s="4"/>
      <c r="AC63" s="1"/>
      <c r="AD63" s="1">
        <f t="shared" ref="AD63" si="33">AD62+1</f>
        <v>25</v>
      </c>
      <c r="AE63">
        <f t="shared" si="24"/>
        <v>5518.0024700000031</v>
      </c>
      <c r="AF63">
        <f t="shared" si="25"/>
        <v>122000.06175000014</v>
      </c>
      <c r="AG63">
        <f t="shared" si="19"/>
        <v>1255.7329583032256</v>
      </c>
      <c r="AH63">
        <f t="shared" si="21"/>
        <v>53923.270683553776</v>
      </c>
      <c r="AI63">
        <f t="shared" si="22"/>
        <v>10230.068113783571</v>
      </c>
      <c r="AJ63">
        <f t="shared" si="20"/>
        <v>2328.0587071148839</v>
      </c>
      <c r="AK63">
        <f t="shared" si="26"/>
        <v>74874.787693256803</v>
      </c>
      <c r="AW63">
        <f t="shared" si="10"/>
        <v>2.9771999469529777E-3</v>
      </c>
      <c r="AX63">
        <f t="shared" si="11"/>
        <v>-1154.8393150044571</v>
      </c>
      <c r="AY63">
        <f t="shared" si="30"/>
        <v>-625.09442568033842</v>
      </c>
      <c r="AZ63">
        <f t="shared" si="31"/>
        <v>-529.74488932411873</v>
      </c>
    </row>
    <row r="64" spans="1:52" x14ac:dyDescent="0.35">
      <c r="A64" s="1">
        <v>63</v>
      </c>
      <c r="B64" s="1">
        <v>13474.18710799874</v>
      </c>
      <c r="C64" s="1">
        <v>0</v>
      </c>
      <c r="D64" s="1"/>
      <c r="E64" s="1">
        <v>13474.2</v>
      </c>
      <c r="F64" s="1"/>
      <c r="G64" s="1"/>
      <c r="H64" s="1"/>
      <c r="I64" s="1"/>
      <c r="J64" s="1"/>
      <c r="K64" s="1">
        <v>0</v>
      </c>
      <c r="L64" s="1">
        <v>0</v>
      </c>
      <c r="M64" s="4">
        <f t="shared" si="27"/>
        <v>0</v>
      </c>
      <c r="N64" s="4">
        <f t="shared" si="28"/>
        <v>0</v>
      </c>
      <c r="O64" s="4">
        <f t="shared" si="28"/>
        <v>0</v>
      </c>
      <c r="P64" s="4">
        <f t="shared" si="29"/>
        <v>0</v>
      </c>
      <c r="Q64" s="4"/>
      <c r="R64" s="4"/>
      <c r="S64" s="4"/>
      <c r="T64" s="4"/>
      <c r="U64" s="4"/>
      <c r="V64" s="4">
        <v>279.54399999999998</v>
      </c>
      <c r="W64" s="1">
        <f t="shared" si="5"/>
        <v>279.54399999999998</v>
      </c>
      <c r="X64" s="1">
        <f t="shared" si="1"/>
        <v>6988.5999999999995</v>
      </c>
      <c r="Y64" s="1">
        <f t="shared" si="6"/>
        <v>6988.5999999999995</v>
      </c>
      <c r="Z64" s="1">
        <f t="shared" si="2"/>
        <v>0</v>
      </c>
      <c r="AA64" s="1">
        <f t="shared" si="3"/>
        <v>0</v>
      </c>
      <c r="AB64" s="4"/>
      <c r="AW64">
        <f t="shared" si="10"/>
        <v>3.33163339415046E-2</v>
      </c>
      <c r="AX64">
        <f t="shared" si="11"/>
        <v>-12923.220795715873</v>
      </c>
      <c r="AY64">
        <f t="shared" si="30"/>
        <v>-6995.1145378238543</v>
      </c>
      <c r="AZ64">
        <f t="shared" si="31"/>
        <v>-5928.1062578920191</v>
      </c>
    </row>
    <row r="65" spans="1:52" x14ac:dyDescent="0.35">
      <c r="A65" s="1">
        <v>64</v>
      </c>
      <c r="B65" s="1">
        <v>3713.6923624805509</v>
      </c>
      <c r="C65" s="1">
        <v>0</v>
      </c>
      <c r="D65" s="1"/>
      <c r="E65" s="1">
        <v>3713.69</v>
      </c>
      <c r="F65" s="1"/>
      <c r="G65" s="1"/>
      <c r="H65" s="1"/>
      <c r="I65" s="1"/>
      <c r="J65" s="1"/>
      <c r="K65" s="1">
        <v>0</v>
      </c>
      <c r="L65" s="1">
        <v>0</v>
      </c>
      <c r="M65" s="4">
        <f t="shared" si="27"/>
        <v>0</v>
      </c>
      <c r="N65" s="4">
        <f t="shared" si="28"/>
        <v>0</v>
      </c>
      <c r="O65" s="4">
        <f t="shared" si="28"/>
        <v>0</v>
      </c>
      <c r="P65" s="4">
        <f t="shared" si="29"/>
        <v>0</v>
      </c>
      <c r="Q65" s="4"/>
      <c r="R65" s="4"/>
      <c r="S65" s="4"/>
      <c r="T65" s="4"/>
      <c r="U65" s="4"/>
      <c r="V65" s="4">
        <v>78.026300000000006</v>
      </c>
      <c r="W65" s="1">
        <f t="shared" si="5"/>
        <v>78.026300000000006</v>
      </c>
      <c r="X65" s="1">
        <f t="shared" si="1"/>
        <v>1950.6575000000003</v>
      </c>
      <c r="Y65" s="1">
        <f t="shared" si="6"/>
        <v>1950.6575000000003</v>
      </c>
      <c r="Z65" s="1">
        <f t="shared" si="2"/>
        <v>0</v>
      </c>
      <c r="AA65" s="1">
        <f t="shared" si="3"/>
        <v>0</v>
      </c>
      <c r="AB65" s="4"/>
      <c r="AE65" s="18" t="s">
        <v>51</v>
      </c>
      <c r="AF65" s="4">
        <f>AD41-(AF41/AE42)</f>
        <v>2.8905387568628602</v>
      </c>
      <c r="AG65" s="4"/>
      <c r="AH65" s="10">
        <f>AD42-(AH42/AG43)</f>
        <v>3.2381147988221151</v>
      </c>
      <c r="AI65" s="10"/>
      <c r="AJ65" s="10"/>
      <c r="AK65" s="10">
        <f>AD41-(AK41/AJ42)</f>
        <v>3.1028140593050848</v>
      </c>
      <c r="AW65">
        <f t="shared" si="10"/>
        <v>9.1824919687339673E-3</v>
      </c>
      <c r="AX65">
        <f t="shared" si="11"/>
        <v>-3561.8376071985567</v>
      </c>
      <c r="AY65">
        <f t="shared" si="30"/>
        <v>-1927.9607167078645</v>
      </c>
      <c r="AZ65">
        <f t="shared" si="31"/>
        <v>-1633.8768904906922</v>
      </c>
    </row>
    <row r="66" spans="1:52" x14ac:dyDescent="0.35">
      <c r="A66" s="1">
        <v>65</v>
      </c>
      <c r="B66" s="1">
        <v>1118.1009256975681</v>
      </c>
      <c r="C66" s="1">
        <v>0</v>
      </c>
      <c r="D66" s="1"/>
      <c r="E66" s="1">
        <v>1118.0999999999999</v>
      </c>
      <c r="F66" s="1"/>
      <c r="G66" s="1"/>
      <c r="H66" s="1"/>
      <c r="I66" s="1"/>
      <c r="J66" s="1"/>
      <c r="K66" s="1">
        <v>0</v>
      </c>
      <c r="L66" s="1">
        <v>0</v>
      </c>
      <c r="M66" s="4">
        <f t="shared" si="27"/>
        <v>0</v>
      </c>
      <c r="N66" s="4">
        <f t="shared" si="28"/>
        <v>0</v>
      </c>
      <c r="O66" s="4">
        <f t="shared" si="28"/>
        <v>0</v>
      </c>
      <c r="P66" s="4">
        <f t="shared" si="29"/>
        <v>0</v>
      </c>
      <c r="Q66" s="4"/>
      <c r="R66" s="4"/>
      <c r="S66" s="4"/>
      <c r="T66" s="4"/>
      <c r="U66" s="4"/>
      <c r="V66" s="4">
        <v>23.491800000000001</v>
      </c>
      <c r="W66" s="1">
        <f t="shared" si="5"/>
        <v>23.491800000000001</v>
      </c>
      <c r="X66" s="1">
        <f t="shared" ref="X66:X100" si="34">V66*$S$47</f>
        <v>587.29500000000007</v>
      </c>
      <c r="Y66" s="1">
        <f t="shared" si="6"/>
        <v>587.29500000000007</v>
      </c>
      <c r="Z66" s="1">
        <f t="shared" ref="Z66:Z100" si="35">(M66/($S$47*B66))+O66</f>
        <v>0</v>
      </c>
      <c r="AA66" s="1">
        <f t="shared" ref="AA66:AA100" si="36">(M66/($S$50*B66))+O66</f>
        <v>0</v>
      </c>
      <c r="AB66" s="4"/>
      <c r="AW66">
        <f t="shared" si="10"/>
        <v>2.7646212363142946E-3</v>
      </c>
      <c r="AX66">
        <f t="shared" si="11"/>
        <v>-1072.3812144560679</v>
      </c>
      <c r="AY66">
        <f t="shared" si="30"/>
        <v>-580.46129071923087</v>
      </c>
      <c r="AZ66">
        <f t="shared" si="31"/>
        <v>-491.91992373683706</v>
      </c>
    </row>
    <row r="67" spans="1:52" x14ac:dyDescent="0.35">
      <c r="A67" s="1">
        <v>66</v>
      </c>
      <c r="B67" s="1">
        <v>789.18834550043005</v>
      </c>
      <c r="C67" s="1">
        <v>0</v>
      </c>
      <c r="D67" s="1"/>
      <c r="E67" s="1">
        <v>789.18799999999999</v>
      </c>
      <c r="F67" s="1"/>
      <c r="G67" s="1"/>
      <c r="H67" s="1"/>
      <c r="I67" s="1"/>
      <c r="J67" s="1"/>
      <c r="K67" s="1">
        <v>0</v>
      </c>
      <c r="L67" s="1">
        <v>0</v>
      </c>
      <c r="M67" s="4">
        <f t="shared" si="27"/>
        <v>0</v>
      </c>
      <c r="N67" s="4">
        <f t="shared" si="28"/>
        <v>0</v>
      </c>
      <c r="O67" s="4">
        <f t="shared" si="28"/>
        <v>0</v>
      </c>
      <c r="P67" s="4">
        <f t="shared" si="29"/>
        <v>0</v>
      </c>
      <c r="Q67" s="4"/>
      <c r="R67" s="1" t="s">
        <v>247</v>
      </c>
      <c r="S67" s="1">
        <v>24000</v>
      </c>
      <c r="T67" s="4" t="s">
        <v>268</v>
      </c>
      <c r="U67" s="4"/>
      <c r="V67" s="4">
        <v>16.784199999999998</v>
      </c>
      <c r="W67" s="1">
        <f t="shared" ref="W67:W100" si="37">V67-M67</f>
        <v>16.784199999999998</v>
      </c>
      <c r="X67" s="1">
        <f t="shared" si="34"/>
        <v>419.60499999999996</v>
      </c>
      <c r="Y67" s="1">
        <f t="shared" ref="Y67:Y80" si="38">X67-M67</f>
        <v>419.60499999999996</v>
      </c>
      <c r="Z67" s="1">
        <f t="shared" si="35"/>
        <v>0</v>
      </c>
      <c r="AA67" s="1">
        <f t="shared" si="36"/>
        <v>0</v>
      </c>
      <c r="AB67" s="4"/>
      <c r="AW67">
        <f t="shared" ref="AW67:AW103" si="39">B67/$B$102</f>
        <v>1.9513505527786158E-3</v>
      </c>
      <c r="AX67">
        <f t="shared" ref="AX67:AX103" si="40">AW67*$AV$2</f>
        <v>-756.91803569013609</v>
      </c>
      <c r="AY67">
        <f t="shared" si="30"/>
        <v>-409.70656147516888</v>
      </c>
      <c r="AZ67">
        <f t="shared" si="31"/>
        <v>-347.21147421496721</v>
      </c>
    </row>
    <row r="68" spans="1:52" x14ac:dyDescent="0.35">
      <c r="A68" s="1">
        <v>67</v>
      </c>
      <c r="B68" s="1">
        <v>1631.3808757786551</v>
      </c>
      <c r="C68" s="1">
        <v>0</v>
      </c>
      <c r="D68" s="1"/>
      <c r="E68" s="1">
        <v>1631.38</v>
      </c>
      <c r="F68" s="1"/>
      <c r="G68" s="1"/>
      <c r="H68" s="1"/>
      <c r="I68" s="1"/>
      <c r="J68" s="1"/>
      <c r="K68" s="1">
        <v>0</v>
      </c>
      <c r="L68" s="1">
        <v>0</v>
      </c>
      <c r="M68" s="4">
        <f t="shared" si="27"/>
        <v>0</v>
      </c>
      <c r="N68" s="4">
        <f t="shared" si="28"/>
        <v>0</v>
      </c>
      <c r="O68" s="4">
        <f t="shared" si="28"/>
        <v>0</v>
      </c>
      <c r="P68" s="4">
        <f t="shared" si="29"/>
        <v>0</v>
      </c>
      <c r="Q68" s="4"/>
      <c r="R68" s="4" t="s">
        <v>247</v>
      </c>
      <c r="S68" s="4">
        <v>26000</v>
      </c>
      <c r="T68" s="4" t="s">
        <v>264</v>
      </c>
      <c r="U68" s="4"/>
      <c r="V68" s="4">
        <v>31.626000000000001</v>
      </c>
      <c r="W68" s="1">
        <f t="shared" si="37"/>
        <v>31.626000000000001</v>
      </c>
      <c r="X68" s="1">
        <f t="shared" si="34"/>
        <v>790.65</v>
      </c>
      <c r="Y68" s="1">
        <f t="shared" si="38"/>
        <v>790.65</v>
      </c>
      <c r="Z68" s="1">
        <f t="shared" si="35"/>
        <v>0</v>
      </c>
      <c r="AA68" s="1">
        <f t="shared" si="36"/>
        <v>0</v>
      </c>
      <c r="AB68" s="4"/>
      <c r="AW68">
        <f t="shared" si="39"/>
        <v>4.0337594845303078E-3</v>
      </c>
      <c r="AX68">
        <f t="shared" si="40"/>
        <v>-1564.6728882873003</v>
      </c>
      <c r="AY68">
        <f t="shared" si="30"/>
        <v>-846.9302073230607</v>
      </c>
      <c r="AZ68">
        <f t="shared" si="31"/>
        <v>-717.74268096423964</v>
      </c>
    </row>
    <row r="69" spans="1:52" x14ac:dyDescent="0.35">
      <c r="A69" s="1">
        <v>68</v>
      </c>
      <c r="B69" s="1">
        <v>4258.9353884654111</v>
      </c>
      <c r="C69" s="1">
        <v>0</v>
      </c>
      <c r="D69" s="1"/>
      <c r="E69" s="1">
        <v>4258.9399999999996</v>
      </c>
      <c r="F69" s="1"/>
      <c r="G69" s="1"/>
      <c r="H69" s="1"/>
      <c r="I69" s="1"/>
      <c r="J69" s="1"/>
      <c r="K69" s="1">
        <v>0</v>
      </c>
      <c r="L69" s="1">
        <v>0</v>
      </c>
      <c r="M69" s="4">
        <f t="shared" si="27"/>
        <v>0</v>
      </c>
      <c r="N69" s="4">
        <f t="shared" si="28"/>
        <v>0</v>
      </c>
      <c r="O69" s="4">
        <f t="shared" si="28"/>
        <v>0</v>
      </c>
      <c r="P69" s="4">
        <f t="shared" si="29"/>
        <v>0</v>
      </c>
      <c r="Q69" s="4"/>
      <c r="R69" s="4" t="s">
        <v>247</v>
      </c>
      <c r="S69" s="4">
        <v>32500</v>
      </c>
      <c r="T69" s="4" t="s">
        <v>265</v>
      </c>
      <c r="U69" s="4"/>
      <c r="V69" s="4">
        <v>86.851900000000001</v>
      </c>
      <c r="W69" s="1">
        <f t="shared" si="37"/>
        <v>86.851900000000001</v>
      </c>
      <c r="X69" s="1">
        <f t="shared" si="34"/>
        <v>2171.2975000000001</v>
      </c>
      <c r="Y69" s="1">
        <f t="shared" si="38"/>
        <v>2171.2975000000001</v>
      </c>
      <c r="Z69" s="1">
        <f t="shared" si="35"/>
        <v>0</v>
      </c>
      <c r="AA69" s="1">
        <f t="shared" si="36"/>
        <v>0</v>
      </c>
      <c r="AB69" s="4"/>
      <c r="AW69">
        <f t="shared" si="39"/>
        <v>1.053066225814641E-2</v>
      </c>
      <c r="AX69">
        <f t="shared" si="40"/>
        <v>-4084.7853706256856</v>
      </c>
      <c r="AY69">
        <f t="shared" si="30"/>
        <v>-2211.0232411587549</v>
      </c>
      <c r="AZ69">
        <f t="shared" si="31"/>
        <v>-1873.7621294669307</v>
      </c>
    </row>
    <row r="70" spans="1:52" x14ac:dyDescent="0.35">
      <c r="A70" s="1">
        <v>69</v>
      </c>
      <c r="B70" s="1">
        <v>4490.8701254733214</v>
      </c>
      <c r="C70" s="1">
        <v>0</v>
      </c>
      <c r="D70" s="1"/>
      <c r="E70" s="1">
        <v>4490.87</v>
      </c>
      <c r="F70" s="1"/>
      <c r="G70" s="1"/>
      <c r="H70" s="1"/>
      <c r="I70" s="1"/>
      <c r="J70" s="1"/>
      <c r="K70" s="1">
        <v>0</v>
      </c>
      <c r="L70" s="1">
        <v>0</v>
      </c>
      <c r="M70" s="4">
        <f t="shared" si="27"/>
        <v>0</v>
      </c>
      <c r="N70" s="4">
        <f t="shared" si="28"/>
        <v>0</v>
      </c>
      <c r="O70" s="4">
        <f t="shared" si="28"/>
        <v>0</v>
      </c>
      <c r="P70" s="4">
        <f t="shared" si="29"/>
        <v>0</v>
      </c>
      <c r="Q70" s="4"/>
      <c r="R70" s="4" t="s">
        <v>247</v>
      </c>
      <c r="S70" s="4">
        <v>34600</v>
      </c>
      <c r="T70" s="4" t="s">
        <v>266</v>
      </c>
      <c r="U70" s="4"/>
      <c r="V70" s="4">
        <v>90.9893</v>
      </c>
      <c r="W70" s="1">
        <f t="shared" si="37"/>
        <v>90.9893</v>
      </c>
      <c r="X70" s="1">
        <f t="shared" si="34"/>
        <v>2274.7325000000001</v>
      </c>
      <c r="Y70" s="1">
        <f t="shared" si="38"/>
        <v>2274.7325000000001</v>
      </c>
      <c r="Z70" s="1">
        <f t="shared" si="35"/>
        <v>0</v>
      </c>
      <c r="AA70" s="1">
        <f t="shared" si="36"/>
        <v>0</v>
      </c>
      <c r="AB70" s="4"/>
      <c r="AW70">
        <f t="shared" si="39"/>
        <v>1.1104145102703576E-2</v>
      </c>
      <c r="AX70">
        <f t="shared" si="40"/>
        <v>-4307.2361791624171</v>
      </c>
      <c r="AY70">
        <f t="shared" si="30"/>
        <v>-2331.431992919911</v>
      </c>
      <c r="AZ70">
        <f t="shared" si="31"/>
        <v>-1975.8041862425061</v>
      </c>
    </row>
    <row r="71" spans="1:52" x14ac:dyDescent="0.35">
      <c r="A71" s="1">
        <v>70</v>
      </c>
      <c r="B71" s="1">
        <v>6097.7538980173758</v>
      </c>
      <c r="C71" s="1">
        <v>0</v>
      </c>
      <c r="D71" s="1"/>
      <c r="E71" s="1">
        <v>6097.75</v>
      </c>
      <c r="F71" s="1"/>
      <c r="G71" s="1"/>
      <c r="H71" s="1"/>
      <c r="I71" s="1"/>
      <c r="J71" s="1"/>
      <c r="K71" s="1">
        <v>0</v>
      </c>
      <c r="L71" s="1">
        <v>0</v>
      </c>
      <c r="M71" s="4">
        <f t="shared" si="27"/>
        <v>0</v>
      </c>
      <c r="N71" s="4">
        <f t="shared" si="28"/>
        <v>0</v>
      </c>
      <c r="O71" s="4">
        <f t="shared" si="28"/>
        <v>0</v>
      </c>
      <c r="P71" s="4">
        <f t="shared" si="29"/>
        <v>0</v>
      </c>
      <c r="Q71" s="4"/>
      <c r="R71" s="4"/>
      <c r="S71" s="4"/>
      <c r="T71" s="4"/>
      <c r="U71" s="4"/>
      <c r="V71" s="4">
        <v>124.14400000000001</v>
      </c>
      <c r="W71" s="1">
        <f t="shared" si="37"/>
        <v>124.14400000000001</v>
      </c>
      <c r="X71" s="1">
        <f t="shared" si="34"/>
        <v>3103.6000000000004</v>
      </c>
      <c r="Y71" s="1">
        <f t="shared" si="38"/>
        <v>3103.6000000000004</v>
      </c>
      <c r="Z71" s="1">
        <f t="shared" si="35"/>
        <v>0</v>
      </c>
      <c r="AA71" s="1">
        <f t="shared" si="36"/>
        <v>0</v>
      </c>
      <c r="AB71" s="4"/>
      <c r="AW71">
        <f t="shared" si="39"/>
        <v>1.5077332942694453E-2</v>
      </c>
      <c r="AX71">
        <f t="shared" si="40"/>
        <v>-5848.4136631319116</v>
      </c>
      <c r="AY71">
        <f t="shared" si="30"/>
        <v>-3165.6445467327867</v>
      </c>
      <c r="AZ71">
        <f t="shared" si="31"/>
        <v>-2682.7691163991249</v>
      </c>
    </row>
    <row r="72" spans="1:52" x14ac:dyDescent="0.35">
      <c r="A72" s="1">
        <v>71</v>
      </c>
      <c r="B72" s="1">
        <v>4593.5313049109664</v>
      </c>
      <c r="C72" s="1">
        <v>0</v>
      </c>
      <c r="D72" s="1"/>
      <c r="E72" s="1">
        <v>4593.53</v>
      </c>
      <c r="F72" s="1"/>
      <c r="G72" s="1"/>
      <c r="H72" s="1"/>
      <c r="I72" s="1"/>
      <c r="J72" s="1"/>
      <c r="K72" s="1">
        <v>0</v>
      </c>
      <c r="L72" s="1">
        <v>0</v>
      </c>
      <c r="M72" s="4">
        <f t="shared" si="27"/>
        <v>0</v>
      </c>
      <c r="N72" s="4">
        <f t="shared" si="28"/>
        <v>0</v>
      </c>
      <c r="O72" s="4">
        <f t="shared" si="28"/>
        <v>0</v>
      </c>
      <c r="P72" s="4">
        <f t="shared" si="29"/>
        <v>0</v>
      </c>
      <c r="Q72" s="4"/>
      <c r="R72" s="4"/>
      <c r="S72" s="4"/>
      <c r="T72" s="4"/>
      <c r="U72" s="4"/>
      <c r="V72" s="4">
        <v>96.512100000000004</v>
      </c>
      <c r="W72" s="1">
        <f t="shared" si="37"/>
        <v>96.512100000000004</v>
      </c>
      <c r="X72" s="1">
        <f t="shared" si="34"/>
        <v>2412.8025000000002</v>
      </c>
      <c r="Y72" s="1">
        <f t="shared" si="38"/>
        <v>2412.8025000000002</v>
      </c>
      <c r="Z72" s="1">
        <f t="shared" si="35"/>
        <v>0</v>
      </c>
      <c r="AA72" s="1">
        <f t="shared" si="36"/>
        <v>0</v>
      </c>
      <c r="AB72" s="4"/>
      <c r="AW72">
        <f t="shared" si="39"/>
        <v>1.1357985583732882E-2</v>
      </c>
      <c r="AX72">
        <f t="shared" si="40"/>
        <v>-4405.6994911520287</v>
      </c>
      <c r="AY72">
        <f t="shared" si="30"/>
        <v>-2384.7284703250753</v>
      </c>
      <c r="AZ72">
        <f t="shared" si="31"/>
        <v>-2020.9710208269535</v>
      </c>
    </row>
    <row r="73" spans="1:52" x14ac:dyDescent="0.35">
      <c r="A73" s="1">
        <v>72</v>
      </c>
      <c r="B73" s="1">
        <v>8062.2213477933838</v>
      </c>
      <c r="C73" s="1">
        <v>0</v>
      </c>
      <c r="D73" s="1"/>
      <c r="E73" s="1">
        <v>8062.22</v>
      </c>
      <c r="F73" s="1"/>
      <c r="G73" s="1"/>
      <c r="H73" s="1"/>
      <c r="I73" s="1"/>
      <c r="J73" s="1"/>
      <c r="K73" s="1">
        <v>0</v>
      </c>
      <c r="L73" s="1">
        <v>0</v>
      </c>
      <c r="M73" s="4">
        <f t="shared" si="27"/>
        <v>0</v>
      </c>
      <c r="N73" s="4">
        <f t="shared" si="28"/>
        <v>0</v>
      </c>
      <c r="O73" s="4">
        <f t="shared" si="28"/>
        <v>0</v>
      </c>
      <c r="P73" s="4">
        <f t="shared" si="29"/>
        <v>0</v>
      </c>
      <c r="Q73" s="4"/>
      <c r="R73" s="4"/>
      <c r="S73" s="4"/>
      <c r="T73" s="4"/>
      <c r="U73" s="4"/>
      <c r="V73" s="4">
        <v>174.48599999999999</v>
      </c>
      <c r="W73" s="1">
        <f t="shared" si="37"/>
        <v>174.48599999999999</v>
      </c>
      <c r="X73" s="1">
        <f t="shared" si="34"/>
        <v>4362.1499999999996</v>
      </c>
      <c r="Y73" s="1">
        <f t="shared" si="38"/>
        <v>4362.1499999999996</v>
      </c>
      <c r="Z73" s="1">
        <f t="shared" si="35"/>
        <v>0</v>
      </c>
      <c r="AA73" s="1">
        <f t="shared" si="36"/>
        <v>0</v>
      </c>
      <c r="AB73" s="4"/>
      <c r="AW73">
        <f t="shared" si="39"/>
        <v>1.9934683746076182E-2</v>
      </c>
      <c r="AX73">
        <f t="shared" si="40"/>
        <v>-7732.5530472719392</v>
      </c>
      <c r="AY73">
        <f t="shared" si="30"/>
        <v>-4185.4964091766724</v>
      </c>
      <c r="AZ73">
        <f t="shared" si="31"/>
        <v>-3547.0566380952669</v>
      </c>
    </row>
    <row r="74" spans="1:52" x14ac:dyDescent="0.35">
      <c r="A74" s="1">
        <v>73</v>
      </c>
      <c r="B74" s="1">
        <v>4657.9117518025187</v>
      </c>
      <c r="C74" s="1">
        <v>0</v>
      </c>
      <c r="D74" s="1"/>
      <c r="E74" s="1">
        <v>4657.91</v>
      </c>
      <c r="F74" s="1"/>
      <c r="G74" s="1"/>
      <c r="H74" s="1"/>
      <c r="I74" s="1"/>
      <c r="J74" s="1"/>
      <c r="K74" s="1">
        <v>0</v>
      </c>
      <c r="L74" s="1">
        <v>0</v>
      </c>
      <c r="M74" s="4">
        <f t="shared" si="27"/>
        <v>0</v>
      </c>
      <c r="N74" s="4">
        <f t="shared" si="28"/>
        <v>0</v>
      </c>
      <c r="O74" s="4">
        <f t="shared" si="28"/>
        <v>0</v>
      </c>
      <c r="P74" s="4">
        <f t="shared" si="29"/>
        <v>0</v>
      </c>
      <c r="Q74" s="4"/>
      <c r="R74" s="4"/>
      <c r="S74" s="4"/>
      <c r="T74" s="4"/>
      <c r="U74" s="4"/>
      <c r="V74" s="4">
        <v>98.659400000000005</v>
      </c>
      <c r="W74" s="1">
        <f t="shared" si="37"/>
        <v>98.659400000000005</v>
      </c>
      <c r="X74" s="1">
        <f t="shared" si="34"/>
        <v>2466.4850000000001</v>
      </c>
      <c r="Y74" s="1">
        <f t="shared" si="38"/>
        <v>2466.4850000000001</v>
      </c>
      <c r="Z74" s="1">
        <f t="shared" si="35"/>
        <v>0</v>
      </c>
      <c r="AA74" s="1">
        <f t="shared" si="36"/>
        <v>0</v>
      </c>
      <c r="AB74" s="4"/>
      <c r="AW74">
        <f t="shared" si="39"/>
        <v>1.1517172958136269E-2</v>
      </c>
      <c r="AX74">
        <f t="shared" si="40"/>
        <v>-4467.4473890725267</v>
      </c>
      <c r="AY74">
        <f t="shared" si="30"/>
        <v>-2418.1515329850372</v>
      </c>
      <c r="AZ74">
        <f t="shared" si="31"/>
        <v>-2049.2958560874895</v>
      </c>
    </row>
    <row r="75" spans="1:52" x14ac:dyDescent="0.35">
      <c r="A75" s="1">
        <v>74</v>
      </c>
      <c r="B75" s="1">
        <v>4129.0607113934348</v>
      </c>
      <c r="C75" s="1">
        <v>0</v>
      </c>
      <c r="D75" s="1"/>
      <c r="E75" s="1">
        <v>4129.0600000000004</v>
      </c>
      <c r="F75" s="1"/>
      <c r="G75" s="1"/>
      <c r="H75" s="1"/>
      <c r="I75" s="1"/>
      <c r="J75" s="1"/>
      <c r="K75" s="1">
        <v>0</v>
      </c>
      <c r="L75" s="1">
        <v>0</v>
      </c>
      <c r="M75" s="4">
        <f t="shared" si="27"/>
        <v>0</v>
      </c>
      <c r="N75" s="4">
        <f t="shared" si="28"/>
        <v>0</v>
      </c>
      <c r="O75" s="4">
        <f t="shared" si="28"/>
        <v>0</v>
      </c>
      <c r="P75" s="4">
        <f t="shared" si="29"/>
        <v>0</v>
      </c>
      <c r="Q75" s="4"/>
      <c r="R75" s="4"/>
      <c r="S75" s="4"/>
      <c r="T75" s="4"/>
      <c r="U75" s="4"/>
      <c r="V75" s="4">
        <v>86.753399999999999</v>
      </c>
      <c r="W75" s="1">
        <f t="shared" si="37"/>
        <v>86.753399999999999</v>
      </c>
      <c r="X75" s="1">
        <f t="shared" si="34"/>
        <v>2168.835</v>
      </c>
      <c r="Y75" s="1">
        <f t="shared" si="38"/>
        <v>2168.835</v>
      </c>
      <c r="Z75" s="1">
        <f t="shared" si="35"/>
        <v>0</v>
      </c>
      <c r="AA75" s="1">
        <f t="shared" si="36"/>
        <v>0</v>
      </c>
      <c r="AB75" s="4"/>
      <c r="AW75">
        <f t="shared" si="39"/>
        <v>1.0209533563911015E-2</v>
      </c>
      <c r="AX75">
        <f t="shared" si="40"/>
        <v>-3960.221334656711</v>
      </c>
      <c r="AY75">
        <f t="shared" si="30"/>
        <v>-2143.5988960461618</v>
      </c>
      <c r="AZ75">
        <f t="shared" si="31"/>
        <v>-1816.6224386105491</v>
      </c>
    </row>
    <row r="76" spans="1:52" x14ac:dyDescent="0.35">
      <c r="A76" s="1">
        <v>75</v>
      </c>
      <c r="B76" s="1">
        <v>14350.316193396229</v>
      </c>
      <c r="C76" s="1">
        <v>0</v>
      </c>
      <c r="D76" s="1"/>
      <c r="E76" s="1">
        <v>14350.3</v>
      </c>
      <c r="F76" s="1"/>
      <c r="G76" s="1"/>
      <c r="H76" s="1"/>
      <c r="I76" s="1"/>
      <c r="J76" s="1"/>
      <c r="K76" s="1">
        <v>0</v>
      </c>
      <c r="L76" s="1">
        <v>0</v>
      </c>
      <c r="M76" s="4">
        <f t="shared" si="27"/>
        <v>0</v>
      </c>
      <c r="N76" s="4">
        <f t="shared" si="28"/>
        <v>0</v>
      </c>
      <c r="O76" s="4">
        <f t="shared" si="28"/>
        <v>0</v>
      </c>
      <c r="P76" s="4">
        <f t="shared" si="29"/>
        <v>0</v>
      </c>
      <c r="Q76" s="4"/>
      <c r="R76" s="4"/>
      <c r="S76" s="4"/>
      <c r="T76" s="4"/>
      <c r="U76" s="4"/>
      <c r="V76" s="4">
        <v>250.209</v>
      </c>
      <c r="W76" s="1">
        <f t="shared" si="37"/>
        <v>250.209</v>
      </c>
      <c r="X76" s="1">
        <f t="shared" si="34"/>
        <v>6255.2250000000004</v>
      </c>
      <c r="Y76" s="1">
        <f t="shared" si="38"/>
        <v>6255.2250000000004</v>
      </c>
      <c r="Z76" s="1">
        <f t="shared" si="35"/>
        <v>0</v>
      </c>
      <c r="AA76" s="1">
        <f t="shared" si="36"/>
        <v>0</v>
      </c>
      <c r="AB76" s="4"/>
      <c r="AW76">
        <f t="shared" si="39"/>
        <v>3.5482654547787408E-2</v>
      </c>
      <c r="AX76">
        <f t="shared" si="40"/>
        <v>-13763.524520563142</v>
      </c>
      <c r="AY76">
        <f t="shared" si="30"/>
        <v>-7449.9563218329358</v>
      </c>
      <c r="AZ76">
        <f t="shared" si="31"/>
        <v>-6313.5681987302059</v>
      </c>
    </row>
    <row r="77" spans="1:52" x14ac:dyDescent="0.35">
      <c r="A77" s="1">
        <v>76</v>
      </c>
      <c r="B77" s="1">
        <v>5149.4780654648821</v>
      </c>
      <c r="C77" s="1">
        <v>0</v>
      </c>
      <c r="D77" s="1"/>
      <c r="E77" s="1">
        <v>5149.4799999999996</v>
      </c>
      <c r="F77" s="1"/>
      <c r="G77" s="1"/>
      <c r="H77" s="1"/>
      <c r="I77" s="1"/>
      <c r="J77" s="1"/>
      <c r="K77" s="1">
        <v>0</v>
      </c>
      <c r="L77" s="1">
        <v>0</v>
      </c>
      <c r="M77" s="4">
        <f t="shared" si="27"/>
        <v>0</v>
      </c>
      <c r="N77" s="4">
        <f t="shared" si="28"/>
        <v>0</v>
      </c>
      <c r="O77" s="4">
        <f t="shared" si="28"/>
        <v>0</v>
      </c>
      <c r="P77" s="4">
        <f t="shared" si="29"/>
        <v>0</v>
      </c>
      <c r="Q77" s="4"/>
      <c r="R77" s="4"/>
      <c r="S77" s="4"/>
      <c r="T77" s="4"/>
      <c r="U77" s="4"/>
      <c r="V77" s="4">
        <v>108.91500000000001</v>
      </c>
      <c r="W77" s="1">
        <f t="shared" si="37"/>
        <v>108.91500000000001</v>
      </c>
      <c r="X77" s="1">
        <f t="shared" si="34"/>
        <v>2722.875</v>
      </c>
      <c r="Y77" s="1">
        <f t="shared" si="38"/>
        <v>2722.875</v>
      </c>
      <c r="Z77" s="1">
        <f t="shared" si="35"/>
        <v>0</v>
      </c>
      <c r="AA77" s="1">
        <f t="shared" si="36"/>
        <v>0</v>
      </c>
      <c r="AB77" s="4"/>
      <c r="AW77">
        <f t="shared" si="39"/>
        <v>1.2732621974028859E-2</v>
      </c>
      <c r="AX77">
        <f t="shared" si="40"/>
        <v>-4938.9133080387046</v>
      </c>
      <c r="AY77">
        <f t="shared" si="30"/>
        <v>-2673.3478308724871</v>
      </c>
      <c r="AZ77">
        <f t="shared" si="31"/>
        <v>-2265.5654771662175</v>
      </c>
    </row>
    <row r="78" spans="1:52" x14ac:dyDescent="0.35">
      <c r="A78" s="1">
        <v>77</v>
      </c>
      <c r="B78" s="1">
        <v>4612.9275296437472</v>
      </c>
      <c r="C78" s="1">
        <v>0</v>
      </c>
      <c r="D78" s="1"/>
      <c r="E78" s="1">
        <v>4612.93</v>
      </c>
      <c r="F78" s="1"/>
      <c r="G78" s="1"/>
      <c r="H78" s="1"/>
      <c r="I78" s="1"/>
      <c r="J78" s="1"/>
      <c r="K78" s="1">
        <v>0</v>
      </c>
      <c r="L78" s="1">
        <v>0</v>
      </c>
      <c r="M78" s="4">
        <f t="shared" si="27"/>
        <v>0</v>
      </c>
      <c r="N78" s="4">
        <f t="shared" si="28"/>
        <v>0</v>
      </c>
      <c r="O78" s="4">
        <f t="shared" si="28"/>
        <v>0</v>
      </c>
      <c r="P78" s="4">
        <f t="shared" si="29"/>
        <v>0</v>
      </c>
      <c r="Q78" s="4"/>
      <c r="R78" s="4"/>
      <c r="S78" s="4"/>
      <c r="T78" s="4"/>
      <c r="U78" s="4"/>
      <c r="V78" s="4">
        <v>98.416499999999999</v>
      </c>
      <c r="W78" s="1">
        <f t="shared" si="37"/>
        <v>98.416499999999999</v>
      </c>
      <c r="X78" s="1">
        <f t="shared" si="34"/>
        <v>2460.4124999999999</v>
      </c>
      <c r="Y78" s="1">
        <f t="shared" si="38"/>
        <v>2460.4124999999999</v>
      </c>
      <c r="Z78" s="1">
        <f t="shared" si="35"/>
        <v>0</v>
      </c>
      <c r="AA78" s="1">
        <f t="shared" si="36"/>
        <v>0</v>
      </c>
      <c r="AB78" s="4"/>
      <c r="AW78">
        <f t="shared" si="39"/>
        <v>1.1405944773791791E-2</v>
      </c>
      <c r="AX78">
        <f t="shared" si="40"/>
        <v>-4424.3025944647516</v>
      </c>
      <c r="AY78">
        <f t="shared" si="30"/>
        <v>-2394.7980064328699</v>
      </c>
      <c r="AZ78">
        <f t="shared" si="31"/>
        <v>-2029.5045880318817</v>
      </c>
    </row>
    <row r="79" spans="1:52" x14ac:dyDescent="0.35">
      <c r="A79" s="1">
        <v>78</v>
      </c>
      <c r="B79" s="1">
        <v>4299.5858542619962</v>
      </c>
      <c r="C79" s="1">
        <v>0</v>
      </c>
      <c r="D79" s="1"/>
      <c r="E79" s="1">
        <v>4299.59</v>
      </c>
      <c r="F79" s="1"/>
      <c r="G79" s="1"/>
      <c r="H79" s="1"/>
      <c r="I79" s="1"/>
      <c r="J79" s="1"/>
      <c r="K79" s="1">
        <v>0</v>
      </c>
      <c r="L79" s="1">
        <v>0</v>
      </c>
      <c r="M79" s="4">
        <f t="shared" si="27"/>
        <v>0</v>
      </c>
      <c r="N79" s="4">
        <f t="shared" ref="N79:O100" si="41">$S$19*C79</f>
        <v>0</v>
      </c>
      <c r="O79" s="4">
        <f t="shared" si="41"/>
        <v>0</v>
      </c>
      <c r="P79" s="4">
        <f t="shared" si="29"/>
        <v>0</v>
      </c>
      <c r="Q79" s="4"/>
      <c r="R79" s="4"/>
      <c r="S79" s="4"/>
      <c r="T79" s="4"/>
      <c r="U79" s="4"/>
      <c r="V79" s="4">
        <v>78.811800000000005</v>
      </c>
      <c r="W79" s="1">
        <f t="shared" si="37"/>
        <v>78.811800000000005</v>
      </c>
      <c r="X79" s="1">
        <f t="shared" si="34"/>
        <v>1970.2950000000001</v>
      </c>
      <c r="Y79" s="1">
        <f t="shared" si="38"/>
        <v>1970.2950000000001</v>
      </c>
      <c r="Z79" s="1">
        <f t="shared" si="35"/>
        <v>0</v>
      </c>
      <c r="AA79" s="1">
        <f t="shared" si="36"/>
        <v>0</v>
      </c>
      <c r="AB79" s="4"/>
      <c r="AW79">
        <f t="shared" si="39"/>
        <v>1.0631174777566062E-2</v>
      </c>
      <c r="AX79">
        <f t="shared" si="40"/>
        <v>-4123.7736183564975</v>
      </c>
      <c r="AY79">
        <f t="shared" si="30"/>
        <v>-2232.1269012151156</v>
      </c>
      <c r="AZ79">
        <f t="shared" si="31"/>
        <v>-1891.6467171413819</v>
      </c>
    </row>
    <row r="80" spans="1:52" x14ac:dyDescent="0.35">
      <c r="A80" s="1">
        <v>79</v>
      </c>
      <c r="B80" s="1">
        <v>3153.09355833985</v>
      </c>
      <c r="C80" s="1">
        <v>0</v>
      </c>
      <c r="D80" s="1"/>
      <c r="E80" s="1">
        <v>3153.09</v>
      </c>
      <c r="F80" s="1"/>
      <c r="G80" s="1"/>
      <c r="H80" s="1"/>
      <c r="I80" s="1"/>
      <c r="J80" s="1"/>
      <c r="K80" s="1">
        <v>0</v>
      </c>
      <c r="L80" s="1">
        <v>0</v>
      </c>
      <c r="M80" s="4">
        <f t="shared" si="27"/>
        <v>0</v>
      </c>
      <c r="N80" s="4">
        <f t="shared" si="41"/>
        <v>0</v>
      </c>
      <c r="O80" s="4">
        <f t="shared" si="41"/>
        <v>0</v>
      </c>
      <c r="P80" s="4">
        <f t="shared" si="29"/>
        <v>0</v>
      </c>
      <c r="Q80" s="4"/>
      <c r="R80" s="4"/>
      <c r="S80" s="4"/>
      <c r="T80" s="4"/>
      <c r="U80" s="4"/>
      <c r="V80" s="4">
        <v>66.247900000000001</v>
      </c>
      <c r="W80" s="1">
        <f t="shared" si="37"/>
        <v>66.247900000000001</v>
      </c>
      <c r="X80" s="1">
        <f t="shared" si="34"/>
        <v>1656.1975</v>
      </c>
      <c r="Y80" s="1">
        <f t="shared" si="38"/>
        <v>1656.1975</v>
      </c>
      <c r="Z80" s="1">
        <f t="shared" si="35"/>
        <v>0</v>
      </c>
      <c r="AA80" s="1">
        <f t="shared" si="36"/>
        <v>0</v>
      </c>
      <c r="AB80" s="4"/>
      <c r="AW80">
        <f t="shared" si="39"/>
        <v>7.7963529151303286E-3</v>
      </c>
      <c r="AX80">
        <f t="shared" si="40"/>
        <v>-3024.1619711355966</v>
      </c>
      <c r="AY80">
        <f t="shared" si="30"/>
        <v>-1636.9262510811125</v>
      </c>
      <c r="AZ80">
        <f t="shared" si="31"/>
        <v>-1387.2357200544841</v>
      </c>
    </row>
    <row r="81" spans="1:52" x14ac:dyDescent="0.35">
      <c r="A81" s="1">
        <v>80</v>
      </c>
      <c r="B81" s="1">
        <v>4296.4999200900902</v>
      </c>
      <c r="C81" s="1">
        <v>0</v>
      </c>
      <c r="D81" s="1"/>
      <c r="E81" s="1">
        <v>4296.5</v>
      </c>
      <c r="F81" s="1"/>
      <c r="G81" s="1"/>
      <c r="H81" s="1"/>
      <c r="I81" s="1"/>
      <c r="J81" s="1"/>
      <c r="K81" s="1">
        <v>0</v>
      </c>
      <c r="L81" s="1">
        <v>0</v>
      </c>
      <c r="M81" s="4">
        <f t="shared" si="27"/>
        <v>0</v>
      </c>
      <c r="N81" s="4">
        <f t="shared" si="41"/>
        <v>0</v>
      </c>
      <c r="O81" s="4">
        <f t="shared" si="41"/>
        <v>0</v>
      </c>
      <c r="P81" s="4">
        <f t="shared" si="29"/>
        <v>0</v>
      </c>
      <c r="Q81" s="4"/>
      <c r="R81" s="4"/>
      <c r="S81" s="4"/>
      <c r="T81" s="4"/>
      <c r="U81" s="4"/>
      <c r="V81" s="4">
        <v>89.923500000000004</v>
      </c>
      <c r="W81" s="1">
        <f t="shared" si="37"/>
        <v>89.923500000000004</v>
      </c>
      <c r="X81" s="1">
        <f t="shared" si="34"/>
        <v>2248.0875000000001</v>
      </c>
      <c r="Y81" s="1">
        <f>X81-M81</f>
        <v>2248.0875000000001</v>
      </c>
      <c r="Z81" s="1">
        <f t="shared" si="35"/>
        <v>0</v>
      </c>
      <c r="AA81" s="1">
        <f t="shared" si="36"/>
        <v>0</v>
      </c>
      <c r="AB81" s="4"/>
      <c r="AW81">
        <f t="shared" si="39"/>
        <v>1.0623544483243395E-2</v>
      </c>
      <c r="AX81">
        <f t="shared" si="40"/>
        <v>-4120.8138695905845</v>
      </c>
      <c r="AY81">
        <f t="shared" si="30"/>
        <v>-2230.5248407111576</v>
      </c>
      <c r="AZ81">
        <f t="shared" si="31"/>
        <v>-1890.289028879427</v>
      </c>
    </row>
    <row r="82" spans="1:52" x14ac:dyDescent="0.35">
      <c r="A82" s="1">
        <v>81</v>
      </c>
      <c r="B82" s="1">
        <v>1722.7511821559251</v>
      </c>
      <c r="C82" s="1">
        <v>0</v>
      </c>
      <c r="D82" s="1"/>
      <c r="E82" s="1">
        <v>1722.75</v>
      </c>
      <c r="F82" s="1"/>
      <c r="G82" s="1"/>
      <c r="H82" s="1"/>
      <c r="I82" s="1"/>
      <c r="J82" s="1"/>
      <c r="K82" s="1">
        <v>0</v>
      </c>
      <c r="L82" s="1">
        <v>0</v>
      </c>
      <c r="M82" s="4">
        <f t="shared" si="27"/>
        <v>0</v>
      </c>
      <c r="N82" s="4">
        <f t="shared" si="41"/>
        <v>0</v>
      </c>
      <c r="O82" s="4">
        <f t="shared" si="41"/>
        <v>0</v>
      </c>
      <c r="P82" s="4">
        <f t="shared" si="29"/>
        <v>0</v>
      </c>
      <c r="Q82" s="4"/>
      <c r="R82" s="4"/>
      <c r="S82" s="4"/>
      <c r="T82" s="4"/>
      <c r="U82" s="4"/>
      <c r="V82" s="4">
        <v>30.037500000000001</v>
      </c>
      <c r="W82" s="1">
        <f t="shared" si="37"/>
        <v>30.037500000000001</v>
      </c>
      <c r="X82" s="1">
        <f t="shared" si="34"/>
        <v>750.9375</v>
      </c>
      <c r="Y82" s="1">
        <f t="shared" ref="Y82:Y96" si="42">X82-M82</f>
        <v>750.9375</v>
      </c>
      <c r="Z82" s="1">
        <f t="shared" si="35"/>
        <v>0</v>
      </c>
      <c r="AA82" s="1">
        <f t="shared" si="36"/>
        <v>0</v>
      </c>
      <c r="AB82" s="4"/>
      <c r="AW82">
        <f t="shared" si="39"/>
        <v>4.2596821034759516E-3</v>
      </c>
      <c r="AX82">
        <f t="shared" si="40"/>
        <v>-1652.3070167153298</v>
      </c>
      <c r="AY82">
        <f t="shared" si="30"/>
        <v>-894.36503610658258</v>
      </c>
      <c r="AZ82">
        <f t="shared" si="31"/>
        <v>-757.94198060874726</v>
      </c>
    </row>
    <row r="83" spans="1:52" x14ac:dyDescent="0.35">
      <c r="A83" s="1">
        <v>82</v>
      </c>
      <c r="B83" s="1">
        <v>8378.7212496204556</v>
      </c>
      <c r="C83" s="1">
        <v>0</v>
      </c>
      <c r="D83" s="1"/>
      <c r="E83" s="1">
        <v>8378.7199999999993</v>
      </c>
      <c r="F83" s="1"/>
      <c r="G83" s="1"/>
      <c r="H83" s="1"/>
      <c r="I83" s="1"/>
      <c r="J83" s="1"/>
      <c r="K83" s="1">
        <v>0</v>
      </c>
      <c r="L83" s="1">
        <v>0</v>
      </c>
      <c r="M83" s="4">
        <f t="shared" si="27"/>
        <v>0</v>
      </c>
      <c r="N83" s="4">
        <f t="shared" si="41"/>
        <v>0</v>
      </c>
      <c r="O83" s="4">
        <f t="shared" si="41"/>
        <v>0</v>
      </c>
      <c r="P83" s="4">
        <f t="shared" si="29"/>
        <v>0</v>
      </c>
      <c r="Q83" s="4"/>
      <c r="R83" s="4"/>
      <c r="S83" s="4"/>
      <c r="T83" s="4"/>
      <c r="U83" s="4"/>
      <c r="V83" s="4">
        <v>122.405</v>
      </c>
      <c r="W83" s="1">
        <f t="shared" si="37"/>
        <v>122.405</v>
      </c>
      <c r="X83" s="1">
        <f t="shared" si="34"/>
        <v>3060.125</v>
      </c>
      <c r="Y83" s="1">
        <f t="shared" si="42"/>
        <v>3060.125</v>
      </c>
      <c r="Z83" s="1">
        <f t="shared" si="35"/>
        <v>0</v>
      </c>
      <c r="AA83" s="1">
        <f t="shared" si="36"/>
        <v>0</v>
      </c>
      <c r="AB83" s="4"/>
      <c r="AW83">
        <f t="shared" si="39"/>
        <v>2.0717262786815824E-2</v>
      </c>
      <c r="AX83">
        <f t="shared" si="40"/>
        <v>-8036.1111083519691</v>
      </c>
      <c r="AY83">
        <f t="shared" si="30"/>
        <v>-4349.8071053800886</v>
      </c>
      <c r="AZ83">
        <f t="shared" si="31"/>
        <v>-3686.3040029718804</v>
      </c>
    </row>
    <row r="84" spans="1:52" x14ac:dyDescent="0.35">
      <c r="A84" s="1">
        <v>83</v>
      </c>
      <c r="B84" s="1">
        <v>4180.060549855245</v>
      </c>
      <c r="C84" s="1">
        <v>0</v>
      </c>
      <c r="D84" s="1"/>
      <c r="E84" s="1">
        <v>4180.0600000000004</v>
      </c>
      <c r="F84" s="1"/>
      <c r="G84" s="1"/>
      <c r="H84" s="1"/>
      <c r="I84" s="1"/>
      <c r="J84" s="1"/>
      <c r="K84" s="1">
        <v>0</v>
      </c>
      <c r="L84" s="1">
        <v>0</v>
      </c>
      <c r="M84" s="4">
        <f t="shared" si="27"/>
        <v>0</v>
      </c>
      <c r="N84" s="4">
        <f t="shared" si="41"/>
        <v>0</v>
      </c>
      <c r="O84" s="4">
        <f t="shared" si="41"/>
        <v>0</v>
      </c>
      <c r="P84" s="4">
        <f t="shared" si="29"/>
        <v>0</v>
      </c>
      <c r="Q84" s="4"/>
      <c r="R84" s="4"/>
      <c r="S84" s="4"/>
      <c r="T84" s="4"/>
      <c r="U84" s="4"/>
      <c r="V84" s="4">
        <v>92.304299999999998</v>
      </c>
      <c r="W84" s="1">
        <f t="shared" si="37"/>
        <v>92.304299999999998</v>
      </c>
      <c r="X84" s="1">
        <f t="shared" si="34"/>
        <v>2307.6075000000001</v>
      </c>
      <c r="Y84" s="1">
        <f t="shared" si="42"/>
        <v>2307.6075000000001</v>
      </c>
      <c r="Z84" s="1">
        <f t="shared" si="35"/>
        <v>0</v>
      </c>
      <c r="AA84" s="1">
        <f t="shared" si="36"/>
        <v>0</v>
      </c>
      <c r="AB84" s="4"/>
      <c r="AW84">
        <f t="shared" si="39"/>
        <v>1.0335635987421803E-2</v>
      </c>
      <c r="AX84">
        <f t="shared" si="40"/>
        <v>-4009.1357639803591</v>
      </c>
      <c r="AY84">
        <f t="shared" si="30"/>
        <v>-2170.0754254717549</v>
      </c>
      <c r="AZ84">
        <f t="shared" si="31"/>
        <v>-1839.0603385086042</v>
      </c>
    </row>
    <row r="85" spans="1:52" x14ac:dyDescent="0.35">
      <c r="A85" s="1">
        <v>84</v>
      </c>
      <c r="B85" s="1">
        <v>3330.950005722922</v>
      </c>
      <c r="C85" s="1">
        <v>0</v>
      </c>
      <c r="D85" s="1"/>
      <c r="E85" s="1">
        <v>3330.95</v>
      </c>
      <c r="F85" s="1"/>
      <c r="G85" s="1"/>
      <c r="H85" s="1"/>
      <c r="I85" s="1"/>
      <c r="J85" s="1"/>
      <c r="K85" s="1">
        <v>0</v>
      </c>
      <c r="L85" s="1">
        <v>0</v>
      </c>
      <c r="M85" s="4">
        <f t="shared" si="27"/>
        <v>0</v>
      </c>
      <c r="N85" s="4">
        <f t="shared" si="41"/>
        <v>0</v>
      </c>
      <c r="O85" s="4">
        <f t="shared" si="41"/>
        <v>0</v>
      </c>
      <c r="P85" s="4">
        <f t="shared" si="29"/>
        <v>0</v>
      </c>
      <c r="Q85" s="4"/>
      <c r="R85" s="4"/>
      <c r="S85" s="4"/>
      <c r="T85" s="4"/>
      <c r="U85" s="4"/>
      <c r="V85" s="4">
        <v>57.065800000000003</v>
      </c>
      <c r="W85" s="1">
        <f t="shared" si="37"/>
        <v>57.065800000000003</v>
      </c>
      <c r="X85" s="1">
        <f t="shared" si="34"/>
        <v>1426.645</v>
      </c>
      <c r="Y85" s="1">
        <f t="shared" si="42"/>
        <v>1426.645</v>
      </c>
      <c r="Z85" s="1">
        <f t="shared" si="35"/>
        <v>0</v>
      </c>
      <c r="AA85" s="1">
        <f t="shared" si="36"/>
        <v>0</v>
      </c>
      <c r="AB85" s="4"/>
      <c r="AW85">
        <f t="shared" si="39"/>
        <v>8.2361215443744976E-3</v>
      </c>
      <c r="AX85">
        <f t="shared" si="40"/>
        <v>-3194.7457786076338</v>
      </c>
      <c r="AY85">
        <f t="shared" si="30"/>
        <v>-1729.2602977113891</v>
      </c>
      <c r="AZ85">
        <f t="shared" si="31"/>
        <v>-1465.4854808962448</v>
      </c>
    </row>
    <row r="86" spans="1:52" x14ac:dyDescent="0.35">
      <c r="A86" s="1">
        <v>85</v>
      </c>
      <c r="B86" s="1">
        <v>2875.5642031497382</v>
      </c>
      <c r="C86" s="1">
        <v>0</v>
      </c>
      <c r="D86" s="1"/>
      <c r="E86" s="1">
        <v>2875.56</v>
      </c>
      <c r="F86" s="1"/>
      <c r="G86" s="1"/>
      <c r="H86" s="1"/>
      <c r="I86" s="1"/>
      <c r="J86" s="1"/>
      <c r="K86" s="1">
        <v>0</v>
      </c>
      <c r="L86" s="1">
        <v>0</v>
      </c>
      <c r="M86" s="4">
        <f t="shared" si="27"/>
        <v>0</v>
      </c>
      <c r="N86" s="4">
        <f t="shared" si="41"/>
        <v>0</v>
      </c>
      <c r="O86" s="4">
        <f t="shared" si="41"/>
        <v>0</v>
      </c>
      <c r="P86" s="4">
        <f t="shared" si="29"/>
        <v>0</v>
      </c>
      <c r="Q86" s="4"/>
      <c r="R86" s="4"/>
      <c r="S86" s="4"/>
      <c r="T86" s="4"/>
      <c r="U86" s="4"/>
      <c r="V86" s="4">
        <v>62.269399999999997</v>
      </c>
      <c r="W86" s="1">
        <f t="shared" si="37"/>
        <v>62.269399999999997</v>
      </c>
      <c r="X86" s="1">
        <f t="shared" si="34"/>
        <v>1556.7349999999999</v>
      </c>
      <c r="Y86" s="1">
        <f t="shared" si="42"/>
        <v>1556.7349999999999</v>
      </c>
      <c r="Z86" s="1">
        <f t="shared" si="35"/>
        <v>0</v>
      </c>
      <c r="AA86" s="1">
        <f t="shared" si="36"/>
        <v>0</v>
      </c>
      <c r="AB86" s="4"/>
      <c r="AW86">
        <f t="shared" si="39"/>
        <v>7.1101326183529955E-3</v>
      </c>
      <c r="AX86">
        <f t="shared" si="40"/>
        <v>-2757.9809313691712</v>
      </c>
      <c r="AY86">
        <f t="shared" si="30"/>
        <v>-1492.8470861116145</v>
      </c>
      <c r="AZ86">
        <f t="shared" si="31"/>
        <v>-1265.1338452575567</v>
      </c>
    </row>
    <row r="87" spans="1:52" x14ac:dyDescent="0.35">
      <c r="A87" s="1">
        <v>86</v>
      </c>
      <c r="B87" s="1">
        <v>2673.7959050516761</v>
      </c>
      <c r="C87" s="1">
        <v>0</v>
      </c>
      <c r="D87" s="1"/>
      <c r="E87" s="1">
        <v>2673.8</v>
      </c>
      <c r="F87" s="1"/>
      <c r="G87" s="1"/>
      <c r="H87" s="1"/>
      <c r="I87" s="1"/>
      <c r="J87" s="1"/>
      <c r="K87" s="1">
        <v>0</v>
      </c>
      <c r="L87" s="1">
        <v>0</v>
      </c>
      <c r="M87" s="4">
        <f t="shared" si="27"/>
        <v>0</v>
      </c>
      <c r="N87" s="4">
        <f t="shared" si="41"/>
        <v>0</v>
      </c>
      <c r="O87" s="4">
        <f t="shared" si="41"/>
        <v>0</v>
      </c>
      <c r="P87" s="4">
        <f t="shared" si="29"/>
        <v>0</v>
      </c>
      <c r="Q87" s="4"/>
      <c r="R87" s="4"/>
      <c r="S87" s="4"/>
      <c r="T87" s="4"/>
      <c r="U87" s="4"/>
      <c r="V87" s="4">
        <v>54.038899999999998</v>
      </c>
      <c r="W87" s="1">
        <f t="shared" si="37"/>
        <v>54.038899999999998</v>
      </c>
      <c r="X87" s="1">
        <f t="shared" si="34"/>
        <v>1350.9724999999999</v>
      </c>
      <c r="Y87" s="1">
        <f t="shared" si="42"/>
        <v>1350.9724999999999</v>
      </c>
      <c r="Z87" s="1">
        <f t="shared" si="35"/>
        <v>0</v>
      </c>
      <c r="AA87" s="1">
        <f t="shared" si="36"/>
        <v>0</v>
      </c>
      <c r="AB87" s="4"/>
      <c r="AW87">
        <f t="shared" si="39"/>
        <v>6.611239442507637E-3</v>
      </c>
      <c r="AX87">
        <f t="shared" si="40"/>
        <v>-2564.4630408279918</v>
      </c>
      <c r="AY87">
        <f t="shared" si="30"/>
        <v>-1388.0992193954191</v>
      </c>
      <c r="AZ87">
        <f t="shared" si="31"/>
        <v>-1176.3638214325726</v>
      </c>
    </row>
    <row r="88" spans="1:52" x14ac:dyDescent="0.35">
      <c r="A88" s="1">
        <v>87</v>
      </c>
      <c r="B88" s="1">
        <v>19513.44492845656</v>
      </c>
      <c r="C88" s="1">
        <v>0</v>
      </c>
      <c r="D88" s="1"/>
      <c r="E88" s="1">
        <v>19513.400000000001</v>
      </c>
      <c r="F88" s="1"/>
      <c r="G88" s="1"/>
      <c r="H88" s="1"/>
      <c r="I88" s="1"/>
      <c r="J88" s="1"/>
      <c r="K88" s="1">
        <v>0</v>
      </c>
      <c r="L88" s="1">
        <v>0</v>
      </c>
      <c r="M88" s="4">
        <f t="shared" si="27"/>
        <v>0</v>
      </c>
      <c r="N88" s="4">
        <f t="shared" si="41"/>
        <v>0</v>
      </c>
      <c r="O88" s="4">
        <f t="shared" si="41"/>
        <v>0</v>
      </c>
      <c r="P88" s="4">
        <f t="shared" si="29"/>
        <v>0</v>
      </c>
      <c r="Q88" s="4"/>
      <c r="R88" s="4"/>
      <c r="S88" s="4"/>
      <c r="T88" s="4"/>
      <c r="U88" s="4"/>
      <c r="V88" s="4">
        <v>382.77600000000001</v>
      </c>
      <c r="W88" s="1">
        <f t="shared" si="37"/>
        <v>382.77600000000001</v>
      </c>
      <c r="X88" s="1">
        <f t="shared" si="34"/>
        <v>9569.4</v>
      </c>
      <c r="Y88" s="1">
        <f t="shared" si="42"/>
        <v>9569.4</v>
      </c>
      <c r="Z88" s="1">
        <f t="shared" si="35"/>
        <v>0</v>
      </c>
      <c r="AA88" s="1">
        <f t="shared" si="36"/>
        <v>0</v>
      </c>
      <c r="AB88" s="4"/>
      <c r="AW88">
        <f t="shared" si="39"/>
        <v>4.8249029227127677E-2</v>
      </c>
      <c r="AX88">
        <f t="shared" si="40"/>
        <v>-18715.530315427015</v>
      </c>
      <c r="AY88">
        <f t="shared" si="30"/>
        <v>-10130.390887999565</v>
      </c>
      <c r="AZ88">
        <f t="shared" si="31"/>
        <v>-8585.1394274274498</v>
      </c>
    </row>
    <row r="89" spans="1:52" x14ac:dyDescent="0.35">
      <c r="A89" s="1">
        <v>88</v>
      </c>
      <c r="B89" s="1">
        <v>5533.3813285011611</v>
      </c>
      <c r="C89" s="1">
        <v>0</v>
      </c>
      <c r="D89" s="1"/>
      <c r="E89" s="1">
        <v>5533.38</v>
      </c>
      <c r="F89" s="1"/>
      <c r="G89" s="1"/>
      <c r="H89" s="1"/>
      <c r="I89" s="1"/>
      <c r="J89" s="1"/>
      <c r="K89" s="1">
        <v>0</v>
      </c>
      <c r="L89" s="1">
        <v>0</v>
      </c>
      <c r="M89" s="4">
        <f t="shared" si="27"/>
        <v>0</v>
      </c>
      <c r="N89" s="4">
        <f t="shared" si="41"/>
        <v>0</v>
      </c>
      <c r="O89" s="4">
        <f t="shared" si="41"/>
        <v>0</v>
      </c>
      <c r="P89" s="4">
        <f t="shared" si="29"/>
        <v>0</v>
      </c>
      <c r="Q89" s="4"/>
      <c r="R89" s="4"/>
      <c r="S89" s="4"/>
      <c r="T89" s="4"/>
      <c r="U89" s="4"/>
      <c r="V89" s="4">
        <v>110.304</v>
      </c>
      <c r="W89" s="1">
        <f t="shared" si="37"/>
        <v>110.304</v>
      </c>
      <c r="X89" s="1">
        <f t="shared" si="34"/>
        <v>2757.6</v>
      </c>
      <c r="Y89" s="1">
        <f t="shared" si="42"/>
        <v>2757.6</v>
      </c>
      <c r="Z89" s="1">
        <f t="shared" si="35"/>
        <v>0</v>
      </c>
      <c r="AA89" s="1">
        <f t="shared" si="36"/>
        <v>0</v>
      </c>
      <c r="AB89" s="4"/>
      <c r="AW89">
        <f t="shared" si="39"/>
        <v>1.3681862860327463E-2</v>
      </c>
      <c r="AX89">
        <f t="shared" si="40"/>
        <v>-5307.118572864546</v>
      </c>
      <c r="AY89">
        <f t="shared" si="30"/>
        <v>-2872.6509335278533</v>
      </c>
      <c r="AZ89">
        <f t="shared" si="31"/>
        <v>-2434.4676393366926</v>
      </c>
    </row>
    <row r="90" spans="1:52" x14ac:dyDescent="0.35">
      <c r="A90" s="1">
        <v>89</v>
      </c>
      <c r="B90" s="1">
        <v>7532.7075080212007</v>
      </c>
      <c r="C90" s="1">
        <v>0</v>
      </c>
      <c r="D90" s="1"/>
      <c r="E90" s="1">
        <v>7532.71</v>
      </c>
      <c r="F90" s="1"/>
      <c r="G90" s="1"/>
      <c r="H90" s="1"/>
      <c r="I90" s="1"/>
      <c r="J90" s="1"/>
      <c r="K90" s="1">
        <v>0</v>
      </c>
      <c r="L90" s="1">
        <v>0</v>
      </c>
      <c r="M90" s="4">
        <f t="shared" si="27"/>
        <v>0</v>
      </c>
      <c r="N90" s="4">
        <f t="shared" si="41"/>
        <v>0</v>
      </c>
      <c r="O90" s="4">
        <f t="shared" si="41"/>
        <v>0</v>
      </c>
      <c r="P90" s="4">
        <f t="shared" si="29"/>
        <v>0</v>
      </c>
      <c r="Q90" s="4"/>
      <c r="R90" s="4"/>
      <c r="S90" s="4"/>
      <c r="T90" s="4"/>
      <c r="U90" s="4"/>
      <c r="V90" s="4">
        <v>158.81</v>
      </c>
      <c r="W90" s="1">
        <f t="shared" si="37"/>
        <v>158.81</v>
      </c>
      <c r="X90" s="1">
        <f t="shared" si="34"/>
        <v>3970.25</v>
      </c>
      <c r="Y90" s="1">
        <f t="shared" si="42"/>
        <v>3970.25</v>
      </c>
      <c r="Z90" s="1">
        <f t="shared" si="35"/>
        <v>0</v>
      </c>
      <c r="AA90" s="1">
        <f t="shared" si="36"/>
        <v>0</v>
      </c>
      <c r="AB90" s="4"/>
      <c r="AW90">
        <f t="shared" si="39"/>
        <v>1.8625405511248506E-2</v>
      </c>
      <c r="AX90">
        <f t="shared" si="40"/>
        <v>-7224.6912956935466</v>
      </c>
      <c r="AY90">
        <f t="shared" si="30"/>
        <v>-3910.5996804255551</v>
      </c>
      <c r="AZ90">
        <f t="shared" si="31"/>
        <v>-3314.0916152679915</v>
      </c>
    </row>
    <row r="91" spans="1:52" x14ac:dyDescent="0.35">
      <c r="A91" s="1">
        <v>90</v>
      </c>
      <c r="B91" s="1">
        <v>4797.2959806436729</v>
      </c>
      <c r="C91" s="1">
        <v>0</v>
      </c>
      <c r="D91" s="1"/>
      <c r="E91" s="1">
        <v>4797.3</v>
      </c>
      <c r="F91" s="1"/>
      <c r="G91" s="1"/>
      <c r="H91" s="1"/>
      <c r="I91" s="1"/>
      <c r="J91" s="1"/>
      <c r="K91" s="1">
        <v>0</v>
      </c>
      <c r="L91" s="1">
        <v>0</v>
      </c>
      <c r="M91" s="4">
        <f t="shared" si="27"/>
        <v>0</v>
      </c>
      <c r="N91" s="4">
        <f t="shared" si="41"/>
        <v>0</v>
      </c>
      <c r="O91" s="4">
        <f t="shared" si="41"/>
        <v>0</v>
      </c>
      <c r="P91" s="4">
        <f t="shared" si="29"/>
        <v>0</v>
      </c>
      <c r="Q91" s="4"/>
      <c r="R91" s="4"/>
      <c r="S91" s="4"/>
      <c r="T91" s="4"/>
      <c r="U91" s="4"/>
      <c r="V91" s="4">
        <v>100.91</v>
      </c>
      <c r="W91" s="1">
        <f t="shared" si="37"/>
        <v>100.91</v>
      </c>
      <c r="X91" s="1">
        <f t="shared" si="34"/>
        <v>2522.75</v>
      </c>
      <c r="Y91" s="1">
        <f t="shared" si="42"/>
        <v>2522.75</v>
      </c>
      <c r="Z91" s="1">
        <f t="shared" si="35"/>
        <v>0</v>
      </c>
      <c r="AA91" s="1">
        <f t="shared" si="36"/>
        <v>0</v>
      </c>
      <c r="AB91" s="4"/>
      <c r="AW91">
        <f t="shared" si="39"/>
        <v>1.1861815011644215E-2</v>
      </c>
      <c r="AX91">
        <f t="shared" si="40"/>
        <v>-4601.1321264386506</v>
      </c>
      <c r="AY91">
        <f t="shared" si="30"/>
        <v>-2490.5127550532184</v>
      </c>
      <c r="AZ91">
        <f t="shared" si="31"/>
        <v>-2110.6193713854323</v>
      </c>
    </row>
    <row r="92" spans="1:52" x14ac:dyDescent="0.35">
      <c r="A92" s="1">
        <v>91</v>
      </c>
      <c r="B92" s="1">
        <v>5147.5629031179114</v>
      </c>
      <c r="C92" s="1">
        <v>0</v>
      </c>
      <c r="D92" s="1"/>
      <c r="E92" s="1">
        <v>5147.5600000000004</v>
      </c>
      <c r="F92" s="1"/>
      <c r="G92" s="1"/>
      <c r="H92" s="1"/>
      <c r="I92" s="1"/>
      <c r="J92" s="1"/>
      <c r="K92" s="1">
        <v>0</v>
      </c>
      <c r="L92" s="1">
        <v>0</v>
      </c>
      <c r="M92" s="4">
        <f t="shared" si="27"/>
        <v>0</v>
      </c>
      <c r="N92" s="4">
        <f t="shared" si="41"/>
        <v>0</v>
      </c>
      <c r="O92" s="4">
        <f t="shared" si="41"/>
        <v>0</v>
      </c>
      <c r="P92" s="4">
        <f t="shared" si="29"/>
        <v>0</v>
      </c>
      <c r="Q92" s="4"/>
      <c r="R92" s="4"/>
      <c r="S92" s="4"/>
      <c r="T92" s="4" t="s">
        <v>6</v>
      </c>
      <c r="U92" s="4"/>
      <c r="V92" s="4">
        <v>83.866</v>
      </c>
      <c r="W92" s="1">
        <f t="shared" si="37"/>
        <v>83.866</v>
      </c>
      <c r="X92" s="1">
        <f t="shared" si="34"/>
        <v>2096.65</v>
      </c>
      <c r="Y92" s="1">
        <f t="shared" si="42"/>
        <v>2096.65</v>
      </c>
      <c r="Z92" s="1">
        <f t="shared" si="35"/>
        <v>0</v>
      </c>
      <c r="AA92" s="1">
        <f t="shared" si="36"/>
        <v>0</v>
      </c>
      <c r="AB92" s="4"/>
      <c r="AW92">
        <f t="shared" si="39"/>
        <v>1.2727886535238195E-2</v>
      </c>
      <c r="AX92">
        <f t="shared" si="40"/>
        <v>-4937.0764576468273</v>
      </c>
      <c r="AY92">
        <f t="shared" si="30"/>
        <v>-2672.3535757186723</v>
      </c>
      <c r="AZ92">
        <f t="shared" si="31"/>
        <v>-2264.7228819281549</v>
      </c>
    </row>
    <row r="93" spans="1:52" x14ac:dyDescent="0.35">
      <c r="A93" s="1">
        <v>92</v>
      </c>
      <c r="B93" s="1">
        <v>2534.563494353717</v>
      </c>
      <c r="C93" s="1">
        <v>0</v>
      </c>
      <c r="D93" s="1"/>
      <c r="E93" s="1">
        <v>2534.56</v>
      </c>
      <c r="F93" s="1"/>
      <c r="G93" s="1"/>
      <c r="H93" s="1"/>
      <c r="I93" s="1"/>
      <c r="J93" s="1"/>
      <c r="K93" s="1">
        <v>0</v>
      </c>
      <c r="L93" s="1">
        <v>0</v>
      </c>
      <c r="M93" s="4">
        <f t="shared" si="27"/>
        <v>0</v>
      </c>
      <c r="N93" s="4">
        <f t="shared" si="41"/>
        <v>0</v>
      </c>
      <c r="O93" s="4">
        <f t="shared" si="41"/>
        <v>0</v>
      </c>
      <c r="P93" s="4">
        <f t="shared" si="29"/>
        <v>0</v>
      </c>
      <c r="Q93" s="4"/>
      <c r="R93" s="4"/>
      <c r="S93" s="4"/>
      <c r="T93" s="4"/>
      <c r="U93" s="4"/>
      <c r="V93" s="4">
        <v>53.252299999999998</v>
      </c>
      <c r="W93" s="1">
        <f t="shared" si="37"/>
        <v>53.252299999999998</v>
      </c>
      <c r="X93" s="1">
        <f t="shared" si="34"/>
        <v>1331.3074999999999</v>
      </c>
      <c r="Y93" s="1">
        <f t="shared" si="42"/>
        <v>1331.3074999999999</v>
      </c>
      <c r="Z93" s="1">
        <f t="shared" si="35"/>
        <v>0</v>
      </c>
      <c r="AA93" s="1">
        <f t="shared" si="36"/>
        <v>0</v>
      </c>
      <c r="AB93" s="4"/>
      <c r="AW93">
        <f t="shared" si="39"/>
        <v>6.2669727752041804E-3</v>
      </c>
      <c r="AX93">
        <f t="shared" si="40"/>
        <v>-2430.9239136845536</v>
      </c>
      <c r="AY93">
        <f t="shared" si="30"/>
        <v>-1315.8168136069924</v>
      </c>
      <c r="AZ93">
        <f t="shared" si="31"/>
        <v>-1115.1071000775612</v>
      </c>
    </row>
    <row r="94" spans="1:52" x14ac:dyDescent="0.35">
      <c r="A94" s="1">
        <v>93</v>
      </c>
      <c r="B94" s="1">
        <v>5159.4345472126533</v>
      </c>
      <c r="C94" s="1">
        <v>0</v>
      </c>
      <c r="D94" s="1"/>
      <c r="E94" s="1">
        <v>5159.43</v>
      </c>
      <c r="F94" s="1"/>
      <c r="G94" s="1"/>
      <c r="H94" s="1"/>
      <c r="I94" s="1"/>
      <c r="J94" s="1"/>
      <c r="K94" s="1">
        <v>0</v>
      </c>
      <c r="L94" s="1">
        <v>0</v>
      </c>
      <c r="M94" s="4">
        <f t="shared" si="27"/>
        <v>0</v>
      </c>
      <c r="N94" s="4">
        <f t="shared" si="41"/>
        <v>0</v>
      </c>
      <c r="O94" s="4">
        <f t="shared" si="41"/>
        <v>0</v>
      </c>
      <c r="P94" s="4">
        <f t="shared" si="29"/>
        <v>0</v>
      </c>
      <c r="Q94" s="4"/>
      <c r="R94" s="4"/>
      <c r="S94" s="4"/>
      <c r="T94" s="4"/>
      <c r="U94" s="4"/>
      <c r="V94" s="4">
        <v>109.45699999999999</v>
      </c>
      <c r="W94" s="1">
        <f t="shared" si="37"/>
        <v>109.45699999999999</v>
      </c>
      <c r="X94" s="1">
        <f t="shared" si="34"/>
        <v>2736.4249999999997</v>
      </c>
      <c r="Y94" s="1">
        <f t="shared" si="42"/>
        <v>2736.4249999999997</v>
      </c>
      <c r="Z94" s="1">
        <f t="shared" si="35"/>
        <v>0</v>
      </c>
      <c r="AA94" s="1">
        <f t="shared" si="36"/>
        <v>0</v>
      </c>
      <c r="AB94" s="4"/>
      <c r="AW94">
        <f t="shared" si="39"/>
        <v>1.2757240414320097E-2</v>
      </c>
      <c r="AX94">
        <f t="shared" si="40"/>
        <v>-4948.4626642220228</v>
      </c>
      <c r="AY94">
        <f t="shared" si="30"/>
        <v>-2678.5167312047424</v>
      </c>
      <c r="AZ94">
        <f t="shared" si="31"/>
        <v>-2269.9459330172804</v>
      </c>
    </row>
    <row r="95" spans="1:52" x14ac:dyDescent="0.35">
      <c r="A95" s="1">
        <v>94</v>
      </c>
      <c r="B95" s="1">
        <v>4317.7330751348463</v>
      </c>
      <c r="C95" s="1">
        <v>0</v>
      </c>
      <c r="D95" s="1"/>
      <c r="E95" s="1">
        <v>4317.7299999999996</v>
      </c>
      <c r="F95" s="1"/>
      <c r="G95" s="1"/>
      <c r="H95" s="1"/>
      <c r="I95" s="1"/>
      <c r="J95" s="1"/>
      <c r="K95" s="1">
        <v>0</v>
      </c>
      <c r="L95" s="1">
        <v>0</v>
      </c>
      <c r="M95" s="4">
        <f t="shared" si="27"/>
        <v>0</v>
      </c>
      <c r="N95" s="4">
        <f t="shared" si="41"/>
        <v>0</v>
      </c>
      <c r="O95" s="4">
        <f t="shared" si="41"/>
        <v>0</v>
      </c>
      <c r="P95" s="4">
        <f t="shared" si="29"/>
        <v>0</v>
      </c>
      <c r="Q95" s="4"/>
      <c r="R95" s="4"/>
      <c r="S95" s="4"/>
      <c r="T95" s="4"/>
      <c r="U95" s="4"/>
      <c r="V95" s="4">
        <v>97.187200000000004</v>
      </c>
      <c r="W95" s="1">
        <f t="shared" si="37"/>
        <v>97.187200000000004</v>
      </c>
      <c r="X95" s="1">
        <f t="shared" si="34"/>
        <v>2429.6800000000003</v>
      </c>
      <c r="Y95" s="1">
        <f t="shared" si="42"/>
        <v>2429.6800000000003</v>
      </c>
      <c r="Z95" s="1">
        <f t="shared" si="35"/>
        <v>0</v>
      </c>
      <c r="AA95" s="1">
        <f t="shared" si="36"/>
        <v>0</v>
      </c>
      <c r="AB95" s="4"/>
      <c r="AW95">
        <f t="shared" si="39"/>
        <v>1.067604567522127E-2</v>
      </c>
      <c r="AX95">
        <f t="shared" si="40"/>
        <v>-4141.1787902075885</v>
      </c>
      <c r="AY95">
        <f t="shared" si="30"/>
        <v>-2241.5480178681137</v>
      </c>
      <c r="AZ95">
        <f t="shared" si="31"/>
        <v>-1899.6307723394748</v>
      </c>
    </row>
    <row r="96" spans="1:52" x14ac:dyDescent="0.35">
      <c r="A96" s="1">
        <v>95</v>
      </c>
      <c r="B96" s="1">
        <v>6988.6643510423764</v>
      </c>
      <c r="C96" s="1">
        <v>0</v>
      </c>
      <c r="D96" s="1"/>
      <c r="E96" s="1">
        <v>6988.66</v>
      </c>
      <c r="F96" s="1"/>
      <c r="G96" s="1"/>
      <c r="H96" s="1"/>
      <c r="I96" s="1"/>
      <c r="J96" s="1"/>
      <c r="K96" s="1">
        <v>0</v>
      </c>
      <c r="L96" s="1">
        <v>0</v>
      </c>
      <c r="M96" s="4">
        <f t="shared" si="27"/>
        <v>0</v>
      </c>
      <c r="N96" s="4">
        <f t="shared" si="41"/>
        <v>0</v>
      </c>
      <c r="O96" s="4">
        <f t="shared" si="41"/>
        <v>0</v>
      </c>
      <c r="P96" s="4">
        <f t="shared" si="29"/>
        <v>0</v>
      </c>
      <c r="Q96" s="4"/>
      <c r="R96" s="4"/>
      <c r="S96" s="4"/>
      <c r="T96" s="4"/>
      <c r="U96" s="4"/>
      <c r="V96" s="4">
        <v>114.952</v>
      </c>
      <c r="W96" s="1">
        <f t="shared" si="37"/>
        <v>114.952</v>
      </c>
      <c r="X96" s="1">
        <f t="shared" si="34"/>
        <v>2873.8</v>
      </c>
      <c r="Y96" s="1">
        <f t="shared" si="42"/>
        <v>2873.8</v>
      </c>
      <c r="Z96" s="1">
        <f t="shared" si="35"/>
        <v>0</v>
      </c>
      <c r="AA96" s="1">
        <f t="shared" si="36"/>
        <v>0</v>
      </c>
      <c r="AB96" s="4"/>
      <c r="AW96">
        <f t="shared" si="39"/>
        <v>1.7280202023185243E-2</v>
      </c>
      <c r="AX96">
        <f t="shared" si="40"/>
        <v>-6702.8943380231312</v>
      </c>
      <c r="AY96">
        <f t="shared" si="30"/>
        <v>-3628.1600671054312</v>
      </c>
      <c r="AZ96">
        <f t="shared" si="31"/>
        <v>-3074.7342709177001</v>
      </c>
    </row>
    <row r="97" spans="1:52" x14ac:dyDescent="0.35">
      <c r="A97" s="1">
        <v>96</v>
      </c>
      <c r="B97" s="1">
        <v>2938.8092172996649</v>
      </c>
      <c r="C97" s="1">
        <v>0</v>
      </c>
      <c r="D97" s="1"/>
      <c r="E97" s="1">
        <v>2938.81</v>
      </c>
      <c r="F97" s="1"/>
      <c r="G97" s="1"/>
      <c r="H97" s="1"/>
      <c r="I97" s="1"/>
      <c r="J97" s="1"/>
      <c r="K97" s="1">
        <v>0</v>
      </c>
      <c r="L97" s="1">
        <v>0</v>
      </c>
      <c r="M97" s="4">
        <f t="shared" si="27"/>
        <v>0</v>
      </c>
      <c r="N97" s="4">
        <f t="shared" si="41"/>
        <v>0</v>
      </c>
      <c r="O97" s="4">
        <f t="shared" si="41"/>
        <v>0</v>
      </c>
      <c r="P97" s="4">
        <f t="shared" si="29"/>
        <v>0</v>
      </c>
      <c r="Q97" s="4"/>
      <c r="R97" s="4"/>
      <c r="S97" s="4"/>
      <c r="T97" s="4"/>
      <c r="U97" s="4"/>
      <c r="V97" s="4">
        <v>61.982599999999998</v>
      </c>
      <c r="W97" s="1">
        <f t="shared" si="37"/>
        <v>61.982599999999998</v>
      </c>
      <c r="X97" s="1">
        <f t="shared" si="34"/>
        <v>1549.5650000000001</v>
      </c>
      <c r="Y97" s="1">
        <f>X97-M97</f>
        <v>1549.5650000000001</v>
      </c>
      <c r="Z97" s="1">
        <f t="shared" si="35"/>
        <v>0</v>
      </c>
      <c r="AA97" s="1">
        <f t="shared" si="36"/>
        <v>0</v>
      </c>
      <c r="AB97" s="4"/>
      <c r="AW97">
        <f t="shared" si="39"/>
        <v>7.2665125167962422E-3</v>
      </c>
      <c r="AX97">
        <f t="shared" si="40"/>
        <v>-2818.6398249659869</v>
      </c>
      <c r="AY97">
        <f t="shared" si="30"/>
        <v>-1525.6806896810947</v>
      </c>
      <c r="AZ97">
        <f t="shared" si="31"/>
        <v>-1292.9591352848922</v>
      </c>
    </row>
    <row r="98" spans="1:52" x14ac:dyDescent="0.35">
      <c r="A98" s="1">
        <v>97</v>
      </c>
      <c r="B98" s="1">
        <v>6184.3427862351964</v>
      </c>
      <c r="C98" s="1">
        <v>0</v>
      </c>
      <c r="D98" s="1"/>
      <c r="E98" s="1">
        <v>6184.34</v>
      </c>
      <c r="F98" s="1"/>
      <c r="G98" s="1"/>
      <c r="H98" s="1"/>
      <c r="I98" s="1"/>
      <c r="J98" s="1"/>
      <c r="K98" s="1">
        <v>0</v>
      </c>
      <c r="L98" s="1">
        <v>0</v>
      </c>
      <c r="M98" s="4">
        <f t="shared" si="27"/>
        <v>0</v>
      </c>
      <c r="N98" s="4">
        <f t="shared" si="41"/>
        <v>0</v>
      </c>
      <c r="O98" s="4">
        <f t="shared" si="41"/>
        <v>0</v>
      </c>
      <c r="P98" s="4">
        <f t="shared" si="29"/>
        <v>0</v>
      </c>
      <c r="Q98" s="4"/>
      <c r="R98" s="4"/>
      <c r="S98" s="4"/>
      <c r="T98" s="4"/>
      <c r="U98" s="4"/>
      <c r="V98" s="4">
        <v>129.93600000000001</v>
      </c>
      <c r="W98" s="1">
        <f t="shared" si="37"/>
        <v>129.93600000000001</v>
      </c>
      <c r="X98" s="1">
        <f t="shared" si="34"/>
        <v>3248.4</v>
      </c>
      <c r="Y98" s="1">
        <f t="shared" ref="Y98:Y100" si="43">X98-M98</f>
        <v>3248.4</v>
      </c>
      <c r="Z98" s="1">
        <f t="shared" si="35"/>
        <v>0</v>
      </c>
      <c r="AA98" s="1">
        <f t="shared" si="36"/>
        <v>0</v>
      </c>
      <c r="AB98" s="4"/>
      <c r="AW98">
        <f t="shared" si="39"/>
        <v>1.5291433006198544E-2</v>
      </c>
      <c r="AX98">
        <f t="shared" si="40"/>
        <v>-5931.4618880025737</v>
      </c>
      <c r="AY98">
        <f t="shared" si="30"/>
        <v>-3210.5971057206989</v>
      </c>
      <c r="AZ98">
        <f t="shared" si="31"/>
        <v>-2720.8647822818748</v>
      </c>
    </row>
    <row r="99" spans="1:52" x14ac:dyDescent="0.35">
      <c r="A99" s="1">
        <v>98</v>
      </c>
      <c r="B99" s="1">
        <v>3973.5840486666689</v>
      </c>
      <c r="C99" s="1">
        <v>0</v>
      </c>
      <c r="D99" s="1"/>
      <c r="E99" s="1">
        <v>3973.58</v>
      </c>
      <c r="F99" s="1"/>
      <c r="G99" s="1"/>
      <c r="H99" s="1"/>
      <c r="I99" s="1"/>
      <c r="J99" s="1"/>
      <c r="K99" s="1">
        <v>0</v>
      </c>
      <c r="L99" s="1">
        <v>0</v>
      </c>
      <c r="M99" s="4">
        <f t="shared" si="27"/>
        <v>0</v>
      </c>
      <c r="N99" s="4">
        <f t="shared" si="41"/>
        <v>0</v>
      </c>
      <c r="O99" s="4">
        <f t="shared" si="41"/>
        <v>0</v>
      </c>
      <c r="P99" s="4">
        <f t="shared" si="29"/>
        <v>0</v>
      </c>
      <c r="Q99" s="4"/>
      <c r="R99" s="4"/>
      <c r="S99" s="4"/>
      <c r="T99" s="4"/>
      <c r="U99" s="4"/>
      <c r="V99" s="4">
        <v>82.931700000000006</v>
      </c>
      <c r="W99" s="1">
        <f t="shared" si="37"/>
        <v>82.931700000000006</v>
      </c>
      <c r="X99" s="1">
        <f t="shared" si="34"/>
        <v>2073.2925</v>
      </c>
      <c r="Y99" s="1">
        <f t="shared" si="43"/>
        <v>2073.2925</v>
      </c>
      <c r="Z99" s="1">
        <f t="shared" si="35"/>
        <v>0</v>
      </c>
      <c r="AA99" s="1">
        <f t="shared" si="36"/>
        <v>0</v>
      </c>
      <c r="AB99" s="4"/>
      <c r="AW99">
        <f t="shared" si="39"/>
        <v>9.8251012880343769E-3</v>
      </c>
      <c r="AX99">
        <f t="shared" si="40"/>
        <v>-3811.1021911496214</v>
      </c>
      <c r="AY99">
        <f t="shared" si="30"/>
        <v>-2062.883298510284</v>
      </c>
      <c r="AZ99">
        <f t="shared" si="31"/>
        <v>-1748.2188926393374</v>
      </c>
    </row>
    <row r="100" spans="1:52" x14ac:dyDescent="0.35">
      <c r="A100" s="1">
        <v>99</v>
      </c>
      <c r="B100" s="1">
        <v>6386.1720264839241</v>
      </c>
      <c r="C100" s="1">
        <v>0</v>
      </c>
      <c r="D100" s="1"/>
      <c r="E100" s="1">
        <v>6386.17</v>
      </c>
      <c r="F100" s="1"/>
      <c r="G100" s="1"/>
      <c r="H100" s="1"/>
      <c r="I100" s="1"/>
      <c r="J100" s="1"/>
      <c r="K100" s="1">
        <v>0</v>
      </c>
      <c r="L100" s="1">
        <v>0</v>
      </c>
      <c r="M100" s="4">
        <f t="shared" si="27"/>
        <v>0</v>
      </c>
      <c r="N100" s="4">
        <f t="shared" si="41"/>
        <v>0</v>
      </c>
      <c r="O100" s="4">
        <f t="shared" si="41"/>
        <v>0</v>
      </c>
      <c r="P100" s="4">
        <f t="shared" si="29"/>
        <v>0</v>
      </c>
      <c r="Q100" s="4"/>
      <c r="R100" s="4"/>
      <c r="S100" s="4"/>
      <c r="T100" s="4"/>
      <c r="U100" s="4"/>
      <c r="V100" s="4">
        <v>106.389</v>
      </c>
      <c r="W100" s="1">
        <f t="shared" si="37"/>
        <v>106.389</v>
      </c>
      <c r="X100" s="1">
        <f t="shared" si="34"/>
        <v>2659.7249999999999</v>
      </c>
      <c r="Y100" s="1">
        <f t="shared" si="43"/>
        <v>2659.7249999999999</v>
      </c>
      <c r="Z100" s="1">
        <f t="shared" si="35"/>
        <v>0</v>
      </c>
      <c r="AA100" s="1">
        <f t="shared" si="36"/>
        <v>0</v>
      </c>
      <c r="AB100" s="4"/>
      <c r="AW100">
        <f t="shared" si="39"/>
        <v>1.5790476867872029E-2</v>
      </c>
      <c r="AX100">
        <f t="shared" si="40"/>
        <v>-6125.0382287391167</v>
      </c>
      <c r="AY100">
        <f t="shared" si="30"/>
        <v>-3315.3766105105437</v>
      </c>
      <c r="AZ100">
        <f t="shared" si="31"/>
        <v>-2809.6616182285729</v>
      </c>
    </row>
    <row r="101" spans="1:52" x14ac:dyDescent="0.35">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W101">
        <f t="shared" si="39"/>
        <v>0</v>
      </c>
      <c r="AX101">
        <f t="shared" si="40"/>
        <v>0</v>
      </c>
      <c r="AY101">
        <f t="shared" si="30"/>
        <v>0</v>
      </c>
      <c r="AZ101">
        <f t="shared" si="31"/>
        <v>0</v>
      </c>
    </row>
    <row r="102" spans="1:52" x14ac:dyDescent="0.35">
      <c r="A102" s="1" t="s">
        <v>57</v>
      </c>
      <c r="B102" s="1">
        <f>SUM(B2:B100)</f>
        <v>404431.86611276446</v>
      </c>
      <c r="C102" s="1">
        <f t="shared" ref="C102:Y102" si="44">SUM(C2:C100)</f>
        <v>162</v>
      </c>
      <c r="D102" s="1">
        <f t="shared" si="44"/>
        <v>283691.82999999996</v>
      </c>
      <c r="E102" s="1">
        <f t="shared" si="44"/>
        <v>404431.70899999997</v>
      </c>
      <c r="F102" s="1">
        <f t="shared" si="44"/>
        <v>95787.414000000004</v>
      </c>
      <c r="G102" s="1">
        <f t="shared" si="44"/>
        <v>9329.0467000000008</v>
      </c>
      <c r="H102" s="1">
        <f t="shared" si="44"/>
        <v>123333.31999999998</v>
      </c>
      <c r="I102" s="1">
        <f t="shared" si="44"/>
        <v>66729.77399999999</v>
      </c>
      <c r="J102" s="1">
        <f t="shared" si="44"/>
        <v>78629.764999999985</v>
      </c>
      <c r="K102" s="1">
        <f t="shared" si="44"/>
        <v>405</v>
      </c>
      <c r="L102" s="1">
        <f t="shared" si="44"/>
        <v>125.40000000000002</v>
      </c>
      <c r="M102" s="1">
        <f t="shared" si="44"/>
        <v>537328</v>
      </c>
      <c r="N102" s="1">
        <f t="shared" si="44"/>
        <v>5293.9999999999991</v>
      </c>
      <c r="O102" s="1"/>
      <c r="P102" s="1">
        <f t="shared" si="44"/>
        <v>132350</v>
      </c>
      <c r="Q102" s="1">
        <f t="shared" si="44"/>
        <v>0</v>
      </c>
      <c r="R102" s="1">
        <f t="shared" si="44"/>
        <v>0</v>
      </c>
      <c r="S102" s="1">
        <f t="shared" si="44"/>
        <v>170764.78821330378</v>
      </c>
      <c r="T102" s="1">
        <f t="shared" si="44"/>
        <v>49601.7</v>
      </c>
      <c r="U102" s="1">
        <f t="shared" si="44"/>
        <v>0</v>
      </c>
      <c r="V102" s="1">
        <f t="shared" si="44"/>
        <v>22905.599420000006</v>
      </c>
      <c r="W102" s="1">
        <f t="shared" si="44"/>
        <v>-514422.40058000013</v>
      </c>
      <c r="X102" s="1">
        <f t="shared" si="44"/>
        <v>572639.98549999995</v>
      </c>
      <c r="Y102" s="1">
        <f t="shared" si="44"/>
        <v>35311.985499999973</v>
      </c>
      <c r="Z102" s="1"/>
      <c r="AA102" s="1"/>
      <c r="AB102" s="4"/>
      <c r="AW102">
        <f t="shared" si="39"/>
        <v>1</v>
      </c>
      <c r="AX102">
        <f t="shared" si="40"/>
        <v>-387894.44296019827</v>
      </c>
      <c r="AY102">
        <f t="shared" si="30"/>
        <v>-209960.51216516134</v>
      </c>
      <c r="AZ102">
        <f t="shared" si="31"/>
        <v>-177933.93079503693</v>
      </c>
    </row>
    <row r="103" spans="1:52" x14ac:dyDescent="0.35">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W103">
        <f t="shared" si="39"/>
        <v>0</v>
      </c>
      <c r="AX103">
        <f t="shared" si="40"/>
        <v>0</v>
      </c>
      <c r="AY103">
        <f t="shared" si="30"/>
        <v>0</v>
      </c>
    </row>
    <row r="104" spans="1:52" ht="15" thickBot="1" x14ac:dyDescent="0.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1:52" x14ac:dyDescent="0.35">
      <c r="F105" s="93" t="s">
        <v>368</v>
      </c>
      <c r="G105" s="74"/>
      <c r="H105" s="74" t="s">
        <v>357</v>
      </c>
      <c r="I105" s="75" t="s">
        <v>6</v>
      </c>
      <c r="K105" t="s">
        <v>6</v>
      </c>
    </row>
    <row r="106" spans="1:52" x14ac:dyDescent="0.35">
      <c r="F106" s="94" t="s">
        <v>383</v>
      </c>
      <c r="G106">
        <f>SUM(B47:B100)</f>
        <v>235777.38014431737</v>
      </c>
      <c r="H106">
        <f>G106*S4</f>
        <v>36545.493922369191</v>
      </c>
      <c r="I106" s="30" t="s">
        <v>380</v>
      </c>
    </row>
    <row r="107" spans="1:52" x14ac:dyDescent="0.35">
      <c r="F107" s="94" t="s">
        <v>363</v>
      </c>
      <c r="G107">
        <f>G119</f>
        <v>95787.414000000004</v>
      </c>
      <c r="H107">
        <f>H119</f>
        <v>9329.0467000000008</v>
      </c>
      <c r="I107" s="30" t="s">
        <v>377</v>
      </c>
    </row>
    <row r="108" spans="1:52" x14ac:dyDescent="0.35">
      <c r="F108" s="94" t="s">
        <v>361</v>
      </c>
      <c r="G108">
        <f>G106-G107</f>
        <v>139989.96614431735</v>
      </c>
      <c r="H108">
        <f>G108*S4</f>
        <v>21698.444752369189</v>
      </c>
      <c r="I108" s="30" t="s">
        <v>376</v>
      </c>
    </row>
    <row r="109" spans="1:52" x14ac:dyDescent="0.35">
      <c r="F109" s="94" t="s">
        <v>365</v>
      </c>
      <c r="I109" s="30"/>
    </row>
    <row r="110" spans="1:52" ht="15" thickBot="1" x14ac:dyDescent="0.4">
      <c r="F110" s="95" t="s">
        <v>370</v>
      </c>
      <c r="G110" s="19"/>
      <c r="H110" s="19">
        <f>H106-H107-H108</f>
        <v>5518.0024700000031</v>
      </c>
      <c r="I110" s="20"/>
    </row>
    <row r="115" spans="6:11" ht="15" thickBot="1" x14ac:dyDescent="0.4"/>
    <row r="116" spans="6:11" x14ac:dyDescent="0.35">
      <c r="F116" s="93" t="s">
        <v>368</v>
      </c>
      <c r="G116" s="74"/>
      <c r="H116" s="74" t="s">
        <v>357</v>
      </c>
      <c r="I116" s="75"/>
    </row>
    <row r="117" spans="6:11" x14ac:dyDescent="0.35">
      <c r="F117" s="94" t="s">
        <v>373</v>
      </c>
      <c r="G117">
        <f>SUM(D2:D46)</f>
        <v>283691.82999999996</v>
      </c>
      <c r="H117">
        <f>G117*S4</f>
        <v>43972.233649999995</v>
      </c>
      <c r="I117" s="30" t="s">
        <v>380</v>
      </c>
      <c r="K117">
        <f>H119+H121</f>
        <v>19871.240553999996</v>
      </c>
    </row>
    <row r="118" spans="6:11" x14ac:dyDescent="0.35">
      <c r="F118" s="94" t="s">
        <v>375</v>
      </c>
      <c r="G118">
        <f>SUM(B2:B46)</f>
        <v>168654.48596844697</v>
      </c>
      <c r="H118">
        <f>G118*S4</f>
        <v>26141.445325109282</v>
      </c>
      <c r="I118" s="30" t="s">
        <v>380</v>
      </c>
    </row>
    <row r="119" spans="6:11" x14ac:dyDescent="0.35">
      <c r="F119" s="94" t="s">
        <v>358</v>
      </c>
      <c r="G119">
        <f>F102</f>
        <v>95787.414000000004</v>
      </c>
      <c r="H119">
        <f>G102</f>
        <v>9329.0467000000008</v>
      </c>
      <c r="I119" s="30" t="s">
        <v>377</v>
      </c>
    </row>
    <row r="120" spans="6:11" x14ac:dyDescent="0.35">
      <c r="F120" s="94" t="s">
        <v>306</v>
      </c>
      <c r="G120">
        <f>I102</f>
        <v>66729.77399999999</v>
      </c>
      <c r="H120">
        <f>G120*S4</f>
        <v>10343.114969999999</v>
      </c>
      <c r="I120" s="30" t="s">
        <v>379</v>
      </c>
    </row>
    <row r="121" spans="6:11" x14ac:dyDescent="0.35">
      <c r="F121" s="94" t="s">
        <v>371</v>
      </c>
      <c r="G121">
        <f>G117-G119-G120</f>
        <v>121174.64199999998</v>
      </c>
      <c r="H121">
        <f>G121*S6</f>
        <v>10542.193853999997</v>
      </c>
      <c r="I121" s="30" t="s">
        <v>393</v>
      </c>
    </row>
    <row r="122" spans="6:11" x14ac:dyDescent="0.35">
      <c r="F122" s="94" t="s">
        <v>392</v>
      </c>
      <c r="G122">
        <f>G118-G120</f>
        <v>101924.71196844698</v>
      </c>
      <c r="H122">
        <f>G122*S4</f>
        <v>15798.330355109281</v>
      </c>
      <c r="I122" s="30" t="s">
        <v>394</v>
      </c>
    </row>
    <row r="123" spans="6:11" x14ac:dyDescent="0.35">
      <c r="F123" s="94" t="s">
        <v>389</v>
      </c>
      <c r="G123">
        <f>G119+G120+G12+G121</f>
        <v>283820.00899999996</v>
      </c>
      <c r="I123" s="30"/>
    </row>
    <row r="124" spans="6:11" x14ac:dyDescent="0.35">
      <c r="F124" s="94" t="s">
        <v>390</v>
      </c>
      <c r="G124">
        <f>G120+G122</f>
        <v>168654.48596844697</v>
      </c>
      <c r="I124" s="30"/>
    </row>
    <row r="125" spans="6:11" ht="15" thickBot="1" x14ac:dyDescent="0.4">
      <c r="F125" s="95" t="s">
        <v>370</v>
      </c>
      <c r="G125" s="19"/>
      <c r="H125" s="19">
        <f>H119+H120+H121-H122</f>
        <v>14416.025168890717</v>
      </c>
      <c r="I125" s="20"/>
    </row>
  </sheetData>
  <mergeCells count="2">
    <mergeCell ref="R16:S16"/>
    <mergeCell ref="AH31:AK32"/>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Φύλλο1</vt:lpstr>
      <vt:lpstr>Households I will use</vt:lpstr>
      <vt:lpstr>Costs build LEM</vt:lpstr>
      <vt:lpstr>EC economic evaluation</vt:lpstr>
      <vt:lpstr>LEM economic evaluation_v8 (3)</vt:lpstr>
      <vt:lpstr>LEM economic evaluation_v7G (2)</vt:lpstr>
      <vt:lpstr>LEM economic evaluation_v7 (2)</vt:lpstr>
      <vt:lpstr>LEM economic evaluation_v8G (2)</vt:lpstr>
      <vt:lpstr>LEM economic evaluation_v8 (2)</vt:lpstr>
      <vt:lpstr>LEM economic evaluation_v7Gr </vt:lpstr>
      <vt:lpstr>LEM economic evaluation_v7</vt:lpstr>
      <vt:lpstr>LEM economic evaluation_v8Gr</vt:lpstr>
      <vt:lpstr>LEM economic evaluation_v8</vt:lpstr>
      <vt:lpstr>LEM economic evaluation_v6</vt:lpstr>
      <vt:lpstr>LEM economic evaluation_v5</vt:lpstr>
      <vt:lpstr>LEM economic evaluation_v4</vt:lpstr>
      <vt:lpstr>LEM economic evaluation_v3</vt:lpstr>
      <vt:lpstr>Final - Indiv_agent_BARchart </vt:lpstr>
      <vt:lpstr>Profits scenarios maxPric=0.155</vt:lpstr>
      <vt:lpstr>LEM economic evaluation_v2</vt:lpstr>
      <vt:lpstr>LEM economic evaluation</vt:lpstr>
      <vt:lpstr>Indiv_agent_BARchart</vt:lpstr>
      <vt:lpstr>Profits scenarios maxPric=0.5</vt:lpstr>
      <vt:lpstr>Compare based on maxPrice</vt:lpstr>
      <vt:lpstr>Smart Contract cost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Γιώργος Κρασσακόπουλος</dc:creator>
  <cp:lastModifiedBy>Γιώργος Κρασσακόπουλος</cp:lastModifiedBy>
  <dcterms:created xsi:type="dcterms:W3CDTF">2015-06-05T18:19:34Z</dcterms:created>
  <dcterms:modified xsi:type="dcterms:W3CDTF">2023-08-09T18:15:59Z</dcterms:modified>
</cp:coreProperties>
</file>