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Aeroporto\"/>
    </mc:Choice>
  </mc:AlternateContent>
  <bookViews>
    <workbookView xWindow="0" yWindow="0" windowWidth="24000" windowHeight="9435" tabRatio="904" firstSheet="3" activeTab="11"/>
  </bookViews>
  <sheets>
    <sheet name="FE-Transferências" sheetId="16" r:id="rId1"/>
    <sheet name="FE-Vias" sheetId="12" r:id="rId2"/>
    <sheet name="FE-Compactação" sheetId="19" r:id="rId3"/>
    <sheet name="FE-Maq Equip" sheetId="6" r:id="rId4"/>
    <sheet name="Dados" sheetId="1" r:id="rId5"/>
    <sheet name="Emissão Maq e Equip" sheetId="7" r:id="rId6"/>
    <sheet name="Emissão Maq Aeródromo" sheetId="20" r:id="rId7"/>
    <sheet name="Emissão Aeródromo" sheetId="8" r:id="rId8"/>
    <sheet name="Emissão Vias " sheetId="13" r:id="rId9"/>
    <sheet name="Emissão Transferências" sheetId="17" r:id="rId10"/>
    <sheet name="Emissão Compactação" sheetId="18" r:id="rId11"/>
    <sheet name="Resumo" sheetId="10" r:id="rId12"/>
  </sheets>
  <definedNames>
    <definedName name="FE_Equip">'FE-Maq Equip'!$B$3:$I$53</definedName>
    <definedName name="Pot_Equip">'FE-Maq Equip'!$B$3:$B$53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7" l="1"/>
  <c r="K7" i="7" l="1"/>
  <c r="L7" i="7"/>
  <c r="M7" i="7"/>
  <c r="K8" i="7"/>
  <c r="L8" i="7"/>
  <c r="M8" i="7"/>
  <c r="K9" i="7"/>
  <c r="L9" i="7"/>
  <c r="M9" i="7"/>
  <c r="K10" i="7"/>
  <c r="L10" i="7"/>
  <c r="M10" i="7"/>
  <c r="K11" i="7"/>
  <c r="L11" i="7"/>
  <c r="M11" i="7"/>
  <c r="K12" i="7"/>
  <c r="L12" i="7"/>
  <c r="M12" i="7"/>
  <c r="K13" i="7"/>
  <c r="L13" i="7"/>
  <c r="M13" i="7"/>
  <c r="K14" i="7"/>
  <c r="L14" i="7"/>
  <c r="M14" i="7"/>
  <c r="K15" i="7"/>
  <c r="L15" i="7"/>
  <c r="M15" i="7"/>
  <c r="K16" i="7"/>
  <c r="L16" i="7"/>
  <c r="M16" i="7"/>
  <c r="K17" i="7"/>
  <c r="L17" i="7"/>
  <c r="M17" i="7"/>
  <c r="M6" i="7"/>
  <c r="L6" i="7"/>
  <c r="J7" i="7"/>
  <c r="J8" i="7"/>
  <c r="J9" i="7"/>
  <c r="J10" i="7"/>
  <c r="J11" i="7"/>
  <c r="J12" i="7"/>
  <c r="J13" i="7"/>
  <c r="J14" i="7"/>
  <c r="J15" i="7"/>
  <c r="J16" i="7"/>
  <c r="J17" i="7"/>
  <c r="J6" i="7"/>
  <c r="I7" i="7"/>
  <c r="I8" i="7"/>
  <c r="I9" i="7"/>
  <c r="I10" i="7"/>
  <c r="I11" i="7"/>
  <c r="I12" i="7"/>
  <c r="I13" i="7"/>
  <c r="I14" i="7"/>
  <c r="I15" i="7"/>
  <c r="I16" i="7"/>
  <c r="I17" i="7"/>
  <c r="I6" i="7"/>
  <c r="N7" i="20" l="1"/>
  <c r="N8" i="20"/>
  <c r="N9" i="20"/>
  <c r="N10" i="20"/>
  <c r="N11" i="20"/>
  <c r="N12" i="20"/>
  <c r="N13" i="20"/>
  <c r="N14" i="20"/>
  <c r="N15" i="20"/>
  <c r="N16" i="20"/>
  <c r="N17" i="20"/>
  <c r="N18" i="20"/>
  <c r="N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6" i="20"/>
  <c r="H18" i="20" l="1"/>
  <c r="H17" i="20"/>
  <c r="H16" i="20"/>
  <c r="H15" i="20"/>
  <c r="C15" i="20"/>
  <c r="H14" i="20"/>
  <c r="H13" i="20"/>
  <c r="H12" i="20"/>
  <c r="H11" i="20"/>
  <c r="H10" i="20"/>
  <c r="H9" i="20"/>
  <c r="H8" i="20"/>
  <c r="H7" i="20"/>
  <c r="H6" i="20"/>
  <c r="C6" i="20"/>
  <c r="C7" i="20"/>
  <c r="C8" i="20"/>
  <c r="C9" i="20"/>
  <c r="C10" i="20"/>
  <c r="C11" i="20"/>
  <c r="C12" i="20"/>
  <c r="C13" i="20"/>
  <c r="C14" i="20"/>
  <c r="C16" i="20"/>
  <c r="C17" i="20"/>
  <c r="C18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A17" i="20"/>
  <c r="A9" i="20"/>
  <c r="A7" i="20"/>
  <c r="S8" i="20" l="1"/>
  <c r="U8" i="20"/>
  <c r="R8" i="20"/>
  <c r="T8" i="20"/>
  <c r="O8" i="20"/>
  <c r="S12" i="20"/>
  <c r="T12" i="20"/>
  <c r="U12" i="20"/>
  <c r="O12" i="20"/>
  <c r="R12" i="20"/>
  <c r="R15" i="20"/>
  <c r="S15" i="20"/>
  <c r="O15" i="20"/>
  <c r="U15" i="20"/>
  <c r="T15" i="20"/>
  <c r="T9" i="20"/>
  <c r="U9" i="20"/>
  <c r="S9" i="20"/>
  <c r="R9" i="20"/>
  <c r="O9" i="20"/>
  <c r="T13" i="20"/>
  <c r="R13" i="20"/>
  <c r="O13" i="20"/>
  <c r="U13" i="20"/>
  <c r="S13" i="20"/>
  <c r="S16" i="20"/>
  <c r="O16" i="20"/>
  <c r="P16" i="20" s="1"/>
  <c r="R16" i="20"/>
  <c r="T16" i="20"/>
  <c r="U16" i="20"/>
  <c r="R6" i="20"/>
  <c r="T6" i="20"/>
  <c r="O6" i="20"/>
  <c r="U6" i="20"/>
  <c r="S6" i="20"/>
  <c r="O10" i="20"/>
  <c r="Q10" i="20" s="1"/>
  <c r="U10" i="20"/>
  <c r="T10" i="20"/>
  <c r="S10" i="20"/>
  <c r="R10" i="20"/>
  <c r="U14" i="20"/>
  <c r="O14" i="20"/>
  <c r="S14" i="20"/>
  <c r="R14" i="20"/>
  <c r="T14" i="20"/>
  <c r="T17" i="20"/>
  <c r="S17" i="20"/>
  <c r="R17" i="20"/>
  <c r="O17" i="20"/>
  <c r="U17" i="20"/>
  <c r="R7" i="20"/>
  <c r="U7" i="20"/>
  <c r="T7" i="20"/>
  <c r="S7" i="20"/>
  <c r="O7" i="20"/>
  <c r="R11" i="20"/>
  <c r="U11" i="20"/>
  <c r="T11" i="20"/>
  <c r="S11" i="20"/>
  <c r="O11" i="20"/>
  <c r="U18" i="20"/>
  <c r="O18" i="20"/>
  <c r="P18" i="20" s="1"/>
  <c r="R18" i="20"/>
  <c r="T18" i="20"/>
  <c r="S18" i="20"/>
  <c r="P15" i="20"/>
  <c r="P14" i="20"/>
  <c r="Q14" i="20"/>
  <c r="P12" i="20"/>
  <c r="P8" i="20"/>
  <c r="Q15" i="20"/>
  <c r="Q8" i="20"/>
  <c r="Q18" i="20" l="1"/>
  <c r="P10" i="20"/>
  <c r="Q13" i="20"/>
  <c r="P13" i="20"/>
  <c r="Q9" i="20"/>
  <c r="P9" i="20"/>
  <c r="Q17" i="20"/>
  <c r="P17" i="20"/>
  <c r="Q12" i="20"/>
  <c r="P7" i="20"/>
  <c r="Q7" i="20"/>
  <c r="P11" i="20"/>
  <c r="Q11" i="20"/>
  <c r="Q16" i="20"/>
  <c r="A18" i="20"/>
  <c r="A16" i="20"/>
  <c r="A15" i="20"/>
  <c r="A14" i="20"/>
  <c r="A10" i="1"/>
  <c r="A13" i="20"/>
  <c r="A12" i="20"/>
  <c r="A11" i="20"/>
  <c r="A10" i="20"/>
  <c r="A8" i="20"/>
  <c r="A6" i="20"/>
  <c r="F7" i="13" l="1"/>
  <c r="F8" i="13"/>
  <c r="F9" i="13"/>
  <c r="F10" i="13"/>
  <c r="F11" i="13"/>
  <c r="F12" i="13"/>
  <c r="F13" i="13"/>
  <c r="F6" i="18"/>
  <c r="F7" i="18"/>
  <c r="F8" i="18"/>
  <c r="F5" i="18"/>
  <c r="E6" i="18"/>
  <c r="E7" i="18"/>
  <c r="E8" i="18"/>
  <c r="E5" i="18"/>
  <c r="C6" i="18"/>
  <c r="C7" i="18"/>
  <c r="C8" i="18"/>
  <c r="C5" i="18"/>
  <c r="B6" i="18"/>
  <c r="B7" i="18"/>
  <c r="B8" i="18"/>
  <c r="A6" i="18"/>
  <c r="A7" i="18"/>
  <c r="A8" i="18"/>
  <c r="B5" i="18"/>
  <c r="A5" i="18"/>
  <c r="C9" i="17"/>
  <c r="C8" i="17"/>
  <c r="L9" i="17" s="1"/>
  <c r="K5" i="18" l="1"/>
  <c r="M5" i="18" s="1"/>
  <c r="L5" i="18"/>
  <c r="K8" i="18"/>
  <c r="M8" i="18" s="1"/>
  <c r="L8" i="18"/>
  <c r="K7" i="18"/>
  <c r="M7" i="18" s="1"/>
  <c r="L7" i="18"/>
  <c r="K6" i="18"/>
  <c r="M6" i="18" s="1"/>
  <c r="L6" i="18"/>
  <c r="D5" i="18"/>
  <c r="N5" i="18"/>
  <c r="P6" i="20"/>
  <c r="Q6" i="20"/>
  <c r="D7" i="18"/>
  <c r="D6" i="18"/>
  <c r="N6" i="18" s="1"/>
  <c r="D8" i="18"/>
  <c r="P8" i="18" s="1"/>
  <c r="K8" i="17"/>
  <c r="K9" i="17"/>
  <c r="J8" i="17"/>
  <c r="L8" i="17"/>
  <c r="J9" i="17"/>
  <c r="O7" i="18" l="1"/>
  <c r="O5" i="18"/>
  <c r="O6" i="18"/>
  <c r="P5" i="18"/>
  <c r="P6" i="18"/>
  <c r="P7" i="18"/>
  <c r="P9" i="18" s="1"/>
  <c r="N8" i="18"/>
  <c r="N7" i="18"/>
  <c r="O8" i="18"/>
  <c r="S19" i="20"/>
  <c r="F4" i="10" s="1"/>
  <c r="U19" i="20"/>
  <c r="H4" i="10" s="1"/>
  <c r="O19" i="20"/>
  <c r="B4" i="10" s="1"/>
  <c r="T19" i="20"/>
  <c r="G4" i="10" s="1"/>
  <c r="R19" i="20"/>
  <c r="E4" i="10" s="1"/>
  <c r="Q19" i="20" l="1"/>
  <c r="D4" i="10" s="1"/>
  <c r="P19" i="20"/>
  <c r="C4" i="10" s="1"/>
  <c r="D9" i="10"/>
  <c r="O9" i="18"/>
  <c r="C9" i="10" s="1"/>
  <c r="N9" i="18"/>
  <c r="B9" i="10" s="1"/>
  <c r="B2" i="17" l="1"/>
  <c r="F9" i="17" s="1"/>
  <c r="H16" i="16"/>
  <c r="H15" i="16"/>
  <c r="F8" i="17" l="1"/>
  <c r="O8" i="17" s="1"/>
  <c r="M8" i="17"/>
  <c r="N9" i="17"/>
  <c r="M9" i="17"/>
  <c r="N8" i="17"/>
  <c r="O9" i="17"/>
  <c r="N10" i="17" l="1"/>
  <c r="C8" i="10" s="1"/>
  <c r="O10" i="17"/>
  <c r="D8" i="10" s="1"/>
  <c r="M10" i="17"/>
  <c r="B8" i="10" s="1"/>
  <c r="X9" i="13" l="1"/>
  <c r="X10" i="13"/>
  <c r="X11" i="13"/>
  <c r="X12" i="13"/>
  <c r="X13" i="13"/>
  <c r="X8" i="13"/>
  <c r="W9" i="13"/>
  <c r="W10" i="13"/>
  <c r="W11" i="13"/>
  <c r="W12" i="13"/>
  <c r="W13" i="13"/>
  <c r="W8" i="13"/>
  <c r="V9" i="13"/>
  <c r="V10" i="13"/>
  <c r="V11" i="13"/>
  <c r="V12" i="13"/>
  <c r="V13" i="13"/>
  <c r="V8" i="13"/>
  <c r="U9" i="13"/>
  <c r="U10" i="13"/>
  <c r="U11" i="13"/>
  <c r="U12" i="13"/>
  <c r="U13" i="13"/>
  <c r="U8" i="13"/>
  <c r="T9" i="13"/>
  <c r="T10" i="13"/>
  <c r="T11" i="13"/>
  <c r="T12" i="13"/>
  <c r="T13" i="13"/>
  <c r="T8" i="13"/>
  <c r="S9" i="13"/>
  <c r="S10" i="13"/>
  <c r="S11" i="13"/>
  <c r="S12" i="13"/>
  <c r="S13" i="13"/>
  <c r="S8" i="13"/>
  <c r="S7" i="13"/>
  <c r="T7" i="13"/>
  <c r="U7" i="13"/>
  <c r="V7" i="13"/>
  <c r="W7" i="13"/>
  <c r="X7" i="13"/>
  <c r="R7" i="13"/>
  <c r="R8" i="13"/>
  <c r="R9" i="13"/>
  <c r="R10" i="13"/>
  <c r="R11" i="13"/>
  <c r="R12" i="13"/>
  <c r="R13" i="13"/>
  <c r="B4" i="13"/>
  <c r="G10" i="13" l="1"/>
  <c r="I10" i="13" s="1"/>
  <c r="J10" i="13" s="1"/>
  <c r="G7" i="13"/>
  <c r="I7" i="13" s="1"/>
  <c r="J7" i="13" s="1"/>
  <c r="AD7" i="13" s="1"/>
  <c r="G11" i="13"/>
  <c r="I11" i="13" s="1"/>
  <c r="J11" i="13" s="1"/>
  <c r="G8" i="13"/>
  <c r="I8" i="13" s="1"/>
  <c r="J8" i="13" s="1"/>
  <c r="G12" i="13"/>
  <c r="I12" i="13" s="1"/>
  <c r="J12" i="13" s="1"/>
  <c r="G9" i="13"/>
  <c r="I9" i="13" s="1"/>
  <c r="J9" i="13" s="1"/>
  <c r="G13" i="13"/>
  <c r="I13" i="13" s="1"/>
  <c r="J13" i="13" s="1"/>
  <c r="G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B52" i="1"/>
  <c r="Q11" i="13" l="1"/>
  <c r="P8" i="13"/>
  <c r="P12" i="13"/>
  <c r="O9" i="13"/>
  <c r="O13" i="13"/>
  <c r="Q7" i="13"/>
  <c r="O12" i="13"/>
  <c r="Y12" i="13" s="1"/>
  <c r="Q8" i="13"/>
  <c r="AA8" i="13" s="1"/>
  <c r="Q12" i="13"/>
  <c r="AA12" i="13" s="1"/>
  <c r="P9" i="13"/>
  <c r="P13" i="13"/>
  <c r="Z13" i="13" s="1"/>
  <c r="O10" i="13"/>
  <c r="Y10" i="13" s="1"/>
  <c r="O7" i="13"/>
  <c r="P11" i="13"/>
  <c r="Q9" i="13"/>
  <c r="Q13" i="13"/>
  <c r="AA13" i="13" s="1"/>
  <c r="P10" i="13"/>
  <c r="P7" i="13"/>
  <c r="O11" i="13"/>
  <c r="Y11" i="13" s="1"/>
  <c r="Q10" i="13"/>
  <c r="AA10" i="13" s="1"/>
  <c r="O8" i="13"/>
  <c r="Y8" i="13" s="1"/>
  <c r="Y13" i="13"/>
  <c r="AE13" i="13"/>
  <c r="AB13" i="13"/>
  <c r="AD13" i="13"/>
  <c r="AC12" i="13"/>
  <c r="AC13" i="13"/>
  <c r="AD12" i="13"/>
  <c r="Z12" i="13"/>
  <c r="AB12" i="13"/>
  <c r="AE12" i="13"/>
  <c r="Z10" i="13"/>
  <c r="Z7" i="13"/>
  <c r="AB11" i="13"/>
  <c r="AE11" i="13"/>
  <c r="AA11" i="13"/>
  <c r="AC7" i="13"/>
  <c r="AB7" i="13"/>
  <c r="AE7" i="13"/>
  <c r="AA7" i="13"/>
  <c r="AD8" i="13"/>
  <c r="AC10" i="13"/>
  <c r="AE10" i="13"/>
  <c r="AB10" i="13"/>
  <c r="AD11" i="13"/>
  <c r="AB8" i="13"/>
  <c r="AC8" i="13"/>
  <c r="AE8" i="13"/>
  <c r="AC11" i="13"/>
  <c r="Y7" i="13"/>
  <c r="Z8" i="13"/>
  <c r="AD10" i="13"/>
  <c r="Z11" i="13"/>
  <c r="Z9" i="13"/>
  <c r="Z14" i="13" l="1"/>
  <c r="C7" i="10" s="1"/>
  <c r="Y9" i="13"/>
  <c r="AB9" i="13"/>
  <c r="AB14" i="13" s="1"/>
  <c r="E7" i="10" s="1"/>
  <c r="AC9" i="13"/>
  <c r="AC14" i="13" s="1"/>
  <c r="F7" i="10" s="1"/>
  <c r="AE9" i="13"/>
  <c r="AE14" i="13" s="1"/>
  <c r="H7" i="10" s="1"/>
  <c r="AA9" i="13"/>
  <c r="AA14" i="13" s="1"/>
  <c r="D7" i="10" s="1"/>
  <c r="AD9" i="13"/>
  <c r="AD14" i="13" s="1"/>
  <c r="G7" i="10" s="1"/>
  <c r="Y14" i="13" l="1"/>
  <c r="B7" i="10" s="1"/>
  <c r="S7" i="8" l="1"/>
  <c r="N7" i="8"/>
  <c r="O7" i="8"/>
  <c r="N8" i="8" s="1"/>
  <c r="E5" i="10" s="1"/>
  <c r="T7" i="8"/>
  <c r="U7" i="8"/>
  <c r="P7" i="8"/>
  <c r="P8" i="8"/>
  <c r="F5" i="10" s="1"/>
  <c r="R7" i="8"/>
  <c r="T8" i="8" l="1"/>
  <c r="H5" i="10" s="1"/>
  <c r="R8" i="8"/>
  <c r="G5" i="10" s="1"/>
  <c r="G17" i="7"/>
  <c r="C17" i="7"/>
  <c r="B17" i="7"/>
  <c r="A17" i="7"/>
  <c r="A9" i="7"/>
  <c r="B9" i="7"/>
  <c r="C9" i="7"/>
  <c r="G9" i="7"/>
  <c r="A10" i="7"/>
  <c r="B10" i="7"/>
  <c r="C10" i="7"/>
  <c r="G10" i="7"/>
  <c r="A11" i="7"/>
  <c r="B11" i="7"/>
  <c r="C11" i="7"/>
  <c r="G11" i="7"/>
  <c r="A12" i="7"/>
  <c r="B12" i="7"/>
  <c r="C12" i="7"/>
  <c r="G12" i="7"/>
  <c r="A13" i="7"/>
  <c r="B13" i="7"/>
  <c r="C13" i="7"/>
  <c r="G13" i="7"/>
  <c r="A14" i="7"/>
  <c r="B14" i="7"/>
  <c r="C14" i="7"/>
  <c r="G14" i="7"/>
  <c r="A15" i="7"/>
  <c r="B15" i="7"/>
  <c r="C15" i="7"/>
  <c r="G15" i="7"/>
  <c r="A16" i="7"/>
  <c r="B16" i="7"/>
  <c r="C16" i="7"/>
  <c r="G16" i="7"/>
  <c r="G7" i="7"/>
  <c r="G8" i="7"/>
  <c r="G6" i="7"/>
  <c r="C7" i="7"/>
  <c r="C8" i="7"/>
  <c r="A7" i="7"/>
  <c r="B7" i="7"/>
  <c r="A8" i="7"/>
  <c r="B8" i="7"/>
  <c r="B6" i="7"/>
  <c r="C6" i="7"/>
  <c r="A6" i="7"/>
  <c r="H15" i="7" l="1"/>
  <c r="Q15" i="7" s="1"/>
  <c r="H14" i="7"/>
  <c r="N14" i="7" s="1"/>
  <c r="O14" i="7" s="1"/>
  <c r="H13" i="7"/>
  <c r="N13" i="7" s="1"/>
  <c r="O13" i="7" s="1"/>
  <c r="H12" i="7"/>
  <c r="R12" i="7" s="1"/>
  <c r="H11" i="7"/>
  <c r="R11" i="7" s="1"/>
  <c r="H10" i="7"/>
  <c r="N10" i="7" s="1"/>
  <c r="P10" i="7" s="1"/>
  <c r="H9" i="7"/>
  <c r="N9" i="7" s="1"/>
  <c r="O9" i="7" s="1"/>
  <c r="H7" i="7"/>
  <c r="T7" i="7" s="1"/>
  <c r="H17" i="7"/>
  <c r="S17" i="7" s="1"/>
  <c r="H6" i="7"/>
  <c r="S6" i="7" s="1"/>
  <c r="H16" i="7"/>
  <c r="T16" i="7" s="1"/>
  <c r="H8" i="7"/>
  <c r="R8" i="7" s="1"/>
  <c r="T14" i="7" l="1"/>
  <c r="Q9" i="7"/>
  <c r="S15" i="7"/>
  <c r="R9" i="7"/>
  <c r="N15" i="7"/>
  <c r="O15" i="7" s="1"/>
  <c r="S12" i="7"/>
  <c r="R15" i="7"/>
  <c r="S7" i="7"/>
  <c r="Q12" i="7"/>
  <c r="T15" i="7"/>
  <c r="T17" i="7"/>
  <c r="R7" i="7"/>
  <c r="T12" i="7"/>
  <c r="R14" i="7"/>
  <c r="N7" i="7"/>
  <c r="O7" i="7" s="1"/>
  <c r="Q7" i="7"/>
  <c r="N12" i="7"/>
  <c r="O12" i="7" s="1"/>
  <c r="N11" i="7"/>
  <c r="O11" i="7" s="1"/>
  <c r="Q11" i="7"/>
  <c r="N17" i="7"/>
  <c r="O17" i="7" s="1"/>
  <c r="R17" i="7"/>
  <c r="T10" i="7"/>
  <c r="T11" i="7"/>
  <c r="N8" i="7"/>
  <c r="P8" i="7" s="1"/>
  <c r="Q13" i="7"/>
  <c r="Q8" i="7"/>
  <c r="S9" i="7"/>
  <c r="T9" i="7"/>
  <c r="S10" i="7"/>
  <c r="T13" i="7"/>
  <c r="S14" i="7"/>
  <c r="Q14" i="7"/>
  <c r="Q6" i="7"/>
  <c r="T8" i="7"/>
  <c r="Q10" i="7"/>
  <c r="R13" i="7"/>
  <c r="Q17" i="7"/>
  <c r="T6" i="7"/>
  <c r="R10" i="7"/>
  <c r="S11" i="7"/>
  <c r="S13" i="7"/>
  <c r="S8" i="7"/>
  <c r="N6" i="7"/>
  <c r="P6" i="7" s="1"/>
  <c r="R6" i="7"/>
  <c r="O10" i="7"/>
  <c r="R16" i="7"/>
  <c r="N16" i="7"/>
  <c r="S16" i="7"/>
  <c r="Q16" i="7"/>
  <c r="P13" i="7"/>
  <c r="P9" i="7"/>
  <c r="O8" i="7"/>
  <c r="P15" i="7"/>
  <c r="P12" i="7"/>
  <c r="P14" i="7"/>
  <c r="P7" i="7"/>
  <c r="P11" i="7" l="1"/>
  <c r="P17" i="7"/>
  <c r="O6" i="7"/>
  <c r="N18" i="7"/>
  <c r="B3" i="10" s="1"/>
  <c r="B10" i="10" s="1"/>
  <c r="S18" i="7"/>
  <c r="G3" i="10" s="1"/>
  <c r="G10" i="10" s="1"/>
  <c r="Q18" i="7"/>
  <c r="E3" i="10" s="1"/>
  <c r="E10" i="10" s="1"/>
  <c r="T18" i="7"/>
  <c r="H3" i="10" s="1"/>
  <c r="H10" i="10" s="1"/>
  <c r="R18" i="7"/>
  <c r="F3" i="10" s="1"/>
  <c r="F10" i="10" s="1"/>
  <c r="O16" i="7"/>
  <c r="P16" i="7"/>
  <c r="P18" i="7" l="1"/>
  <c r="D3" i="10" s="1"/>
  <c r="D10" i="10" s="1"/>
  <c r="O18" i="7"/>
  <c r="C3" i="10" s="1"/>
  <c r="C10" i="10" s="1"/>
</calcChain>
</file>

<file path=xl/comments1.xml><?xml version="1.0" encoding="utf-8"?>
<comments xmlns="http://schemas.openxmlformats.org/spreadsheetml/2006/main">
  <authors>
    <author>Andrielly Moutinho Knupp</author>
    <author>Gabriel Aarão Gonçalves</author>
  </authors>
  <commentList>
    <comment ref="A6" authorId="0" shapeId="0">
      <text>
        <r>
          <rPr>
            <b/>
            <sz val="9"/>
            <color indexed="81"/>
            <rFont val="Segoe UI"/>
            <family val="2"/>
          </rPr>
          <t>Rating A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15" authorId="1" shapeId="0">
      <text>
        <r>
          <rPr>
            <sz val="9"/>
            <color indexed="81"/>
            <rFont val="Segoe UI"/>
            <family val="2"/>
          </rPr>
          <t xml:space="preserve">Fonte: https://repositorio.unesp.br/bitstream/handle/11449/90740/menossi_rt_me_ilha.pdf?sequence
</t>
        </r>
      </text>
    </comment>
    <comment ref="H16" authorId="1" shapeId="0">
      <text>
        <r>
          <rPr>
            <sz val="9"/>
            <color indexed="81"/>
            <rFont val="Segoe UI"/>
            <family val="2"/>
          </rPr>
          <t>Fonte: https://repositorio.unesp.br/bitstream/handle/11449/90740/menossi_rt_me_ilha.pdf?sequence</t>
        </r>
      </text>
    </comment>
  </commentList>
</comments>
</file>

<file path=xl/comments10.xml><?xml version="1.0" encoding="utf-8"?>
<comments xmlns="http://schemas.openxmlformats.org/spreadsheetml/2006/main">
  <authors>
    <author>Gabriel Aarão Gonçalves</author>
    <author>Alinie Rossi dos Santos</author>
  </authors>
  <commentList>
    <comment ref="G3" authorId="0" shapeId="0">
      <text>
        <r>
          <rPr>
            <sz val="9"/>
            <color indexed="81"/>
            <rFont val="Segoe UI"/>
            <family val="2"/>
          </rPr>
          <t>Coordenadas não fornecidas. Portanto, foi considerado coordenadas contidas no local do empreendimento</t>
        </r>
      </text>
    </comment>
    <comment ref="H3" authorId="0" shapeId="0">
      <text>
        <r>
          <rPr>
            <sz val="9"/>
            <color indexed="81"/>
            <rFont val="Segoe UI"/>
            <family val="2"/>
          </rPr>
          <t xml:space="preserve">Coordenadas não fornecidas. Portanto, foi considerado coordenadas contidas no local do empreendimento
</t>
        </r>
      </text>
    </comment>
    <comment ref="I3" authorId="1" shapeId="0">
      <text>
        <r>
          <rPr>
            <sz val="9"/>
            <color indexed="81"/>
            <rFont val="Segoe UI"/>
            <family val="2"/>
          </rPr>
          <t>Informado pelo empreendimento que ocorre umectação das vias diariamente</t>
        </r>
      </text>
    </comment>
    <comment ref="J3" authorId="1" shapeId="0">
      <text>
        <r>
          <rPr>
            <sz val="9"/>
            <color indexed="81"/>
            <rFont val="Segoe UI"/>
            <family val="2"/>
          </rPr>
          <t>WRAP (2006) - MRI, 2001</t>
        </r>
      </text>
    </comment>
    <comment ref="D4" authorId="0" shapeId="0">
      <text>
        <r>
          <rPr>
            <sz val="9"/>
            <color indexed="81"/>
            <rFont val="Segoe UI"/>
            <family val="2"/>
          </rPr>
          <t xml:space="preserve">As informações de horas da aba "Dados" referem-se às horas totais, incorporando o número total de cada tipo de equipamento, durante o ano de 2015. Portanto, esse valor foi dividido por 365 (dias) e pela quantidade de cada equipamento.
</t>
        </r>
      </text>
    </comment>
    <comment ref="K4" authorId="0" shapeId="0">
      <text>
        <r>
          <rPr>
            <sz val="9"/>
            <color indexed="81"/>
            <rFont val="Segoe UI"/>
            <family val="2"/>
          </rPr>
          <t xml:space="preserve">Fator de emissão apresentado na aba "FE- Compactação"
</t>
        </r>
      </text>
    </comment>
    <comment ref="L4" authorId="0" shapeId="0">
      <text>
        <r>
          <rPr>
            <sz val="9"/>
            <color indexed="81"/>
            <rFont val="Segoe UI"/>
            <family val="2"/>
          </rPr>
          <t xml:space="preserve">Fator de emissão apresentado na aba "FE- Compactação"
</t>
        </r>
      </text>
    </comment>
    <comment ref="M4" authorId="0" shapeId="0">
      <text>
        <r>
          <rPr>
            <sz val="9"/>
            <color indexed="81"/>
            <rFont val="Segoe UI"/>
            <family val="2"/>
          </rPr>
          <t xml:space="preserve">Fator de emissão apresentado na aba "FE- Compactação"
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  <author>Alinie Rossi dos Santos</author>
    <author>Autor</author>
  </authors>
  <commentList>
    <comment ref="F3" authorId="0" shapeId="0">
      <text>
        <r>
          <rPr>
            <sz val="9"/>
            <color indexed="81"/>
            <rFont val="Segoe UI"/>
            <family val="2"/>
          </rPr>
          <t xml:space="preserve">Fonte: Estação INMET 
ES_A612_Vitoria
</t>
        </r>
      </text>
    </comment>
    <comment ref="B12" authorId="1" shapeId="0">
      <text>
        <r>
          <rPr>
            <sz val="9"/>
            <color indexed="81"/>
            <rFont val="Segoe UI"/>
            <family val="2"/>
          </rPr>
          <t xml:space="preserve">VKT = DMT </t>
        </r>
      </text>
    </comment>
    <comment ref="C21" authorId="2" shapeId="0">
      <text>
        <r>
          <rPr>
            <sz val="9"/>
            <color indexed="81"/>
            <rFont val="Segoe UI"/>
            <family val="2"/>
          </rPr>
          <t>Consideração:
Assumido PM10 = PM</t>
        </r>
      </text>
    </comment>
    <comment ref="D21" authorId="2" shapeId="0">
      <text>
        <r>
          <rPr>
            <sz val="9"/>
            <color indexed="81"/>
            <rFont val="Segoe UI"/>
            <family val="2"/>
          </rPr>
          <t>Consideração:
Assumido PM2.5 = PM</t>
        </r>
      </text>
    </comment>
    <comment ref="H21" authorId="2" shapeId="0">
      <text>
        <r>
          <rPr>
            <sz val="9"/>
            <color indexed="81"/>
            <rFont val="Segoe UI"/>
            <family val="2"/>
          </rPr>
          <t xml:space="preserve">Consideração:
O fator de veículos pesados é expresso em HC e CH4. Contudo, em alguns casos o CH4 é maior que o HC, o que é incoerente. Assim, foi calculado o fator de emissão considerando todos hidrocarbonetos.
</t>
        </r>
      </text>
    </comment>
  </commentList>
</comments>
</file>

<file path=xl/comments3.xml><?xml version="1.0" encoding="utf-8"?>
<comments xmlns="http://schemas.openxmlformats.org/spreadsheetml/2006/main">
  <authors>
    <author>Alinie Rossi dos Santos</author>
  </authors>
  <commentList>
    <comment ref="A2" authorId="0" shapeId="0">
      <text>
        <r>
          <rPr>
            <sz val="9"/>
            <color indexed="81"/>
            <rFont val="Segoe UI"/>
            <family val="2"/>
          </rPr>
          <t>Table 13.2.3-1 da Seção 13.2.3 estabelece este fator para a atividade de compactação 
https://www3.epa.gov/ttn/chief/ap42/ch13/final/c13s02-3.pdf</t>
        </r>
      </text>
    </comment>
  </commentList>
</comments>
</file>

<file path=xl/comments4.xml><?xml version="1.0" encoding="utf-8"?>
<comments xmlns="http://schemas.openxmlformats.org/spreadsheetml/2006/main">
  <authors>
    <author>Alinie Rossi dos Santos</author>
  </authors>
  <commentList>
    <comment ref="A2" authorId="0" shapeId="0">
      <text>
        <r>
          <rPr>
            <sz val="9"/>
            <color indexed="81"/>
            <rFont val="Segoe UI"/>
            <family val="2"/>
          </rPr>
          <t xml:space="preserve">Referente ao ano de 2007
</t>
        </r>
      </text>
    </comment>
  </commentList>
</comments>
</file>

<file path=xl/comments5.xml><?xml version="1.0" encoding="utf-8"?>
<comments xmlns="http://schemas.openxmlformats.org/spreadsheetml/2006/main">
  <authors>
    <author>Gabriel Aarão Gonçalves</author>
  </authors>
  <commentList>
    <comment ref="J12" authorId="0" shapeId="0">
      <text>
        <r>
          <rPr>
            <sz val="9"/>
            <color indexed="81"/>
            <rFont val="Segoe UI"/>
            <family val="2"/>
          </rPr>
          <t xml:space="preserve">Informação da área não informada pelo empreendimento. Portanto, a mesma foi  estimada por imagens de Satélite Google Earth.
</t>
        </r>
      </text>
    </comment>
  </commentList>
</comments>
</file>

<file path=xl/comments6.xml><?xml version="1.0" encoding="utf-8"?>
<comments xmlns="http://schemas.openxmlformats.org/spreadsheetml/2006/main">
  <authors>
    <author>Gabriel Aarão Gonçalves</author>
    <author>Andrielly Moutinho Knupp</author>
  </authors>
  <commentList>
    <comment ref="A4" authorId="0" shapeId="0">
      <text>
        <r>
          <rPr>
            <sz val="9"/>
            <color indexed="81"/>
            <rFont val="Segoe UI"/>
            <family val="2"/>
          </rPr>
          <t xml:space="preserve">Caminhões (pipa, lubrificador e munck), veículos leves e ônibus não foram considerados pois não há fator de emissão para esses tipos de máquinas/equipamentos 
</t>
        </r>
      </text>
    </comment>
    <comment ref="E4" authorId="0" shapeId="0">
      <text>
        <r>
          <rPr>
            <sz val="9"/>
            <color indexed="81"/>
            <rFont val="Segoe UI"/>
            <family val="2"/>
          </rPr>
          <t>Coordenadas não fornecidas. Portanto, foi considerado coordenadas contidas no local do empreendimento</t>
        </r>
      </text>
    </comment>
    <comment ref="F4" authorId="0" shapeId="0">
      <text>
        <r>
          <rPr>
            <sz val="9"/>
            <color indexed="81"/>
            <rFont val="Segoe UI"/>
            <family val="2"/>
          </rPr>
          <t xml:space="preserve">Coordenadas não fornecidas. Portanto, foi considerado coordenadas contidas no local do empreendimento
</t>
        </r>
      </text>
    </comment>
    <comment ref="H4" authorId="0" shapeId="0">
      <text>
        <r>
          <rPr>
            <sz val="9"/>
            <color indexed="81"/>
            <rFont val="Segoe UI"/>
            <family val="2"/>
          </rPr>
          <t xml:space="preserve">As informações de horas da aba "Dados" referem-se às horas totais, incorporando o número total de cada tipo de equipamento, durante o ano de 2015. Portanto, esse valor foi dividido por 365 (dias) e pela quantidade de cada equipamento
</t>
        </r>
      </text>
    </comment>
    <comment ref="K5" authorId="1" shapeId="0">
      <text>
        <r>
          <rPr>
            <sz val="9"/>
            <color indexed="81"/>
            <rFont val="Segoe UI"/>
            <family val="2"/>
          </rPr>
          <t>Devido à inexistência de fator para SO2, foi considerado fator de SOx para SO2.</t>
        </r>
      </text>
    </comment>
    <comment ref="M5" authorId="1" shapeId="0">
      <text>
        <r>
          <rPr>
            <sz val="9"/>
            <color indexed="81"/>
            <rFont val="Segoe UI"/>
            <family val="2"/>
          </rPr>
          <t>Devido à inexistência de fator para COV, foi considerado o fator de emissão de ROG. Pois, a maioria dos componentes de ROG são COV (https://www.arb.ca.gov/ei/speciate/voc_rog_dfn_1_09.pdf).</t>
        </r>
      </text>
    </comment>
    <comment ref="O5" authorId="1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P5" authorId="1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R5" authorId="1" shapeId="0">
      <text>
        <r>
          <rPr>
            <sz val="9"/>
            <color indexed="81"/>
            <rFont val="Segoe UI"/>
            <family val="2"/>
          </rPr>
          <t>Devido à inexistência de fator para SO2, foi considerado fator de SOx para SO2.</t>
        </r>
      </text>
    </comment>
    <comment ref="T5" authorId="1" shapeId="0">
      <text>
        <r>
          <rPr>
            <sz val="9"/>
            <color indexed="81"/>
            <rFont val="Segoe UI"/>
            <family val="2"/>
          </rPr>
          <t>Devido à inexistência de fator para COV, foi considerado o fator de emissão de ROG. Pois, a maioria dos componentes de ROG são COV (https://www.arb.ca.gov/ei/speciate/voc_rog_dfn_1_09.pdf).</t>
        </r>
      </text>
    </comment>
  </commentList>
</comments>
</file>

<file path=xl/comments7.xml><?xml version="1.0" encoding="utf-8"?>
<comments xmlns="http://schemas.openxmlformats.org/spreadsheetml/2006/main">
  <authors>
    <author>Gabriel Aarão Gonçalves</author>
    <author>Andrielly Moutinho Knupp</author>
  </authors>
  <commentList>
    <comment ref="A4" authorId="0" shapeId="0">
      <text>
        <r>
          <rPr>
            <sz val="9"/>
            <color indexed="81"/>
            <rFont val="Segoe UI"/>
            <family val="2"/>
          </rPr>
          <t xml:space="preserve">Caminhões (pipa, lubrificador e munck), veículos leves e ônibus não foram considerados pois não há fator de emissão para esses tipos de máquinas/equipamentos 
</t>
        </r>
      </text>
    </comment>
    <comment ref="F4" authorId="0" shapeId="0">
      <text>
        <r>
          <rPr>
            <sz val="9"/>
            <color indexed="81"/>
            <rFont val="Segoe UI"/>
            <family val="2"/>
          </rPr>
          <t>Coordenadas não fornecidas. Portanto, foi considerado coordenadas contidas no local do empreendimento</t>
        </r>
      </text>
    </comment>
    <comment ref="G4" authorId="0" shapeId="0">
      <text>
        <r>
          <rPr>
            <sz val="9"/>
            <color indexed="81"/>
            <rFont val="Segoe UI"/>
            <family val="2"/>
          </rPr>
          <t xml:space="preserve">Coordenadas não fornecidas. Portanto, foi considerado coordenadas contidas no local do empreendimento
</t>
        </r>
      </text>
    </comment>
    <comment ref="I4" authorId="0" shapeId="0">
      <text>
        <r>
          <rPr>
            <sz val="9"/>
            <color indexed="81"/>
            <rFont val="Segoe UI"/>
            <family val="2"/>
          </rPr>
          <t xml:space="preserve">Horas trabalhadas não fornecidas. Portanto, foi considerado o valor de 8 horas/dia
</t>
        </r>
      </text>
    </comment>
    <comment ref="L5" authorId="1" shapeId="0">
      <text>
        <r>
          <rPr>
            <sz val="9"/>
            <color indexed="81"/>
            <rFont val="Segoe UI"/>
            <family val="2"/>
          </rPr>
          <t>Devido à inexistência de fator para SO2, foi considerado fator de SOx para SO2.</t>
        </r>
      </text>
    </comment>
    <comment ref="N5" authorId="1" shapeId="0">
      <text>
        <r>
          <rPr>
            <sz val="9"/>
            <color indexed="81"/>
            <rFont val="Segoe UI"/>
            <family val="2"/>
          </rPr>
          <t>Devido à inexistência de fator para COV, foi considerado o fator de emissão de ROG. Pois, a maioria dos componentes de ROG são COV (https://www.arb.ca.gov/ei/speciate/voc_rog_dfn_1_09.pdf).</t>
        </r>
      </text>
    </comment>
    <comment ref="P5" authorId="1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Q5" authorId="1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S5" authorId="1" shapeId="0">
      <text>
        <r>
          <rPr>
            <sz val="9"/>
            <color indexed="81"/>
            <rFont val="Segoe UI"/>
            <family val="2"/>
          </rPr>
          <t>Devido à inexistência de fator para SO2, foi considerado fator de SOx para SO2.</t>
        </r>
      </text>
    </comment>
    <comment ref="U5" authorId="1" shapeId="0">
      <text>
        <r>
          <rPr>
            <sz val="9"/>
            <color indexed="81"/>
            <rFont val="Segoe UI"/>
            <family val="2"/>
          </rPr>
          <t>Devido à inexistência de fator para COV, foi considerado o fator de emissão de ROG. Pois, a maioria dos componentes de ROG são COV (https://www.arb.ca.gov/ei/speciate/voc_rog_dfn_1_09.pdf).</t>
        </r>
      </text>
    </comment>
    <comment ref="D6" authorId="0" shapeId="0">
      <text>
        <r>
          <rPr>
            <sz val="9"/>
            <color indexed="81"/>
            <rFont val="Segoe UI"/>
            <family val="2"/>
          </rPr>
          <t>Fonte: https://www.agrale.com.br/pdf/pt/tratores_4000_trator_agrale_4100_41004_1.pdf?date=1543662450</t>
        </r>
      </text>
    </comment>
    <comment ref="D7" authorId="0" shapeId="0">
      <text>
        <r>
          <rPr>
            <sz val="9"/>
            <color indexed="81"/>
            <rFont val="Segoe UI"/>
            <family val="2"/>
          </rPr>
          <t xml:space="preserve">O modelo do gerador não foi informado. Portanto, foi considerado o modelo Hobart 60CU20. Foi considerado o valor da potência mais conservador.
Fonte: http://aviationgroundequip.com/wp-content/uploads/2016/09/commercial/210/AGEC_261_Hobart_60CU20_90CU420_August_2014.pdf
</t>
        </r>
      </text>
    </comment>
    <comment ref="D8" authorId="0" shapeId="0">
      <text>
        <r>
          <rPr>
            <sz val="9"/>
            <color indexed="81"/>
            <rFont val="Segoe UI"/>
            <family val="2"/>
          </rPr>
          <t xml:space="preserve">Considerado a potência do modelo Valtra 650. 
Fonte: http://www.valtra.com.br/assets/especificacaoProduto/A650%20BAIXA.pdf
</t>
        </r>
      </text>
    </comment>
    <comment ref="D9" authorId="0" shapeId="0">
      <text>
        <r>
          <rPr>
            <sz val="9"/>
            <color indexed="81"/>
            <rFont val="Segoe UI"/>
            <family val="2"/>
          </rPr>
          <t xml:space="preserve">O modelo do gerador não foi informado. Portanto, foi considerado o modelo Hobart 60CU20. Foi considerado o valor da potência mais conservador.
Fonte: http://aviationgroundequip.com/wp-content/uploads/2016/09/commercial/210/AGEC_261_Hobart_60CU20_90CU420_August_2014.pdf
</t>
        </r>
      </text>
    </comment>
    <comment ref="D10" authorId="0" shapeId="0">
      <text>
        <r>
          <rPr>
            <sz val="9"/>
            <color indexed="81"/>
            <rFont val="Segoe UI"/>
            <family val="2"/>
          </rPr>
          <t xml:space="preserve">Foi considerada a potência do modelo Valtra A750.
Fonte: http://www.valtra.com.br/assets/especificacaoProduto/A750%20BAIXA.pdf
</t>
        </r>
      </text>
    </comment>
    <comment ref="D11" authorId="0" shapeId="0">
      <text>
        <r>
          <rPr>
            <sz val="9"/>
            <color indexed="81"/>
            <rFont val="Segoe UI"/>
            <family val="2"/>
          </rPr>
          <t>Fonte: https://www.agrale.com.br/pdf/pt/tratores_4000_trator_agrale_4100_41004_1.pdf?date=1543662450</t>
        </r>
      </text>
    </comment>
    <comment ref="D12" authorId="0" shapeId="0">
      <text>
        <r>
          <rPr>
            <sz val="9"/>
            <color indexed="81"/>
            <rFont val="Segoe UI"/>
            <family val="2"/>
          </rPr>
          <t>Fonte: https://www.agrale.com.br/pdf/pt/tratores_4000_trator_agrale_4100_41004_1.pdf?date=1543662450</t>
        </r>
      </text>
    </comment>
    <comment ref="D13" authorId="0" shapeId="0">
      <text>
        <r>
          <rPr>
            <sz val="9"/>
            <color indexed="81"/>
            <rFont val="Segoe UI"/>
            <family val="2"/>
          </rPr>
          <t xml:space="preserve">Considerado a potência do modelo Valtra 650. 
Fonte: http://www.valtra.com.br/assets/especificacaoProduto/A650%20BAIXA.pdf
</t>
        </r>
      </text>
    </comment>
    <comment ref="D14" authorId="0" shapeId="0">
      <text>
        <r>
          <rPr>
            <sz val="9"/>
            <color indexed="81"/>
            <rFont val="Segoe UI"/>
            <family val="2"/>
          </rPr>
          <t xml:space="preserve">Considerado a potência do modelo Valtra 650. 
Fonte: http://www.valtra.com.br/assets/especificacaoProduto/A650%20BAIXA.pdf
</t>
        </r>
      </text>
    </comment>
    <comment ref="D15" authorId="0" shapeId="0">
      <text>
        <r>
          <rPr>
            <sz val="9"/>
            <color indexed="81"/>
            <rFont val="Segoe UI"/>
            <family val="2"/>
          </rPr>
          <t xml:space="preserve">Considerado a potência do modelo Valtra 650. 
Fonte: http://www.valtra.com.br/assets/especificacaoProduto/A650%20BAIXA.pdf
</t>
        </r>
      </text>
    </comment>
    <comment ref="D16" authorId="0" shapeId="0">
      <text>
        <r>
          <rPr>
            <sz val="9"/>
            <color indexed="81"/>
            <rFont val="Segoe UI"/>
            <family val="2"/>
          </rPr>
          <t>Foi considerado o valor da potência do modeo 4100 da Agrale
Fonte: https://www.agrale.com.br/pdf/pt/tratores_4000_trator_agrale_4100_41004_1.pdf?date=1543662450</t>
        </r>
      </text>
    </comment>
    <comment ref="D17" authorId="0" shapeId="0">
      <text>
        <r>
          <rPr>
            <sz val="9"/>
            <color indexed="81"/>
            <rFont val="Segoe UI"/>
            <family val="2"/>
          </rPr>
          <t xml:space="preserve">Foi considerado o modelo Hobart 60CU20. Para esse modelo, foi considerado também o valor da potência mais conservador.
Fonte: http://aviationgroundequip.com/wp-content/uploads/2016/09/commercial/210/AGEC_261_Hobart_60CU20_90CU420_August_2014.pdf
</t>
        </r>
      </text>
    </comment>
    <comment ref="D18" authorId="0" shapeId="0">
      <text>
        <r>
          <rPr>
            <sz val="9"/>
            <color indexed="81"/>
            <rFont val="Segoe UI"/>
            <family val="2"/>
          </rPr>
          <t xml:space="preserve">Considerado a potência do modelo Valtra 650. 
Fonte: http://www.valtra.com.br/assets/especificacaoProduto/A650%20BAIXA.pdf
</t>
        </r>
      </text>
    </comment>
  </commentList>
</comments>
</file>

<file path=xl/comments8.xml><?xml version="1.0" encoding="utf-8"?>
<comments xmlns="http://schemas.openxmlformats.org/spreadsheetml/2006/main">
  <authors>
    <author>Gabriel Aarão Gonçalves</author>
    <author>Alinie Rossi dos Santos</author>
    <author>Vanessa Brusco Filete</author>
  </authors>
  <commentList>
    <comment ref="B3" authorId="0" shapeId="0">
      <text>
        <r>
          <rPr>
            <sz val="9"/>
            <color indexed="81"/>
            <rFont val="Segoe UI"/>
            <family val="2"/>
          </rPr>
          <t xml:space="preserve">Valor encontrado dentro da faixa para materiais similares, contidos na AP-42. 
</t>
        </r>
      </text>
    </comment>
    <comment ref="C5" authorId="0" shapeId="0">
      <text>
        <r>
          <rPr>
            <sz val="9"/>
            <color indexed="81"/>
            <rFont val="Segoe UI"/>
            <family val="2"/>
          </rPr>
          <t>Coordenadas não fornecidas. Portanto, foi considerado coordenadas contidas no local do empreendimento</t>
        </r>
      </text>
    </comment>
    <comment ref="D5" authorId="0" shapeId="0">
      <text>
        <r>
          <rPr>
            <sz val="9"/>
            <color indexed="81"/>
            <rFont val="Segoe UI"/>
            <family val="2"/>
          </rPr>
          <t xml:space="preserve">Coordenadas não fornecidas. Portanto, foi considerado coordenadas contidas no local do empreendimento
</t>
        </r>
      </text>
    </comment>
    <comment ref="E5" authorId="0" shapeId="0">
      <text>
        <r>
          <rPr>
            <sz val="9"/>
            <color indexed="81"/>
            <rFont val="Segoe UI"/>
            <family val="2"/>
          </rPr>
          <t>Informação sobre o comprimento das vias não foi fornecida. Portanto, o comprimento das vias de tráfego foi estimado utilizando imagens de satélite.</t>
        </r>
      </text>
    </comment>
    <comment ref="F5" authorId="0" shapeId="0">
      <text>
        <r>
          <rPr>
            <sz val="9"/>
            <color indexed="81"/>
            <rFont val="Segoe UI"/>
            <family val="2"/>
          </rPr>
          <t xml:space="preserve">O caminhão não percorre todo o percurso. Portanto, foi considerado um percurso útil equivalente à 1/3 do percurso total
</t>
        </r>
      </text>
    </comment>
    <comment ref="G5" authorId="0" shapeId="0">
      <text>
        <r>
          <rPr>
            <sz val="9"/>
            <color indexed="81"/>
            <rFont val="Segoe UI"/>
            <family val="2"/>
          </rPr>
          <t xml:space="preserve">Foi considerado que cada trecho movimenta a mesma quantidade de material
</t>
        </r>
      </text>
    </comment>
    <comment ref="H5" authorId="1" shapeId="0">
      <text>
        <r>
          <rPr>
            <sz val="9"/>
            <color indexed="81"/>
            <rFont val="Segoe UI"/>
            <family val="2"/>
          </rPr>
          <t>Não há informações sobre a capacidade dos caminhões fornecidos. Portanto, foi considerado a capacidade do caminhão Ford Cargo 3133 (6x4).</t>
        </r>
      </text>
    </comment>
    <comment ref="J5" authorId="0" shapeId="0">
      <text>
        <r>
          <rPr>
            <sz val="9"/>
            <color indexed="81"/>
            <rFont val="Segoe UI"/>
            <family val="2"/>
          </rPr>
          <t xml:space="preserve">Valor multiplicado por dois pois foi considerado o percurso de ida e volta do caminhão 
</t>
        </r>
      </text>
    </comment>
    <comment ref="K5" authorId="1" shapeId="0">
      <text>
        <r>
          <rPr>
            <sz val="9"/>
            <color indexed="81"/>
            <rFont val="Segoe UI"/>
            <family val="2"/>
          </rPr>
          <t xml:space="preserve">USEPA (2006) - Unpaved Roads. Table 13.2.2-1 - Stone quarrying and processing
</t>
        </r>
      </text>
    </comment>
    <comment ref="L5" authorId="1" shapeId="0">
      <text>
        <r>
          <rPr>
            <sz val="9"/>
            <color indexed="81"/>
            <rFont val="Segoe UI"/>
            <family val="2"/>
          </rPr>
          <t xml:space="preserve">Não há informações sobre o peso médio dos caminhões fornecidos. Portanto, foi considerado o peso do caminhão Ford Cargo 3133 (6x4).
</t>
        </r>
      </text>
    </comment>
    <comment ref="M5" authorId="1" shapeId="0">
      <text>
        <r>
          <rPr>
            <sz val="9"/>
            <color indexed="81"/>
            <rFont val="Segoe UI"/>
            <family val="2"/>
          </rPr>
          <t>Informado pelo empreendimento que ocorre umectação das vias diariamente</t>
        </r>
      </text>
    </comment>
    <comment ref="N5" authorId="1" shapeId="0">
      <text>
        <r>
          <rPr>
            <sz val="9"/>
            <color indexed="81"/>
            <rFont val="Segoe UI"/>
            <family val="2"/>
          </rPr>
          <t>WRAP (2006) - MRI, 2001</t>
        </r>
      </text>
    </comment>
    <comment ref="X6" authorId="2" shapeId="0">
      <text>
        <r>
          <rPr>
            <sz val="9"/>
            <color indexed="81"/>
            <rFont val="Segoe UI"/>
            <family val="2"/>
          </rPr>
          <t xml:space="preserve">Fora considerado o Fator de Emissão de HCT, devido à ausência de fator específico para VOC.
</t>
        </r>
      </text>
    </comment>
  </commentList>
</comments>
</file>

<file path=xl/comments9.xml><?xml version="1.0" encoding="utf-8"?>
<comments xmlns="http://schemas.openxmlformats.org/spreadsheetml/2006/main">
  <authors>
    <author>Gabriel Aarão Gonçalves</author>
  </authors>
  <commentList>
    <comment ref="B1" authorId="0" shapeId="0">
      <text>
        <r>
          <rPr>
            <sz val="9"/>
            <color indexed="81"/>
            <rFont val="Segoe UI"/>
            <family val="2"/>
          </rPr>
          <t xml:space="preserve">Valor encontrado dentro da faixa para materiais similares, contidos na AP-42. 
</t>
        </r>
      </text>
    </comment>
    <comment ref="A3" authorId="0" shapeId="0">
      <text>
        <r>
          <rPr>
            <sz val="9"/>
            <color indexed="81"/>
            <rFont val="Segoe UI"/>
            <family val="2"/>
          </rPr>
          <t xml:space="preserve">Velocidade média do ano de 2015 da Estação Aeroporto
</t>
        </r>
      </text>
    </comment>
    <comment ref="G6" authorId="0" shapeId="0">
      <text>
        <r>
          <rPr>
            <sz val="9"/>
            <color indexed="81"/>
            <rFont val="Segoe UI"/>
            <family val="2"/>
          </rPr>
          <t>Coordenadas não fornecidas. Portanto, foi considerado coordenadas contidas no local do empreendimento</t>
        </r>
      </text>
    </comment>
    <comment ref="H6" authorId="0" shapeId="0">
      <text>
        <r>
          <rPr>
            <sz val="9"/>
            <color indexed="81"/>
            <rFont val="Segoe UI"/>
            <family val="2"/>
          </rPr>
          <t xml:space="preserve">Coordenadas não fornecidas. Portanto, foi considerado coordenadas contidas no local do empreendimento
</t>
        </r>
      </text>
    </comment>
    <comment ref="C8" authorId="0" shapeId="0">
      <text>
        <r>
          <rPr>
            <sz val="9"/>
            <color indexed="81"/>
            <rFont val="Segoe UI"/>
            <family val="2"/>
          </rPr>
          <t>Valor médio da umidade do material de cobertura, proveniente da AP-42 (2006): Aggregate Handling and Storage
Piles 
https://www3.epa.gov/ttn/chief/ap42/ch13/index.html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8" authorId="0" shapeId="0">
      <text>
        <r>
          <rPr>
            <sz val="9"/>
            <color indexed="81"/>
            <rFont val="Segoe UI"/>
            <family val="2"/>
          </rPr>
          <t>WRAP (2006) - Fugitive Dust Handobook</t>
        </r>
      </text>
    </comment>
    <comment ref="I8" authorId="0" shapeId="0">
      <text>
        <r>
          <rPr>
            <sz val="9"/>
            <color indexed="81"/>
            <rFont val="Segoe UI"/>
            <family val="2"/>
          </rPr>
          <t xml:space="preserve">Considerado um valor médio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9" authorId="0" shapeId="0">
      <text>
        <r>
          <rPr>
            <sz val="9"/>
            <color indexed="81"/>
            <rFont val="Segoe UI"/>
            <family val="2"/>
          </rPr>
          <t>Valor médio da umidade do material de cobertura, proveniente da AP-42 (2006): Aggregate Handling and Storage
Piles 
https://www3.epa.gov/ttn/chief/ap42/ch13/index.html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9" authorId="0" shapeId="0">
      <text>
        <r>
          <rPr>
            <sz val="9"/>
            <color indexed="81"/>
            <rFont val="Segoe UI"/>
            <family val="2"/>
          </rPr>
          <t>WRAP (2006) - Fugitive Dust Handobook</t>
        </r>
      </text>
    </comment>
    <comment ref="I9" authorId="0" shapeId="0">
      <text>
        <r>
          <rPr>
            <sz val="9"/>
            <color indexed="81"/>
            <rFont val="Segoe UI"/>
            <family val="2"/>
          </rPr>
          <t xml:space="preserve">Considerado um valor médio 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<sst xmlns="http://schemas.openxmlformats.org/spreadsheetml/2006/main" count="727" uniqueCount="423">
  <si>
    <t xml:space="preserve">VEÍCULOS CREDENCIADOS - CONSUMO ANUAL DE COMBUSTÍVEL </t>
  </si>
  <si>
    <t>Empresa</t>
  </si>
  <si>
    <t xml:space="preserve">Equipamento </t>
  </si>
  <si>
    <t>Modelo</t>
  </si>
  <si>
    <t xml:space="preserve"> Fabricante</t>
  </si>
  <si>
    <t>Consumo combustível p/ano (L)</t>
  </si>
  <si>
    <t xml:space="preserve">Quant. </t>
  </si>
  <si>
    <t>Tipo</t>
  </si>
  <si>
    <t>DIESEL</t>
  </si>
  <si>
    <t>GASOLINA</t>
  </si>
  <si>
    <t>DCI120</t>
  </si>
  <si>
    <t>N/D</t>
  </si>
  <si>
    <t>RL4000</t>
  </si>
  <si>
    <t>A685-2</t>
  </si>
  <si>
    <t>TMD180C</t>
  </si>
  <si>
    <t>TUG</t>
  </si>
  <si>
    <t>E-SERIES</t>
  </si>
  <si>
    <t>*</t>
  </si>
  <si>
    <t>VW/8120</t>
  </si>
  <si>
    <t>VW/7100</t>
  </si>
  <si>
    <t>K-2500</t>
  </si>
  <si>
    <t>VW/7.100</t>
  </si>
  <si>
    <t>Trator Valmet</t>
  </si>
  <si>
    <t>685ATS</t>
  </si>
  <si>
    <t>23750**</t>
  </si>
  <si>
    <t>Trator Valtra</t>
  </si>
  <si>
    <t>Usina GPU</t>
  </si>
  <si>
    <t>Loader</t>
  </si>
  <si>
    <t>Push Back</t>
  </si>
  <si>
    <t>Kombi</t>
  </si>
  <si>
    <t>STNADARD</t>
  </si>
  <si>
    <t>1617/Truck</t>
  </si>
  <si>
    <t>Ford Cargo</t>
  </si>
  <si>
    <t>915C</t>
  </si>
  <si>
    <t>Mercedes Benz</t>
  </si>
  <si>
    <t>F-4000</t>
  </si>
  <si>
    <t>TAM</t>
  </si>
  <si>
    <t>302-CUP</t>
  </si>
  <si>
    <t>TLD</t>
  </si>
  <si>
    <t>16030**</t>
  </si>
  <si>
    <t>ASP-180</t>
  </si>
  <si>
    <t>C 2000</t>
  </si>
  <si>
    <t>100CU24P5</t>
  </si>
  <si>
    <t>John Deere</t>
  </si>
  <si>
    <t>TA4206T</t>
  </si>
  <si>
    <t>Rucker</t>
  </si>
  <si>
    <t>Valtra / Valmet</t>
  </si>
  <si>
    <t>EX 1.3</t>
  </si>
  <si>
    <t>* Não informado pela empresa</t>
  </si>
  <si>
    <t>TOTAL</t>
  </si>
  <si>
    <t>** A empresa informou o consumo total da frota (Diesel)</t>
  </si>
  <si>
    <t>ITEM</t>
  </si>
  <si>
    <t>VEÍCULOS E EQUIPAMENTOS/MAQUINÁRIO</t>
  </si>
  <si>
    <t>MARCA</t>
  </si>
  <si>
    <t>MODELO</t>
  </si>
  <si>
    <t>QUANTIDADE MÉDIA DIÁRIA</t>
  </si>
  <si>
    <t>POTÊNCIA (kW)</t>
  </si>
  <si>
    <t>HORAS TRABALHADAS</t>
  </si>
  <si>
    <t>CONSUMO DE COMBUSTÍVEL (L)</t>
  </si>
  <si>
    <t>Hyundai</t>
  </si>
  <si>
    <t>R220LC-9S</t>
  </si>
  <si>
    <t>Case</t>
  </si>
  <si>
    <t>CX 220</t>
  </si>
  <si>
    <t>Caterpillar</t>
  </si>
  <si>
    <t>312 D</t>
  </si>
  <si>
    <t>Motoniveladora</t>
  </si>
  <si>
    <t>Pá-carregadeira</t>
  </si>
  <si>
    <t>W 20</t>
  </si>
  <si>
    <t>Valtra</t>
  </si>
  <si>
    <t>BH 165</t>
  </si>
  <si>
    <t>Rolo Compactador Corrugado</t>
  </si>
  <si>
    <t>Aman</t>
  </si>
  <si>
    <t>---</t>
  </si>
  <si>
    <t>Bomag</t>
  </si>
  <si>
    <t>BW 212D</t>
  </si>
  <si>
    <t>BW 211</t>
  </si>
  <si>
    <t>CA25</t>
  </si>
  <si>
    <t>580 N 4X4</t>
  </si>
  <si>
    <t>Caminhão Basculante</t>
  </si>
  <si>
    <t>M. Benz</t>
  </si>
  <si>
    <t>L 1620</t>
  </si>
  <si>
    <t>LS 1935</t>
  </si>
  <si>
    <t>Ford</t>
  </si>
  <si>
    <t>Wolkswagen</t>
  </si>
  <si>
    <t>19320 CLC TT</t>
  </si>
  <si>
    <t>Caminhão Pipa</t>
  </si>
  <si>
    <t>Cargo 1514</t>
  </si>
  <si>
    <t>Volkswagen</t>
  </si>
  <si>
    <t>26260 CNM 6x4</t>
  </si>
  <si>
    <t>Trator Esteira D-6</t>
  </si>
  <si>
    <t>Caterpilar</t>
  </si>
  <si>
    <t>Cat C9 ACERTIN</t>
  </si>
  <si>
    <t>Veículo Leve</t>
  </si>
  <si>
    <t>Fiat</t>
  </si>
  <si>
    <t>Palio Way 1.0 Flex</t>
  </si>
  <si>
    <t>Mitsubishi</t>
  </si>
  <si>
    <t>L200</t>
  </si>
  <si>
    <t>Ônibus</t>
  </si>
  <si>
    <t>Volkbus</t>
  </si>
  <si>
    <t>17-210</t>
  </si>
  <si>
    <t>Caminhão Lubrificador</t>
  </si>
  <si>
    <t>1519B</t>
  </si>
  <si>
    <t>Caminhão Munk</t>
  </si>
  <si>
    <t>2422E</t>
  </si>
  <si>
    <t>Umectação de vias</t>
  </si>
  <si>
    <t>Obras de expansão</t>
  </si>
  <si>
    <t>Escala de Ringelmann (fumaça preta)</t>
  </si>
  <si>
    <t>Frequência</t>
  </si>
  <si>
    <t>Tipo de controle</t>
  </si>
  <si>
    <t>Volume médio de solo revolvido (m³)</t>
  </si>
  <si>
    <t>Graders
(Máquina Niveladora)</t>
  </si>
  <si>
    <t>Graders - 50</t>
  </si>
  <si>
    <t>Graders - 120</t>
  </si>
  <si>
    <t>Graders - 175</t>
  </si>
  <si>
    <t>Graders - 250</t>
  </si>
  <si>
    <t>Graders - 500</t>
  </si>
  <si>
    <t>Graders - 750</t>
  </si>
  <si>
    <t>Equipment</t>
  </si>
  <si>
    <t>MaxHP</t>
  </si>
  <si>
    <t>PM [kg/h]</t>
  </si>
  <si>
    <r>
      <t>NO</t>
    </r>
    <r>
      <rPr>
        <vertAlign val="subscript"/>
        <sz val="8"/>
        <rFont val="Arial"/>
        <family val="2"/>
      </rPr>
      <t>X</t>
    </r>
    <r>
      <rPr>
        <sz val="8"/>
        <rFont val="Arial"/>
        <family val="2"/>
      </rPr>
      <t xml:space="preserve"> [kg/h]</t>
    </r>
  </si>
  <si>
    <r>
      <t>SO</t>
    </r>
    <r>
      <rPr>
        <vertAlign val="subscript"/>
        <sz val="8"/>
        <rFont val="Arial"/>
        <family val="2"/>
      </rPr>
      <t>X</t>
    </r>
    <r>
      <rPr>
        <sz val="8"/>
        <rFont val="Arial"/>
        <family val="2"/>
      </rPr>
      <t xml:space="preserve"> [kg/h]</t>
    </r>
  </si>
  <si>
    <t>CO [kg/h]</t>
  </si>
  <si>
    <t>ROG [kg/h]</t>
  </si>
  <si>
    <r>
      <t>CO</t>
    </r>
    <r>
      <rPr>
        <vertAlign val="subscript"/>
        <sz val="8"/>
        <rFont val="Arial"/>
        <family val="2"/>
      </rPr>
      <t xml:space="preserve">2 </t>
    </r>
    <r>
      <rPr>
        <sz val="8"/>
        <rFont val="Arial"/>
        <family val="2"/>
      </rPr>
      <t>[kg/h]</t>
    </r>
  </si>
  <si>
    <r>
      <t>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[kg/h]</t>
    </r>
  </si>
  <si>
    <t>Excavator
(Escavadeira)</t>
  </si>
  <si>
    <t>Excavator - 25</t>
  </si>
  <si>
    <t>Excavator - 50</t>
  </si>
  <si>
    <t>Excavator - 120</t>
  </si>
  <si>
    <t>Excavator - 175</t>
  </si>
  <si>
    <t>Excavator - 250</t>
  </si>
  <si>
    <t>Excavator - 500</t>
  </si>
  <si>
    <t>Excavator - 750</t>
  </si>
  <si>
    <t>Rubber Tired Loader 
(Pá Carrregadeira)</t>
  </si>
  <si>
    <t>Rubber Tired Loader - 25</t>
  </si>
  <si>
    <t>Rubber Tired Loader - 50</t>
  </si>
  <si>
    <t>Rubber Tired Loader - 120</t>
  </si>
  <si>
    <t>Rubber Tired Loader - 175</t>
  </si>
  <si>
    <t>Rubber Tired Loader - 250</t>
  </si>
  <si>
    <t>Rubber Tired Loader - 500</t>
  </si>
  <si>
    <t>Rubber Tired Loader - 750</t>
  </si>
  <si>
    <t>Rubber Tired Loader - 1000</t>
  </si>
  <si>
    <t>Equação Geral:</t>
  </si>
  <si>
    <t>Onde:
E - emissão (lb/dia)
n - número de equipamentos de cada categoria
H - número de horas diárias de operação do equipamento
EF - fator de emissão (lb/h)</t>
  </si>
  <si>
    <t>Consideração:</t>
  </si>
  <si>
    <t>Como não foi informado o ano dos equipamentos, foi considerado, de forma conservadora, os fatores de 2007.</t>
  </si>
  <si>
    <t>Tractors/Loaders/Backhoes
(Trator/Carregadeira/Retroescavadeira)</t>
  </si>
  <si>
    <t>Tractors/Loaders/Backhoes - 25</t>
  </si>
  <si>
    <t>Tractors/Loaders/Backhoes - 50</t>
  </si>
  <si>
    <t>Tractors/Loaders/Backhoes - 120</t>
  </si>
  <si>
    <t>Tractors/Loaders/Backhoes - 175</t>
  </si>
  <si>
    <t>Tractors/Loaders/Backhoes - 250</t>
  </si>
  <si>
    <t>Tractors/Loaders/Backhoes - 500</t>
  </si>
  <si>
    <t>Tractors/Loaders/Backhoes - 750</t>
  </si>
  <si>
    <t>Rollers
(Compactadores)</t>
  </si>
  <si>
    <t>Crawler Tractors
(Trator Esteira)</t>
  </si>
  <si>
    <t>Rollers - 15</t>
  </si>
  <si>
    <t>Rollers - 25</t>
  </si>
  <si>
    <t>Rollers - 50</t>
  </si>
  <si>
    <t>Rollers - 120</t>
  </si>
  <si>
    <t>Rollers - 175</t>
  </si>
  <si>
    <t>Rollers - 250</t>
  </si>
  <si>
    <t>Rollers - 500</t>
  </si>
  <si>
    <t>Crawler Tractors - 50</t>
  </si>
  <si>
    <t>Crawler Tractors - 120</t>
  </si>
  <si>
    <t>Crawler Tractors - 175</t>
  </si>
  <si>
    <t>Crawler Tractors - 250</t>
  </si>
  <si>
    <t>Crawler Tractors - 500</t>
  </si>
  <si>
    <t>Crawler Tractors - 750</t>
  </si>
  <si>
    <t>Crawler Tractors - 1000</t>
  </si>
  <si>
    <t>Fonte Emissora</t>
  </si>
  <si>
    <t>Potência [hp]</t>
  </si>
  <si>
    <t>Equipamento [hp]</t>
  </si>
  <si>
    <t>Quantidade</t>
  </si>
  <si>
    <t>Horas/dia</t>
  </si>
  <si>
    <t>Taxa de Emissão [kg/h]</t>
  </si>
  <si>
    <t>PM</t>
  </si>
  <si>
    <r>
      <t>PM</t>
    </r>
    <r>
      <rPr>
        <b/>
        <vertAlign val="subscript"/>
        <sz val="8"/>
        <color theme="0"/>
        <rFont val="Arial"/>
        <family val="2"/>
      </rPr>
      <t>10</t>
    </r>
  </si>
  <si>
    <r>
      <t>PM</t>
    </r>
    <r>
      <rPr>
        <b/>
        <vertAlign val="subscript"/>
        <sz val="8"/>
        <color theme="0"/>
        <rFont val="Arial"/>
        <family val="2"/>
      </rPr>
      <t>2.5</t>
    </r>
  </si>
  <si>
    <r>
      <t>NO</t>
    </r>
    <r>
      <rPr>
        <b/>
        <vertAlign val="subscript"/>
        <sz val="8"/>
        <color theme="0"/>
        <rFont val="Arial"/>
        <family val="2"/>
      </rPr>
      <t>X</t>
    </r>
  </si>
  <si>
    <r>
      <t>SO</t>
    </r>
    <r>
      <rPr>
        <b/>
        <vertAlign val="subscript"/>
        <sz val="8"/>
        <color theme="0"/>
        <rFont val="Arial"/>
        <family val="2"/>
      </rPr>
      <t>2</t>
    </r>
  </si>
  <si>
    <t>CO</t>
  </si>
  <si>
    <t>Marca</t>
  </si>
  <si>
    <t>-</t>
  </si>
  <si>
    <t>Cód OACI</t>
  </si>
  <si>
    <t>Movimentos</t>
  </si>
  <si>
    <t>LTO</t>
  </si>
  <si>
    <t>APU</t>
  </si>
  <si>
    <t>SBVT</t>
  </si>
  <si>
    <t>Landing and Take Off ou pouso e decolagem</t>
  </si>
  <si>
    <t>Auxiliary Power Unit ou Unidade Auxiliar de Potência</t>
  </si>
  <si>
    <r>
      <t>LTO</t>
    </r>
    <r>
      <rPr>
        <b/>
        <vertAlign val="superscript"/>
        <sz val="8"/>
        <color theme="0"/>
        <rFont val="Arial"/>
        <family val="2"/>
      </rPr>
      <t>1</t>
    </r>
  </si>
  <si>
    <r>
      <t>APU</t>
    </r>
    <r>
      <rPr>
        <b/>
        <vertAlign val="superscript"/>
        <sz val="8"/>
        <color theme="0"/>
        <rFont val="Arial"/>
        <family val="2"/>
      </rPr>
      <t>2</t>
    </r>
  </si>
  <si>
    <r>
      <rPr>
        <vertAlign val="superscript"/>
        <sz val="8"/>
        <color theme="1"/>
        <rFont val="Arial"/>
        <family val="2"/>
      </rPr>
      <t>1</t>
    </r>
    <r>
      <rPr>
        <sz val="8"/>
        <color theme="1"/>
        <rFont val="Arial"/>
        <family val="2"/>
      </rPr>
      <t>LTO:</t>
    </r>
  </si>
  <si>
    <r>
      <rPr>
        <vertAlign val="superscript"/>
        <sz val="8"/>
        <color theme="1"/>
        <rFont val="Arial"/>
        <family val="2"/>
      </rPr>
      <t>2</t>
    </r>
    <r>
      <rPr>
        <sz val="8"/>
        <color theme="1"/>
        <rFont val="Arial"/>
        <family val="2"/>
      </rPr>
      <t>APU:</t>
    </r>
  </si>
  <si>
    <t>Fontes Emissoras</t>
  </si>
  <si>
    <t>Total</t>
  </si>
  <si>
    <t>Aeródromo</t>
  </si>
  <si>
    <r>
      <t>SO</t>
    </r>
    <r>
      <rPr>
        <vertAlign val="subscript"/>
        <sz val="8"/>
        <color theme="0"/>
        <rFont val="Arial"/>
        <family val="2"/>
      </rPr>
      <t xml:space="preserve">2 </t>
    </r>
  </si>
  <si>
    <t>Área útil (ha)</t>
  </si>
  <si>
    <t>Aeródromo Eurico de Aguiar Salles, Vitória, ES</t>
  </si>
  <si>
    <t>Massa específica do solo (kg/m³):</t>
  </si>
  <si>
    <t>Quantidade de Material Revolvido (m³):</t>
  </si>
  <si>
    <t>Ano 2015</t>
  </si>
  <si>
    <t>AP42 - 13.2.2 Unpaved Roads</t>
  </si>
  <si>
    <t xml:space="preserve">Mês </t>
  </si>
  <si>
    <t>Precipitação Acumulada (mm)</t>
  </si>
  <si>
    <t>Número de Dias com Precipitação &gt; 0,254 mm</t>
  </si>
  <si>
    <t>N° dias no mês</t>
  </si>
  <si>
    <t>Fator de Ajuste</t>
  </si>
  <si>
    <t>Table 13.2.2-2 Constants for Equations 1a and 1b</t>
  </si>
  <si>
    <t>Jan</t>
  </si>
  <si>
    <t>Constant</t>
  </si>
  <si>
    <t>Industrial Roads (Equation 1a)</t>
  </si>
  <si>
    <t>Fev</t>
  </si>
  <si>
    <t>PM2.5</t>
  </si>
  <si>
    <t>PM10</t>
  </si>
  <si>
    <t>PM30</t>
  </si>
  <si>
    <t>Mar</t>
  </si>
  <si>
    <t>k (lb/VMT)</t>
  </si>
  <si>
    <t>Abr</t>
  </si>
  <si>
    <t>a</t>
  </si>
  <si>
    <t>Mai</t>
  </si>
  <si>
    <t>b</t>
  </si>
  <si>
    <t>Jun</t>
  </si>
  <si>
    <t>1 lb/VMT</t>
  </si>
  <si>
    <t>g/VKT</t>
  </si>
  <si>
    <t>Jul</t>
  </si>
  <si>
    <t>Equation</t>
  </si>
  <si>
    <t>Ago</t>
  </si>
  <si>
    <t>Set</t>
  </si>
  <si>
    <t>Onde:
FE - fator de emissão de material particulado (lb/VMT)
k - constante de tamanho da partícula (lb/VMT)
sL - teor de silt na superfície de rodagem (%)
W - peso médio dos veículos que trafegam na via (t)
P - número de dias onde a precipitação durante o período observado foi no mínimo 0,254 mm</t>
  </si>
  <si>
    <t>Out</t>
  </si>
  <si>
    <t>Nov</t>
  </si>
  <si>
    <t>Dez</t>
  </si>
  <si>
    <t>Fator Ajuste:</t>
  </si>
  <si>
    <t>Classe de Veículo</t>
  </si>
  <si>
    <t>Fator de emissão médio da frota veicular da RGV [g/km]</t>
  </si>
  <si>
    <t>Escapamento</t>
  </si>
  <si>
    <r>
      <t>PM</t>
    </r>
    <r>
      <rPr>
        <vertAlign val="subscript"/>
        <sz val="8"/>
        <color theme="1"/>
        <rFont val="Arial"/>
        <family val="2"/>
      </rPr>
      <t>10</t>
    </r>
  </si>
  <si>
    <r>
      <t>PM</t>
    </r>
    <r>
      <rPr>
        <vertAlign val="subscript"/>
        <sz val="8"/>
        <color theme="1"/>
        <rFont val="Arial"/>
        <family val="2"/>
      </rPr>
      <t>25</t>
    </r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</si>
  <si>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</si>
  <si>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</si>
  <si>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HCT</t>
  </si>
  <si>
    <t>Veículos Pesados</t>
  </si>
  <si>
    <t xml:space="preserve">Fonte Emissora </t>
  </si>
  <si>
    <t>Controle</t>
  </si>
  <si>
    <t>Não Pavimentada</t>
  </si>
  <si>
    <t>Umectação</t>
  </si>
  <si>
    <t>Via de Tráfego 1</t>
  </si>
  <si>
    <t>Via de Tráfego 2</t>
  </si>
  <si>
    <t>Via de Tráfego 3</t>
  </si>
  <si>
    <t>Via de Tráfego 4</t>
  </si>
  <si>
    <t>Via de Tráfego 5</t>
  </si>
  <si>
    <t>Via de Tráfego 6</t>
  </si>
  <si>
    <t>Via de Tráfego 7</t>
  </si>
  <si>
    <t>Aerodynamic Particle Size Multiplier (k) For Equation 1</t>
  </si>
  <si>
    <t xml:space="preserve">Table 13.2.4-1. TYPICAL SILT AND MOISTURE CONTENTS OF MATERIALS AT VARIOUS INDUSTRIES </t>
  </si>
  <si>
    <t>&lt; 30 µm</t>
  </si>
  <si>
    <t>&lt; 15 µm</t>
  </si>
  <si>
    <t>&lt; 10 µm</t>
  </si>
  <si>
    <t>&lt; 5 µm</t>
  </si>
  <si>
    <t>&lt; 2.5 µm</t>
  </si>
  <si>
    <t>Industry</t>
  </si>
  <si>
    <t>Material</t>
  </si>
  <si>
    <t>Silt Content (%)</t>
  </si>
  <si>
    <t>Moisture Content (%)</t>
  </si>
  <si>
    <t>Range</t>
  </si>
  <si>
    <t>Mean</t>
  </si>
  <si>
    <t>Municipal solid waste landfills</t>
  </si>
  <si>
    <t>Sand</t>
  </si>
  <si>
    <t>Slag</t>
  </si>
  <si>
    <t>3,0 - 4,7</t>
  </si>
  <si>
    <t>2,3 - 4,9</t>
  </si>
  <si>
    <t>Cover</t>
  </si>
  <si>
    <t>5,0 - 16</t>
  </si>
  <si>
    <t>8,9 - 16</t>
  </si>
  <si>
    <t>Clay/dirty mix</t>
  </si>
  <si>
    <t>Clay</t>
  </si>
  <si>
    <t>4,5 - 7,4</t>
  </si>
  <si>
    <t>8,9 - 11</t>
  </si>
  <si>
    <t>Fly ash</t>
  </si>
  <si>
    <t>78 - 81</t>
  </si>
  <si>
    <t>26 - 29</t>
  </si>
  <si>
    <t>Onde:
E - emissão
k - particle size multiplier (dimensionless)
U - mean wind speed, meters per second (m/s) (miles per hour [mph]) 
M - material moisture content (%)</t>
  </si>
  <si>
    <t>Misc. Fill materials</t>
  </si>
  <si>
    <t>Massa específica (kg/m³)</t>
  </si>
  <si>
    <t>Areia</t>
  </si>
  <si>
    <t>Brita</t>
  </si>
  <si>
    <t>Velocidade do Vento (m/s)</t>
  </si>
  <si>
    <t>Umidade do Material [%]</t>
  </si>
  <si>
    <t>Controle [%]</t>
  </si>
  <si>
    <t>Quantidade [t/h]</t>
  </si>
  <si>
    <t>Fator de Emissão [kg/t]</t>
  </si>
  <si>
    <r>
      <t>PM</t>
    </r>
    <r>
      <rPr>
        <b/>
        <vertAlign val="subscript"/>
        <sz val="8"/>
        <color theme="0"/>
        <rFont val="Arial"/>
        <family val="2"/>
      </rPr>
      <t>2,5</t>
    </r>
  </si>
  <si>
    <t>Aspersão em água</t>
  </si>
  <si>
    <t>Solo superficial</t>
  </si>
  <si>
    <t>TR - Caminhão / Pátio</t>
  </si>
  <si>
    <t>TR - Pá Carregadeira / Pátio</t>
  </si>
  <si>
    <t>Máquina/Equipamento utilizado</t>
  </si>
  <si>
    <t>Características do Material</t>
  </si>
  <si>
    <t>Características do Equipamento</t>
  </si>
  <si>
    <t>Quantidade Média Diária</t>
  </si>
  <si>
    <t>Fabricante</t>
  </si>
  <si>
    <t>Generator Sets 
(Geradores)</t>
  </si>
  <si>
    <t>Generator Sets - 15</t>
  </si>
  <si>
    <t>Generator Sets - 25</t>
  </si>
  <si>
    <t>Generator Sets - 50</t>
  </si>
  <si>
    <t>Generator Sets - 120</t>
  </si>
  <si>
    <t>Generator Sets - 175</t>
  </si>
  <si>
    <t>Generator Sets - 250</t>
  </si>
  <si>
    <t>Generator Sets - 500</t>
  </si>
  <si>
    <t>Generator Sets - 750</t>
  </si>
  <si>
    <t>Generator Sets - 9999</t>
  </si>
  <si>
    <t>Máquinas e Equipamentos do Aeródromo</t>
  </si>
  <si>
    <t>Compactação (Obra Novo Aeroporto)</t>
  </si>
  <si>
    <t>Transferências (Obra Novo Aeroporto)</t>
  </si>
  <si>
    <t>Vias de tráfego (Obra Novo Aeroporto)</t>
  </si>
  <si>
    <t>Erosão Eólica (Obra Novo Aeroporto)</t>
  </si>
  <si>
    <t>Máquinas e Equipamentos (Obra Novo Aeroporto)</t>
  </si>
  <si>
    <t>Fator de Emissão [kg/h]</t>
  </si>
  <si>
    <t>AP42 - Section 11.9 - Table 11.9-2 - Bulldozing (Overburden)</t>
  </si>
  <si>
    <r>
      <t>PM</t>
    </r>
    <r>
      <rPr>
        <b/>
        <vertAlign val="subscript"/>
        <sz val="8"/>
        <color theme="1"/>
        <rFont val="Arial"/>
        <family val="2"/>
      </rPr>
      <t>10</t>
    </r>
  </si>
  <si>
    <r>
      <t>PM</t>
    </r>
    <r>
      <rPr>
        <b/>
        <vertAlign val="subscript"/>
        <sz val="8"/>
        <color theme="1"/>
        <rFont val="Arial"/>
        <family val="2"/>
      </rPr>
      <t>2.5</t>
    </r>
  </si>
  <si>
    <t>Onde:
E - emissão (kg/h)
s - teor de silt (%)
M - teor de umidade do material (%)</t>
  </si>
  <si>
    <t>Comprimento [m]</t>
  </si>
  <si>
    <t>Comprimento útil [m]</t>
  </si>
  <si>
    <t>Quantidade Movimentada [t/h]</t>
  </si>
  <si>
    <t>Capacidade do Caminhão [t]</t>
  </si>
  <si>
    <r>
      <t>Nº de Caminhões por Hora [h</t>
    </r>
    <r>
      <rPr>
        <b/>
        <vertAlign val="superscript"/>
        <sz val="8"/>
        <color theme="0"/>
        <rFont val="Arial"/>
        <family val="2"/>
      </rPr>
      <t>-1</t>
    </r>
    <r>
      <rPr>
        <b/>
        <sz val="8"/>
        <color theme="0"/>
        <rFont val="Arial"/>
        <family val="2"/>
      </rPr>
      <t>]</t>
    </r>
  </si>
  <si>
    <t>DMT  [km/h]</t>
  </si>
  <si>
    <t>Teor de Silte [%]</t>
  </si>
  <si>
    <t>Peso Médio dos Caminhões [t]</t>
  </si>
  <si>
    <t>Eficiência de Controle [%]</t>
  </si>
  <si>
    <t>Fator de Emissão - Gases Escapamento [kg/km]</t>
  </si>
  <si>
    <t>Taxa de emissão [ton]</t>
  </si>
  <si>
    <t>Taxa de emissão [kg/h]</t>
  </si>
  <si>
    <t>Fator de Emissão - Ressuspensão [kg/VKT]</t>
  </si>
  <si>
    <t>H [m]</t>
  </si>
  <si>
    <t>Umidade [%]</t>
  </si>
  <si>
    <t>Área (m²)</t>
  </si>
  <si>
    <t>Nota:</t>
  </si>
  <si>
    <t>Fonte: AP-42 (USEPA, 2006) - https://www3.epa.gov/ttn/chief/ap42/ch13/final/c13s0204.pdf</t>
  </si>
  <si>
    <t>Nota: Foi utilizado para a estimativa da emissão da atividade de compactação a operação "Bulldozing" para o material "overburden", apresentada na Tabela 11.9-2. Fonte: USEPA (1998)</t>
  </si>
  <si>
    <t>Fonte: AQMD (2016) - http://www.aqmd.gov/home/regulations/ceqa/air-quality-analysis-handbook/off-road-mobile-source-emission-factors</t>
  </si>
  <si>
    <t>Fonte: AP-42 (USEPA, 1998) - https://www3.epa.gov/ttn/chief/ap42/ch11/final/c11s09.pdf</t>
  </si>
  <si>
    <t>Veículo-Furg-M</t>
  </si>
  <si>
    <t>Micro Ônibus</t>
  </si>
  <si>
    <t>Plataf</t>
  </si>
  <si>
    <t>Fonte: Informações enviadas pelo empreendimento através do Ofício IEMA N° 439/2016</t>
  </si>
  <si>
    <t>Fonte: Informações enviadas pelo empreendimento através do Ofício IEMA N° 245/2016</t>
  </si>
  <si>
    <t>Gol</t>
  </si>
  <si>
    <t>Líder Aviação</t>
  </si>
  <si>
    <t>Comissária Capixaba</t>
  </si>
  <si>
    <t>Jet Fly</t>
  </si>
  <si>
    <t>Swissport</t>
  </si>
  <si>
    <t>BR Aviation - Marlim Azul</t>
  </si>
  <si>
    <t>Shell - Raizen</t>
  </si>
  <si>
    <t>INFRAERO - Operações</t>
  </si>
  <si>
    <t>Furg-M</t>
  </si>
  <si>
    <t>Trator</t>
  </si>
  <si>
    <t>Gerador - GPU-M</t>
  </si>
  <si>
    <t>Torre de Iluminção</t>
  </si>
  <si>
    <t>Fonte Pneum. LPU-AR</t>
  </si>
  <si>
    <t xml:space="preserve"> Gerador-GPU-E</t>
  </si>
  <si>
    <t xml:space="preserve">Carrinho </t>
  </si>
  <si>
    <t>Trator Velmet</t>
  </si>
  <si>
    <t>Trator Agrale 4.100</t>
  </si>
  <si>
    <t>Fiat Doblô</t>
  </si>
  <si>
    <t>Caminhão</t>
  </si>
  <si>
    <t>Bongo</t>
  </si>
  <si>
    <t>Caminhão Tanque Abastecedor</t>
  </si>
  <si>
    <t>Carro de apoio</t>
  </si>
  <si>
    <t>Ar Condicionado</t>
  </si>
  <si>
    <t>Unidade Pneumática de Partida</t>
  </si>
  <si>
    <t>Conveyor</t>
  </si>
  <si>
    <t>Gerador</t>
  </si>
  <si>
    <t>Rebocador</t>
  </si>
  <si>
    <t>Caminhonete</t>
  </si>
  <si>
    <t>Doblô Cadeirante</t>
  </si>
  <si>
    <t>Mercedes</t>
  </si>
  <si>
    <t>Agrale</t>
  </si>
  <si>
    <t>Renault</t>
  </si>
  <si>
    <t>Horbart</t>
  </si>
  <si>
    <t>Terex</t>
  </si>
  <si>
    <t>Tug</t>
  </si>
  <si>
    <t>Ezgo</t>
  </si>
  <si>
    <t>Kia</t>
  </si>
  <si>
    <t>Valmet</t>
  </si>
  <si>
    <t>Guinault</t>
  </si>
  <si>
    <t>Trepel</t>
  </si>
  <si>
    <t>Trielectron</t>
  </si>
  <si>
    <t>Hobart</t>
  </si>
  <si>
    <t>Marcopolo</t>
  </si>
  <si>
    <t>Retroescavadeira</t>
  </si>
  <si>
    <t>Trator Agrícola com Arado</t>
  </si>
  <si>
    <t>Escavadeira Hidráulica</t>
  </si>
  <si>
    <t>Doblô</t>
  </si>
  <si>
    <t>Saveiro 1.6</t>
  </si>
  <si>
    <t>312 Sprinter</t>
  </si>
  <si>
    <t>Fiat Strada Working CD</t>
  </si>
  <si>
    <t>L200 cabine dupla</t>
  </si>
  <si>
    <t>Volare W9 ON</t>
  </si>
  <si>
    <t>Agrale 100</t>
  </si>
  <si>
    <t>Volks 15180</t>
  </si>
  <si>
    <t>Volks 24220</t>
  </si>
  <si>
    <t>Conversão (kW para hp):</t>
  </si>
  <si>
    <t>VOC</t>
  </si>
  <si>
    <t>Diária</t>
  </si>
  <si>
    <t>Mensal</t>
  </si>
  <si>
    <t>Fonte: (ANAC, 2014) Inventário Nacional de Emissões Atmosféricas da Aviação Civil</t>
  </si>
  <si>
    <t>Fonte: Modificado de (ANAC, 2014): Tabela 17 - Emissões dos aeródromos de maior movimentação em 2013</t>
  </si>
  <si>
    <r>
      <t>1) Não há fatores de emissão de PM para a</t>
    </r>
    <r>
      <rPr>
        <b/>
        <sz val="8"/>
        <color theme="1"/>
        <rFont val="Arial"/>
        <family val="2"/>
      </rPr>
      <t xml:space="preserve"> fase LTO</t>
    </r>
    <r>
      <rPr>
        <sz val="8"/>
        <color theme="1"/>
        <rFont val="Arial"/>
        <family val="2"/>
      </rPr>
      <t xml:space="preserve"> na versão atual da literatura "</t>
    </r>
    <r>
      <rPr>
        <i/>
        <sz val="8"/>
        <color theme="1"/>
        <rFont val="Arial"/>
        <family val="2"/>
      </rPr>
      <t>EMEP/EEA air pollutant emission inventory guidebook 2016 - Table 3.3".</t>
    </r>
  </si>
  <si>
    <r>
      <t>2) De acordo com a (ANAC, 2014), as emissões de PM e SO</t>
    </r>
    <r>
      <rPr>
        <vertAlign val="subscript"/>
        <sz val="8"/>
        <color theme="1"/>
        <rFont val="Arial"/>
        <family val="2"/>
      </rPr>
      <t>2</t>
    </r>
    <r>
      <rPr>
        <sz val="8"/>
        <color theme="1"/>
        <rFont val="Arial"/>
        <family val="2"/>
      </rPr>
      <t xml:space="preserve"> para a </t>
    </r>
    <r>
      <rPr>
        <b/>
        <sz val="8"/>
        <color theme="1"/>
        <rFont val="Arial"/>
        <family val="2"/>
      </rPr>
      <t>fase APU</t>
    </r>
    <r>
      <rPr>
        <sz val="8"/>
        <color theme="1"/>
        <rFont val="Arial"/>
        <family val="2"/>
      </rPr>
      <t xml:space="preserve"> não foram estimadas pois na literatura consultada não havia fatores de emissão para esses poluentes.</t>
    </r>
  </si>
  <si>
    <t>Fonte: Informações fornecidos pelo empreendimento através do Ofício N° 439/2016</t>
  </si>
  <si>
    <t>Taxa de  Emissão [kg/h]</t>
  </si>
  <si>
    <t>Fonte: AP-42 (USEPA, 2006) - https://www3.epa.gov/ttn/chief/ap42/ch13/final/c13s0202.pdf</t>
  </si>
  <si>
    <t>Fonte: Informações enviadas pelo empreendimento através do Ofício IEMA N° 436/2016</t>
  </si>
  <si>
    <t>Latitude [º]</t>
  </si>
  <si>
    <t>Longitude [º]</t>
  </si>
  <si>
    <t>Latitude  [º]</t>
  </si>
  <si>
    <t>Nota: "Área Expostas" foi calculada na Planilha: Memorial_Aeroporto_Erosao_Eolica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</si>
</sst>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0"/>
    <numFmt numFmtId="166" formatCode="0.00000"/>
    <numFmt numFmtId="167" formatCode="[&gt;=0.005]\ #,##0.00;[&lt;0.005]&quot;&lt;0,01&quot;"/>
    <numFmt numFmtId="168" formatCode="0.000"/>
    <numFmt numFmtId="169" formatCode="0.00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vertAlign val="subscript"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sz val="8"/>
      <color theme="1"/>
      <name val="Arial"/>
      <family val="2"/>
    </font>
    <font>
      <sz val="9"/>
      <color indexed="81"/>
      <name val="Segoe UI"/>
      <family val="2"/>
    </font>
    <font>
      <b/>
      <sz val="8"/>
      <color theme="0"/>
      <name val="Arial"/>
      <family val="2"/>
    </font>
    <font>
      <b/>
      <vertAlign val="subscript"/>
      <sz val="8"/>
      <color theme="0"/>
      <name val="Arial"/>
      <family val="2"/>
    </font>
    <font>
      <sz val="8"/>
      <color rgb="FFFF0000"/>
      <name val="Arial"/>
      <family val="2"/>
    </font>
    <font>
      <vertAlign val="subscript"/>
      <sz val="8"/>
      <color theme="0"/>
      <name val="Arial"/>
      <family val="2"/>
    </font>
    <font>
      <b/>
      <vertAlign val="superscript"/>
      <sz val="8"/>
      <color theme="0"/>
      <name val="Arial"/>
      <family val="2"/>
    </font>
    <font>
      <vertAlign val="superscript"/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vertAlign val="subscript"/>
      <sz val="8"/>
      <color theme="1"/>
      <name val="Arial"/>
      <family val="2"/>
    </font>
    <font>
      <b/>
      <sz val="9"/>
      <color indexed="81"/>
      <name val="Segoe UI"/>
      <family val="2"/>
    </font>
    <font>
      <i/>
      <sz val="8"/>
      <color theme="1"/>
      <name val="Arial"/>
      <family val="2"/>
    </font>
    <font>
      <b/>
      <vertAlign val="subscript"/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4F81BD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/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/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/>
      </left>
      <right style="thin">
        <color rgb="FFD9D9D9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D9D9D9"/>
      </left>
      <right/>
      <top style="thin">
        <color rgb="FFD9D9D9"/>
      </top>
      <bottom style="medium">
        <color indexed="64"/>
      </bottom>
      <diagonal/>
    </border>
    <border>
      <left/>
      <right/>
      <top style="thin">
        <color rgb="FFD9D9D9"/>
      </top>
      <bottom style="medium">
        <color indexed="64"/>
      </bottom>
      <diagonal/>
    </border>
    <border>
      <left/>
      <right style="thin">
        <color rgb="FFD9D9D9"/>
      </right>
      <top style="thin">
        <color rgb="FFD9D9D9"/>
      </top>
      <bottom style="medium">
        <color indexed="64"/>
      </bottom>
      <diagonal/>
    </border>
    <border>
      <left style="thin">
        <color rgb="FFD9D9D9"/>
      </left>
      <right style="thin">
        <color indexed="64"/>
      </right>
      <top style="thin">
        <color rgb="FFD9D9D9"/>
      </top>
      <bottom/>
      <diagonal/>
    </border>
    <border>
      <left style="thin">
        <color rgb="FFD9D9D9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rgb="FFD9D9D9"/>
      </bottom>
      <diagonal/>
    </border>
  </borders>
  <cellStyleXfs count="2">
    <xf numFmtId="0" fontId="0" fillId="0" borderId="0"/>
    <xf numFmtId="0" fontId="1" fillId="0" borderId="0"/>
  </cellStyleXfs>
  <cellXfs count="270">
    <xf numFmtId="0" fontId="0" fillId="0" borderId="0" xfId="0"/>
    <xf numFmtId="0" fontId="0" fillId="0" borderId="0" xfId="0" applyAlignment="1">
      <alignment horizontal="center"/>
    </xf>
    <xf numFmtId="0" fontId="2" fillId="0" borderId="31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3" borderId="31" xfId="0" applyFont="1" applyFill="1" applyBorder="1" applyAlignment="1">
      <alignment horizontal="center" vertical="center"/>
    </xf>
    <xf numFmtId="165" fontId="2" fillId="0" borderId="0" xfId="0" applyNumberFormat="1" applyFont="1" applyFill="1" applyAlignment="1">
      <alignment horizontal="center" vertical="center"/>
    </xf>
    <xf numFmtId="0" fontId="0" fillId="0" borderId="0" xfId="0" applyFill="1"/>
    <xf numFmtId="0" fontId="5" fillId="0" borderId="0" xfId="0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165" fontId="2" fillId="0" borderId="0" xfId="0" applyNumberFormat="1" applyFont="1" applyAlignment="1">
      <alignment horizontal="center" vertical="center"/>
    </xf>
    <xf numFmtId="165" fontId="2" fillId="0" borderId="33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right"/>
    </xf>
    <xf numFmtId="0" fontId="2" fillId="0" borderId="0" xfId="0" applyFont="1" applyAlignment="1">
      <alignment horizontal="left" vertical="center" wrapText="1"/>
    </xf>
    <xf numFmtId="165" fontId="2" fillId="0" borderId="0" xfId="0" applyNumberFormat="1" applyFont="1" applyFill="1" applyBorder="1" applyAlignment="1">
      <alignment horizontal="left" vertical="center"/>
    </xf>
    <xf numFmtId="0" fontId="2" fillId="0" borderId="0" xfId="0" applyFont="1"/>
    <xf numFmtId="165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vertical="center"/>
    </xf>
    <xf numFmtId="0" fontId="8" fillId="4" borderId="47" xfId="0" applyFont="1" applyFill="1" applyBorder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7" fontId="2" fillId="3" borderId="0" xfId="0" applyNumberFormat="1" applyFont="1" applyFill="1" applyAlignment="1">
      <alignment horizontal="center" vertical="center"/>
    </xf>
    <xf numFmtId="167" fontId="2" fillId="0" borderId="0" xfId="0" applyNumberFormat="1" applyFont="1" applyFill="1" applyAlignment="1">
      <alignment horizontal="center" vertical="center"/>
    </xf>
    <xf numFmtId="0" fontId="10" fillId="0" borderId="0" xfId="0" applyFont="1"/>
    <xf numFmtId="0" fontId="2" fillId="0" borderId="0" xfId="0" applyFont="1" applyAlignment="1">
      <alignment horizontal="left" vertical="center"/>
    </xf>
    <xf numFmtId="2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0" fontId="2" fillId="0" borderId="31" xfId="0" applyFont="1" applyFill="1" applyBorder="1" applyAlignment="1">
      <alignment horizontal="center" vertical="center"/>
    </xf>
    <xf numFmtId="2" fontId="2" fillId="0" borderId="0" xfId="0" applyNumberFormat="1" applyFont="1"/>
    <xf numFmtId="2" fontId="2" fillId="0" borderId="0" xfId="0" applyNumberFormat="1" applyFont="1" applyAlignment="1">
      <alignment horizontal="center" vertical="center"/>
    </xf>
    <xf numFmtId="0" fontId="0" fillId="0" borderId="0" xfId="0" quotePrefix="1"/>
    <xf numFmtId="2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0" fontId="2" fillId="3" borderId="31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2" fontId="2" fillId="0" borderId="3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64" fontId="2" fillId="0" borderId="31" xfId="0" applyNumberFormat="1" applyFont="1" applyBorder="1" applyAlignment="1">
      <alignment horizontal="center" vertical="center"/>
    </xf>
    <xf numFmtId="0" fontId="15" fillId="4" borderId="31" xfId="0" applyFont="1" applyFill="1" applyBorder="1" applyAlignment="1">
      <alignment horizontal="center" vertical="center"/>
    </xf>
    <xf numFmtId="0" fontId="8" fillId="4" borderId="31" xfId="0" applyFont="1" applyFill="1" applyBorder="1" applyAlignment="1">
      <alignment horizontal="center" vertical="center"/>
    </xf>
    <xf numFmtId="0" fontId="8" fillId="4" borderId="5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167" fontId="2" fillId="0" borderId="31" xfId="0" applyNumberFormat="1" applyFont="1" applyFill="1" applyBorder="1" applyAlignment="1">
      <alignment horizontal="center" vertical="center"/>
    </xf>
    <xf numFmtId="169" fontId="0" fillId="0" borderId="0" xfId="0" applyNumberFormat="1"/>
    <xf numFmtId="3" fontId="0" fillId="0" borderId="0" xfId="0" applyNumberFormat="1" applyFill="1"/>
    <xf numFmtId="0" fontId="8" fillId="4" borderId="31" xfId="0" applyNumberFormat="1" applyFont="1" applyFill="1" applyBorder="1" applyAlignment="1" applyProtection="1">
      <alignment horizontal="center" vertical="center" wrapText="1"/>
    </xf>
    <xf numFmtId="0" fontId="14" fillId="0" borderId="31" xfId="0" applyFont="1" applyBorder="1" applyAlignment="1">
      <alignment horizontal="center" vertical="center"/>
    </xf>
    <xf numFmtId="0" fontId="2" fillId="0" borderId="31" xfId="0" applyFont="1" applyBorder="1"/>
    <xf numFmtId="0" fontId="2" fillId="0" borderId="31" xfId="0" applyFont="1" applyBorder="1" applyAlignment="1">
      <alignment horizontal="center"/>
    </xf>
    <xf numFmtId="0" fontId="2" fillId="0" borderId="31" xfId="0" applyFont="1" applyBorder="1" applyAlignment="1">
      <alignment vertical="center"/>
    </xf>
    <xf numFmtId="0" fontId="4" fillId="0" borderId="0" xfId="0" applyFont="1" applyFill="1" applyAlignment="1">
      <alignment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11" fontId="2" fillId="0" borderId="0" xfId="0" applyNumberFormat="1" applyFont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5" fontId="2" fillId="0" borderId="31" xfId="0" applyNumberFormat="1" applyFont="1" applyFill="1" applyBorder="1" applyAlignment="1">
      <alignment horizontal="center" vertical="center"/>
    </xf>
    <xf numFmtId="165" fontId="2" fillId="0" borderId="35" xfId="0" applyNumberFormat="1" applyFont="1" applyBorder="1" applyAlignment="1">
      <alignment horizontal="center" vertical="center"/>
    </xf>
    <xf numFmtId="168" fontId="2" fillId="0" borderId="0" xfId="0" applyNumberFormat="1" applyFont="1" applyFill="1" applyAlignment="1">
      <alignment horizontal="center" vertical="center"/>
    </xf>
    <xf numFmtId="165" fontId="2" fillId="0" borderId="0" xfId="0" applyNumberFormat="1" applyFont="1" applyFill="1" applyAlignment="1">
      <alignment horizontal="left" vertical="center" indent="2"/>
    </xf>
    <xf numFmtId="3" fontId="2" fillId="0" borderId="0" xfId="0" applyNumberFormat="1" applyFont="1" applyAlignment="1">
      <alignment horizontal="center" vertical="center"/>
    </xf>
    <xf numFmtId="0" fontId="20" fillId="0" borderId="17" xfId="1" applyFont="1" applyFill="1" applyBorder="1" applyAlignment="1">
      <alignment horizontal="center" vertical="center"/>
    </xf>
    <xf numFmtId="0" fontId="20" fillId="2" borderId="17" xfId="1" applyFont="1" applyFill="1" applyBorder="1" applyAlignment="1">
      <alignment horizontal="center" vertical="center" wrapText="1"/>
    </xf>
    <xf numFmtId="0" fontId="20" fillId="2" borderId="17" xfId="1" applyFont="1" applyFill="1" applyBorder="1" applyAlignment="1">
      <alignment horizontal="center" vertical="center"/>
    </xf>
    <xf numFmtId="0" fontId="20" fillId="0" borderId="10" xfId="1" applyFont="1" applyFill="1" applyBorder="1" applyAlignment="1">
      <alignment horizontal="center" vertical="center"/>
    </xf>
    <xf numFmtId="0" fontId="20" fillId="2" borderId="10" xfId="1" applyFont="1" applyFill="1" applyBorder="1" applyAlignment="1">
      <alignment horizontal="center" vertical="center"/>
    </xf>
    <xf numFmtId="0" fontId="20" fillId="2" borderId="10" xfId="1" applyFont="1" applyFill="1" applyBorder="1" applyAlignment="1">
      <alignment horizontal="center" vertical="center" wrapText="1"/>
    </xf>
    <xf numFmtId="0" fontId="20" fillId="2" borderId="22" xfId="1" applyFont="1" applyFill="1" applyBorder="1" applyAlignment="1">
      <alignment horizontal="center" vertical="center" wrapText="1"/>
    </xf>
    <xf numFmtId="0" fontId="20" fillId="2" borderId="22" xfId="1" applyFont="1" applyFill="1" applyBorder="1" applyAlignment="1">
      <alignment horizontal="center" vertical="center"/>
    </xf>
    <xf numFmtId="0" fontId="20" fillId="2" borderId="13" xfId="1" applyFont="1" applyFill="1" applyBorder="1" applyAlignment="1">
      <alignment horizontal="center" vertical="center"/>
    </xf>
    <xf numFmtId="0" fontId="20" fillId="2" borderId="13" xfId="1" applyFont="1" applyFill="1" applyBorder="1" applyAlignment="1">
      <alignment horizontal="center" vertical="center" wrapText="1"/>
    </xf>
    <xf numFmtId="0" fontId="20" fillId="2" borderId="0" xfId="1" applyFont="1" applyFill="1" applyBorder="1" applyAlignment="1">
      <alignment horizontal="center" vertical="center"/>
    </xf>
    <xf numFmtId="0" fontId="20" fillId="2" borderId="53" xfId="1" applyFont="1" applyFill="1" applyBorder="1" applyAlignment="1">
      <alignment horizontal="center" vertical="center" wrapText="1"/>
    </xf>
    <xf numFmtId="0" fontId="20" fillId="2" borderId="54" xfId="1" applyFont="1" applyFill="1" applyBorder="1" applyAlignment="1">
      <alignment horizontal="center" vertical="center" wrapText="1"/>
    </xf>
    <xf numFmtId="0" fontId="21" fillId="2" borderId="1" xfId="1" applyFont="1" applyFill="1" applyBorder="1" applyAlignment="1">
      <alignment horizontal="center" vertical="center" wrapText="1"/>
    </xf>
    <xf numFmtId="0" fontId="21" fillId="2" borderId="29" xfId="1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2" fillId="2" borderId="22" xfId="1" applyFont="1" applyFill="1" applyBorder="1" applyAlignment="1">
      <alignment horizontal="center" vertical="center"/>
    </xf>
    <xf numFmtId="0" fontId="2" fillId="2" borderId="16" xfId="1" applyFont="1" applyFill="1" applyBorder="1" applyAlignment="1">
      <alignment horizontal="center" vertical="center"/>
    </xf>
    <xf numFmtId="0" fontId="8" fillId="4" borderId="43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8" fillId="4" borderId="31" xfId="0" applyNumberFormat="1" applyFont="1" applyFill="1" applyBorder="1" applyAlignment="1" applyProtection="1">
      <alignment horizontal="center" vertical="center" wrapText="1"/>
    </xf>
    <xf numFmtId="2" fontId="2" fillId="3" borderId="0" xfId="0" applyNumberFormat="1" applyFont="1" applyFill="1" applyAlignment="1">
      <alignment horizontal="center" vertical="center"/>
    </xf>
    <xf numFmtId="0" fontId="8" fillId="4" borderId="32" xfId="0" applyNumberFormat="1" applyFont="1" applyFill="1" applyBorder="1" applyAlignment="1" applyProtection="1">
      <alignment horizontal="center" vertical="center" wrapText="1"/>
    </xf>
    <xf numFmtId="0" fontId="2" fillId="0" borderId="35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0" fontId="5" fillId="2" borderId="11" xfId="0" applyFont="1" applyFill="1" applyBorder="1" applyAlignment="1">
      <alignment vertical="center"/>
    </xf>
    <xf numFmtId="0" fontId="4" fillId="2" borderId="17" xfId="0" applyFont="1" applyFill="1" applyBorder="1" applyAlignment="1">
      <alignment horizontal="center" vertical="center"/>
    </xf>
    <xf numFmtId="0" fontId="2" fillId="2" borderId="17" xfId="1" applyFont="1" applyFill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5" fillId="2" borderId="18" xfId="0" applyFont="1" applyFill="1" applyBorder="1" applyAlignment="1">
      <alignment vertical="center"/>
    </xf>
    <xf numFmtId="0" fontId="2" fillId="0" borderId="17" xfId="1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vertical="center"/>
    </xf>
    <xf numFmtId="0" fontId="2" fillId="0" borderId="19" xfId="1" applyFont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2" fillId="0" borderId="21" xfId="1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2" fillId="0" borderId="22" xfId="1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2" fillId="0" borderId="24" xfId="1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vertical="center"/>
    </xf>
    <xf numFmtId="0" fontId="4" fillId="2" borderId="25" xfId="0" applyFont="1" applyFill="1" applyBorder="1" applyAlignment="1">
      <alignment horizontal="center" vertical="center"/>
    </xf>
    <xf numFmtId="0" fontId="2" fillId="2" borderId="24" xfId="1" applyFont="1" applyFill="1" applyBorder="1" applyAlignment="1">
      <alignment horizontal="center" vertical="center"/>
    </xf>
    <xf numFmtId="0" fontId="2" fillId="2" borderId="26" xfId="1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49" fontId="2" fillId="0" borderId="17" xfId="1" applyNumberFormat="1" applyFont="1" applyFill="1" applyBorder="1" applyAlignment="1">
      <alignment horizontal="center" vertical="center"/>
    </xf>
    <xf numFmtId="17" fontId="2" fillId="0" borderId="22" xfId="1" applyNumberFormat="1" applyFont="1" applyFill="1" applyBorder="1" applyAlignment="1">
      <alignment horizontal="center" vertical="center"/>
    </xf>
    <xf numFmtId="17" fontId="2" fillId="2" borderId="22" xfId="1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55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14" fillId="0" borderId="17" xfId="0" applyFont="1" applyBorder="1" applyAlignment="1">
      <alignment horizontal="left" vertical="center"/>
    </xf>
    <xf numFmtId="0" fontId="2" fillId="0" borderId="17" xfId="0" applyFont="1" applyBorder="1" applyAlignment="1">
      <alignment vertical="center"/>
    </xf>
    <xf numFmtId="0" fontId="2" fillId="0" borderId="17" xfId="0" applyFont="1" applyBorder="1" applyAlignment="1">
      <alignment horizontal="center" vertical="center"/>
    </xf>
    <xf numFmtId="2" fontId="2" fillId="0" borderId="17" xfId="0" applyNumberFormat="1" applyFont="1" applyBorder="1" applyAlignment="1">
      <alignment vertical="center"/>
    </xf>
    <xf numFmtId="3" fontId="2" fillId="0" borderId="17" xfId="0" applyNumberFormat="1" applyFont="1" applyBorder="1" applyAlignment="1">
      <alignment vertical="center"/>
    </xf>
    <xf numFmtId="4" fontId="2" fillId="0" borderId="17" xfId="0" applyNumberFormat="1" applyFont="1" applyBorder="1" applyAlignment="1">
      <alignment vertical="center"/>
    </xf>
    <xf numFmtId="0" fontId="2" fillId="0" borderId="17" xfId="0" applyFont="1" applyBorder="1" applyAlignment="1">
      <alignment horizontal="left" vertical="center"/>
    </xf>
    <xf numFmtId="0" fontId="2" fillId="0" borderId="17" xfId="0" applyFont="1" applyFill="1" applyBorder="1" applyAlignment="1">
      <alignment vertical="center"/>
    </xf>
    <xf numFmtId="0" fontId="2" fillId="0" borderId="17" xfId="0" applyFont="1" applyFill="1" applyBorder="1" applyAlignment="1">
      <alignment horizontal="center" vertical="center"/>
    </xf>
    <xf numFmtId="2" fontId="2" fillId="0" borderId="17" xfId="0" applyNumberFormat="1" applyFont="1" applyFill="1" applyBorder="1" applyAlignment="1">
      <alignment vertical="center"/>
    </xf>
    <xf numFmtId="3" fontId="2" fillId="0" borderId="17" xfId="0" applyNumberFormat="1" applyFont="1" applyFill="1" applyBorder="1" applyAlignment="1">
      <alignment vertical="center"/>
    </xf>
    <xf numFmtId="0" fontId="2" fillId="0" borderId="17" xfId="0" applyFont="1" applyFill="1" applyBorder="1" applyAlignment="1">
      <alignment horizontal="left" vertical="center"/>
    </xf>
    <xf numFmtId="0" fontId="4" fillId="2" borderId="6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2" fillId="0" borderId="35" xfId="0" applyNumberFormat="1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4" fontId="2" fillId="0" borderId="35" xfId="0" applyNumberFormat="1" applyFont="1" applyFill="1" applyBorder="1" applyAlignment="1">
      <alignment horizontal="center" vertical="center"/>
    </xf>
    <xf numFmtId="11" fontId="2" fillId="0" borderId="35" xfId="0" applyNumberFormat="1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/>
    </xf>
    <xf numFmtId="4" fontId="2" fillId="0" borderId="41" xfId="0" applyNumberFormat="1" applyFont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11" fontId="2" fillId="0" borderId="41" xfId="0" applyNumberFormat="1" applyFont="1" applyFill="1" applyBorder="1" applyAlignment="1">
      <alignment horizontal="center" vertical="center"/>
    </xf>
    <xf numFmtId="164" fontId="2" fillId="0" borderId="41" xfId="0" applyNumberFormat="1" applyFont="1" applyBorder="1" applyAlignment="1">
      <alignment horizontal="center" vertical="center"/>
    </xf>
    <xf numFmtId="0" fontId="2" fillId="0" borderId="38" xfId="0" applyFont="1" applyBorder="1" applyAlignment="1">
      <alignment vertical="center"/>
    </xf>
    <xf numFmtId="0" fontId="2" fillId="3" borderId="31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horizontal="center" vertical="center"/>
    </xf>
    <xf numFmtId="166" fontId="2" fillId="0" borderId="33" xfId="0" applyNumberFormat="1" applyFont="1" applyFill="1" applyBorder="1" applyAlignment="1">
      <alignment horizontal="center" vertical="center"/>
    </xf>
    <xf numFmtId="3" fontId="2" fillId="0" borderId="17" xfId="0" applyNumberFormat="1" applyFont="1" applyBorder="1" applyAlignment="1">
      <alignment horizontal="center" vertical="center"/>
    </xf>
    <xf numFmtId="167" fontId="2" fillId="0" borderId="35" xfId="0" applyNumberFormat="1" applyFont="1" applyFill="1" applyBorder="1" applyAlignment="1">
      <alignment horizontal="center" vertical="center"/>
    </xf>
    <xf numFmtId="167" fontId="2" fillId="0" borderId="37" xfId="0" applyNumberFormat="1" applyFont="1" applyFill="1" applyBorder="1" applyAlignment="1">
      <alignment horizontal="center" vertical="center"/>
    </xf>
    <xf numFmtId="167" fontId="2" fillId="0" borderId="41" xfId="0" applyNumberFormat="1" applyFont="1" applyFill="1" applyBorder="1" applyAlignment="1">
      <alignment horizontal="center" vertical="center"/>
    </xf>
    <xf numFmtId="167" fontId="2" fillId="0" borderId="42" xfId="0" applyNumberFormat="1" applyFont="1" applyFill="1" applyBorder="1" applyAlignment="1">
      <alignment horizontal="center" vertical="center"/>
    </xf>
    <xf numFmtId="0" fontId="2" fillId="0" borderId="31" xfId="0" applyFont="1" applyBorder="1" applyAlignment="1">
      <alignment horizontal="left" vertical="center"/>
    </xf>
    <xf numFmtId="0" fontId="6" fillId="2" borderId="31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/>
    </xf>
    <xf numFmtId="0" fontId="2" fillId="0" borderId="31" xfId="0" applyFont="1" applyFill="1" applyBorder="1" applyAlignment="1">
      <alignment horizontal="left" vertical="center" wrapText="1"/>
    </xf>
    <xf numFmtId="0" fontId="2" fillId="3" borderId="56" xfId="0" applyFont="1" applyFill="1" applyBorder="1" applyAlignment="1">
      <alignment horizontal="center" vertical="center"/>
    </xf>
    <xf numFmtId="0" fontId="2" fillId="3" borderId="57" xfId="0" applyFont="1" applyFill="1" applyBorder="1" applyAlignment="1">
      <alignment horizontal="center" vertical="center"/>
    </xf>
    <xf numFmtId="0" fontId="2" fillId="3" borderId="58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14" fillId="2" borderId="32" xfId="0" applyFont="1" applyFill="1" applyBorder="1" applyAlignment="1">
      <alignment horizontal="center" vertical="center"/>
    </xf>
    <xf numFmtId="0" fontId="14" fillId="2" borderId="34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2" fillId="2" borderId="3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2" borderId="33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left" vertical="center" wrapText="1"/>
    </xf>
    <xf numFmtId="0" fontId="2" fillId="0" borderId="33" xfId="0" applyFont="1" applyFill="1" applyBorder="1" applyAlignment="1">
      <alignment horizontal="left" vertical="center"/>
    </xf>
    <xf numFmtId="0" fontId="2" fillId="0" borderId="34" xfId="0" applyFont="1" applyFill="1" applyBorder="1" applyAlignment="1">
      <alignment horizontal="left" vertical="center"/>
    </xf>
    <xf numFmtId="0" fontId="2" fillId="0" borderId="35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6" fillId="2" borderId="36" xfId="0" applyFont="1" applyFill="1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2" fillId="2" borderId="38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39" xfId="0" applyFont="1" applyFill="1" applyBorder="1" applyAlignment="1">
      <alignment horizontal="center"/>
    </xf>
    <xf numFmtId="0" fontId="2" fillId="2" borderId="40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2" fillId="2" borderId="36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left" vertical="center" wrapText="1"/>
    </xf>
    <xf numFmtId="0" fontId="2" fillId="2" borderId="37" xfId="0" applyFont="1" applyFill="1" applyBorder="1" applyAlignment="1">
      <alignment horizontal="left" vertical="center" wrapText="1"/>
    </xf>
    <xf numFmtId="0" fontId="2" fillId="2" borderId="38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39" xfId="0" applyFont="1" applyFill="1" applyBorder="1" applyAlignment="1">
      <alignment horizontal="left" vertical="center" wrapText="1"/>
    </xf>
    <xf numFmtId="0" fontId="2" fillId="2" borderId="40" xfId="0" applyFont="1" applyFill="1" applyBorder="1" applyAlignment="1">
      <alignment horizontal="left" vertical="center" wrapText="1"/>
    </xf>
    <xf numFmtId="0" fontId="2" fillId="2" borderId="41" xfId="0" applyFont="1" applyFill="1" applyBorder="1" applyAlignment="1">
      <alignment horizontal="left" vertical="center" wrapText="1"/>
    </xf>
    <xf numFmtId="0" fontId="2" fillId="2" borderId="42" xfId="0" applyFont="1" applyFill="1" applyBorder="1" applyAlignment="1">
      <alignment horizontal="left" vertical="center" wrapText="1"/>
    </xf>
    <xf numFmtId="0" fontId="2" fillId="3" borderId="17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left" vertical="center"/>
    </xf>
    <xf numFmtId="0" fontId="2" fillId="3" borderId="61" xfId="0" applyFont="1" applyFill="1" applyBorder="1" applyAlignment="1">
      <alignment horizontal="center" vertical="center"/>
    </xf>
    <xf numFmtId="0" fontId="2" fillId="3" borderId="62" xfId="0" applyFont="1" applyFill="1" applyBorder="1" applyAlignment="1">
      <alignment horizontal="center" vertical="center"/>
    </xf>
    <xf numFmtId="0" fontId="2" fillId="3" borderId="6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/>
    </xf>
    <xf numFmtId="0" fontId="2" fillId="3" borderId="64" xfId="0" applyFont="1" applyFill="1" applyBorder="1" applyAlignment="1">
      <alignment horizontal="center" vertical="center"/>
    </xf>
    <xf numFmtId="0" fontId="2" fillId="3" borderId="65" xfId="0" applyFont="1" applyFill="1" applyBorder="1" applyAlignment="1">
      <alignment horizontal="center" vertical="center"/>
    </xf>
    <xf numFmtId="0" fontId="2" fillId="2" borderId="22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16" xfId="1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8" fillId="4" borderId="43" xfId="0" applyFont="1" applyFill="1" applyBorder="1" applyAlignment="1">
      <alignment horizontal="center" vertical="center"/>
    </xf>
    <xf numFmtId="0" fontId="8" fillId="4" borderId="46" xfId="0" applyFont="1" applyFill="1" applyBorder="1" applyAlignment="1">
      <alignment horizontal="center" vertical="center"/>
    </xf>
    <xf numFmtId="0" fontId="8" fillId="4" borderId="44" xfId="0" applyFont="1" applyFill="1" applyBorder="1" applyAlignment="1">
      <alignment horizontal="center" vertical="center"/>
    </xf>
    <xf numFmtId="0" fontId="8" fillId="4" borderId="45" xfId="0" applyFont="1" applyFill="1" applyBorder="1" applyAlignment="1">
      <alignment horizontal="center" vertical="center"/>
    </xf>
    <xf numFmtId="0" fontId="8" fillId="4" borderId="31" xfId="0" applyNumberFormat="1" applyFont="1" applyFill="1" applyBorder="1" applyAlignment="1" applyProtection="1">
      <alignment horizontal="center" vertical="center" wrapText="1"/>
    </xf>
    <xf numFmtId="0" fontId="8" fillId="4" borderId="52" xfId="0" applyFont="1" applyFill="1" applyBorder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0" fontId="8" fillId="4" borderId="60" xfId="0" applyFont="1" applyFill="1" applyBorder="1" applyAlignment="1">
      <alignment horizontal="center" vertical="center"/>
    </xf>
    <xf numFmtId="0" fontId="8" fillId="4" borderId="48" xfId="0" applyFont="1" applyFill="1" applyBorder="1" applyAlignment="1">
      <alignment horizontal="center" vertical="center"/>
    </xf>
    <xf numFmtId="0" fontId="8" fillId="4" borderId="51" xfId="0" applyFont="1" applyFill="1" applyBorder="1" applyAlignment="1">
      <alignment horizontal="center" vertical="center"/>
    </xf>
    <xf numFmtId="0" fontId="8" fillId="4" borderId="49" xfId="0" applyFont="1" applyFill="1" applyBorder="1" applyAlignment="1">
      <alignment horizontal="center" vertical="center"/>
    </xf>
    <xf numFmtId="0" fontId="8" fillId="4" borderId="32" xfId="0" applyFont="1" applyFill="1" applyBorder="1" applyAlignment="1">
      <alignment horizontal="center" vertical="center" wrapText="1"/>
    </xf>
    <xf numFmtId="0" fontId="8" fillId="4" borderId="34" xfId="0" applyFont="1" applyFill="1" applyBorder="1" applyAlignment="1">
      <alignment horizontal="center" vertical="center" wrapText="1"/>
    </xf>
    <xf numFmtId="0" fontId="8" fillId="4" borderId="56" xfId="0" applyFont="1" applyFill="1" applyBorder="1" applyAlignment="1">
      <alignment horizontal="center" vertical="center" wrapText="1"/>
    </xf>
    <xf numFmtId="0" fontId="8" fillId="4" borderId="57" xfId="0" applyFont="1" applyFill="1" applyBorder="1" applyAlignment="1">
      <alignment horizontal="center" vertical="center" wrapText="1"/>
    </xf>
    <xf numFmtId="0" fontId="8" fillId="4" borderId="31" xfId="0" applyFont="1" applyFill="1" applyBorder="1" applyAlignment="1">
      <alignment horizontal="center" vertical="center" wrapText="1"/>
    </xf>
    <xf numFmtId="0" fontId="8" fillId="4" borderId="31" xfId="0" applyFont="1" applyFill="1" applyBorder="1" applyAlignment="1">
      <alignment horizontal="center" vertical="center"/>
    </xf>
    <xf numFmtId="0" fontId="8" fillId="4" borderId="36" xfId="0" applyFont="1" applyFill="1" applyBorder="1" applyAlignment="1">
      <alignment horizontal="center" vertical="center" wrapText="1"/>
    </xf>
    <xf numFmtId="0" fontId="8" fillId="4" borderId="40" xfId="0" applyFont="1" applyFill="1" applyBorder="1" applyAlignment="1">
      <alignment horizontal="center" vertical="center" wrapText="1"/>
    </xf>
    <xf numFmtId="0" fontId="2" fillId="0" borderId="41" xfId="0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4" borderId="67" xfId="0" applyFont="1" applyFill="1" applyBorder="1" applyAlignment="1">
      <alignment horizontal="center" vertical="center"/>
    </xf>
    <xf numFmtId="0" fontId="8" fillId="4" borderId="59" xfId="0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 wrapText="1"/>
    </xf>
    <xf numFmtId="0" fontId="8" fillId="4" borderId="32" xfId="0" applyNumberFormat="1" applyFont="1" applyFill="1" applyBorder="1" applyAlignment="1" applyProtection="1">
      <alignment horizontal="center" vertical="center" wrapText="1"/>
    </xf>
    <xf numFmtId="0" fontId="8" fillId="4" borderId="33" xfId="0" applyNumberFormat="1" applyFont="1" applyFill="1" applyBorder="1" applyAlignment="1" applyProtection="1">
      <alignment horizontal="center" vertical="center" wrapText="1"/>
    </xf>
    <xf numFmtId="0" fontId="8" fillId="4" borderId="56" xfId="0" applyNumberFormat="1" applyFont="1" applyFill="1" applyBorder="1" applyAlignment="1" applyProtection="1">
      <alignment horizontal="center" vertical="center" wrapText="1"/>
    </xf>
    <xf numFmtId="0" fontId="8" fillId="4" borderId="58" xfId="0" applyNumberFormat="1" applyFont="1" applyFill="1" applyBorder="1" applyAlignment="1" applyProtection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4" borderId="50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DCE6F1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320386</xdr:colOff>
      <xdr:row>5</xdr:row>
      <xdr:rowOff>146771</xdr:rowOff>
    </xdr:from>
    <xdr:ext cx="1609725" cy="6739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1282411" y="1099271"/>
              <a:ext cx="1609725" cy="6739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𝑘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0,0016</m:t>
                        </m:r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𝑈</m:t>
                                    </m:r>
                                  </m:num>
                                  <m:den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2,2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1,3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𝑀</m:t>
                                    </m:r>
                                  </m:num>
                                  <m:den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1,4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1282411" y="1099271"/>
              <a:ext cx="1609725" cy="6739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𝐸=𝑘(0,0016)   (𝑈/2,2)^1,3/(𝑀/2)^1,4 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695325</xdr:colOff>
      <xdr:row>9</xdr:row>
      <xdr:rowOff>66675</xdr:rowOff>
    </xdr:from>
    <xdr:to>
      <xdr:col>3</xdr:col>
      <xdr:colOff>828675</xdr:colOff>
      <xdr:row>10</xdr:row>
      <xdr:rowOff>247651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/>
      </xdr:nvSpPr>
      <xdr:spPr>
        <a:xfrm>
          <a:off x="2486025" y="1924050"/>
          <a:ext cx="1028700" cy="314326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  <xdr:oneCellAnchor>
    <xdr:from>
      <xdr:col>0</xdr:col>
      <xdr:colOff>628650</xdr:colOff>
      <xdr:row>9</xdr:row>
      <xdr:rowOff>19050</xdr:rowOff>
    </xdr:from>
    <xdr:ext cx="3381375" cy="361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xmlns="" id="{00000000-0008-0000-0400-000002000000}"/>
                </a:ext>
              </a:extLst>
            </xdr:cNvPr>
            <xdr:cNvSpPr txBox="1"/>
          </xdr:nvSpPr>
          <xdr:spPr>
            <a:xfrm>
              <a:off x="628650" y="1876425"/>
              <a:ext cx="3381375" cy="361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000" b="0" i="1">
                        <a:latin typeface="Cambria Math" panose="02040503050406030204" pitchFamily="18" charset="0"/>
                      </a:rPr>
                      <m:t>𝐹𝐸</m:t>
                    </m:r>
                    <m:r>
                      <a:rPr lang="pt-BR" sz="10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pt-BR" sz="1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. </m:t>
                            </m:r>
                            <m:sSup>
                              <m:sSupPr>
                                <m:ctrlP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1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𝑠</m:t>
                                        </m:r>
                                      </m:num>
                                      <m:den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12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sup>
                            </m:sSup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.  </m:t>
                            </m:r>
                            <m:sSup>
                              <m:sSupPr>
                                <m:ctrlP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1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𝑊</m:t>
                                        </m:r>
                                      </m:num>
                                      <m:den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3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sup>
                            </m:sSup>
                          </m:e>
                        </m:d>
                        <m:r>
                          <a:rPr lang="pt-BR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. (</m:t>
                        </m:r>
                        <m:d>
                          <m:dPr>
                            <m:ctrlP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365−</m:t>
                            </m:r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)/365)</m:t>
                            </m:r>
                          </m:e>
                        </m:d>
                      </m:e>
                    </m:d>
                    <m:r>
                      <a:rPr lang="pt-BR" sz="10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0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400-000002000000}"/>
                </a:ext>
              </a:extLst>
            </xdr:cNvPr>
            <xdr:cNvSpPr txBox="1"/>
          </xdr:nvSpPr>
          <xdr:spPr>
            <a:xfrm>
              <a:off x="628650" y="1876425"/>
              <a:ext cx="3381375" cy="361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000" b="0" i="0">
                  <a:latin typeface="Cambria Math" panose="02040503050406030204" pitchFamily="18" charset="0"/>
                </a:rPr>
                <a:t>𝐹𝐸=[</a:t>
              </a:r>
              <a:r>
                <a:rPr lang="pt-BR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(𝑘 . (𝑠/12)^𝑎.  (𝑊/3)^𝑏 )  . ((365−𝑃)/365))] </a:t>
              </a:r>
              <a:r>
                <a:rPr lang="pt-BR" sz="1000" b="0" i="0">
                  <a:latin typeface="Cambria Math" panose="02040503050406030204" pitchFamily="18" charset="0"/>
                </a:rPr>
                <a:t> </a:t>
              </a:r>
              <a:endParaRPr lang="pt-BR" sz="10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30</xdr:row>
      <xdr:rowOff>180975</xdr:rowOff>
    </xdr:from>
    <xdr:to>
      <xdr:col>10</xdr:col>
      <xdr:colOff>200026</xdr:colOff>
      <xdr:row>37</xdr:row>
      <xdr:rowOff>116282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6467475"/>
          <a:ext cx="8153400" cy="1268807"/>
        </a:xfrm>
        <a:prstGeom prst="rect">
          <a:avLst/>
        </a:prstGeom>
      </xdr:spPr>
    </xdr:pic>
    <xdr:clientData/>
  </xdr:twoCellAnchor>
  <xdr:oneCellAnchor>
    <xdr:from>
      <xdr:col>0</xdr:col>
      <xdr:colOff>1828801</xdr:colOff>
      <xdr:row>2</xdr:row>
      <xdr:rowOff>100012</xdr:rowOff>
    </xdr:from>
    <xdr:ext cx="240030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=""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1828801" y="481012"/>
              <a:ext cx="240030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𝑃𝑀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=2,6×</m:t>
                    </m:r>
                    <m:f>
                      <m:fPr>
                        <m:type m:val="lin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1,2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</m:t>
                                </m:r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1,3</m:t>
                            </m:r>
                          </m:sup>
                        </m:sSup>
                      </m:den>
                    </m:f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200-000002000000}"/>
                </a:ext>
              </a:extLst>
            </xdr:cNvPr>
            <xdr:cNvSpPr txBox="1"/>
          </xdr:nvSpPr>
          <xdr:spPr>
            <a:xfrm>
              <a:off x="1828801" y="481012"/>
              <a:ext cx="240030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𝐸_𝑃𝑀=2,6×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(𝑠)^1,2∕(𝑀)^1,3  </a:t>
              </a:r>
              <a:r>
                <a:rPr lang="pt-BR" sz="1100" b="0" i="0">
                  <a:latin typeface="Cambria Math" panose="02040503050406030204" pitchFamily="18" charset="0"/>
                </a:rPr>
                <a:t>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4</xdr:row>
      <xdr:rowOff>123825</xdr:rowOff>
    </xdr:from>
    <xdr:ext cx="2400300" cy="1777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>
              <a:extLst>
                <a:ext uri="{FF2B5EF4-FFF2-40B4-BE49-F238E27FC236}">
                  <a16:creationId xmlns=""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1838325" y="885825"/>
              <a:ext cx="240030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=0,75×0,45×</m:t>
                    </m:r>
                    <m:f>
                      <m:fPr>
                        <m:type m:val="lin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1,5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</m:t>
                                </m:r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1,4</m:t>
                            </m:r>
                          </m:sup>
                        </m:sSup>
                      </m:den>
                    </m:f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8" name="CaixaDeTexto 7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200-000002000000}"/>
                </a:ext>
              </a:extLst>
            </xdr:cNvPr>
            <xdr:cNvSpPr txBox="1"/>
          </xdr:nvSpPr>
          <xdr:spPr>
            <a:xfrm>
              <a:off x="1838325" y="885825"/>
              <a:ext cx="240030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𝐸=0,75×0,45×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(𝑠)^1,5∕(𝑀)^1,4  </a:t>
              </a:r>
              <a:r>
                <a:rPr lang="pt-BR" sz="1100" b="0" i="0">
                  <a:latin typeface="Cambria Math" panose="02040503050406030204" pitchFamily="18" charset="0"/>
                </a:rPr>
                <a:t>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0</xdr:col>
      <xdr:colOff>1809750</xdr:colOff>
      <xdr:row>6</xdr:row>
      <xdr:rowOff>142875</xdr:rowOff>
    </xdr:from>
    <xdr:ext cx="2400300" cy="1777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8">
              <a:extLst>
                <a:ext uri="{FF2B5EF4-FFF2-40B4-BE49-F238E27FC236}">
                  <a16:creationId xmlns=""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1809750" y="1333500"/>
              <a:ext cx="240030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=0,105×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𝑃𝑀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9" name="CaixaDeTexto 8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200-000002000000}"/>
                </a:ext>
              </a:extLst>
            </xdr:cNvPr>
            <xdr:cNvSpPr txBox="1"/>
          </xdr:nvSpPr>
          <xdr:spPr>
            <a:xfrm>
              <a:off x="1809750" y="1333500"/>
              <a:ext cx="240030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𝐸=0,105×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𝐸_𝑃𝑀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676275</xdr:colOff>
      <xdr:row>56</xdr:row>
      <xdr:rowOff>14287</xdr:rowOff>
    </xdr:from>
    <xdr:ext cx="16097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xmlns="" id="{00000000-0008-0000-0100-000002000000}"/>
                </a:ext>
              </a:extLst>
            </xdr:cNvPr>
            <xdr:cNvSpPr txBox="1"/>
          </xdr:nvSpPr>
          <xdr:spPr>
            <a:xfrm>
              <a:off x="1971675" y="363378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𝐸𝐹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100-000002000000}"/>
                </a:ext>
              </a:extLst>
            </xdr:cNvPr>
            <xdr:cNvSpPr txBox="1"/>
          </xdr:nvSpPr>
          <xdr:spPr>
            <a:xfrm>
              <a:off x="1971675" y="363378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𝐸=𝑛 𝑥 𝐻 𝑥 𝐸𝐹 </a:t>
              </a:r>
              <a:endParaRPr lang="pt-B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1"/>
  <sheetViews>
    <sheetView zoomScaleNormal="100" workbookViewId="0">
      <selection activeCell="K22" sqref="K22"/>
    </sheetView>
  </sheetViews>
  <sheetFormatPr defaultRowHeight="15" customHeight="1" x14ac:dyDescent="0.2"/>
  <cols>
    <col min="1" max="1" width="14.42578125" style="15" customWidth="1"/>
    <col min="2" max="6" width="9.140625" style="15"/>
    <col min="7" max="7" width="26.42578125" style="15" bestFit="1" customWidth="1"/>
    <col min="8" max="8" width="20.140625" style="15" bestFit="1" customWidth="1"/>
    <col min="9" max="16384" width="9.140625" style="15"/>
  </cols>
  <sheetData>
    <row r="1" spans="1:12" ht="15" customHeight="1" x14ac:dyDescent="0.2">
      <c r="A1" s="3" t="s">
        <v>343</v>
      </c>
    </row>
    <row r="2" spans="1:12" ht="15" customHeight="1" x14ac:dyDescent="0.2">
      <c r="A2" s="170" t="s">
        <v>257</v>
      </c>
      <c r="B2" s="171"/>
      <c r="C2" s="171"/>
      <c r="D2" s="171"/>
      <c r="E2" s="172"/>
      <c r="G2" s="170" t="s">
        <v>258</v>
      </c>
      <c r="H2" s="171"/>
      <c r="I2" s="171"/>
      <c r="J2" s="171"/>
      <c r="K2" s="171"/>
      <c r="L2" s="172"/>
    </row>
    <row r="3" spans="1:12" ht="15" customHeight="1" x14ac:dyDescent="0.2">
      <c r="A3" s="80" t="s">
        <v>259</v>
      </c>
      <c r="B3" s="80" t="s">
        <v>260</v>
      </c>
      <c r="C3" s="80" t="s">
        <v>261</v>
      </c>
      <c r="D3" s="80" t="s">
        <v>262</v>
      </c>
      <c r="E3" s="80" t="s">
        <v>263</v>
      </c>
      <c r="G3" s="173" t="s">
        <v>264</v>
      </c>
      <c r="H3" s="173" t="s">
        <v>265</v>
      </c>
      <c r="I3" s="173" t="s">
        <v>266</v>
      </c>
      <c r="J3" s="173"/>
      <c r="K3" s="173" t="s">
        <v>267</v>
      </c>
      <c r="L3" s="173"/>
    </row>
    <row r="4" spans="1:12" ht="15" customHeight="1" x14ac:dyDescent="0.2">
      <c r="A4" s="50">
        <v>0.74</v>
      </c>
      <c r="B4" s="35">
        <v>0.48</v>
      </c>
      <c r="C4" s="50">
        <v>0.35</v>
      </c>
      <c r="D4" s="35">
        <v>0.2</v>
      </c>
      <c r="E4" s="50">
        <v>5.2999999999999999E-2</v>
      </c>
      <c r="G4" s="173"/>
      <c r="H4" s="173"/>
      <c r="I4" s="157" t="s">
        <v>268</v>
      </c>
      <c r="J4" s="157" t="s">
        <v>269</v>
      </c>
      <c r="K4" s="157" t="s">
        <v>268</v>
      </c>
      <c r="L4" s="157" t="s">
        <v>269</v>
      </c>
    </row>
    <row r="5" spans="1:12" ht="15" customHeight="1" x14ac:dyDescent="0.2">
      <c r="G5" s="166" t="s">
        <v>270</v>
      </c>
      <c r="H5" s="53" t="s">
        <v>271</v>
      </c>
      <c r="I5" s="35" t="s">
        <v>184</v>
      </c>
      <c r="J5" s="35">
        <v>2.6</v>
      </c>
      <c r="K5" s="35" t="s">
        <v>184</v>
      </c>
      <c r="L5" s="35">
        <v>7.4</v>
      </c>
    </row>
    <row r="6" spans="1:12" ht="15" customHeight="1" x14ac:dyDescent="0.2">
      <c r="A6" s="167" t="s">
        <v>143</v>
      </c>
      <c r="B6" s="168"/>
      <c r="C6" s="168"/>
      <c r="D6" s="168"/>
      <c r="E6" s="168"/>
      <c r="G6" s="166"/>
      <c r="H6" s="53" t="s">
        <v>272</v>
      </c>
      <c r="I6" s="35" t="s">
        <v>273</v>
      </c>
      <c r="J6" s="35">
        <v>3.8</v>
      </c>
      <c r="K6" s="35" t="s">
        <v>274</v>
      </c>
      <c r="L6" s="35">
        <v>3.6</v>
      </c>
    </row>
    <row r="7" spans="1:12" ht="15" customHeight="1" x14ac:dyDescent="0.2">
      <c r="A7" s="167"/>
      <c r="B7" s="168"/>
      <c r="C7" s="168"/>
      <c r="D7" s="168"/>
      <c r="E7" s="168"/>
      <c r="G7" s="166"/>
      <c r="H7" s="53" t="s">
        <v>275</v>
      </c>
      <c r="I7" s="35" t="s">
        <v>276</v>
      </c>
      <c r="J7" s="35">
        <v>9</v>
      </c>
      <c r="K7" s="35" t="s">
        <v>277</v>
      </c>
      <c r="L7" s="35">
        <v>12</v>
      </c>
    </row>
    <row r="8" spans="1:12" ht="15" customHeight="1" x14ac:dyDescent="0.2">
      <c r="A8" s="167"/>
      <c r="B8" s="168"/>
      <c r="C8" s="168"/>
      <c r="D8" s="168"/>
      <c r="E8" s="168"/>
      <c r="G8" s="166"/>
      <c r="H8" s="53" t="s">
        <v>278</v>
      </c>
      <c r="I8" s="35" t="s">
        <v>184</v>
      </c>
      <c r="J8" s="35">
        <v>9.1999999999999993</v>
      </c>
      <c r="K8" s="35" t="s">
        <v>184</v>
      </c>
      <c r="L8" s="35">
        <v>14</v>
      </c>
    </row>
    <row r="9" spans="1:12" ht="15" customHeight="1" x14ac:dyDescent="0.2">
      <c r="A9" s="167"/>
      <c r="B9" s="168"/>
      <c r="C9" s="168"/>
      <c r="D9" s="168"/>
      <c r="E9" s="168"/>
      <c r="G9" s="166"/>
      <c r="H9" s="53" t="s">
        <v>279</v>
      </c>
      <c r="I9" s="35" t="s">
        <v>280</v>
      </c>
      <c r="J9" s="35">
        <v>6</v>
      </c>
      <c r="K9" s="35" t="s">
        <v>281</v>
      </c>
      <c r="L9" s="35">
        <v>10</v>
      </c>
    </row>
    <row r="10" spans="1:12" ht="15" customHeight="1" x14ac:dyDescent="0.2">
      <c r="A10" s="167"/>
      <c r="B10" s="168"/>
      <c r="C10" s="168"/>
      <c r="D10" s="168"/>
      <c r="E10" s="168"/>
      <c r="G10" s="166"/>
      <c r="H10" s="53" t="s">
        <v>282</v>
      </c>
      <c r="I10" s="35" t="s">
        <v>283</v>
      </c>
      <c r="J10" s="35">
        <v>80</v>
      </c>
      <c r="K10" s="35" t="s">
        <v>284</v>
      </c>
      <c r="L10" s="35">
        <v>27</v>
      </c>
    </row>
    <row r="11" spans="1:12" ht="15" customHeight="1" x14ac:dyDescent="0.2">
      <c r="A11" s="167"/>
      <c r="B11" s="169" t="s">
        <v>285</v>
      </c>
      <c r="C11" s="169"/>
      <c r="D11" s="169"/>
      <c r="E11" s="169"/>
      <c r="G11" s="166"/>
      <c r="H11" s="53" t="s">
        <v>286</v>
      </c>
      <c r="I11" s="35" t="s">
        <v>184</v>
      </c>
      <c r="J11" s="35">
        <v>12</v>
      </c>
      <c r="K11" s="35" t="s">
        <v>184</v>
      </c>
      <c r="L11" s="35">
        <v>11</v>
      </c>
    </row>
    <row r="12" spans="1:12" ht="15" customHeight="1" x14ac:dyDescent="0.2">
      <c r="A12" s="167"/>
      <c r="B12" s="169"/>
      <c r="C12" s="169"/>
      <c r="D12" s="169"/>
      <c r="E12" s="169"/>
      <c r="G12" s="53"/>
      <c r="H12" s="51"/>
      <c r="I12" s="52"/>
      <c r="J12" s="52"/>
      <c r="K12" s="52"/>
      <c r="L12" s="52"/>
    </row>
    <row r="13" spans="1:12" ht="15" customHeight="1" x14ac:dyDescent="0.2">
      <c r="A13" s="167"/>
      <c r="B13" s="169"/>
      <c r="C13" s="169"/>
      <c r="D13" s="169"/>
      <c r="E13" s="169"/>
      <c r="G13" s="53"/>
      <c r="H13" s="51"/>
      <c r="I13" s="52"/>
      <c r="J13" s="52"/>
      <c r="K13" s="52"/>
      <c r="L13" s="52"/>
    </row>
    <row r="14" spans="1:12" ht="15" customHeight="1" x14ac:dyDescent="0.2">
      <c r="A14" s="167"/>
      <c r="B14" s="169"/>
      <c r="C14" s="169"/>
      <c r="D14" s="169"/>
      <c r="E14" s="169"/>
      <c r="G14" s="170" t="s">
        <v>287</v>
      </c>
      <c r="H14" s="171"/>
      <c r="I14" s="52"/>
      <c r="J14" s="52"/>
      <c r="K14" s="52"/>
      <c r="L14" s="52"/>
    </row>
    <row r="15" spans="1:12" ht="15" customHeight="1" x14ac:dyDescent="0.2">
      <c r="A15" s="167"/>
      <c r="B15" s="169"/>
      <c r="C15" s="169"/>
      <c r="D15" s="169"/>
      <c r="E15" s="169"/>
      <c r="G15" s="35" t="s">
        <v>288</v>
      </c>
      <c r="H15" s="35">
        <f>1.52*1000</f>
        <v>1520</v>
      </c>
      <c r="I15" s="52"/>
      <c r="J15" s="52"/>
      <c r="K15" s="52"/>
      <c r="L15" s="52"/>
    </row>
    <row r="16" spans="1:12" ht="15" customHeight="1" x14ac:dyDescent="0.2">
      <c r="A16" s="3"/>
      <c r="G16" s="35" t="s">
        <v>289</v>
      </c>
      <c r="H16" s="35">
        <f>1.55*1000</f>
        <v>1550</v>
      </c>
      <c r="I16" s="52"/>
      <c r="J16" s="52"/>
      <c r="K16" s="52"/>
      <c r="L16" s="52"/>
    </row>
    <row r="17" spans="4:12" ht="15" customHeight="1" x14ac:dyDescent="0.2">
      <c r="I17" s="52"/>
      <c r="J17" s="52"/>
      <c r="K17" s="52"/>
      <c r="L17" s="52"/>
    </row>
    <row r="18" spans="4:12" ht="15" customHeight="1" x14ac:dyDescent="0.2">
      <c r="G18" s="53"/>
      <c r="H18" s="51"/>
      <c r="I18" s="52"/>
      <c r="J18" s="52"/>
      <c r="K18" s="52"/>
      <c r="L18" s="52"/>
    </row>
    <row r="19" spans="4:12" ht="15" customHeight="1" x14ac:dyDescent="0.2">
      <c r="D19" s="28"/>
      <c r="G19" s="53"/>
      <c r="H19" s="51"/>
      <c r="I19" s="52"/>
      <c r="J19" s="52"/>
      <c r="K19" s="52"/>
      <c r="L19" s="52"/>
    </row>
    <row r="20" spans="4:12" ht="15" customHeight="1" x14ac:dyDescent="0.2">
      <c r="D20" s="28"/>
      <c r="G20" s="53"/>
      <c r="H20" s="51"/>
      <c r="I20" s="52"/>
      <c r="J20" s="52"/>
      <c r="K20" s="52"/>
      <c r="L20" s="52"/>
    </row>
    <row r="21" spans="4:12" ht="15" customHeight="1" x14ac:dyDescent="0.2">
      <c r="G21" s="51"/>
      <c r="H21" s="51"/>
      <c r="I21" s="52"/>
      <c r="J21" s="52"/>
      <c r="K21" s="52"/>
      <c r="L21" s="52"/>
    </row>
  </sheetData>
  <sheetProtection algorithmName="SHA-512" hashValue="Mw9avpRuSynX/pdIW0QW85iUl1EpFElp+xK7hV/hWN0C0GiP9515h73tvDERfL+epDECmPm5p7bw69nCVbnaLg==" saltValue="5Wr+9bMngB13okMqR3LvjA==" spinCount="100000" sheet="1" objects="1" scenarios="1"/>
  <mergeCells count="11">
    <mergeCell ref="A2:E2"/>
    <mergeCell ref="G2:L2"/>
    <mergeCell ref="G3:G4"/>
    <mergeCell ref="H3:H4"/>
    <mergeCell ref="I3:J3"/>
    <mergeCell ref="K3:L3"/>
    <mergeCell ref="G5:G11"/>
    <mergeCell ref="A6:A15"/>
    <mergeCell ref="B6:E10"/>
    <mergeCell ref="B11:E15"/>
    <mergeCell ref="G14:H1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2"/>
  <sheetViews>
    <sheetView zoomScaleNormal="100" workbookViewId="0">
      <selection activeCell="H24" sqref="H24"/>
    </sheetView>
  </sheetViews>
  <sheetFormatPr defaultRowHeight="15" customHeight="1" x14ac:dyDescent="0.25"/>
  <cols>
    <col min="1" max="1" width="42.5703125" style="3" customWidth="1"/>
    <col min="2" max="2" width="16.85546875" style="3" customWidth="1"/>
    <col min="3" max="3" width="18.28515625" style="3" customWidth="1"/>
    <col min="4" max="4" width="18" style="3" customWidth="1"/>
    <col min="5" max="5" width="14.42578125" style="3" customWidth="1"/>
    <col min="6" max="6" width="14.5703125" style="44" customWidth="1"/>
    <col min="7" max="7" width="10.7109375" style="3" customWidth="1"/>
    <col min="8" max="8" width="13.42578125" style="3" customWidth="1"/>
    <col min="9" max="9" width="9.140625" style="44"/>
    <col min="10" max="12" width="10.7109375" style="44" customWidth="1"/>
    <col min="13" max="15" width="10.7109375" style="3" customWidth="1"/>
    <col min="16" max="16384" width="9.140625" style="3"/>
  </cols>
  <sheetData>
    <row r="1" spans="1:16" ht="15" customHeight="1" x14ac:dyDescent="0.25">
      <c r="A1" s="3" t="s">
        <v>202</v>
      </c>
      <c r="B1" s="64">
        <v>1500</v>
      </c>
    </row>
    <row r="2" spans="1:16" ht="15" customHeight="1" x14ac:dyDescent="0.25">
      <c r="A2" s="3" t="s">
        <v>203</v>
      </c>
      <c r="B2" s="64">
        <f>Dados!J10</f>
        <v>778000</v>
      </c>
      <c r="C2" s="55"/>
    </row>
    <row r="3" spans="1:16" ht="15" customHeight="1" x14ac:dyDescent="0.25">
      <c r="A3" s="3" t="s">
        <v>290</v>
      </c>
      <c r="B3" s="155">
        <v>4.2</v>
      </c>
    </row>
    <row r="5" spans="1:16" ht="15" customHeight="1" x14ac:dyDescent="0.25">
      <c r="A5" s="54" t="s">
        <v>350</v>
      </c>
      <c r="J5" s="35"/>
      <c r="K5" s="35"/>
      <c r="L5" s="35"/>
      <c r="M5" s="53"/>
      <c r="N5" s="53"/>
      <c r="O5" s="53"/>
      <c r="P5" s="53"/>
    </row>
    <row r="6" spans="1:16" ht="15" customHeight="1" x14ac:dyDescent="0.25">
      <c r="A6" s="238" t="s">
        <v>171</v>
      </c>
      <c r="B6" s="261" t="s">
        <v>265</v>
      </c>
      <c r="C6" s="249" t="s">
        <v>291</v>
      </c>
      <c r="D6" s="263" t="s">
        <v>247</v>
      </c>
      <c r="E6" s="263" t="s">
        <v>292</v>
      </c>
      <c r="F6" s="263" t="s">
        <v>293</v>
      </c>
      <c r="G6" s="242" t="s">
        <v>419</v>
      </c>
      <c r="H6" s="242" t="s">
        <v>420</v>
      </c>
      <c r="I6" s="242" t="s">
        <v>339</v>
      </c>
      <c r="J6" s="258" t="s">
        <v>294</v>
      </c>
      <c r="K6" s="259"/>
      <c r="L6" s="259"/>
      <c r="M6" s="258" t="s">
        <v>176</v>
      </c>
      <c r="N6" s="259"/>
      <c r="O6" s="259"/>
      <c r="P6" s="156"/>
    </row>
    <row r="7" spans="1:16" ht="15" customHeight="1" x14ac:dyDescent="0.25">
      <c r="A7" s="260"/>
      <c r="B7" s="261"/>
      <c r="C7" s="262"/>
      <c r="D7" s="264"/>
      <c r="E7" s="264"/>
      <c r="F7" s="264"/>
      <c r="G7" s="242"/>
      <c r="H7" s="242"/>
      <c r="I7" s="263"/>
      <c r="J7" s="88" t="s">
        <v>177</v>
      </c>
      <c r="K7" s="88" t="s">
        <v>178</v>
      </c>
      <c r="L7" s="88" t="s">
        <v>295</v>
      </c>
      <c r="M7" s="88" t="s">
        <v>177</v>
      </c>
      <c r="N7" s="88" t="s">
        <v>178</v>
      </c>
      <c r="O7" s="88" t="s">
        <v>295</v>
      </c>
    </row>
    <row r="8" spans="1:16" s="17" customFormat="1" ht="15" customHeight="1" x14ac:dyDescent="0.25">
      <c r="A8" s="56" t="s">
        <v>298</v>
      </c>
      <c r="B8" s="89" t="s">
        <v>297</v>
      </c>
      <c r="C8" s="147">
        <f>'FE-Transferências'!L7</f>
        <v>12</v>
      </c>
      <c r="D8" s="89" t="s">
        <v>296</v>
      </c>
      <c r="E8" s="148">
        <v>50</v>
      </c>
      <c r="F8" s="149">
        <f>B2*B1/1000/(365*24)</f>
        <v>133.21917808219177</v>
      </c>
      <c r="G8" s="235">
        <v>-20.265347999999999</v>
      </c>
      <c r="H8" s="235">
        <v>-40.281809000000003</v>
      </c>
      <c r="I8" s="89">
        <v>2</v>
      </c>
      <c r="J8" s="150">
        <f>'FE-Transferências'!$A$4*0.0016*((($B$3/2.2)^1.3)/($C$8/2)^1.4)</f>
        <v>2.2336470252648025E-4</v>
      </c>
      <c r="K8" s="150">
        <f>'FE-Transferências'!$C$4*0.0016*((($B$3/2.2)^1.3)/($C$8/2)^1.4)</f>
        <v>1.0564546741117309E-4</v>
      </c>
      <c r="L8" s="150">
        <f>'FE-Transferências'!$E$4*0.0016*((($B$3/2.2)^1.3)/($C$8/2)^1.4)</f>
        <v>1.599774220797764E-5</v>
      </c>
      <c r="M8" s="162">
        <f t="shared" ref="M8:M9" si="0">F8*J8*(1-E8/100)</f>
        <v>1.4878231041575481E-2</v>
      </c>
      <c r="N8" s="162">
        <f t="shared" ref="N8:N9" si="1">F8*K8*(1-E8/100)</f>
        <v>7.0370011683127277E-3</v>
      </c>
      <c r="O8" s="163">
        <f t="shared" ref="O8:O9" si="2">F8*L8*(1-E8/100)</f>
        <v>1.0656030340587845E-3</v>
      </c>
    </row>
    <row r="9" spans="1:16" s="17" customFormat="1" ht="15" customHeight="1" x14ac:dyDescent="0.25">
      <c r="A9" s="24" t="s">
        <v>299</v>
      </c>
      <c r="B9" s="90" t="s">
        <v>297</v>
      </c>
      <c r="C9" s="19">
        <f>'FE-Transferências'!L7</f>
        <v>12</v>
      </c>
      <c r="D9" s="90" t="s">
        <v>296</v>
      </c>
      <c r="E9" s="151">
        <v>50</v>
      </c>
      <c r="F9" s="152">
        <f>B2*B1/1000/(365*24)</f>
        <v>133.21917808219177</v>
      </c>
      <c r="G9" s="257"/>
      <c r="H9" s="257"/>
      <c r="I9" s="153">
        <v>2</v>
      </c>
      <c r="J9" s="154">
        <f>'FE-Transferências'!$A$4*0.0016*((($B$3/2.2)^1.3)/($C$8/2)^1.4)</f>
        <v>2.2336470252648025E-4</v>
      </c>
      <c r="K9" s="154">
        <f>'FE-Transferências'!$C$4*0.0016*((($B$3/2.2)^1.3)/($C$8/2)^1.4)</f>
        <v>1.0564546741117309E-4</v>
      </c>
      <c r="L9" s="154">
        <f>'FE-Transferências'!$E$4*0.0016*((($B$3/2.2)^1.3)/($C$8/2)^1.4)</f>
        <v>1.599774220797764E-5</v>
      </c>
      <c r="M9" s="164">
        <f t="shared" si="0"/>
        <v>1.4878231041575481E-2</v>
      </c>
      <c r="N9" s="164">
        <f t="shared" si="1"/>
        <v>7.0370011683127277E-3</v>
      </c>
      <c r="O9" s="165">
        <f t="shared" si="2"/>
        <v>1.0656030340587845E-3</v>
      </c>
    </row>
    <row r="10" spans="1:16" ht="15" customHeight="1" x14ac:dyDescent="0.25">
      <c r="A10" s="237" t="s">
        <v>49</v>
      </c>
      <c r="B10" s="237"/>
      <c r="C10" s="237"/>
      <c r="D10" s="237"/>
      <c r="E10" s="237"/>
      <c r="F10" s="237"/>
      <c r="G10" s="237"/>
      <c r="H10" s="237"/>
      <c r="I10" s="237"/>
      <c r="J10" s="237"/>
      <c r="K10" s="237"/>
      <c r="L10" s="237"/>
      <c r="M10" s="33">
        <f>SUM(M8:M9)</f>
        <v>2.9756462083150963E-2</v>
      </c>
      <c r="N10" s="33">
        <f>SUM(N8:N9)</f>
        <v>1.4074002336625455E-2</v>
      </c>
      <c r="O10" s="21">
        <f>SUM(O8:O9)</f>
        <v>2.1312060681175689E-3</v>
      </c>
    </row>
    <row r="12" spans="1:16" ht="15" customHeight="1" x14ac:dyDescent="0.25">
      <c r="D12"/>
      <c r="E12"/>
      <c r="F12"/>
    </row>
    <row r="13" spans="1:16" ht="15" customHeight="1" x14ac:dyDescent="0.25">
      <c r="A13" s="15"/>
      <c r="B13" s="15"/>
      <c r="C13" s="15"/>
      <c r="D13"/>
      <c r="E13"/>
      <c r="F13"/>
    </row>
    <row r="14" spans="1:16" ht="15" customHeight="1" x14ac:dyDescent="0.2">
      <c r="A14" s="15"/>
      <c r="B14" s="15"/>
      <c r="C14" s="15"/>
    </row>
    <row r="15" spans="1:16" ht="15" customHeight="1" x14ac:dyDescent="0.2">
      <c r="A15" s="15"/>
      <c r="B15" s="15"/>
      <c r="C15" s="15"/>
      <c r="J15" s="57"/>
    </row>
    <row r="16" spans="1:16" ht="15" customHeight="1" x14ac:dyDescent="0.2">
      <c r="A16" s="15"/>
      <c r="B16" s="15"/>
      <c r="C16" s="15"/>
    </row>
    <row r="17" spans="1:3" ht="15" customHeight="1" x14ac:dyDescent="0.2">
      <c r="A17" s="15"/>
      <c r="B17" s="15"/>
      <c r="C17" s="15"/>
    </row>
    <row r="18" spans="1:3" ht="15" customHeight="1" x14ac:dyDescent="0.2">
      <c r="A18" s="15"/>
      <c r="B18" s="15"/>
      <c r="C18" s="15"/>
    </row>
    <row r="19" spans="1:3" ht="15" customHeight="1" x14ac:dyDescent="0.2">
      <c r="A19" s="15"/>
      <c r="B19" s="15"/>
      <c r="C19" s="15"/>
    </row>
    <row r="20" spans="1:3" ht="15" customHeight="1" x14ac:dyDescent="0.25">
      <c r="A20"/>
      <c r="B20"/>
      <c r="C20"/>
    </row>
    <row r="21" spans="1:3" ht="15" customHeight="1" x14ac:dyDescent="0.25">
      <c r="A21"/>
      <c r="B21"/>
      <c r="C21"/>
    </row>
    <row r="22" spans="1:3" ht="15" customHeight="1" x14ac:dyDescent="0.25">
      <c r="A22"/>
      <c r="B22"/>
      <c r="C22"/>
    </row>
  </sheetData>
  <sheetProtection algorithmName="SHA-512" hashValue="OJf0aWwEBDCHVdzmpg8xjC+H5GC+it4Ni9ZL2QVWsxSg9IdSFp5Y6XCEla7jNKnvXRNy3KZUTb0Y4u1OQ3/GvQ==" saltValue="FJGc6teF1bRONHHcO8d+nQ==" spinCount="100000" sheet="1" objects="1" scenarios="1"/>
  <mergeCells count="14">
    <mergeCell ref="G8:G9"/>
    <mergeCell ref="H8:H9"/>
    <mergeCell ref="A10:L10"/>
    <mergeCell ref="M6:O6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L6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9"/>
  <sheetViews>
    <sheetView workbookViewId="0">
      <selection activeCell="I25" sqref="I25"/>
    </sheetView>
  </sheetViews>
  <sheetFormatPr defaultRowHeight="15" x14ac:dyDescent="0.25"/>
  <cols>
    <col min="1" max="1" width="29.7109375" customWidth="1"/>
    <col min="2" max="2" width="13.42578125" customWidth="1"/>
    <col min="3" max="3" width="20.42578125" customWidth="1"/>
    <col min="4" max="4" width="17.28515625" bestFit="1" customWidth="1"/>
    <col min="5" max="5" width="15.140625" bestFit="1" customWidth="1"/>
    <col min="6" max="10" width="18.5703125" customWidth="1"/>
    <col min="11" max="16" width="10.7109375" customWidth="1"/>
  </cols>
  <sheetData>
    <row r="1" spans="1:16" x14ac:dyDescent="0.25">
      <c r="A1" s="15" t="s">
        <v>350</v>
      </c>
    </row>
    <row r="3" spans="1:16" x14ac:dyDescent="0.25">
      <c r="A3" s="251" t="s">
        <v>302</v>
      </c>
      <c r="B3" s="252"/>
      <c r="C3" s="252"/>
      <c r="D3" s="252"/>
      <c r="E3" s="265" t="s">
        <v>301</v>
      </c>
      <c r="F3" s="266"/>
      <c r="G3" s="242" t="s">
        <v>419</v>
      </c>
      <c r="H3" s="242" t="s">
        <v>420</v>
      </c>
      <c r="I3" s="249" t="s">
        <v>247</v>
      </c>
      <c r="J3" s="249" t="s">
        <v>334</v>
      </c>
      <c r="K3" s="251" t="s">
        <v>321</v>
      </c>
      <c r="L3" s="252"/>
      <c r="M3" s="252"/>
      <c r="N3" s="251" t="s">
        <v>416</v>
      </c>
      <c r="O3" s="252"/>
      <c r="P3" s="252"/>
    </row>
    <row r="4" spans="1:16" x14ac:dyDescent="0.25">
      <c r="A4" s="86" t="s">
        <v>300</v>
      </c>
      <c r="B4" s="86" t="s">
        <v>183</v>
      </c>
      <c r="C4" s="86" t="s">
        <v>303</v>
      </c>
      <c r="D4" s="84" t="s">
        <v>175</v>
      </c>
      <c r="E4" s="49" t="s">
        <v>332</v>
      </c>
      <c r="F4" s="49" t="s">
        <v>340</v>
      </c>
      <c r="G4" s="242"/>
      <c r="H4" s="242"/>
      <c r="I4" s="250"/>
      <c r="J4" s="250"/>
      <c r="K4" s="49" t="s">
        <v>177</v>
      </c>
      <c r="L4" s="49" t="s">
        <v>178</v>
      </c>
      <c r="M4" s="49" t="s">
        <v>295</v>
      </c>
      <c r="N4" s="49" t="s">
        <v>177</v>
      </c>
      <c r="O4" s="49" t="s">
        <v>178</v>
      </c>
      <c r="P4" s="49" t="s">
        <v>295</v>
      </c>
    </row>
    <row r="5" spans="1:16" x14ac:dyDescent="0.25">
      <c r="A5" s="24" t="str">
        <f>Dados!B67</f>
        <v>Rolo Compactador Corrugado</v>
      </c>
      <c r="B5" s="44" t="str">
        <f>Dados!C67</f>
        <v>Aman</v>
      </c>
      <c r="C5" s="44">
        <f>Dados!E67</f>
        <v>2</v>
      </c>
      <c r="D5" s="64">
        <f>Dados!G67/365/C5</f>
        <v>2.1917808219178081</v>
      </c>
      <c r="E5" s="58">
        <f>'FE-Transferências'!$J$7</f>
        <v>9</v>
      </c>
      <c r="F5" s="58">
        <f>'FE-Transferências'!$L$7</f>
        <v>12</v>
      </c>
      <c r="G5" s="267">
        <v>-20.258505</v>
      </c>
      <c r="H5" s="267">
        <v>-40.281095000000001</v>
      </c>
      <c r="I5" s="44" t="s">
        <v>249</v>
      </c>
      <c r="J5" s="55">
        <v>55</v>
      </c>
      <c r="K5" s="61">
        <f>2.6*(E5)^1.2/F5^1.3</f>
        <v>1.4359150235963214</v>
      </c>
      <c r="L5" s="61">
        <f>(0.45*E5^1.5/F5^1.4)*0.75</f>
        <v>0.28105013410743207</v>
      </c>
      <c r="M5" s="61">
        <f>K5*0.105</f>
        <v>0.15077107747761373</v>
      </c>
      <c r="N5" s="10">
        <f>((C5*D5*K5)*(1-J5/100))/24</f>
        <v>0.11802041289832778</v>
      </c>
      <c r="O5" s="10">
        <f>((C5*D5*L5)*(1-J5/100))/24</f>
        <v>2.310001102252866E-2</v>
      </c>
      <c r="P5" s="10">
        <f>((C5*D5*M5)*(1-J5/100))/24</f>
        <v>1.2392143354324413E-2</v>
      </c>
    </row>
    <row r="6" spans="1:16" x14ac:dyDescent="0.25">
      <c r="A6" s="24" t="str">
        <f>Dados!B68</f>
        <v>Rolo Compactador Corrugado</v>
      </c>
      <c r="B6" s="44" t="str">
        <f>Dados!C68</f>
        <v>Bomag</v>
      </c>
      <c r="C6" s="44">
        <f>Dados!E68</f>
        <v>2</v>
      </c>
      <c r="D6" s="64">
        <f>Dados!G68/365/C6</f>
        <v>2.1917808219178081</v>
      </c>
      <c r="E6" s="58">
        <f>'FE-Transferências'!$J$7</f>
        <v>9</v>
      </c>
      <c r="F6" s="58">
        <f>'FE-Transferências'!$L$7</f>
        <v>12</v>
      </c>
      <c r="G6" s="268"/>
      <c r="H6" s="268"/>
      <c r="I6" s="44" t="s">
        <v>249</v>
      </c>
      <c r="J6" s="55">
        <v>55</v>
      </c>
      <c r="K6" s="61">
        <f>2.6*(E6)^1.2/F6^1.3</f>
        <v>1.4359150235963214</v>
      </c>
      <c r="L6" s="61">
        <f t="shared" ref="L6:L8" si="0">(0.45*E6^1.5/F6^1.4)*0.75</f>
        <v>0.28105013410743207</v>
      </c>
      <c r="M6" s="61">
        <f>K6*0.105</f>
        <v>0.15077107747761373</v>
      </c>
      <c r="N6" s="10">
        <f t="shared" ref="N6:N8" si="1">((C6*D6*K6)*(1-J6/100))/24</f>
        <v>0.11802041289832778</v>
      </c>
      <c r="O6" s="10">
        <f t="shared" ref="O6:O8" si="2">((C6*D6*L6)*(1-J6/100))/24</f>
        <v>2.310001102252866E-2</v>
      </c>
      <c r="P6" s="10">
        <f t="shared" ref="P6:P8" si="3">((C6*D6*M6)*(1-J6/100))/24</f>
        <v>1.2392143354324413E-2</v>
      </c>
    </row>
    <row r="7" spans="1:16" x14ac:dyDescent="0.25">
      <c r="A7" s="24" t="str">
        <f>Dados!B69</f>
        <v>Rolo Compactador Corrugado</v>
      </c>
      <c r="B7" s="44" t="str">
        <f>Dados!C69</f>
        <v>Bomag</v>
      </c>
      <c r="C7" s="44">
        <f>Dados!E69</f>
        <v>7</v>
      </c>
      <c r="D7" s="64">
        <f>Dados!G69/365/C7</f>
        <v>2.5048923679060664</v>
      </c>
      <c r="E7" s="58">
        <f>'FE-Transferências'!$J$7</f>
        <v>9</v>
      </c>
      <c r="F7" s="58">
        <f>'FE-Transferências'!$L$7</f>
        <v>12</v>
      </c>
      <c r="G7" s="268"/>
      <c r="H7" s="268"/>
      <c r="I7" s="44" t="s">
        <v>249</v>
      </c>
      <c r="J7" s="55">
        <v>55</v>
      </c>
      <c r="K7" s="61">
        <f>2.6*(E7)^1.2/F7^1.3</f>
        <v>1.4359150235963214</v>
      </c>
      <c r="L7" s="61">
        <f t="shared" si="0"/>
        <v>0.28105013410743207</v>
      </c>
      <c r="M7" s="61">
        <f>K7*0.105</f>
        <v>0.15077107747761373</v>
      </c>
      <c r="N7" s="10">
        <f t="shared" si="1"/>
        <v>0.47208165159331111</v>
      </c>
      <c r="O7" s="10">
        <f t="shared" si="2"/>
        <v>9.2400044090114639E-2</v>
      </c>
      <c r="P7" s="10">
        <f t="shared" si="3"/>
        <v>4.9568573417297652E-2</v>
      </c>
    </row>
    <row r="8" spans="1:16" x14ac:dyDescent="0.25">
      <c r="A8" s="24" t="str">
        <f>Dados!B70</f>
        <v>Rolo Compactador Corrugado</v>
      </c>
      <c r="B8" s="44" t="str">
        <f>Dados!C70</f>
        <v>Caterpillar</v>
      </c>
      <c r="C8" s="44">
        <f>Dados!E70</f>
        <v>2</v>
      </c>
      <c r="D8" s="64">
        <f>Dados!G70/365/C8</f>
        <v>2.1917808219178081</v>
      </c>
      <c r="E8" s="58">
        <f>'FE-Transferências'!$J$7</f>
        <v>9</v>
      </c>
      <c r="F8" s="58">
        <f>'FE-Transferências'!$L$7</f>
        <v>12</v>
      </c>
      <c r="G8" s="268"/>
      <c r="H8" s="268"/>
      <c r="I8" s="44" t="s">
        <v>249</v>
      </c>
      <c r="J8" s="55">
        <v>55</v>
      </c>
      <c r="K8" s="61">
        <f>2.6*(E8)^1.2/F8^1.3</f>
        <v>1.4359150235963214</v>
      </c>
      <c r="L8" s="61">
        <f t="shared" si="0"/>
        <v>0.28105013410743207</v>
      </c>
      <c r="M8" s="61">
        <f>K8*0.105</f>
        <v>0.15077107747761373</v>
      </c>
      <c r="N8" s="10">
        <f t="shared" si="1"/>
        <v>0.11802041289832778</v>
      </c>
      <c r="O8" s="10">
        <f t="shared" si="2"/>
        <v>2.310001102252866E-2</v>
      </c>
      <c r="P8" s="10">
        <f t="shared" si="3"/>
        <v>1.2392143354324413E-2</v>
      </c>
    </row>
    <row r="9" spans="1:16" x14ac:dyDescent="0.25">
      <c r="A9" s="237" t="s">
        <v>49</v>
      </c>
      <c r="B9" s="237"/>
      <c r="C9" s="237"/>
      <c r="D9" s="237"/>
      <c r="E9" s="237"/>
      <c r="F9" s="237"/>
      <c r="G9" s="237"/>
      <c r="H9" s="237"/>
      <c r="I9" s="237"/>
      <c r="J9" s="237"/>
      <c r="K9" s="237"/>
      <c r="L9" s="237"/>
      <c r="M9" s="237"/>
      <c r="N9" s="87">
        <f>SUM(N5:N8)</f>
        <v>0.82614289028829446</v>
      </c>
      <c r="O9" s="87">
        <f t="shared" ref="O9" si="4">SUM(O5:O8)</f>
        <v>0.1617000771577006</v>
      </c>
      <c r="P9" s="87">
        <f>SUM(P5:P8)</f>
        <v>8.6745003480270894E-2</v>
      </c>
    </row>
  </sheetData>
  <sheetProtection algorithmName="SHA-512" hashValue="aL//VQKx1yA+Yae2wbanrtoQBtuC0unjq5VC2CGc3WSsXbYlhhBKAV0W33JyyL6LRV872jT7z/Gl4LtfV0L3uA==" saltValue="+AULnkeXW6d5n3CBppZkJQ==" spinCount="100000" sheet="1" objects="1" scenarios="1"/>
  <mergeCells count="11">
    <mergeCell ref="A9:M9"/>
    <mergeCell ref="K3:M3"/>
    <mergeCell ref="E3:F3"/>
    <mergeCell ref="A3:D3"/>
    <mergeCell ref="N3:P3"/>
    <mergeCell ref="I3:I4"/>
    <mergeCell ref="J3:J4"/>
    <mergeCell ref="G3:G4"/>
    <mergeCell ref="H3:H4"/>
    <mergeCell ref="G5:G8"/>
    <mergeCell ref="H5:H8"/>
  </mergeCells>
  <pageMargins left="0.511811024" right="0.511811024" top="0.78740157499999996" bottom="0.78740157499999996" header="0.31496062000000002" footer="0.3149606200000000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A20" sqref="A20"/>
    </sheetView>
  </sheetViews>
  <sheetFormatPr defaultRowHeight="15" x14ac:dyDescent="0.25"/>
  <cols>
    <col min="1" max="1" width="37.42578125" customWidth="1"/>
  </cols>
  <sheetData>
    <row r="1" spans="1:8" x14ac:dyDescent="0.25">
      <c r="A1" s="269" t="s">
        <v>196</v>
      </c>
      <c r="B1" s="240" t="s">
        <v>176</v>
      </c>
      <c r="C1" s="241"/>
      <c r="D1" s="241"/>
      <c r="E1" s="241"/>
      <c r="F1" s="241"/>
      <c r="G1" s="241"/>
      <c r="H1" s="241"/>
    </row>
    <row r="2" spans="1:8" x14ac:dyDescent="0.25">
      <c r="A2" s="269"/>
      <c r="B2" s="18" t="s">
        <v>177</v>
      </c>
      <c r="C2" s="18" t="s">
        <v>178</v>
      </c>
      <c r="D2" s="18" t="s">
        <v>179</v>
      </c>
      <c r="E2" s="18" t="s">
        <v>180</v>
      </c>
      <c r="F2" s="18" t="s">
        <v>181</v>
      </c>
      <c r="G2" s="18" t="s">
        <v>182</v>
      </c>
      <c r="H2" s="18" t="s">
        <v>408</v>
      </c>
    </row>
    <row r="3" spans="1:8" x14ac:dyDescent="0.25">
      <c r="A3" s="3" t="s">
        <v>320</v>
      </c>
      <c r="B3" s="46">
        <f>'Emissão Maq e Equip'!N18</f>
        <v>0.14074383263863854</v>
      </c>
      <c r="C3" s="46">
        <f>'Emissão Maq e Equip'!O18</f>
        <v>0.14074383263863854</v>
      </c>
      <c r="D3" s="46">
        <f>'Emissão Maq e Equip'!P18</f>
        <v>0.14074383263863854</v>
      </c>
      <c r="E3" s="46">
        <f>'Emissão Maq e Equip'!Q18</f>
        <v>2.8127321182625202</v>
      </c>
      <c r="F3" s="46">
        <f>'Emissão Maq e Equip'!R18</f>
        <v>2.4970740262014652E-3</v>
      </c>
      <c r="G3" s="46">
        <f>'Emissão Maq e Equip'!S18</f>
        <v>1.129634512312115</v>
      </c>
      <c r="H3" s="46">
        <f>'Emissão Maq e Equip'!T18</f>
        <v>0.33082002932661864</v>
      </c>
    </row>
    <row r="4" spans="1:8" x14ac:dyDescent="0.25">
      <c r="A4" s="3" t="s">
        <v>315</v>
      </c>
      <c r="B4" s="46">
        <f>'Emissão Maq Aeródromo'!O19</f>
        <v>0.12801222274014029</v>
      </c>
      <c r="C4" s="46">
        <f>'Emissão Maq Aeródromo'!P19</f>
        <v>0.12801222274014029</v>
      </c>
      <c r="D4" s="46">
        <f>'Emissão Maq Aeródromo'!Q19</f>
        <v>0.12801222274014029</v>
      </c>
      <c r="E4" s="46">
        <f>'Emissão Maq Aeródromo'!R19</f>
        <v>1.505917394252783</v>
      </c>
      <c r="F4" s="46">
        <f>'Emissão Maq Aeródromo'!S19</f>
        <v>1.3622011966652155E-3</v>
      </c>
      <c r="G4" s="46">
        <f>'Emissão Maq Aeródromo'!T19</f>
        <v>0.79006983111713958</v>
      </c>
      <c r="H4" s="46">
        <f>'Emissão Maq Aeródromo'!U19</f>
        <v>0.25008491201498767</v>
      </c>
    </row>
    <row r="5" spans="1:8" x14ac:dyDescent="0.25">
      <c r="A5" s="3" t="s">
        <v>198</v>
      </c>
      <c r="B5" s="46" t="s">
        <v>184</v>
      </c>
      <c r="C5" s="46" t="s">
        <v>184</v>
      </c>
      <c r="D5" s="46" t="s">
        <v>184</v>
      </c>
      <c r="E5" s="46">
        <f>'Emissão Aeródromo'!N8</f>
        <v>18.036529680365298</v>
      </c>
      <c r="F5" s="46">
        <f>'Emissão Aeródromo'!P8</f>
        <v>0.91324200913242004</v>
      </c>
      <c r="G5" s="46">
        <f>'Emissão Aeródromo'!R8</f>
        <v>10.273972602739725</v>
      </c>
      <c r="H5" s="46">
        <f>'Emissão Aeródromo'!T8</f>
        <v>1.0273972602739725</v>
      </c>
    </row>
    <row r="6" spans="1:8" x14ac:dyDescent="0.25">
      <c r="A6" s="3" t="s">
        <v>319</v>
      </c>
      <c r="B6" s="46">
        <v>11.630035902586632</v>
      </c>
      <c r="C6" s="46">
        <v>5.8150179512933162</v>
      </c>
      <c r="D6" s="46">
        <v>0.87225269269399741</v>
      </c>
      <c r="E6" s="46" t="s">
        <v>184</v>
      </c>
      <c r="F6" s="46" t="s">
        <v>184</v>
      </c>
      <c r="G6" s="46" t="s">
        <v>184</v>
      </c>
      <c r="H6" s="46" t="s">
        <v>184</v>
      </c>
    </row>
    <row r="7" spans="1:8" x14ac:dyDescent="0.25">
      <c r="A7" s="3" t="s">
        <v>318</v>
      </c>
      <c r="B7" s="46">
        <f>'Emissão Vias '!Y14</f>
        <v>4.7426222642555711</v>
      </c>
      <c r="C7" s="46">
        <f>'Emissão Vias '!Z14</f>
        <v>1.3558321357776546</v>
      </c>
      <c r="D7" s="46">
        <f>'Emissão Vias '!AA14</f>
        <v>0.13654540040580276</v>
      </c>
      <c r="E7" s="46">
        <f>'Emissão Vias '!AB14</f>
        <v>3.3219423060854576E-2</v>
      </c>
      <c r="F7" s="46">
        <f>'Emissão Vias '!AC14</f>
        <v>1.2856262617706215E-3</v>
      </c>
      <c r="G7" s="46">
        <f>'Emissão Vias '!AD14</f>
        <v>6.3472376501573311E-3</v>
      </c>
      <c r="H7" s="46">
        <f>'Emissão Vias '!AE14</f>
        <v>1.5138861339319815E-3</v>
      </c>
    </row>
    <row r="8" spans="1:8" x14ac:dyDescent="0.25">
      <c r="A8" s="3" t="s">
        <v>317</v>
      </c>
      <c r="B8" s="46">
        <f>'Emissão Transferências'!M10</f>
        <v>2.9756462083150963E-2</v>
      </c>
      <c r="C8" s="46">
        <f>'Emissão Transferências'!N10</f>
        <v>1.4074002336625455E-2</v>
      </c>
      <c r="D8" s="46">
        <f>'Emissão Transferências'!O10</f>
        <v>2.1312060681175689E-3</v>
      </c>
      <c r="E8" s="46" t="s">
        <v>184</v>
      </c>
      <c r="F8" s="46" t="s">
        <v>184</v>
      </c>
      <c r="G8" s="46" t="s">
        <v>184</v>
      </c>
      <c r="H8" s="46" t="s">
        <v>184</v>
      </c>
    </row>
    <row r="9" spans="1:8" x14ac:dyDescent="0.25">
      <c r="A9" s="3" t="s">
        <v>316</v>
      </c>
      <c r="B9" s="46">
        <f>'Emissão Compactação'!N9</f>
        <v>0.82614289028829446</v>
      </c>
      <c r="C9" s="46">
        <f>'Emissão Compactação'!O9</f>
        <v>0.1617000771577006</v>
      </c>
      <c r="D9" s="46">
        <f>'Emissão Compactação'!P9</f>
        <v>8.6745003480270894E-2</v>
      </c>
      <c r="E9" s="46" t="s">
        <v>184</v>
      </c>
      <c r="F9" s="46" t="s">
        <v>184</v>
      </c>
      <c r="G9" s="46" t="s">
        <v>184</v>
      </c>
      <c r="H9" s="46" t="s">
        <v>184</v>
      </c>
    </row>
    <row r="10" spans="1:8" x14ac:dyDescent="0.25">
      <c r="A10" s="85" t="s">
        <v>49</v>
      </c>
      <c r="B10" s="21">
        <f>SUM(B3:B9)</f>
        <v>17.497313574592425</v>
      </c>
      <c r="C10" s="21">
        <f>SUM(C3:C9)</f>
        <v>7.6153802219440747</v>
      </c>
      <c r="D10" s="21">
        <f>SUM(D3:D9)</f>
        <v>1.3664303580269674</v>
      </c>
      <c r="E10" s="21">
        <f t="shared" ref="E10:H10" si="0">SUM(E3:E9)</f>
        <v>22.388398615941455</v>
      </c>
      <c r="F10" s="21">
        <f t="shared" si="0"/>
        <v>0.91838691061705735</v>
      </c>
      <c r="G10" s="21">
        <f t="shared" si="0"/>
        <v>12.200024183819137</v>
      </c>
      <c r="H10" s="21">
        <f t="shared" si="0"/>
        <v>1.6098160877495107</v>
      </c>
    </row>
    <row r="12" spans="1:8" x14ac:dyDescent="0.25">
      <c r="A12" s="3" t="s">
        <v>422</v>
      </c>
    </row>
  </sheetData>
  <sheetProtection algorithmName="SHA-512" hashValue="/hnn4K0J5CWNMm7ge3FbX8lK9PKcEjrb1MBX7AmwcH/fOG8sJnG0l5qhL1SEYsjs7FwwR5omQfNvF16/wP95AA==" saltValue="06R+jOXqGrbnyCHcKSGm4A==" spinCount="100000" sheet="1" objects="1" scenarios="1"/>
  <mergeCells count="2">
    <mergeCell ref="A1:A2"/>
    <mergeCell ref="B1:H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workbookViewId="0">
      <selection activeCell="H24" sqref="H24"/>
    </sheetView>
  </sheetViews>
  <sheetFormatPr defaultRowHeight="15" x14ac:dyDescent="0.25"/>
  <cols>
    <col min="1" max="4" width="13.42578125" customWidth="1"/>
    <col min="6" max="6" width="10.5703125" customWidth="1"/>
    <col min="7" max="7" width="14" customWidth="1"/>
    <col min="8" max="8" width="18.140625" customWidth="1"/>
    <col min="9" max="9" width="11.28515625" bestFit="1" customWidth="1"/>
    <col min="10" max="10" width="11.5703125" bestFit="1" customWidth="1"/>
  </cols>
  <sheetData>
    <row r="1" spans="1:10" x14ac:dyDescent="0.25">
      <c r="A1" s="3" t="s">
        <v>417</v>
      </c>
      <c r="B1" s="3"/>
      <c r="C1" s="3"/>
      <c r="D1" s="3"/>
    </row>
    <row r="2" spans="1:10" ht="26.25" customHeight="1" x14ac:dyDescent="0.25">
      <c r="A2" s="174" t="s">
        <v>205</v>
      </c>
      <c r="B2" s="174"/>
      <c r="C2" s="174"/>
      <c r="D2" s="174"/>
    </row>
    <row r="3" spans="1:10" x14ac:dyDescent="0.25">
      <c r="A3" s="175" t="s">
        <v>211</v>
      </c>
      <c r="B3" s="175"/>
      <c r="C3" s="175"/>
      <c r="D3" s="175"/>
      <c r="F3" s="173" t="s">
        <v>204</v>
      </c>
      <c r="G3" s="173"/>
      <c r="H3" s="173"/>
      <c r="I3" s="173"/>
      <c r="J3" s="173"/>
    </row>
    <row r="4" spans="1:10" ht="22.5" x14ac:dyDescent="0.25">
      <c r="A4" s="176" t="s">
        <v>213</v>
      </c>
      <c r="B4" s="176" t="s">
        <v>214</v>
      </c>
      <c r="C4" s="176"/>
      <c r="D4" s="176"/>
      <c r="F4" s="4" t="s">
        <v>206</v>
      </c>
      <c r="G4" s="34" t="s">
        <v>207</v>
      </c>
      <c r="H4" s="34" t="s">
        <v>208</v>
      </c>
      <c r="I4" s="4" t="s">
        <v>209</v>
      </c>
      <c r="J4" s="4" t="s">
        <v>210</v>
      </c>
    </row>
    <row r="5" spans="1:10" x14ac:dyDescent="0.25">
      <c r="A5" s="176"/>
      <c r="B5" s="37" t="s">
        <v>216</v>
      </c>
      <c r="C5" s="37" t="s">
        <v>217</v>
      </c>
      <c r="D5" s="37" t="s">
        <v>218</v>
      </c>
      <c r="F5" s="35" t="s">
        <v>212</v>
      </c>
      <c r="G5" s="35">
        <v>0</v>
      </c>
      <c r="H5" s="35">
        <v>0</v>
      </c>
      <c r="I5" s="35">
        <v>31</v>
      </c>
      <c r="J5" s="36">
        <f>(I5-H5)/I5</f>
        <v>1</v>
      </c>
    </row>
    <row r="6" spans="1:10" x14ac:dyDescent="0.25">
      <c r="A6" s="38" t="s">
        <v>220</v>
      </c>
      <c r="B6" s="38">
        <v>0.15</v>
      </c>
      <c r="C6" s="38">
        <v>1.5</v>
      </c>
      <c r="D6" s="38">
        <v>4.9000000000000004</v>
      </c>
      <c r="F6" s="35" t="s">
        <v>215</v>
      </c>
      <c r="G6" s="35">
        <v>52</v>
      </c>
      <c r="H6" s="35">
        <v>7</v>
      </c>
      <c r="I6" s="35">
        <v>28</v>
      </c>
      <c r="J6" s="36">
        <f t="shared" ref="J6:J16" si="0">(I6-H6)/I6</f>
        <v>0.75</v>
      </c>
    </row>
    <row r="7" spans="1:10" x14ac:dyDescent="0.25">
      <c r="A7" s="38" t="s">
        <v>222</v>
      </c>
      <c r="B7" s="38">
        <v>0.9</v>
      </c>
      <c r="C7" s="38">
        <v>0.9</v>
      </c>
      <c r="D7" s="38">
        <v>0.7</v>
      </c>
      <c r="F7" s="35" t="s">
        <v>219</v>
      </c>
      <c r="G7" s="35">
        <v>69</v>
      </c>
      <c r="H7" s="35">
        <v>7</v>
      </c>
      <c r="I7" s="35">
        <v>31</v>
      </c>
      <c r="J7" s="36">
        <f t="shared" si="0"/>
        <v>0.77419354838709675</v>
      </c>
    </row>
    <row r="8" spans="1:10" x14ac:dyDescent="0.25">
      <c r="A8" s="38" t="s">
        <v>224</v>
      </c>
      <c r="B8" s="38">
        <v>0.45</v>
      </c>
      <c r="C8" s="38">
        <v>0.45</v>
      </c>
      <c r="D8" s="38">
        <v>0.45</v>
      </c>
      <c r="F8" s="35" t="s">
        <v>221</v>
      </c>
      <c r="G8" s="35">
        <v>44</v>
      </c>
      <c r="H8" s="35">
        <v>8</v>
      </c>
      <c r="I8" s="35">
        <v>30</v>
      </c>
      <c r="J8" s="36">
        <f t="shared" si="0"/>
        <v>0.73333333333333328</v>
      </c>
    </row>
    <row r="9" spans="1:10" x14ac:dyDescent="0.25">
      <c r="A9" s="38" t="s">
        <v>226</v>
      </c>
      <c r="B9" s="39">
        <v>281.89999999999998</v>
      </c>
      <c r="C9" s="38" t="s">
        <v>227</v>
      </c>
      <c r="D9" s="38"/>
      <c r="F9" s="35" t="s">
        <v>223</v>
      </c>
      <c r="G9" s="35">
        <v>185.8</v>
      </c>
      <c r="H9" s="35">
        <v>16</v>
      </c>
      <c r="I9" s="35">
        <v>31</v>
      </c>
      <c r="J9" s="36">
        <f t="shared" si="0"/>
        <v>0.4838709677419355</v>
      </c>
    </row>
    <row r="10" spans="1:10" x14ac:dyDescent="0.25">
      <c r="A10" s="176" t="s">
        <v>229</v>
      </c>
      <c r="B10" s="176"/>
      <c r="C10" s="176"/>
      <c r="D10" s="176"/>
      <c r="F10" s="35" t="s">
        <v>225</v>
      </c>
      <c r="G10" s="35">
        <v>119.2</v>
      </c>
      <c r="H10" s="35">
        <v>9</v>
      </c>
      <c r="I10" s="35">
        <v>30</v>
      </c>
      <c r="J10" s="36">
        <f t="shared" si="0"/>
        <v>0.7</v>
      </c>
    </row>
    <row r="11" spans="1:10" x14ac:dyDescent="0.25">
      <c r="A11" s="176"/>
      <c r="B11" s="176"/>
      <c r="C11" s="176"/>
      <c r="D11" s="176"/>
      <c r="F11" s="35" t="s">
        <v>228</v>
      </c>
      <c r="G11" s="35">
        <v>17.8</v>
      </c>
      <c r="H11" s="35">
        <v>6</v>
      </c>
      <c r="I11" s="35">
        <v>31</v>
      </c>
      <c r="J11" s="36">
        <f t="shared" si="0"/>
        <v>0.80645161290322576</v>
      </c>
    </row>
    <row r="12" spans="1:10" ht="15" customHeight="1" x14ac:dyDescent="0.25">
      <c r="A12" s="176"/>
      <c r="B12" s="177" t="s">
        <v>232</v>
      </c>
      <c r="C12" s="177"/>
      <c r="D12" s="177"/>
      <c r="F12" s="35" t="s">
        <v>230</v>
      </c>
      <c r="G12" s="35">
        <v>70.2</v>
      </c>
      <c r="H12" s="35">
        <v>11</v>
      </c>
      <c r="I12" s="35">
        <v>31</v>
      </c>
      <c r="J12" s="36">
        <f t="shared" si="0"/>
        <v>0.64516129032258063</v>
      </c>
    </row>
    <row r="13" spans="1:10" x14ac:dyDescent="0.25">
      <c r="A13" s="176"/>
      <c r="B13" s="177"/>
      <c r="C13" s="177"/>
      <c r="D13" s="177"/>
      <c r="F13" s="35" t="s">
        <v>231</v>
      </c>
      <c r="G13" s="35">
        <v>25.2</v>
      </c>
      <c r="H13" s="35">
        <v>7</v>
      </c>
      <c r="I13" s="35">
        <v>30</v>
      </c>
      <c r="J13" s="36">
        <f t="shared" si="0"/>
        <v>0.76666666666666672</v>
      </c>
    </row>
    <row r="14" spans="1:10" x14ac:dyDescent="0.25">
      <c r="A14" s="176"/>
      <c r="B14" s="177"/>
      <c r="C14" s="177"/>
      <c r="D14" s="177"/>
      <c r="F14" s="35" t="s">
        <v>233</v>
      </c>
      <c r="G14" s="35">
        <v>54.4</v>
      </c>
      <c r="H14" s="35">
        <v>6</v>
      </c>
      <c r="I14" s="35">
        <v>31</v>
      </c>
      <c r="J14" s="36">
        <f t="shared" si="0"/>
        <v>0.80645161290322576</v>
      </c>
    </row>
    <row r="15" spans="1:10" x14ac:dyDescent="0.25">
      <c r="A15" s="176"/>
      <c r="B15" s="177"/>
      <c r="C15" s="177"/>
      <c r="D15" s="177"/>
      <c r="F15" s="35" t="s">
        <v>234</v>
      </c>
      <c r="G15" s="40">
        <v>48.6</v>
      </c>
      <c r="H15" s="35">
        <v>9</v>
      </c>
      <c r="I15" s="35">
        <v>30</v>
      </c>
      <c r="J15" s="36">
        <f t="shared" si="0"/>
        <v>0.7</v>
      </c>
    </row>
    <row r="16" spans="1:10" x14ac:dyDescent="0.25">
      <c r="A16" s="176"/>
      <c r="B16" s="177"/>
      <c r="C16" s="177"/>
      <c r="D16" s="177"/>
      <c r="F16" s="35" t="s">
        <v>235</v>
      </c>
      <c r="G16" s="35">
        <v>91.4</v>
      </c>
      <c r="H16" s="35">
        <v>6</v>
      </c>
      <c r="I16" s="35">
        <v>31</v>
      </c>
      <c r="J16" s="36">
        <f t="shared" si="0"/>
        <v>0.80645161290322576</v>
      </c>
    </row>
    <row r="17" spans="1:8" x14ac:dyDescent="0.25">
      <c r="A17" s="176"/>
      <c r="B17" s="177"/>
      <c r="C17" s="177"/>
      <c r="D17" s="177"/>
      <c r="F17" s="41" t="s">
        <v>236</v>
      </c>
      <c r="G17" s="29">
        <f>(365-SUM(H5:H16))/365</f>
        <v>0.74794520547945209</v>
      </c>
    </row>
    <row r="19" spans="1:8" x14ac:dyDescent="0.25">
      <c r="A19" s="173" t="s">
        <v>237</v>
      </c>
      <c r="B19" s="173" t="s">
        <v>238</v>
      </c>
      <c r="C19" s="173"/>
      <c r="D19" s="173"/>
      <c r="E19" s="173"/>
      <c r="F19" s="173"/>
      <c r="G19" s="173"/>
      <c r="H19" s="173"/>
    </row>
    <row r="20" spans="1:8" x14ac:dyDescent="0.25">
      <c r="A20" s="173"/>
      <c r="B20" s="173" t="s">
        <v>239</v>
      </c>
      <c r="C20" s="173"/>
      <c r="D20" s="173"/>
      <c r="E20" s="173"/>
      <c r="F20" s="173"/>
      <c r="G20" s="173"/>
      <c r="H20" s="173"/>
    </row>
    <row r="21" spans="1:8" x14ac:dyDescent="0.25">
      <c r="A21" s="173"/>
      <c r="B21" s="157" t="s">
        <v>177</v>
      </c>
      <c r="C21" s="157" t="s">
        <v>240</v>
      </c>
      <c r="D21" s="157" t="s">
        <v>241</v>
      </c>
      <c r="E21" s="157" t="s">
        <v>242</v>
      </c>
      <c r="F21" s="157" t="s">
        <v>243</v>
      </c>
      <c r="G21" s="157" t="s">
        <v>182</v>
      </c>
      <c r="H21" s="157" t="s">
        <v>244</v>
      </c>
    </row>
    <row r="22" spans="1:8" x14ac:dyDescent="0.25">
      <c r="A22" s="158" t="s">
        <v>245</v>
      </c>
      <c r="B22" s="160">
        <v>0.17489827604766656</v>
      </c>
      <c r="C22" s="160">
        <v>0.17489827604766656</v>
      </c>
      <c r="D22" s="160">
        <v>0.17489827604766656</v>
      </c>
      <c r="E22" s="160">
        <v>5.4345140567386743</v>
      </c>
      <c r="F22" s="160">
        <v>0.21032135261668511</v>
      </c>
      <c r="G22" s="160">
        <v>1.0383730075038093</v>
      </c>
      <c r="H22" s="160">
        <v>0.24766340643796464</v>
      </c>
    </row>
  </sheetData>
  <sheetProtection algorithmName="SHA-512" hashValue="Y0voKb0Wo1h3KaR3eEzFIqnupXZKmLUMezsAMg7czpL5XDHOI8XCnvdHfoOzefq98czrYOImZVaa6nBWH0J9hg==" saltValue="bPARPdbsut0/q3/ojnkKqg==" spinCount="100000" sheet="1" objects="1" scenarios="1"/>
  <mergeCells count="11">
    <mergeCell ref="A19:A21"/>
    <mergeCell ref="B19:H19"/>
    <mergeCell ref="B20:H20"/>
    <mergeCell ref="F3:J3"/>
    <mergeCell ref="A2:D2"/>
    <mergeCell ref="A3:D3"/>
    <mergeCell ref="A4:A5"/>
    <mergeCell ref="B4:D4"/>
    <mergeCell ref="A10:A17"/>
    <mergeCell ref="B10:D11"/>
    <mergeCell ref="B12:D1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4"/>
  <sheetViews>
    <sheetView workbookViewId="0">
      <selection activeCell="E22" sqref="E22:E23"/>
    </sheetView>
  </sheetViews>
  <sheetFormatPr defaultRowHeight="15" x14ac:dyDescent="0.25"/>
  <cols>
    <col min="1" max="1" width="27.5703125" customWidth="1"/>
    <col min="2" max="2" width="14.140625" customWidth="1"/>
    <col min="3" max="3" width="13.5703125" customWidth="1"/>
  </cols>
  <sheetData>
    <row r="1" spans="1:4" x14ac:dyDescent="0.25">
      <c r="A1" s="182" t="s">
        <v>346</v>
      </c>
      <c r="B1" s="183"/>
      <c r="C1" s="183"/>
      <c r="D1" s="183"/>
    </row>
    <row r="2" spans="1:4" x14ac:dyDescent="0.25">
      <c r="A2" s="170" t="s">
        <v>322</v>
      </c>
      <c r="B2" s="171"/>
      <c r="C2" s="171"/>
      <c r="D2" s="172"/>
    </row>
    <row r="3" spans="1:4" x14ac:dyDescent="0.25">
      <c r="A3" s="178" t="s">
        <v>177</v>
      </c>
      <c r="B3" s="168"/>
      <c r="C3" s="168"/>
      <c r="D3" s="168"/>
    </row>
    <row r="4" spans="1:4" x14ac:dyDescent="0.25">
      <c r="A4" s="184"/>
      <c r="B4" s="168"/>
      <c r="C4" s="168"/>
      <c r="D4" s="168"/>
    </row>
    <row r="5" spans="1:4" x14ac:dyDescent="0.25">
      <c r="A5" s="178" t="s">
        <v>323</v>
      </c>
      <c r="B5" s="168"/>
      <c r="C5" s="168"/>
      <c r="D5" s="168"/>
    </row>
    <row r="6" spans="1:4" x14ac:dyDescent="0.25">
      <c r="A6" s="179"/>
      <c r="B6" s="168"/>
      <c r="C6" s="168"/>
      <c r="D6" s="168"/>
    </row>
    <row r="7" spans="1:4" x14ac:dyDescent="0.25">
      <c r="A7" s="178" t="s">
        <v>324</v>
      </c>
      <c r="B7" s="180"/>
      <c r="C7" s="180"/>
      <c r="D7" s="180"/>
    </row>
    <row r="8" spans="1:4" x14ac:dyDescent="0.25">
      <c r="A8" s="179"/>
      <c r="B8" s="180"/>
      <c r="C8" s="180"/>
      <c r="D8" s="180"/>
    </row>
    <row r="9" spans="1:4" x14ac:dyDescent="0.25">
      <c r="A9" s="181" t="s">
        <v>325</v>
      </c>
      <c r="B9" s="181"/>
      <c r="C9" s="181"/>
      <c r="D9" s="181"/>
    </row>
    <row r="10" spans="1:4" x14ac:dyDescent="0.25">
      <c r="A10" s="181"/>
      <c r="B10" s="181"/>
      <c r="C10" s="181"/>
      <c r="D10" s="181"/>
    </row>
    <row r="11" spans="1:4" x14ac:dyDescent="0.25">
      <c r="A11" s="181"/>
      <c r="B11" s="181"/>
      <c r="C11" s="181"/>
      <c r="D11" s="181"/>
    </row>
    <row r="12" spans="1:4" x14ac:dyDescent="0.25">
      <c r="A12" s="181"/>
      <c r="B12" s="181"/>
      <c r="C12" s="181"/>
      <c r="D12" s="181"/>
    </row>
    <row r="14" spans="1:4" x14ac:dyDescent="0.25">
      <c r="A14" s="3" t="s">
        <v>344</v>
      </c>
      <c r="B14" s="15"/>
    </row>
  </sheetData>
  <sheetProtection algorithmName="SHA-512" hashValue="vcHuCE/Gl0st22qzONbgmwQNQtskviRKzJAvy6I/SjU30oUty4Cbn5j5w2ZxemiMQpDeCBb7p3kM2tEU61Di0w==" saltValue="ELpWrdep2VH+TV7sTfcm9A==" spinCount="100000" sheet="1" objects="1" scenarios="1"/>
  <mergeCells count="9">
    <mergeCell ref="A7:A8"/>
    <mergeCell ref="B7:D8"/>
    <mergeCell ref="A9:D12"/>
    <mergeCell ref="A1:D1"/>
    <mergeCell ref="A2:D2"/>
    <mergeCell ref="A3:A4"/>
    <mergeCell ref="B3:D4"/>
    <mergeCell ref="A5:A6"/>
    <mergeCell ref="B5:D6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65"/>
  <sheetViews>
    <sheetView zoomScaleNormal="100" workbookViewId="0">
      <selection activeCell="A65" sqref="A64:A65"/>
    </sheetView>
  </sheetViews>
  <sheetFormatPr defaultRowHeight="15" x14ac:dyDescent="0.25"/>
  <cols>
    <col min="1" max="1" width="19.42578125" bestFit="1" customWidth="1"/>
    <col min="2" max="2" width="24.7109375" bestFit="1" customWidth="1"/>
    <col min="3" max="4" width="9.42578125" bestFit="1" customWidth="1"/>
    <col min="5" max="5" width="10.42578125" bestFit="1" customWidth="1"/>
    <col min="6" max="7" width="9.42578125" bestFit="1" customWidth="1"/>
    <col min="8" max="8" width="10.7109375" bestFit="1" customWidth="1"/>
    <col min="9" max="9" width="9.42578125" bestFit="1" customWidth="1"/>
    <col min="11" max="11" width="12.7109375" bestFit="1" customWidth="1"/>
  </cols>
  <sheetData>
    <row r="1" spans="1:19" x14ac:dyDescent="0.25">
      <c r="A1" s="3" t="s">
        <v>345</v>
      </c>
    </row>
    <row r="2" spans="1:19" x14ac:dyDescent="0.25">
      <c r="A2" s="4" t="s">
        <v>117</v>
      </c>
      <c r="B2" s="4" t="s">
        <v>118</v>
      </c>
      <c r="C2" s="4" t="s">
        <v>119</v>
      </c>
      <c r="D2" s="4" t="s">
        <v>120</v>
      </c>
      <c r="E2" s="4" t="s">
        <v>121</v>
      </c>
      <c r="F2" s="4" t="s">
        <v>122</v>
      </c>
      <c r="G2" s="4" t="s">
        <v>123</v>
      </c>
      <c r="H2" s="4" t="s">
        <v>124</v>
      </c>
      <c r="I2" s="4" t="s">
        <v>125</v>
      </c>
    </row>
    <row r="3" spans="1:19" s="6" customFormat="1" x14ac:dyDescent="0.25">
      <c r="A3" s="185" t="s">
        <v>126</v>
      </c>
      <c r="B3" s="2" t="s">
        <v>127</v>
      </c>
      <c r="C3" s="5">
        <v>3.9890165496478201E-3</v>
      </c>
      <c r="D3" s="5">
        <v>6.1369251319822266E-2</v>
      </c>
      <c r="E3" s="5">
        <v>9.4616446621996876E-5</v>
      </c>
      <c r="F3" s="5">
        <v>3.0704922620167548E-2</v>
      </c>
      <c r="G3" s="5">
        <v>9.325230578523698E-3</v>
      </c>
      <c r="H3" s="5">
        <v>7.4570981157761267</v>
      </c>
      <c r="I3" s="5">
        <v>8.4140057334345904E-4</v>
      </c>
      <c r="O3"/>
      <c r="P3"/>
    </row>
    <row r="4" spans="1:19" s="6" customFormat="1" x14ac:dyDescent="0.25">
      <c r="A4" s="186"/>
      <c r="B4" s="2" t="s">
        <v>128</v>
      </c>
      <c r="C4" s="5">
        <v>1.5482138027073926E-2</v>
      </c>
      <c r="D4" s="5">
        <v>0.12602279653815557</v>
      </c>
      <c r="E4" s="5">
        <v>1.4669823419588148E-4</v>
      </c>
      <c r="F4" s="5">
        <v>0.15992567973540345</v>
      </c>
      <c r="G4" s="5">
        <v>6.8514240153494874E-2</v>
      </c>
      <c r="H4" s="5">
        <v>11.347760681124397</v>
      </c>
      <c r="I4" s="5">
        <v>6.1819292303150449E-3</v>
      </c>
      <c r="L4" s="7"/>
      <c r="M4" s="8"/>
      <c r="N4" s="8"/>
      <c r="O4"/>
      <c r="P4"/>
      <c r="Q4" s="8"/>
      <c r="R4" s="8"/>
      <c r="S4" s="8"/>
    </row>
    <row r="5" spans="1:19" s="6" customFormat="1" x14ac:dyDescent="0.25">
      <c r="A5" s="186"/>
      <c r="B5" s="2" t="s">
        <v>129</v>
      </c>
      <c r="C5" s="5">
        <v>4.3689955953397884E-2</v>
      </c>
      <c r="D5" s="5">
        <v>0.46744735992116221</v>
      </c>
      <c r="E5" s="5">
        <v>3.9173850602458582E-4</v>
      </c>
      <c r="F5" s="5">
        <v>0.24966648844319658</v>
      </c>
      <c r="G5" s="5">
        <v>8.1017998911048009E-2</v>
      </c>
      <c r="H5" s="5">
        <v>33.394826528703661</v>
      </c>
      <c r="I5" s="5">
        <v>7.3101241308548672E-3</v>
      </c>
      <c r="L5" s="7"/>
      <c r="M5" s="8"/>
      <c r="N5" s="8"/>
      <c r="O5"/>
      <c r="P5"/>
      <c r="Q5" s="8"/>
      <c r="R5" s="8"/>
      <c r="S5" s="8"/>
    </row>
    <row r="6" spans="1:19" s="6" customFormat="1" x14ac:dyDescent="0.25">
      <c r="A6" s="186"/>
      <c r="B6" s="2" t="s">
        <v>130</v>
      </c>
      <c r="C6" s="5">
        <v>3.6023154684608628E-2</v>
      </c>
      <c r="D6" s="5">
        <v>0.63034815463312366</v>
      </c>
      <c r="E6" s="5">
        <v>5.7274397999067218E-4</v>
      </c>
      <c r="F6" s="5">
        <v>0.30652652990664653</v>
      </c>
      <c r="G6" s="5">
        <v>8.1297557226803041E-2</v>
      </c>
      <c r="H6" s="5">
        <v>50.902804870404331</v>
      </c>
      <c r="I6" s="5">
        <v>7.3353490732738606E-3</v>
      </c>
      <c r="L6" s="9"/>
      <c r="M6" s="9"/>
      <c r="N6" s="9"/>
      <c r="O6"/>
      <c r="P6"/>
      <c r="Q6" s="9"/>
      <c r="R6" s="9"/>
      <c r="S6" s="9"/>
    </row>
    <row r="7" spans="1:19" s="6" customFormat="1" x14ac:dyDescent="0.25">
      <c r="A7" s="186"/>
      <c r="B7" s="2" t="s">
        <v>131</v>
      </c>
      <c r="C7" s="5">
        <v>2.9088427954342536E-2</v>
      </c>
      <c r="D7" s="5">
        <v>0.84182054273419638</v>
      </c>
      <c r="E7" s="5">
        <v>8.0986730271663749E-4</v>
      </c>
      <c r="F7" s="5">
        <v>0.21055843242538708</v>
      </c>
      <c r="G7" s="5">
        <v>7.8277754706101627E-2</v>
      </c>
      <c r="H7" s="5">
        <v>71.977225347554125</v>
      </c>
      <c r="I7" s="5">
        <v>7.0628741220007361E-3</v>
      </c>
      <c r="L7" s="9"/>
      <c r="M7" s="9"/>
      <c r="N7" s="9"/>
      <c r="O7"/>
      <c r="P7"/>
      <c r="Q7" s="9"/>
      <c r="R7" s="9"/>
      <c r="S7" s="9"/>
    </row>
    <row r="8" spans="1:19" s="6" customFormat="1" x14ac:dyDescent="0.25">
      <c r="A8" s="186"/>
      <c r="B8" s="2" t="s">
        <v>132</v>
      </c>
      <c r="C8" s="10">
        <v>3.8897927506608358E-2</v>
      </c>
      <c r="D8" s="10">
        <v>1.0799749312549003</v>
      </c>
      <c r="E8" s="10">
        <v>1.0406255490298018E-3</v>
      </c>
      <c r="F8" s="10">
        <v>0.34712417522482392</v>
      </c>
      <c r="G8" s="10">
        <v>0.1040828387327908</v>
      </c>
      <c r="H8" s="10">
        <v>106.02050023214386</v>
      </c>
      <c r="I8" s="10">
        <v>9.3912260611923714E-3</v>
      </c>
      <c r="L8" s="9"/>
      <c r="M8" s="9"/>
      <c r="N8" s="9"/>
      <c r="O8"/>
      <c r="P8"/>
      <c r="Q8" s="9"/>
      <c r="R8" s="9"/>
      <c r="S8" s="9"/>
    </row>
    <row r="9" spans="1:19" s="6" customFormat="1" x14ac:dyDescent="0.25">
      <c r="A9" s="187"/>
      <c r="B9" s="2" t="s">
        <v>133</v>
      </c>
      <c r="C9" s="10">
        <v>6.5509575064624348E-2</v>
      </c>
      <c r="D9" s="10">
        <v>1.848764979398662</v>
      </c>
      <c r="E9" s="10">
        <v>1.7668986494167919E-3</v>
      </c>
      <c r="F9" s="10">
        <v>0.57357271429451673</v>
      </c>
      <c r="G9" s="10">
        <v>0.17421540945270575</v>
      </c>
      <c r="H9" s="10">
        <v>175.7281803441501</v>
      </c>
      <c r="I9" s="10">
        <v>1.5719177508701557E-2</v>
      </c>
      <c r="L9" s="9"/>
      <c r="M9" s="9"/>
      <c r="N9" s="9"/>
      <c r="O9"/>
      <c r="P9"/>
      <c r="Q9" s="9"/>
      <c r="R9" s="9"/>
      <c r="S9" s="9"/>
    </row>
    <row r="10" spans="1:19" x14ac:dyDescent="0.25">
      <c r="A10" s="188" t="s">
        <v>134</v>
      </c>
      <c r="B10" s="11" t="s">
        <v>135</v>
      </c>
      <c r="C10" s="5">
        <v>4.1647481574952775E-3</v>
      </c>
      <c r="D10" s="5">
        <v>6.5318933034944765E-2</v>
      </c>
      <c r="E10" s="5">
        <v>9.7431139391112798E-5</v>
      </c>
      <c r="F10" s="5">
        <v>3.2117661168667613E-2</v>
      </c>
      <c r="G10" s="5">
        <v>1.0013560541894806E-2</v>
      </c>
      <c r="H10" s="5">
        <v>7.6789363702976381</v>
      </c>
      <c r="I10" s="5">
        <v>9.0350737078986789E-4</v>
      </c>
      <c r="J10" s="8"/>
      <c r="K10" s="8"/>
      <c r="L10" s="12"/>
      <c r="M10" s="9"/>
      <c r="N10" s="9"/>
      <c r="Q10" s="9"/>
      <c r="R10" s="9"/>
      <c r="S10" s="9"/>
    </row>
    <row r="11" spans="1:19" x14ac:dyDescent="0.25">
      <c r="A11" s="189"/>
      <c r="B11" s="11" t="s">
        <v>136</v>
      </c>
      <c r="C11" s="5">
        <v>1.9389461005136124E-2</v>
      </c>
      <c r="D11" s="5">
        <v>0.15850781980120351</v>
      </c>
      <c r="E11" s="5">
        <v>1.8265581631205882E-4</v>
      </c>
      <c r="F11" s="5">
        <v>0.19953638186759515</v>
      </c>
      <c r="G11" s="5">
        <v>8.7889870552575564E-2</v>
      </c>
      <c r="H11" s="5">
        <v>14.129238189499569</v>
      </c>
      <c r="I11" s="5">
        <v>7.9301638618412291E-3</v>
      </c>
      <c r="L11" s="9"/>
      <c r="M11" s="9"/>
      <c r="N11" s="9"/>
      <c r="Q11" s="9"/>
      <c r="R11" s="9"/>
      <c r="S11" s="9"/>
    </row>
    <row r="12" spans="1:19" x14ac:dyDescent="0.25">
      <c r="A12" s="189"/>
      <c r="B12" s="11" t="s">
        <v>137</v>
      </c>
      <c r="C12" s="5">
        <v>3.5159649405128737E-2</v>
      </c>
      <c r="D12" s="5">
        <v>0.39013010201093185</v>
      </c>
      <c r="E12" s="5">
        <v>3.1347091665644508E-4</v>
      </c>
      <c r="F12" s="5">
        <v>0.2004419223709539</v>
      </c>
      <c r="G12" s="5">
        <v>6.7138814469940591E-2</v>
      </c>
      <c r="H12" s="5">
        <v>26.722695910514073</v>
      </c>
      <c r="I12" s="5">
        <v>6.0578280967871325E-3</v>
      </c>
      <c r="L12" s="9"/>
      <c r="M12" s="9"/>
      <c r="N12" s="9"/>
      <c r="Q12" s="9"/>
      <c r="R12" s="9"/>
      <c r="S12" s="9"/>
    </row>
    <row r="13" spans="1:19" x14ac:dyDescent="0.25">
      <c r="A13" s="189"/>
      <c r="B13" s="11" t="s">
        <v>138</v>
      </c>
      <c r="C13" s="5">
        <v>3.4873730864910753E-2</v>
      </c>
      <c r="D13" s="5">
        <v>0.62819014565488085</v>
      </c>
      <c r="E13" s="5">
        <v>5.4259968788077681E-4</v>
      </c>
      <c r="F13" s="5">
        <v>0.29143683660988179</v>
      </c>
      <c r="G13" s="5">
        <v>7.9806989940830519E-2</v>
      </c>
      <c r="H13" s="5">
        <v>48.223729179933819</v>
      </c>
      <c r="I13" s="5">
        <v>7.2008552575325378E-3</v>
      </c>
      <c r="L13" s="9"/>
      <c r="M13" s="9"/>
      <c r="N13" s="9"/>
      <c r="Q13" s="9"/>
      <c r="R13" s="9"/>
      <c r="S13" s="9"/>
    </row>
    <row r="14" spans="1:19" x14ac:dyDescent="0.25">
      <c r="A14" s="189"/>
      <c r="B14" s="11" t="s">
        <v>139</v>
      </c>
      <c r="C14" s="10">
        <v>3.101083119228833E-2</v>
      </c>
      <c r="D14" s="10">
        <v>0.83698143551687265</v>
      </c>
      <c r="E14" s="10">
        <v>7.6033040375300068E-4</v>
      </c>
      <c r="F14" s="10">
        <v>0.22495851814724077</v>
      </c>
      <c r="G14" s="10">
        <v>8.0781384871570633E-2</v>
      </c>
      <c r="H14" s="10">
        <v>67.57462749683539</v>
      </c>
      <c r="I14" s="10">
        <v>7.2887737155482657E-3</v>
      </c>
      <c r="L14" s="9"/>
      <c r="M14" s="9"/>
      <c r="N14" s="9"/>
      <c r="Q14" s="9"/>
      <c r="R14" s="9"/>
      <c r="S14" s="9"/>
    </row>
    <row r="15" spans="1:19" x14ac:dyDescent="0.25">
      <c r="A15" s="189"/>
      <c r="B15" s="11" t="s">
        <v>140</v>
      </c>
      <c r="C15" s="10">
        <v>4.4312637095619792E-2</v>
      </c>
      <c r="D15" s="10">
        <v>1.1811178567160983</v>
      </c>
      <c r="E15" s="10">
        <v>1.0551972934755545E-3</v>
      </c>
      <c r="F15" s="10">
        <v>0.44023160723795168</v>
      </c>
      <c r="G15" s="10">
        <v>0.11468313954524458</v>
      </c>
      <c r="H15" s="10">
        <v>107.50511325477065</v>
      </c>
      <c r="I15" s="10">
        <v>1.0347677695252593E-2</v>
      </c>
    </row>
    <row r="16" spans="1:19" x14ac:dyDescent="0.25">
      <c r="A16" s="189"/>
      <c r="B16" s="11" t="s">
        <v>141</v>
      </c>
      <c r="C16" s="10">
        <v>9.1699292295937748E-2</v>
      </c>
      <c r="D16" s="10">
        <v>2.4816495823931239</v>
      </c>
      <c r="E16" s="10">
        <v>2.2143711863278365E-3</v>
      </c>
      <c r="F16" s="10">
        <v>0.8977989810489746</v>
      </c>
      <c r="G16" s="10">
        <v>0.2376690359121682</v>
      </c>
      <c r="H16" s="10">
        <v>220.23193257962103</v>
      </c>
      <c r="I16" s="10">
        <v>2.1444490325478866E-2</v>
      </c>
    </row>
    <row r="17" spans="1:11" x14ac:dyDescent="0.25">
      <c r="A17" s="189"/>
      <c r="B17" s="11" t="s">
        <v>142</v>
      </c>
      <c r="C17" s="10">
        <v>0.11281698418835924</v>
      </c>
      <c r="D17" s="10">
        <v>3.6320533542247149</v>
      </c>
      <c r="E17" s="10">
        <v>2.708513011176045E-3</v>
      </c>
      <c r="F17" s="10">
        <v>1.2834306373108464</v>
      </c>
      <c r="G17" s="10">
        <v>0.33188731556128104</v>
      </c>
      <c r="H17" s="10">
        <v>269.37717766866973</v>
      </c>
      <c r="I17" s="10">
        <v>2.9945664738985911E-2</v>
      </c>
    </row>
    <row r="18" spans="1:11" ht="15" customHeight="1" x14ac:dyDescent="0.25">
      <c r="A18" s="188" t="s">
        <v>110</v>
      </c>
      <c r="B18" s="15" t="s">
        <v>111</v>
      </c>
      <c r="C18" s="16">
        <v>1.7293805866209693E-2</v>
      </c>
      <c r="D18" s="16">
        <v>0.14064469057785822</v>
      </c>
      <c r="E18" s="16">
        <v>1.6147831631212864E-4</v>
      </c>
      <c r="F18" s="16">
        <v>0.17819459307817639</v>
      </c>
      <c r="G18" s="10">
        <v>7.8597656557779436E-2</v>
      </c>
      <c r="H18" s="10">
        <v>12.491067288379856</v>
      </c>
      <c r="I18" s="10">
        <v>7.0917403683841557E-3</v>
      </c>
    </row>
    <row r="19" spans="1:11" x14ac:dyDescent="0.25">
      <c r="A19" s="189"/>
      <c r="B19" s="15" t="s">
        <v>112</v>
      </c>
      <c r="C19" s="16">
        <v>4.517300131682412E-2</v>
      </c>
      <c r="D19" s="16">
        <v>0.50006444196109068</v>
      </c>
      <c r="E19" s="16">
        <v>3.9887801750396949E-4</v>
      </c>
      <c r="F19" s="16">
        <v>0.25660255764958401</v>
      </c>
      <c r="G19" s="10">
        <v>8.6290660711401568E-2</v>
      </c>
      <c r="H19" s="10">
        <v>34.003465233847685</v>
      </c>
      <c r="I19" s="10">
        <v>7.7858684299028039E-3</v>
      </c>
    </row>
    <row r="20" spans="1:11" x14ac:dyDescent="0.25">
      <c r="A20" s="189"/>
      <c r="B20" s="15" t="s">
        <v>113</v>
      </c>
      <c r="C20" s="16">
        <v>4.1133851253363274E-2</v>
      </c>
      <c r="D20" s="16">
        <v>0.73743613111810991</v>
      </c>
      <c r="E20" s="16">
        <v>6.3245652808831298E-4</v>
      </c>
      <c r="F20" s="16">
        <v>0.34201904518939646</v>
      </c>
      <c r="G20" s="10">
        <v>9.4025823002404793E-2</v>
      </c>
      <c r="H20" s="10">
        <v>56.209793771564719</v>
      </c>
      <c r="I20" s="10">
        <v>8.4838005739341135E-3</v>
      </c>
    </row>
    <row r="21" spans="1:11" x14ac:dyDescent="0.25">
      <c r="A21" s="189"/>
      <c r="B21" s="15" t="s">
        <v>114</v>
      </c>
      <c r="C21" s="16">
        <v>3.6405856222956591E-2</v>
      </c>
      <c r="D21" s="16">
        <v>0.97442063105723431</v>
      </c>
      <c r="E21" s="16">
        <v>8.7841235908159884E-4</v>
      </c>
      <c r="F21" s="16">
        <v>0.26343529859170484</v>
      </c>
      <c r="G21" s="10">
        <v>9.4727400227117536E-2</v>
      </c>
      <c r="H21" s="10">
        <v>78.069179465417093</v>
      </c>
      <c r="I21" s="10">
        <v>8.5471010964626986E-3</v>
      </c>
    </row>
    <row r="22" spans="1:11" x14ac:dyDescent="0.25">
      <c r="A22" s="189"/>
      <c r="B22" s="15" t="s">
        <v>115</v>
      </c>
      <c r="C22" s="16">
        <v>4.3563042920389761E-2</v>
      </c>
      <c r="D22" s="16">
        <v>1.1527690945813167</v>
      </c>
      <c r="E22" s="16">
        <v>1.0216994191013589E-3</v>
      </c>
      <c r="F22" s="16">
        <v>0.43873428460684394</v>
      </c>
      <c r="G22" s="10">
        <v>0.11281438267627451</v>
      </c>
      <c r="H22" s="10">
        <v>104.0922153955068</v>
      </c>
      <c r="I22" s="10">
        <v>1.0179059295530011E-2</v>
      </c>
    </row>
    <row r="23" spans="1:11" x14ac:dyDescent="0.25">
      <c r="A23" s="189"/>
      <c r="B23" s="15" t="s">
        <v>116</v>
      </c>
      <c r="C23" s="16">
        <v>9.3107744298034881E-2</v>
      </c>
      <c r="D23" s="16">
        <v>2.5014593305616182</v>
      </c>
      <c r="E23" s="16">
        <v>2.2153423218588346E-3</v>
      </c>
      <c r="F23" s="16">
        <v>0.92416323989491289</v>
      </c>
      <c r="G23" s="10">
        <v>0.24129632760036349</v>
      </c>
      <c r="H23" s="10">
        <v>220.32845417968701</v>
      </c>
      <c r="I23" s="10">
        <v>2.177177353318499E-2</v>
      </c>
    </row>
    <row r="24" spans="1:11" x14ac:dyDescent="0.25">
      <c r="A24" s="189" t="s">
        <v>147</v>
      </c>
      <c r="B24" s="14" t="s">
        <v>148</v>
      </c>
      <c r="C24" s="10">
        <v>4.2993799041926711E-3</v>
      </c>
      <c r="D24" s="10">
        <v>6.5440289132956825E-2</v>
      </c>
      <c r="E24" s="10">
        <v>9.1296592193091332E-5</v>
      </c>
      <c r="F24" s="10">
        <v>3.3633509942077471E-2</v>
      </c>
      <c r="G24" s="10">
        <v>1.1508485911818236E-2</v>
      </c>
      <c r="H24" s="10">
        <v>7.1954483850413915</v>
      </c>
      <c r="I24" s="10">
        <v>1.0383921111938525E-3</v>
      </c>
      <c r="K24" s="13"/>
    </row>
    <row r="25" spans="1:11" x14ac:dyDescent="0.25">
      <c r="A25" s="189"/>
      <c r="B25" s="14" t="s">
        <v>149</v>
      </c>
      <c r="C25" s="10">
        <v>1.7631358511479581E-2</v>
      </c>
      <c r="D25" s="10">
        <v>0.14903238250667758</v>
      </c>
      <c r="E25" s="10">
        <v>1.7794975038828265E-4</v>
      </c>
      <c r="F25" s="10">
        <v>0.18074283872717251</v>
      </c>
      <c r="G25" s="10">
        <v>7.6387016452257483E-2</v>
      </c>
      <c r="H25" s="10">
        <v>13.76520334369236</v>
      </c>
      <c r="I25" s="10">
        <v>6.8922783063073137E-3</v>
      </c>
    </row>
    <row r="26" spans="1:11" x14ac:dyDescent="0.25">
      <c r="A26" s="189"/>
      <c r="B26" s="14" t="s">
        <v>150</v>
      </c>
      <c r="C26" s="10">
        <v>2.8793655488323529E-2</v>
      </c>
      <c r="D26" s="10">
        <v>0.31658028839538099</v>
      </c>
      <c r="E26" s="10">
        <v>2.7523798360286437E-4</v>
      </c>
      <c r="F26" s="10">
        <v>0.1700059255667182</v>
      </c>
      <c r="G26" s="10">
        <v>5.3477532985904644E-2</v>
      </c>
      <c r="H26" s="10">
        <v>23.463418200709462</v>
      </c>
      <c r="I26" s="10">
        <v>4.8251907166579257E-3</v>
      </c>
    </row>
    <row r="27" spans="1:11" x14ac:dyDescent="0.25">
      <c r="A27" s="189"/>
      <c r="B27" s="14" t="s">
        <v>151</v>
      </c>
      <c r="C27" s="10">
        <v>3.0494186982476291E-2</v>
      </c>
      <c r="D27" s="10">
        <v>0.54817627070056141</v>
      </c>
      <c r="E27" s="10">
        <v>5.1744728478251136E-4</v>
      </c>
      <c r="F27" s="10">
        <v>0.26843458796213893</v>
      </c>
      <c r="G27" s="10">
        <v>6.8627539491954881E-2</v>
      </c>
      <c r="H27" s="10">
        <v>45.988295551139728</v>
      </c>
      <c r="I27" s="10">
        <v>6.1921516315141352E-3</v>
      </c>
    </row>
    <row r="28" spans="1:11" x14ac:dyDescent="0.25">
      <c r="A28" s="189"/>
      <c r="B28" s="14" t="s">
        <v>152</v>
      </c>
      <c r="C28" s="10">
        <v>2.9155253425145213E-2</v>
      </c>
      <c r="D28" s="10">
        <v>0.87589188757724734</v>
      </c>
      <c r="E28" s="10">
        <v>8.7649223561064675E-4</v>
      </c>
      <c r="F28" s="10">
        <v>0.21389105427558991</v>
      </c>
      <c r="G28" s="10">
        <v>7.7732208449766999E-2</v>
      </c>
      <c r="H28" s="10">
        <v>77.8985510740942</v>
      </c>
      <c r="I28" s="10">
        <v>7.0136532927874019E-3</v>
      </c>
    </row>
    <row r="29" spans="1:11" x14ac:dyDescent="0.25">
      <c r="A29" s="189"/>
      <c r="B29" s="14" t="s">
        <v>153</v>
      </c>
      <c r="C29" s="10">
        <v>5.3371339046329104E-2</v>
      </c>
      <c r="D29" s="10">
        <v>1.5318509433408045</v>
      </c>
      <c r="E29" s="10">
        <v>1.7600242801699612E-3</v>
      </c>
      <c r="F29" s="10">
        <v>0.4661958986283859</v>
      </c>
      <c r="G29" s="10">
        <v>0.13941748462093068</v>
      </c>
      <c r="H29" s="10">
        <v>156.42277258813226</v>
      </c>
      <c r="I29" s="10">
        <v>1.2579415973929685E-2</v>
      </c>
    </row>
    <row r="30" spans="1:11" x14ac:dyDescent="0.25">
      <c r="A30" s="189"/>
      <c r="B30" s="14" t="s">
        <v>154</v>
      </c>
      <c r="C30" s="10">
        <v>8.1348675299048601E-2</v>
      </c>
      <c r="D30" s="10">
        <v>2.3755791915327618</v>
      </c>
      <c r="E30" s="10">
        <v>2.6400371913497286E-3</v>
      </c>
      <c r="F30" s="10">
        <v>0.69718176828863765</v>
      </c>
      <c r="G30" s="10">
        <v>0.21267820994758979</v>
      </c>
      <c r="H30" s="10">
        <v>234.6341911864601</v>
      </c>
      <c r="I30" s="10">
        <v>1.91896162755213E-2</v>
      </c>
    </row>
    <row r="31" spans="1:11" x14ac:dyDescent="0.25">
      <c r="A31" s="189" t="s">
        <v>155</v>
      </c>
      <c r="B31" s="14" t="s">
        <v>157</v>
      </c>
      <c r="C31" s="10">
        <v>1.575656241016136E-3</v>
      </c>
      <c r="D31" s="10">
        <v>2.1846605540300799E-2</v>
      </c>
      <c r="E31" s="10">
        <v>4.4609974958892901E-5</v>
      </c>
      <c r="F31" s="10">
        <v>1.7504496292878136E-2</v>
      </c>
      <c r="G31" s="10">
        <v>3.4285838670847224E-3</v>
      </c>
      <c r="H31" s="10">
        <v>2.8668023122440145</v>
      </c>
      <c r="I31" s="10">
        <v>3.0935558237281098E-4</v>
      </c>
    </row>
    <row r="32" spans="1:11" x14ac:dyDescent="0.25">
      <c r="A32" s="189"/>
      <c r="B32" s="14" t="s">
        <v>158</v>
      </c>
      <c r="C32" s="10">
        <v>3.3711557269744314E-3</v>
      </c>
      <c r="D32" s="10">
        <v>5.2864204950609055E-2</v>
      </c>
      <c r="E32" s="10">
        <v>7.679016531526819E-5</v>
      </c>
      <c r="F32" s="10">
        <v>2.6089756757555312E-2</v>
      </c>
      <c r="G32" s="10">
        <v>8.3913229499695697E-3</v>
      </c>
      <c r="H32" s="10">
        <v>6.0521378037306066</v>
      </c>
      <c r="I32" s="10">
        <v>7.5713559332462167E-4</v>
      </c>
      <c r="K32" s="13"/>
    </row>
    <row r="33" spans="1:12" x14ac:dyDescent="0.25">
      <c r="A33" s="189"/>
      <c r="B33" s="14" t="s">
        <v>159</v>
      </c>
      <c r="C33" s="10">
        <v>1.5314149787679587E-2</v>
      </c>
      <c r="D33" s="10">
        <v>0.13083637818230451</v>
      </c>
      <c r="E33" s="10">
        <v>1.5236020639047766E-4</v>
      </c>
      <c r="F33" s="10">
        <v>0.15585956634855813</v>
      </c>
      <c r="G33" s="10">
        <v>6.8957054462389311E-2</v>
      </c>
      <c r="H33" s="10">
        <v>11.785741113743034</v>
      </c>
      <c r="I33" s="10">
        <v>6.2218838410590628E-3</v>
      </c>
    </row>
    <row r="34" spans="1:12" x14ac:dyDescent="0.25">
      <c r="A34" s="189"/>
      <c r="B34" s="14" t="s">
        <v>160</v>
      </c>
      <c r="C34" s="10">
        <v>3.3309935982535011E-2</v>
      </c>
      <c r="D34" s="10">
        <v>0.39234610723281199</v>
      </c>
      <c r="E34" s="10">
        <v>3.1387121104473639E-4</v>
      </c>
      <c r="F34" s="10">
        <v>0.19623905859425336</v>
      </c>
      <c r="G34" s="10">
        <v>6.5780792944078362E-2</v>
      </c>
      <c r="H34" s="10">
        <v>26.756830209850694</v>
      </c>
      <c r="I34" s="10">
        <v>5.9352964777756468E-3</v>
      </c>
    </row>
    <row r="35" spans="1:12" x14ac:dyDescent="0.25">
      <c r="A35" s="189"/>
      <c r="B35" s="14" t="s">
        <v>161</v>
      </c>
      <c r="C35" s="10">
        <v>3.3912807797719428E-2</v>
      </c>
      <c r="D35" s="10">
        <v>0.64385126444989804</v>
      </c>
      <c r="E35" s="10">
        <v>5.5194373792824309E-4</v>
      </c>
      <c r="F35" s="10">
        <v>0.29023161304287465</v>
      </c>
      <c r="G35" s="10">
        <v>7.9307095273692785E-2</v>
      </c>
      <c r="H35" s="10">
        <v>49.054187561748243</v>
      </c>
      <c r="I35" s="10">
        <v>7.1557539248494071E-3</v>
      </c>
    </row>
    <row r="36" spans="1:12" x14ac:dyDescent="0.25">
      <c r="A36" s="189"/>
      <c r="B36" s="14" t="s">
        <v>162</v>
      </c>
      <c r="C36" s="10">
        <v>3.3086194221094795E-2</v>
      </c>
      <c r="D36" s="10">
        <v>0.87061844820994538</v>
      </c>
      <c r="E36" s="10">
        <v>7.8132260330237332E-4</v>
      </c>
      <c r="F36" s="10">
        <v>0.24453664250809209</v>
      </c>
      <c r="G36" s="10">
        <v>8.4698408626282556E-2</v>
      </c>
      <c r="H36" s="10">
        <v>69.440315698640944</v>
      </c>
      <c r="I36" s="10">
        <v>7.6422003970791769E-3</v>
      </c>
    </row>
    <row r="37" spans="1:12" x14ac:dyDescent="0.25">
      <c r="A37" s="189"/>
      <c r="B37" s="14" t="s">
        <v>163</v>
      </c>
      <c r="C37" s="10">
        <v>4.2320122053026682E-2</v>
      </c>
      <c r="D37" s="10">
        <v>1.1225867247273824</v>
      </c>
      <c r="E37" s="10">
        <v>9.7547160970829448E-4</v>
      </c>
      <c r="F37" s="10">
        <v>0.45433497663964162</v>
      </c>
      <c r="G37" s="10">
        <v>0.1077108189625333</v>
      </c>
      <c r="H37" s="10">
        <v>99.382477485218516</v>
      </c>
      <c r="I37" s="10">
        <v>9.7185757267647908E-3</v>
      </c>
    </row>
    <row r="38" spans="1:12" x14ac:dyDescent="0.25">
      <c r="A38" s="189" t="s">
        <v>156</v>
      </c>
      <c r="B38" s="14" t="s">
        <v>164</v>
      </c>
      <c r="C38" s="10">
        <v>1.6685344341441255E-2</v>
      </c>
      <c r="D38" s="10">
        <v>0.13141957562206166</v>
      </c>
      <c r="E38" s="10">
        <v>1.4588936090667877E-4</v>
      </c>
      <c r="F38" s="10">
        <v>0.17293178432562875</v>
      </c>
      <c r="G38" s="10">
        <v>7.8343728303411103E-2</v>
      </c>
      <c r="H38" s="10">
        <v>11.285189785681288</v>
      </c>
      <c r="I38" s="10">
        <v>7.0688331786443502E-3</v>
      </c>
    </row>
    <row r="39" spans="1:12" x14ac:dyDescent="0.25">
      <c r="A39" s="189"/>
      <c r="B39" s="14" t="s">
        <v>165</v>
      </c>
      <c r="C39" s="10">
        <v>4.2682051972913831E-2</v>
      </c>
      <c r="D39" s="10">
        <v>0.47805176720589693</v>
      </c>
      <c r="E39" s="10">
        <v>3.5016924589573596E-4</v>
      </c>
      <c r="F39" s="10">
        <v>0.23666018647367493</v>
      </c>
      <c r="G39" s="10">
        <v>8.3656281211262368E-2</v>
      </c>
      <c r="H39" s="10">
        <v>29.851158708847787</v>
      </c>
      <c r="I39" s="10">
        <v>7.5481717345406386E-3</v>
      </c>
      <c r="L39" s="13"/>
    </row>
    <row r="40" spans="1:12" x14ac:dyDescent="0.25">
      <c r="A40" s="189"/>
      <c r="B40" s="14" t="s">
        <v>166</v>
      </c>
      <c r="C40" s="10">
        <v>4.4401235069067839E-2</v>
      </c>
      <c r="D40" s="10">
        <v>0.78775936009992464</v>
      </c>
      <c r="E40" s="10">
        <v>6.1850438977116952E-4</v>
      </c>
      <c r="F40" s="10">
        <v>0.35443648699060287</v>
      </c>
      <c r="G40" s="10">
        <v>0.10233313533498303</v>
      </c>
      <c r="H40" s="10">
        <v>54.969812392918911</v>
      </c>
      <c r="I40" s="10">
        <v>9.2333566669744113E-3</v>
      </c>
    </row>
    <row r="41" spans="1:12" x14ac:dyDescent="0.25">
      <c r="A41" s="189"/>
      <c r="B41" s="14" t="s">
        <v>167</v>
      </c>
      <c r="C41" s="10">
        <v>4.2283206527599426E-2</v>
      </c>
      <c r="D41" s="10">
        <v>1.0352810333331539</v>
      </c>
      <c r="E41" s="10">
        <v>8.4788367287406919E-4</v>
      </c>
      <c r="F41" s="10">
        <v>0.30421833804757625</v>
      </c>
      <c r="G41" s="10">
        <v>0.10821566630408518</v>
      </c>
      <c r="H41" s="10">
        <v>75.35595800394583</v>
      </c>
      <c r="I41" s="10">
        <v>9.7641254620883695E-3</v>
      </c>
    </row>
    <row r="42" spans="1:12" x14ac:dyDescent="0.25">
      <c r="A42" s="189"/>
      <c r="B42" s="14" t="s">
        <v>168</v>
      </c>
      <c r="C42" s="10">
        <v>5.8471393844333593E-2</v>
      </c>
      <c r="D42" s="10">
        <v>1.4504044752796337</v>
      </c>
      <c r="E42" s="10">
        <v>1.1541289752949587E-3</v>
      </c>
      <c r="F42" s="10">
        <v>0.69236889624711362</v>
      </c>
      <c r="G42" s="10">
        <v>0.15079545254235013</v>
      </c>
      <c r="H42" s="10">
        <v>117.58443658781738</v>
      </c>
      <c r="I42" s="10">
        <v>1.3606035201313564E-2</v>
      </c>
    </row>
    <row r="43" spans="1:12" x14ac:dyDescent="0.25">
      <c r="A43" s="189"/>
      <c r="B43" s="14" t="s">
        <v>169</v>
      </c>
      <c r="C43" s="10">
        <v>0.10542678137303056</v>
      </c>
      <c r="D43" s="10">
        <v>2.6493344288937148</v>
      </c>
      <c r="E43" s="10">
        <v>2.1193175400435979E-3</v>
      </c>
      <c r="F43" s="10">
        <v>1.2334403465393207</v>
      </c>
      <c r="G43" s="10">
        <v>0.27162136378281504</v>
      </c>
      <c r="H43" s="10">
        <v>210.77827129180866</v>
      </c>
      <c r="I43" s="10">
        <v>2.4507960110773393E-2</v>
      </c>
    </row>
    <row r="44" spans="1:12" x14ac:dyDescent="0.25">
      <c r="A44" s="189"/>
      <c r="B44" s="14" t="s">
        <v>170</v>
      </c>
      <c r="C44" s="10">
        <v>0.14691184381350442</v>
      </c>
      <c r="D44" s="10">
        <v>4.3328309237297162</v>
      </c>
      <c r="E44" s="10">
        <v>3.0014495695396453E-3</v>
      </c>
      <c r="F44" s="10">
        <v>1.9431480425491361</v>
      </c>
      <c r="G44" s="10">
        <v>0.42061236372464678</v>
      </c>
      <c r="H44" s="10">
        <v>298.51145987955562</v>
      </c>
      <c r="I44" s="10">
        <v>3.7951172158729528E-2</v>
      </c>
    </row>
    <row r="45" spans="1:12" ht="22.5" customHeight="1" x14ac:dyDescent="0.25">
      <c r="A45" s="189" t="s">
        <v>305</v>
      </c>
      <c r="B45" s="14" t="s">
        <v>306</v>
      </c>
      <c r="C45" s="10">
        <v>3.6926586109254163E-3</v>
      </c>
      <c r="D45" s="10">
        <v>5.7937772552941018E-2</v>
      </c>
      <c r="E45" s="10">
        <v>7.2048640935790199E-5</v>
      </c>
      <c r="F45" s="10">
        <v>3.4523800879687649E-2</v>
      </c>
      <c r="G45" s="10">
        <v>8.9842024576061875E-3</v>
      </c>
      <c r="H45" s="10">
        <v>4.6301124316761149</v>
      </c>
      <c r="I45" s="10">
        <v>8.1063027231851909E-4</v>
      </c>
    </row>
    <row r="46" spans="1:12" x14ac:dyDescent="0.25">
      <c r="A46" s="189"/>
      <c r="B46" s="14" t="s">
        <v>307</v>
      </c>
      <c r="C46" s="10">
        <v>5.5940656147336013E-3</v>
      </c>
      <c r="D46" s="10">
        <v>8.1560538851923686E-2</v>
      </c>
      <c r="E46" s="10">
        <v>1.0147273728395267E-4</v>
      </c>
      <c r="F46" s="10">
        <v>5.1706480349411402E-2</v>
      </c>
      <c r="G46" s="10">
        <v>1.5841309640340459E-2</v>
      </c>
      <c r="H46" s="10">
        <v>7.9974693211122325</v>
      </c>
      <c r="I46" s="10">
        <v>1.4293359979540479E-3</v>
      </c>
    </row>
    <row r="47" spans="1:12" x14ac:dyDescent="0.25">
      <c r="A47" s="189"/>
      <c r="B47" s="14" t="s">
        <v>308</v>
      </c>
      <c r="C47" s="10">
        <v>1.4432743203978821E-2</v>
      </c>
      <c r="D47" s="10">
        <v>0.14500783648732038</v>
      </c>
      <c r="E47" s="10">
        <v>1.7956747788923846E-4</v>
      </c>
      <c r="F47" s="10">
        <v>0.13953156388481713</v>
      </c>
      <c r="G47" s="10">
        <v>5.8675793269661713E-2</v>
      </c>
      <c r="H47" s="10">
        <v>13.89034298293819</v>
      </c>
      <c r="I47" s="10">
        <v>5.2942217122732673E-3</v>
      </c>
    </row>
    <row r="48" spans="1:12" x14ac:dyDescent="0.25">
      <c r="A48" s="189"/>
      <c r="B48" s="14" t="s">
        <v>309</v>
      </c>
      <c r="C48" s="10">
        <v>3.5898749736246127E-2</v>
      </c>
      <c r="D48" s="10">
        <v>0.46892281022269755</v>
      </c>
      <c r="E48" s="10">
        <v>4.1475845626583413E-4</v>
      </c>
      <c r="F48" s="10">
        <v>0.235207374494215</v>
      </c>
      <c r="G48" s="10">
        <v>7.4307665174849463E-2</v>
      </c>
      <c r="H48" s="10">
        <v>35.357232282344391</v>
      </c>
      <c r="I48" s="10">
        <v>6.7046630974162283E-3</v>
      </c>
    </row>
    <row r="49" spans="1:9" x14ac:dyDescent="0.25">
      <c r="A49" s="189"/>
      <c r="B49" s="14" t="s">
        <v>310</v>
      </c>
      <c r="C49" s="10">
        <v>3.6057784581995191E-2</v>
      </c>
      <c r="D49" s="10">
        <v>0.76831078984527268</v>
      </c>
      <c r="E49" s="10">
        <v>7.2461811703888694E-4</v>
      </c>
      <c r="F49" s="10">
        <v>0.34330722173093348</v>
      </c>
      <c r="G49" s="10">
        <v>8.8189498683242745E-2</v>
      </c>
      <c r="H49" s="10">
        <v>64.400690772830671</v>
      </c>
      <c r="I49" s="10">
        <v>7.9571946421710827E-3</v>
      </c>
    </row>
    <row r="50" spans="1:9" x14ac:dyDescent="0.25">
      <c r="A50" s="189"/>
      <c r="B50" s="14" t="s">
        <v>311</v>
      </c>
      <c r="C50" s="10">
        <v>3.3436740783689509E-2</v>
      </c>
      <c r="D50" s="10">
        <v>1.0814770363023385</v>
      </c>
      <c r="E50" s="10">
        <v>1.0845591122180037E-3</v>
      </c>
      <c r="F50" s="10">
        <v>0.27096859384387478</v>
      </c>
      <c r="G50" s="10">
        <v>8.9893356403287938E-2</v>
      </c>
      <c r="H50" s="10">
        <v>96.390560235532888</v>
      </c>
      <c r="I50" s="10">
        <v>8.110932439281333E-3</v>
      </c>
    </row>
    <row r="51" spans="1:9" x14ac:dyDescent="0.25">
      <c r="A51" s="189"/>
      <c r="B51" s="14" t="s">
        <v>312</v>
      </c>
      <c r="C51" s="10">
        <v>4.916725602102065E-2</v>
      </c>
      <c r="D51" s="10">
        <v>1.5753556063595919</v>
      </c>
      <c r="E51" s="10">
        <v>1.4997207603602326E-3</v>
      </c>
      <c r="F51" s="10">
        <v>0.50851425898669189</v>
      </c>
      <c r="G51" s="10">
        <v>0.12811176426802257</v>
      </c>
      <c r="H51" s="10">
        <v>152.79377629778219</v>
      </c>
      <c r="I51" s="10">
        <v>1.1559315917913546E-2</v>
      </c>
    </row>
    <row r="52" spans="1:9" x14ac:dyDescent="0.25">
      <c r="A52" s="189"/>
      <c r="B52" s="14" t="s">
        <v>313</v>
      </c>
      <c r="C52" s="10">
        <v>8.0331006988652476E-2</v>
      </c>
      <c r="D52" s="10">
        <v>2.6031456524944865</v>
      </c>
      <c r="E52" s="10">
        <v>2.4800862896320634E-3</v>
      </c>
      <c r="F52" s="10">
        <v>0.82090718167955035</v>
      </c>
      <c r="G52" s="10">
        <v>0.2129801427792555</v>
      </c>
      <c r="H52" s="10">
        <v>246.6587713724044</v>
      </c>
      <c r="I52" s="10">
        <v>1.9216857867893854E-2</v>
      </c>
    </row>
    <row r="53" spans="1:9" x14ac:dyDescent="0.25">
      <c r="A53" s="189"/>
      <c r="B53" s="14" t="s">
        <v>314</v>
      </c>
      <c r="C53" s="10">
        <v>0.18827430617415003</v>
      </c>
      <c r="D53" s="10">
        <v>6.0139017101255101</v>
      </c>
      <c r="E53" s="10">
        <v>4.7824190387846122E-3</v>
      </c>
      <c r="F53" s="10">
        <v>1.9992551729580048</v>
      </c>
      <c r="G53" s="10">
        <v>0.54198223605522999</v>
      </c>
      <c r="H53" s="10">
        <v>475.63882978010457</v>
      </c>
      <c r="I53" s="10">
        <v>4.8902166684796682E-2</v>
      </c>
    </row>
    <row r="54" spans="1:9" x14ac:dyDescent="0.25">
      <c r="A54" s="59"/>
      <c r="B54" s="14"/>
      <c r="C54" s="10"/>
      <c r="D54" s="10"/>
      <c r="E54" s="10"/>
      <c r="F54" s="10"/>
      <c r="G54" s="10"/>
      <c r="H54" s="10"/>
      <c r="I54" s="10"/>
    </row>
    <row r="56" spans="1:9" x14ac:dyDescent="0.25">
      <c r="A56" s="190" t="s">
        <v>143</v>
      </c>
      <c r="B56" s="193"/>
      <c r="C56" s="194"/>
      <c r="D56" s="194"/>
      <c r="E56" s="195"/>
    </row>
    <row r="57" spans="1:9" x14ac:dyDescent="0.25">
      <c r="A57" s="191"/>
      <c r="B57" s="196"/>
      <c r="C57" s="197"/>
      <c r="D57" s="197"/>
      <c r="E57" s="198"/>
    </row>
    <row r="58" spans="1:9" x14ac:dyDescent="0.25">
      <c r="A58" s="191"/>
      <c r="B58" s="199"/>
      <c r="C58" s="200"/>
      <c r="D58" s="200"/>
      <c r="E58" s="201"/>
    </row>
    <row r="59" spans="1:9" x14ac:dyDescent="0.25">
      <c r="A59" s="191"/>
      <c r="B59" s="202" t="s">
        <v>144</v>
      </c>
      <c r="C59" s="203"/>
      <c r="D59" s="203"/>
      <c r="E59" s="204"/>
    </row>
    <row r="60" spans="1:9" x14ac:dyDescent="0.25">
      <c r="A60" s="191"/>
      <c r="B60" s="205"/>
      <c r="C60" s="206"/>
      <c r="D60" s="206"/>
      <c r="E60" s="207"/>
    </row>
    <row r="61" spans="1:9" x14ac:dyDescent="0.25">
      <c r="A61" s="191"/>
      <c r="B61" s="205"/>
      <c r="C61" s="206"/>
      <c r="D61" s="206"/>
      <c r="E61" s="207"/>
    </row>
    <row r="62" spans="1:9" x14ac:dyDescent="0.25">
      <c r="A62" s="192"/>
      <c r="B62" s="208"/>
      <c r="C62" s="209"/>
      <c r="D62" s="209"/>
      <c r="E62" s="210"/>
    </row>
    <row r="64" spans="1:9" x14ac:dyDescent="0.25">
      <c r="A64" s="3" t="s">
        <v>145</v>
      </c>
    </row>
    <row r="65" spans="1:1" x14ac:dyDescent="0.25">
      <c r="A65" s="3" t="s">
        <v>146</v>
      </c>
    </row>
  </sheetData>
  <sheetProtection algorithmName="SHA-512" hashValue="onzpcdI7MWVKhyw6rEG4p9MxlejX7RGrU9V8pulpiOGDW/HX9IXFmZGJvpDlYquitfbxwuC5XskaQbNE11gP1g==" saltValue="JQPy79wauKf9uLmv7EFEvw==" spinCount="100000" sheet="1" objects="1" scenarios="1"/>
  <mergeCells count="10">
    <mergeCell ref="A3:A9"/>
    <mergeCell ref="A10:A17"/>
    <mergeCell ref="A56:A62"/>
    <mergeCell ref="B56:E58"/>
    <mergeCell ref="B59:E62"/>
    <mergeCell ref="A18:A23"/>
    <mergeCell ref="A24:A30"/>
    <mergeCell ref="A31:A37"/>
    <mergeCell ref="A38:A44"/>
    <mergeCell ref="A45:A53"/>
  </mergeCells>
  <pageMargins left="0.511811024" right="0.511811024" top="0.78740157499999996" bottom="0.78740157499999996" header="0.31496062000000002" footer="0.31496062000000002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6"/>
  <sheetViews>
    <sheetView zoomScaleNormal="100" workbookViewId="0">
      <selection activeCell="C29" sqref="C29"/>
    </sheetView>
  </sheetViews>
  <sheetFormatPr defaultRowHeight="11.25" x14ac:dyDescent="0.2"/>
  <cols>
    <col min="1" max="1" width="20.7109375" style="15" customWidth="1"/>
    <col min="2" max="2" width="32.7109375" style="15" customWidth="1"/>
    <col min="3" max="3" width="33.140625" style="15" bestFit="1" customWidth="1"/>
    <col min="4" max="4" width="20.85546875" style="15" bestFit="1" customWidth="1"/>
    <col min="5" max="5" width="23.85546875" style="15" customWidth="1"/>
    <col min="6" max="6" width="14.42578125" style="15" customWidth="1"/>
    <col min="7" max="7" width="18.42578125" style="15" customWidth="1"/>
    <col min="8" max="8" width="24.42578125" style="15" customWidth="1"/>
    <col min="9" max="9" width="64.5703125" style="15" bestFit="1" customWidth="1"/>
    <col min="10" max="10" width="12.85546875" style="15" customWidth="1"/>
    <col min="11" max="11" width="17.7109375" style="15" customWidth="1"/>
    <col min="12" max="12" width="11.140625" style="15" bestFit="1" customWidth="1"/>
    <col min="13" max="13" width="18.85546875" style="15" customWidth="1"/>
    <col min="14" max="14" width="17.7109375" style="15" bestFit="1" customWidth="1"/>
    <col min="15" max="15" width="12.5703125" style="15" bestFit="1" customWidth="1"/>
    <col min="16" max="16" width="9" style="15" bestFit="1" customWidth="1"/>
    <col min="17" max="17" width="16.5703125" style="15" bestFit="1" customWidth="1"/>
    <col min="18" max="18" width="22" style="15" bestFit="1" customWidth="1"/>
    <col min="19" max="20" width="9.140625" style="15"/>
    <col min="21" max="21" width="55.28515625" style="15" customWidth="1"/>
    <col min="22" max="22" width="14" style="15" bestFit="1" customWidth="1"/>
    <col min="23" max="16384" width="9.140625" style="15"/>
  </cols>
  <sheetData>
    <row r="1" spans="1:10" x14ac:dyDescent="0.2">
      <c r="A1" s="3" t="s">
        <v>351</v>
      </c>
      <c r="B1" s="3"/>
      <c r="C1" s="3"/>
      <c r="D1" s="3"/>
      <c r="E1" s="3"/>
      <c r="F1" s="3"/>
      <c r="G1" s="3"/>
      <c r="H1" s="3"/>
      <c r="I1" s="3"/>
      <c r="J1" s="3"/>
    </row>
    <row r="2" spans="1:10" ht="15.75" customHeight="1" thickBot="1" x14ac:dyDescent="0.25">
      <c r="A2" s="214" t="s">
        <v>0</v>
      </c>
      <c r="B2" s="215"/>
      <c r="C2" s="215"/>
      <c r="D2" s="215"/>
      <c r="E2" s="215"/>
      <c r="F2" s="215"/>
      <c r="G2" s="216"/>
      <c r="H2" s="3"/>
      <c r="I2" s="3" t="s">
        <v>350</v>
      </c>
      <c r="J2" s="3"/>
    </row>
    <row r="3" spans="1:10" ht="10.5" customHeight="1" x14ac:dyDescent="0.2">
      <c r="A3" s="217" t="s">
        <v>1</v>
      </c>
      <c r="B3" s="220" t="s">
        <v>2</v>
      </c>
      <c r="C3" s="221"/>
      <c r="D3" s="224" t="s">
        <v>3</v>
      </c>
      <c r="E3" s="224" t="s">
        <v>4</v>
      </c>
      <c r="F3" s="220" t="s">
        <v>5</v>
      </c>
      <c r="G3" s="227"/>
      <c r="H3" s="3"/>
      <c r="I3" s="211" t="s">
        <v>105</v>
      </c>
      <c r="J3" s="211"/>
    </row>
    <row r="4" spans="1:10" ht="14.25" customHeight="1" x14ac:dyDescent="0.2">
      <c r="A4" s="218"/>
      <c r="B4" s="222"/>
      <c r="C4" s="223"/>
      <c r="D4" s="225"/>
      <c r="E4" s="225"/>
      <c r="F4" s="222"/>
      <c r="G4" s="228"/>
      <c r="H4" s="3"/>
      <c r="I4" s="159" t="s">
        <v>108</v>
      </c>
      <c r="J4" s="159" t="s">
        <v>107</v>
      </c>
    </row>
    <row r="5" spans="1:10" ht="23.25" customHeight="1" thickBot="1" x14ac:dyDescent="0.25">
      <c r="A5" s="219"/>
      <c r="B5" s="81" t="s">
        <v>6</v>
      </c>
      <c r="C5" s="81" t="s">
        <v>7</v>
      </c>
      <c r="D5" s="226"/>
      <c r="E5" s="226"/>
      <c r="F5" s="91" t="s">
        <v>8</v>
      </c>
      <c r="G5" s="92" t="s">
        <v>9</v>
      </c>
      <c r="H5" s="3"/>
      <c r="I5" s="134" t="s">
        <v>104</v>
      </c>
      <c r="J5" s="135" t="s">
        <v>409</v>
      </c>
    </row>
    <row r="6" spans="1:10" x14ac:dyDescent="0.2">
      <c r="A6" s="93" t="s">
        <v>352</v>
      </c>
      <c r="B6" s="94">
        <v>1</v>
      </c>
      <c r="C6" s="83" t="s">
        <v>347</v>
      </c>
      <c r="D6" s="83" t="s">
        <v>400</v>
      </c>
      <c r="E6" s="83" t="s">
        <v>381</v>
      </c>
      <c r="F6" s="95">
        <v>766</v>
      </c>
      <c r="G6" s="96"/>
      <c r="H6" s="3"/>
      <c r="I6" s="134" t="s">
        <v>106</v>
      </c>
      <c r="J6" s="135" t="s">
        <v>410</v>
      </c>
    </row>
    <row r="7" spans="1:10" x14ac:dyDescent="0.2">
      <c r="A7" s="93" t="s">
        <v>352</v>
      </c>
      <c r="B7" s="97">
        <v>1</v>
      </c>
      <c r="C7" s="98" t="s">
        <v>348</v>
      </c>
      <c r="D7" s="98" t="s">
        <v>400</v>
      </c>
      <c r="E7" s="83" t="s">
        <v>381</v>
      </c>
      <c r="F7" s="99">
        <v>245</v>
      </c>
      <c r="G7" s="100"/>
      <c r="H7" s="3"/>
      <c r="I7" s="3"/>
      <c r="J7" s="3"/>
    </row>
    <row r="8" spans="1:10" x14ac:dyDescent="0.2">
      <c r="A8" s="93" t="s">
        <v>352</v>
      </c>
      <c r="B8" s="97">
        <v>1</v>
      </c>
      <c r="C8" s="101" t="s">
        <v>361</v>
      </c>
      <c r="D8" s="98">
        <v>4100</v>
      </c>
      <c r="E8" s="98" t="s">
        <v>382</v>
      </c>
      <c r="F8" s="99">
        <v>67</v>
      </c>
      <c r="G8" s="100"/>
      <c r="H8" s="3"/>
    </row>
    <row r="9" spans="1:10" x14ac:dyDescent="0.2">
      <c r="A9" s="93" t="s">
        <v>352</v>
      </c>
      <c r="B9" s="97">
        <v>1</v>
      </c>
      <c r="C9" s="101" t="s">
        <v>349</v>
      </c>
      <c r="D9" s="98" t="s">
        <v>10</v>
      </c>
      <c r="E9" s="98" t="s">
        <v>383</v>
      </c>
      <c r="F9" s="99">
        <v>700</v>
      </c>
      <c r="G9" s="100"/>
      <c r="H9" s="3"/>
      <c r="I9" s="3" t="s">
        <v>418</v>
      </c>
      <c r="J9" s="3"/>
    </row>
    <row r="10" spans="1:10" x14ac:dyDescent="0.2">
      <c r="A10" s="93" t="str">
        <f>Dados!C29</f>
        <v>Trator Valtra</v>
      </c>
      <c r="B10" s="97">
        <v>1</v>
      </c>
      <c r="C10" s="101" t="s">
        <v>362</v>
      </c>
      <c r="D10" s="98" t="s">
        <v>11</v>
      </c>
      <c r="E10" s="98" t="s">
        <v>384</v>
      </c>
      <c r="F10" s="99">
        <v>19600</v>
      </c>
      <c r="G10" s="100"/>
      <c r="H10" s="3"/>
      <c r="I10" s="134" t="s">
        <v>109</v>
      </c>
      <c r="J10" s="161">
        <v>778000</v>
      </c>
    </row>
    <row r="11" spans="1:10" x14ac:dyDescent="0.2">
      <c r="A11" s="93" t="s">
        <v>352</v>
      </c>
      <c r="B11" s="97">
        <v>1</v>
      </c>
      <c r="C11" s="101" t="s">
        <v>363</v>
      </c>
      <c r="D11" s="98" t="s">
        <v>12</v>
      </c>
      <c r="E11" s="98" t="s">
        <v>385</v>
      </c>
      <c r="F11" s="99">
        <v>1010</v>
      </c>
      <c r="G11" s="100"/>
      <c r="H11" s="3"/>
      <c r="I11" s="134" t="s">
        <v>200</v>
      </c>
      <c r="J11" s="135">
        <v>28.17</v>
      </c>
    </row>
    <row r="12" spans="1:10" x14ac:dyDescent="0.2">
      <c r="A12" s="93" t="s">
        <v>352</v>
      </c>
      <c r="B12" s="97">
        <v>1</v>
      </c>
      <c r="C12" s="101" t="s">
        <v>361</v>
      </c>
      <c r="D12" s="98" t="s">
        <v>13</v>
      </c>
      <c r="E12" s="98" t="s">
        <v>68</v>
      </c>
      <c r="F12" s="99">
        <v>1200</v>
      </c>
      <c r="G12" s="100"/>
      <c r="H12" s="3"/>
      <c r="I12" s="134" t="s">
        <v>341</v>
      </c>
      <c r="J12" s="161">
        <v>1425472</v>
      </c>
    </row>
    <row r="13" spans="1:10" x14ac:dyDescent="0.2">
      <c r="A13" s="93" t="s">
        <v>352</v>
      </c>
      <c r="B13" s="97">
        <v>1</v>
      </c>
      <c r="C13" s="101" t="s">
        <v>364</v>
      </c>
      <c r="D13" s="98" t="s">
        <v>14</v>
      </c>
      <c r="E13" s="98" t="s">
        <v>386</v>
      </c>
      <c r="F13" s="99">
        <v>750</v>
      </c>
      <c r="G13" s="100"/>
      <c r="H13" s="3"/>
    </row>
    <row r="14" spans="1:10" x14ac:dyDescent="0.2">
      <c r="A14" s="93" t="s">
        <v>352</v>
      </c>
      <c r="B14" s="97">
        <v>1</v>
      </c>
      <c r="C14" s="101" t="s">
        <v>365</v>
      </c>
      <c r="D14" s="98" t="s">
        <v>16</v>
      </c>
      <c r="E14" s="98" t="s">
        <v>384</v>
      </c>
      <c r="F14" s="99">
        <v>13990</v>
      </c>
      <c r="G14" s="100"/>
      <c r="H14" s="3"/>
    </row>
    <row r="15" spans="1:10" ht="30" customHeight="1" x14ac:dyDescent="0.2">
      <c r="A15" s="93" t="s">
        <v>352</v>
      </c>
      <c r="B15" s="97">
        <v>1</v>
      </c>
      <c r="C15" s="101" t="s">
        <v>360</v>
      </c>
      <c r="D15" s="98" t="s">
        <v>398</v>
      </c>
      <c r="E15" s="98" t="s">
        <v>93</v>
      </c>
      <c r="F15" s="102"/>
      <c r="G15" s="103">
        <v>370</v>
      </c>
      <c r="H15" s="3"/>
    </row>
    <row r="16" spans="1:10" ht="33.75" customHeight="1" x14ac:dyDescent="0.2">
      <c r="A16" s="93" t="s">
        <v>352</v>
      </c>
      <c r="B16" s="97">
        <v>1</v>
      </c>
      <c r="C16" s="101" t="s">
        <v>360</v>
      </c>
      <c r="D16" s="98" t="s">
        <v>399</v>
      </c>
      <c r="E16" s="98" t="s">
        <v>87</v>
      </c>
      <c r="F16" s="102"/>
      <c r="G16" s="103">
        <v>560</v>
      </c>
      <c r="H16" s="3"/>
      <c r="I16" s="3"/>
      <c r="J16" s="3"/>
    </row>
    <row r="17" spans="1:10" x14ac:dyDescent="0.2">
      <c r="A17" s="104" t="s">
        <v>353</v>
      </c>
      <c r="B17" s="97">
        <v>1</v>
      </c>
      <c r="C17" s="105" t="s">
        <v>366</v>
      </c>
      <c r="D17" s="82"/>
      <c r="E17" s="82" t="s">
        <v>387</v>
      </c>
      <c r="F17" s="106"/>
      <c r="G17" s="107" t="s">
        <v>17</v>
      </c>
      <c r="H17" s="3"/>
      <c r="I17" s="3"/>
      <c r="J17" s="3"/>
    </row>
    <row r="18" spans="1:10" x14ac:dyDescent="0.2">
      <c r="A18" s="104" t="s">
        <v>353</v>
      </c>
      <c r="B18" s="97">
        <v>1</v>
      </c>
      <c r="C18" s="105" t="s">
        <v>367</v>
      </c>
      <c r="D18" s="82">
        <v>785</v>
      </c>
      <c r="E18" s="98" t="s">
        <v>68</v>
      </c>
      <c r="F18" s="106" t="s">
        <v>17</v>
      </c>
      <c r="G18" s="107"/>
      <c r="H18" s="3"/>
      <c r="I18" s="3"/>
      <c r="J18" s="3"/>
    </row>
    <row r="19" spans="1:10" x14ac:dyDescent="0.2">
      <c r="A19" s="104" t="s">
        <v>353</v>
      </c>
      <c r="B19" s="97">
        <v>1</v>
      </c>
      <c r="C19" s="105" t="s">
        <v>368</v>
      </c>
      <c r="D19" s="82">
        <v>4100</v>
      </c>
      <c r="E19" s="98" t="s">
        <v>382</v>
      </c>
      <c r="F19" s="106" t="s">
        <v>17</v>
      </c>
      <c r="G19" s="107"/>
      <c r="H19" s="3"/>
      <c r="I19" s="3"/>
      <c r="J19" s="3"/>
    </row>
    <row r="20" spans="1:10" x14ac:dyDescent="0.2">
      <c r="A20" s="104" t="s">
        <v>353</v>
      </c>
      <c r="B20" s="97">
        <v>1</v>
      </c>
      <c r="C20" s="105" t="s">
        <v>368</v>
      </c>
      <c r="D20" s="82">
        <v>4100</v>
      </c>
      <c r="E20" s="98" t="s">
        <v>382</v>
      </c>
      <c r="F20" s="106" t="s">
        <v>17</v>
      </c>
      <c r="G20" s="107"/>
      <c r="H20" s="3"/>
      <c r="I20" s="3"/>
      <c r="J20" s="3"/>
    </row>
    <row r="21" spans="1:10" x14ac:dyDescent="0.2">
      <c r="A21" s="104" t="s">
        <v>353</v>
      </c>
      <c r="B21" s="97">
        <v>1</v>
      </c>
      <c r="C21" s="101" t="s">
        <v>369</v>
      </c>
      <c r="D21" s="98" t="s">
        <v>398</v>
      </c>
      <c r="E21" s="98" t="s">
        <v>93</v>
      </c>
      <c r="F21" s="106"/>
      <c r="G21" s="107" t="s">
        <v>17</v>
      </c>
      <c r="H21" s="3"/>
      <c r="I21" s="3"/>
      <c r="J21" s="3"/>
    </row>
    <row r="22" spans="1:10" x14ac:dyDescent="0.2">
      <c r="A22" s="108" t="s">
        <v>354</v>
      </c>
      <c r="B22" s="109">
        <v>1</v>
      </c>
      <c r="C22" s="105" t="s">
        <v>370</v>
      </c>
      <c r="D22" s="110" t="s">
        <v>18</v>
      </c>
      <c r="E22" s="98" t="s">
        <v>87</v>
      </c>
      <c r="F22" s="110">
        <v>2688</v>
      </c>
      <c r="G22" s="111"/>
      <c r="H22" s="3"/>
      <c r="I22" s="3"/>
      <c r="J22" s="3"/>
    </row>
    <row r="23" spans="1:10" x14ac:dyDescent="0.2">
      <c r="A23" s="108" t="s">
        <v>354</v>
      </c>
      <c r="B23" s="109">
        <v>1</v>
      </c>
      <c r="C23" s="105" t="s">
        <v>370</v>
      </c>
      <c r="D23" s="110" t="s">
        <v>19</v>
      </c>
      <c r="E23" s="98" t="s">
        <v>87</v>
      </c>
      <c r="F23" s="110">
        <v>408</v>
      </c>
      <c r="G23" s="111"/>
      <c r="H23" s="3"/>
      <c r="I23" s="3"/>
      <c r="J23" s="3"/>
    </row>
    <row r="24" spans="1:10" x14ac:dyDescent="0.2">
      <c r="A24" s="108" t="s">
        <v>354</v>
      </c>
      <c r="B24" s="109">
        <v>1</v>
      </c>
      <c r="C24" s="105" t="s">
        <v>370</v>
      </c>
      <c r="D24" s="110">
        <v>710</v>
      </c>
      <c r="E24" s="83" t="s">
        <v>34</v>
      </c>
      <c r="F24" s="110">
        <v>1913</v>
      </c>
      <c r="G24" s="111"/>
      <c r="H24" s="3"/>
      <c r="I24" s="3"/>
      <c r="J24" s="3"/>
    </row>
    <row r="25" spans="1:10" x14ac:dyDescent="0.2">
      <c r="A25" s="108" t="s">
        <v>354</v>
      </c>
      <c r="B25" s="109">
        <v>1</v>
      </c>
      <c r="C25" s="101" t="s">
        <v>371</v>
      </c>
      <c r="D25" s="101" t="s">
        <v>20</v>
      </c>
      <c r="E25" s="101" t="s">
        <v>388</v>
      </c>
      <c r="F25" s="101">
        <v>73</v>
      </c>
      <c r="G25" s="111"/>
      <c r="H25" s="3"/>
      <c r="I25" s="3"/>
      <c r="J25" s="3"/>
    </row>
    <row r="26" spans="1:10" x14ac:dyDescent="0.2">
      <c r="A26" s="112" t="s">
        <v>355</v>
      </c>
      <c r="B26" s="113">
        <v>1</v>
      </c>
      <c r="C26" s="114" t="s">
        <v>372</v>
      </c>
      <c r="D26" s="98" t="s">
        <v>21</v>
      </c>
      <c r="E26" s="98" t="s">
        <v>87</v>
      </c>
      <c r="F26" s="82">
        <v>2750</v>
      </c>
      <c r="G26" s="115"/>
      <c r="H26" s="3"/>
      <c r="I26" s="3"/>
      <c r="J26" s="3"/>
    </row>
    <row r="27" spans="1:10" x14ac:dyDescent="0.2">
      <c r="A27" s="112" t="s">
        <v>355</v>
      </c>
      <c r="B27" s="97">
        <v>1</v>
      </c>
      <c r="C27" s="101" t="s">
        <v>373</v>
      </c>
      <c r="D27" s="98" t="s">
        <v>401</v>
      </c>
      <c r="E27" s="98" t="s">
        <v>93</v>
      </c>
      <c r="F27" s="98"/>
      <c r="G27" s="116">
        <v>2038</v>
      </c>
      <c r="H27" s="3"/>
      <c r="I27" s="3"/>
      <c r="J27" s="3"/>
    </row>
    <row r="28" spans="1:10" x14ac:dyDescent="0.2">
      <c r="A28" s="112" t="s">
        <v>356</v>
      </c>
      <c r="B28" s="97">
        <v>1</v>
      </c>
      <c r="C28" s="114" t="s">
        <v>22</v>
      </c>
      <c r="D28" s="98" t="s">
        <v>23</v>
      </c>
      <c r="E28" s="117" t="s">
        <v>389</v>
      </c>
      <c r="F28" s="232" t="s">
        <v>24</v>
      </c>
      <c r="G28" s="116"/>
      <c r="H28" s="3"/>
      <c r="I28" s="3"/>
      <c r="J28" s="3"/>
    </row>
    <row r="29" spans="1:10" x14ac:dyDescent="0.2">
      <c r="A29" s="112" t="s">
        <v>356</v>
      </c>
      <c r="B29" s="113">
        <v>1</v>
      </c>
      <c r="C29" s="114" t="s">
        <v>25</v>
      </c>
      <c r="D29" s="98" t="s">
        <v>23</v>
      </c>
      <c r="E29" s="98" t="s">
        <v>68</v>
      </c>
      <c r="F29" s="233"/>
      <c r="G29" s="116"/>
      <c r="H29" s="3"/>
      <c r="I29" s="3"/>
      <c r="J29" s="3"/>
    </row>
    <row r="30" spans="1:10" x14ac:dyDescent="0.2">
      <c r="A30" s="112" t="s">
        <v>356</v>
      </c>
      <c r="B30" s="97">
        <v>1</v>
      </c>
      <c r="C30" s="114" t="s">
        <v>25</v>
      </c>
      <c r="D30" s="98" t="s">
        <v>23</v>
      </c>
      <c r="E30" s="98" t="s">
        <v>68</v>
      </c>
      <c r="F30" s="233"/>
      <c r="G30" s="116"/>
      <c r="H30" s="3"/>
      <c r="I30" s="3"/>
      <c r="J30" s="3"/>
    </row>
    <row r="31" spans="1:10" x14ac:dyDescent="0.2">
      <c r="A31" s="112" t="s">
        <v>356</v>
      </c>
      <c r="B31" s="97">
        <v>1</v>
      </c>
      <c r="C31" s="114" t="s">
        <v>26</v>
      </c>
      <c r="D31" s="98" t="s">
        <v>390</v>
      </c>
      <c r="E31" s="98" t="s">
        <v>390</v>
      </c>
      <c r="F31" s="233"/>
      <c r="G31" s="116"/>
      <c r="H31" s="3"/>
      <c r="I31" s="3"/>
      <c r="J31" s="3"/>
    </row>
    <row r="32" spans="1:10" x14ac:dyDescent="0.2">
      <c r="A32" s="112" t="s">
        <v>356</v>
      </c>
      <c r="B32" s="113">
        <v>1</v>
      </c>
      <c r="C32" s="114" t="s">
        <v>27</v>
      </c>
      <c r="D32" s="98" t="s">
        <v>391</v>
      </c>
      <c r="E32" s="118" t="s">
        <v>391</v>
      </c>
      <c r="F32" s="233"/>
      <c r="G32" s="116"/>
      <c r="H32" s="3"/>
      <c r="I32" s="3"/>
      <c r="J32" s="3"/>
    </row>
    <row r="33" spans="1:10" x14ac:dyDescent="0.2">
      <c r="A33" s="112" t="s">
        <v>356</v>
      </c>
      <c r="B33" s="97">
        <v>1</v>
      </c>
      <c r="C33" s="114" t="s">
        <v>28</v>
      </c>
      <c r="D33" s="98" t="s">
        <v>15</v>
      </c>
      <c r="E33" s="117" t="s">
        <v>386</v>
      </c>
      <c r="F33" s="234"/>
      <c r="G33" s="116"/>
      <c r="H33" s="3"/>
      <c r="I33" s="3"/>
      <c r="J33" s="3"/>
    </row>
    <row r="34" spans="1:10" x14ac:dyDescent="0.2">
      <c r="A34" s="112" t="s">
        <v>356</v>
      </c>
      <c r="B34" s="97">
        <v>1</v>
      </c>
      <c r="C34" s="101" t="s">
        <v>29</v>
      </c>
      <c r="D34" s="98" t="s">
        <v>30</v>
      </c>
      <c r="E34" s="98" t="s">
        <v>87</v>
      </c>
      <c r="F34" s="98"/>
      <c r="G34" s="116">
        <v>670</v>
      </c>
      <c r="H34" s="3"/>
      <c r="I34" s="3"/>
      <c r="J34" s="3"/>
    </row>
    <row r="35" spans="1:10" x14ac:dyDescent="0.2">
      <c r="A35" s="119" t="s">
        <v>357</v>
      </c>
      <c r="B35" s="120">
        <v>4</v>
      </c>
      <c r="C35" s="105" t="s">
        <v>370</v>
      </c>
      <c r="D35" s="101" t="s">
        <v>31</v>
      </c>
      <c r="E35" s="101" t="s">
        <v>32</v>
      </c>
      <c r="F35" s="101">
        <v>16136</v>
      </c>
      <c r="G35" s="116"/>
      <c r="H35" s="3"/>
      <c r="I35" s="3"/>
      <c r="J35" s="3"/>
    </row>
    <row r="36" spans="1:10" x14ac:dyDescent="0.2">
      <c r="A36" s="119" t="s">
        <v>357</v>
      </c>
      <c r="B36" s="109">
        <v>1</v>
      </c>
      <c r="C36" s="105" t="s">
        <v>370</v>
      </c>
      <c r="D36" s="121">
        <v>815</v>
      </c>
      <c r="E36" s="101" t="s">
        <v>32</v>
      </c>
      <c r="F36" s="101">
        <v>1952</v>
      </c>
      <c r="G36" s="116"/>
      <c r="H36" s="3"/>
      <c r="I36" s="3"/>
      <c r="J36" s="3"/>
    </row>
    <row r="37" spans="1:10" x14ac:dyDescent="0.2">
      <c r="A37" s="119" t="s">
        <v>357</v>
      </c>
      <c r="B37" s="109">
        <v>1</v>
      </c>
      <c r="C37" s="105" t="s">
        <v>370</v>
      </c>
      <c r="D37" s="122" t="s">
        <v>33</v>
      </c>
      <c r="E37" s="110" t="s">
        <v>34</v>
      </c>
      <c r="F37" s="110">
        <v>910</v>
      </c>
      <c r="G37" s="115"/>
      <c r="H37" s="3"/>
      <c r="I37" s="3"/>
      <c r="J37" s="3"/>
    </row>
    <row r="38" spans="1:10" x14ac:dyDescent="0.2">
      <c r="A38" s="112" t="s">
        <v>358</v>
      </c>
      <c r="B38" s="97">
        <v>1</v>
      </c>
      <c r="C38" s="101" t="s">
        <v>361</v>
      </c>
      <c r="D38" s="123" t="s">
        <v>404</v>
      </c>
      <c r="E38" s="98" t="s">
        <v>382</v>
      </c>
      <c r="F38" s="82">
        <v>1500</v>
      </c>
      <c r="G38" s="115"/>
      <c r="H38" s="3"/>
      <c r="I38" s="3"/>
      <c r="J38" s="3"/>
    </row>
    <row r="39" spans="1:10" x14ac:dyDescent="0.2">
      <c r="A39" s="112" t="s">
        <v>358</v>
      </c>
      <c r="B39" s="97">
        <v>1</v>
      </c>
      <c r="C39" s="105" t="s">
        <v>370</v>
      </c>
      <c r="D39" s="123" t="s">
        <v>405</v>
      </c>
      <c r="E39" s="98" t="s">
        <v>87</v>
      </c>
      <c r="F39" s="82">
        <v>1210</v>
      </c>
      <c r="G39" s="115"/>
      <c r="H39" s="3"/>
      <c r="I39" s="3"/>
      <c r="J39" s="3"/>
    </row>
    <row r="40" spans="1:10" x14ac:dyDescent="0.2">
      <c r="A40" s="112" t="s">
        <v>358</v>
      </c>
      <c r="B40" s="97">
        <v>1</v>
      </c>
      <c r="C40" s="105" t="s">
        <v>370</v>
      </c>
      <c r="D40" s="123" t="s">
        <v>406</v>
      </c>
      <c r="E40" s="98" t="s">
        <v>87</v>
      </c>
      <c r="F40" s="82">
        <v>1150</v>
      </c>
      <c r="G40" s="115"/>
      <c r="H40" s="3"/>
      <c r="I40" s="3"/>
      <c r="J40" s="3"/>
    </row>
    <row r="41" spans="1:10" x14ac:dyDescent="0.2">
      <c r="A41" s="112" t="s">
        <v>358</v>
      </c>
      <c r="B41" s="97">
        <v>1</v>
      </c>
      <c r="C41" s="105" t="s">
        <v>370</v>
      </c>
      <c r="D41" s="123" t="s">
        <v>35</v>
      </c>
      <c r="E41" s="82" t="s">
        <v>82</v>
      </c>
      <c r="F41" s="82">
        <v>1115</v>
      </c>
      <c r="G41" s="115"/>
      <c r="H41" s="3"/>
      <c r="I41" s="3"/>
      <c r="J41" s="3"/>
    </row>
    <row r="42" spans="1:10" x14ac:dyDescent="0.2">
      <c r="A42" s="112" t="s">
        <v>36</v>
      </c>
      <c r="B42" s="97">
        <v>1</v>
      </c>
      <c r="C42" s="65" t="s">
        <v>374</v>
      </c>
      <c r="D42" s="66" t="s">
        <v>37</v>
      </c>
      <c r="E42" s="66" t="s">
        <v>38</v>
      </c>
      <c r="F42" s="232" t="s">
        <v>39</v>
      </c>
      <c r="G42" s="115"/>
      <c r="H42" s="3"/>
      <c r="I42" s="3"/>
      <c r="J42" s="3"/>
    </row>
    <row r="43" spans="1:10" x14ac:dyDescent="0.2">
      <c r="A43" s="112" t="s">
        <v>36</v>
      </c>
      <c r="B43" s="97">
        <v>1</v>
      </c>
      <c r="C43" s="65" t="s">
        <v>375</v>
      </c>
      <c r="D43" s="67" t="s">
        <v>40</v>
      </c>
      <c r="E43" s="67" t="s">
        <v>392</v>
      </c>
      <c r="F43" s="233"/>
      <c r="G43" s="115"/>
      <c r="H43" s="3"/>
      <c r="I43" s="3"/>
      <c r="J43" s="3"/>
    </row>
    <row r="44" spans="1:10" x14ac:dyDescent="0.2">
      <c r="A44" s="112" t="s">
        <v>36</v>
      </c>
      <c r="B44" s="97">
        <v>3</v>
      </c>
      <c r="C44" s="65" t="s">
        <v>376</v>
      </c>
      <c r="D44" s="67" t="s">
        <v>41</v>
      </c>
      <c r="E44" s="67" t="s">
        <v>45</v>
      </c>
      <c r="F44" s="233"/>
      <c r="G44" s="115"/>
      <c r="H44" s="3"/>
      <c r="I44" s="3"/>
      <c r="J44" s="3"/>
    </row>
    <row r="45" spans="1:10" x14ac:dyDescent="0.2">
      <c r="A45" s="112" t="s">
        <v>36</v>
      </c>
      <c r="B45" s="97">
        <v>1</v>
      </c>
      <c r="C45" s="65" t="s">
        <v>377</v>
      </c>
      <c r="D45" s="67" t="s">
        <v>42</v>
      </c>
      <c r="E45" s="66" t="s">
        <v>393</v>
      </c>
      <c r="F45" s="233"/>
      <c r="G45" s="115"/>
      <c r="H45" s="3"/>
      <c r="I45" s="3"/>
      <c r="J45" s="3"/>
    </row>
    <row r="46" spans="1:10" x14ac:dyDescent="0.2">
      <c r="A46" s="112" t="s">
        <v>36</v>
      </c>
      <c r="B46" s="97">
        <v>1</v>
      </c>
      <c r="C46" s="65" t="s">
        <v>378</v>
      </c>
      <c r="D46" s="67">
        <v>7500</v>
      </c>
      <c r="E46" s="66" t="s">
        <v>43</v>
      </c>
      <c r="F46" s="233"/>
      <c r="G46" s="115"/>
      <c r="H46" s="3"/>
      <c r="I46" s="3"/>
      <c r="J46" s="3"/>
    </row>
    <row r="47" spans="1:10" x14ac:dyDescent="0.2">
      <c r="A47" s="112" t="s">
        <v>36</v>
      </c>
      <c r="B47" s="97">
        <v>1</v>
      </c>
      <c r="C47" s="65" t="s">
        <v>378</v>
      </c>
      <c r="D47" s="67" t="s">
        <v>44</v>
      </c>
      <c r="E47" s="66" t="s">
        <v>45</v>
      </c>
      <c r="F47" s="233"/>
      <c r="G47" s="115"/>
      <c r="H47" s="3"/>
      <c r="I47" s="3"/>
      <c r="J47" s="3"/>
    </row>
    <row r="48" spans="1:10" x14ac:dyDescent="0.2">
      <c r="A48" s="104" t="s">
        <v>36</v>
      </c>
      <c r="B48" s="97">
        <v>4</v>
      </c>
      <c r="C48" s="101" t="s">
        <v>361</v>
      </c>
      <c r="D48" s="67" t="s">
        <v>23</v>
      </c>
      <c r="E48" s="66" t="s">
        <v>46</v>
      </c>
      <c r="F48" s="233"/>
      <c r="G48" s="115"/>
      <c r="H48" s="3"/>
      <c r="I48" s="3"/>
      <c r="J48" s="3"/>
    </row>
    <row r="49" spans="1:10" x14ac:dyDescent="0.2">
      <c r="A49" s="124" t="s">
        <v>359</v>
      </c>
      <c r="B49" s="125">
        <v>3</v>
      </c>
      <c r="C49" s="68" t="s">
        <v>379</v>
      </c>
      <c r="D49" s="69" t="s">
        <v>402</v>
      </c>
      <c r="E49" s="70" t="s">
        <v>95</v>
      </c>
      <c r="F49" s="71">
        <v>6600</v>
      </c>
      <c r="G49" s="115"/>
      <c r="H49" s="3"/>
      <c r="I49" s="3"/>
      <c r="J49" s="3"/>
    </row>
    <row r="50" spans="1:10" x14ac:dyDescent="0.2">
      <c r="A50" s="124" t="s">
        <v>359</v>
      </c>
      <c r="B50" s="113">
        <v>1</v>
      </c>
      <c r="C50" s="72" t="s">
        <v>348</v>
      </c>
      <c r="D50" s="72" t="s">
        <v>403</v>
      </c>
      <c r="E50" s="71" t="s">
        <v>394</v>
      </c>
      <c r="F50" s="71">
        <v>215</v>
      </c>
      <c r="G50" s="115"/>
      <c r="H50" s="3"/>
      <c r="I50" s="3"/>
      <c r="J50" s="3"/>
    </row>
    <row r="51" spans="1:10" ht="12" thickBot="1" x14ac:dyDescent="0.25">
      <c r="A51" s="124" t="s">
        <v>359</v>
      </c>
      <c r="B51" s="126">
        <v>1</v>
      </c>
      <c r="C51" s="73" t="s">
        <v>380</v>
      </c>
      <c r="D51" s="73" t="s">
        <v>47</v>
      </c>
      <c r="E51" s="74" t="s">
        <v>93</v>
      </c>
      <c r="F51" s="74"/>
      <c r="G51" s="127">
        <v>326</v>
      </c>
      <c r="H51" s="3"/>
      <c r="I51" s="3"/>
      <c r="J51" s="3"/>
    </row>
    <row r="52" spans="1:10" ht="12" thickBot="1" x14ac:dyDescent="0.25">
      <c r="A52" s="145" t="s">
        <v>197</v>
      </c>
      <c r="B52" s="128">
        <f>SUM(B6:B51)</f>
        <v>56</v>
      </c>
      <c r="C52" s="75"/>
      <c r="D52" s="75"/>
      <c r="E52" s="76"/>
      <c r="F52" s="77"/>
      <c r="G52" s="129"/>
      <c r="H52" s="3"/>
      <c r="I52" s="3"/>
      <c r="J52" s="3"/>
    </row>
    <row r="53" spans="1:10" ht="12" thickBot="1" x14ac:dyDescent="0.25">
      <c r="A53" s="212" t="s">
        <v>48</v>
      </c>
      <c r="B53" s="212"/>
      <c r="C53" s="212"/>
      <c r="D53" s="213"/>
      <c r="E53" s="78" t="s">
        <v>49</v>
      </c>
      <c r="F53" s="79">
        <v>116728</v>
      </c>
      <c r="G53" s="130">
        <v>3964</v>
      </c>
      <c r="H53" s="3"/>
      <c r="I53" s="3"/>
      <c r="J53" s="3"/>
    </row>
    <row r="54" spans="1:10" x14ac:dyDescent="0.2">
      <c r="A54" s="229" t="s">
        <v>50</v>
      </c>
      <c r="B54" s="229"/>
      <c r="C54" s="229"/>
      <c r="D54" s="229"/>
      <c r="E54" s="131"/>
      <c r="F54" s="132"/>
      <c r="G54" s="131"/>
      <c r="H54" s="3"/>
      <c r="I54" s="3"/>
      <c r="J54" s="3"/>
    </row>
    <row r="58" spans="1:10" x14ac:dyDescent="0.2">
      <c r="A58" s="15" t="s">
        <v>350</v>
      </c>
    </row>
    <row r="59" spans="1:10" ht="15" customHeight="1" x14ac:dyDescent="0.2">
      <c r="A59" s="230" t="s">
        <v>51</v>
      </c>
      <c r="B59" s="230" t="s">
        <v>52</v>
      </c>
      <c r="C59" s="230" t="s">
        <v>53</v>
      </c>
      <c r="D59" s="230" t="s">
        <v>54</v>
      </c>
      <c r="E59" s="230" t="s">
        <v>55</v>
      </c>
      <c r="F59" s="230" t="s">
        <v>56</v>
      </c>
      <c r="G59" s="230" t="s">
        <v>57</v>
      </c>
      <c r="H59" s="230" t="s">
        <v>58</v>
      </c>
    </row>
    <row r="60" spans="1:10" x14ac:dyDescent="0.2">
      <c r="A60" s="231"/>
      <c r="B60" s="231"/>
      <c r="C60" s="231"/>
      <c r="D60" s="231"/>
      <c r="E60" s="231"/>
      <c r="F60" s="231"/>
      <c r="G60" s="231"/>
      <c r="H60" s="231"/>
    </row>
    <row r="61" spans="1:10" x14ac:dyDescent="0.2">
      <c r="A61" s="133">
        <v>1</v>
      </c>
      <c r="B61" s="134" t="s">
        <v>397</v>
      </c>
      <c r="C61" s="134" t="s">
        <v>59</v>
      </c>
      <c r="D61" s="134" t="s">
        <v>60</v>
      </c>
      <c r="E61" s="135">
        <v>1</v>
      </c>
      <c r="F61" s="136">
        <v>112</v>
      </c>
      <c r="G61" s="137">
        <v>800</v>
      </c>
      <c r="H61" s="138">
        <v>12960</v>
      </c>
    </row>
    <row r="62" spans="1:10" x14ac:dyDescent="0.2">
      <c r="A62" s="133">
        <v>2</v>
      </c>
      <c r="B62" s="134" t="s">
        <v>397</v>
      </c>
      <c r="C62" s="134" t="s">
        <v>61</v>
      </c>
      <c r="D62" s="134" t="s">
        <v>62</v>
      </c>
      <c r="E62" s="135">
        <v>3</v>
      </c>
      <c r="F62" s="136">
        <v>104</v>
      </c>
      <c r="G62" s="137">
        <v>2400</v>
      </c>
      <c r="H62" s="138">
        <v>38800</v>
      </c>
    </row>
    <row r="63" spans="1:10" x14ac:dyDescent="0.2">
      <c r="A63" s="133">
        <v>3</v>
      </c>
      <c r="B63" s="134" t="s">
        <v>397</v>
      </c>
      <c r="C63" s="134" t="s">
        <v>63</v>
      </c>
      <c r="D63" s="134" t="s">
        <v>64</v>
      </c>
      <c r="E63" s="135">
        <v>3</v>
      </c>
      <c r="F63" s="136">
        <v>103</v>
      </c>
      <c r="G63" s="137">
        <v>2400</v>
      </c>
      <c r="H63" s="138">
        <v>39900</v>
      </c>
    </row>
    <row r="64" spans="1:10" x14ac:dyDescent="0.2">
      <c r="A64" s="133">
        <v>4</v>
      </c>
      <c r="B64" s="134" t="s">
        <v>65</v>
      </c>
      <c r="C64" s="134" t="s">
        <v>61</v>
      </c>
      <c r="D64" s="139">
        <v>845</v>
      </c>
      <c r="E64" s="135">
        <v>8</v>
      </c>
      <c r="F64" s="136">
        <v>129</v>
      </c>
      <c r="G64" s="137">
        <v>6400</v>
      </c>
      <c r="H64" s="138">
        <v>103664</v>
      </c>
    </row>
    <row r="65" spans="1:8" x14ac:dyDescent="0.2">
      <c r="A65" s="133">
        <v>5</v>
      </c>
      <c r="B65" s="134" t="s">
        <v>66</v>
      </c>
      <c r="C65" s="134" t="s">
        <v>61</v>
      </c>
      <c r="D65" s="134" t="s">
        <v>67</v>
      </c>
      <c r="E65" s="135">
        <v>3</v>
      </c>
      <c r="F65" s="136">
        <v>113.35</v>
      </c>
      <c r="G65" s="137">
        <v>2400</v>
      </c>
      <c r="H65" s="138">
        <v>23760</v>
      </c>
    </row>
    <row r="66" spans="1:8" x14ac:dyDescent="0.2">
      <c r="A66" s="133">
        <v>6</v>
      </c>
      <c r="B66" s="134" t="s">
        <v>396</v>
      </c>
      <c r="C66" s="134" t="s">
        <v>68</v>
      </c>
      <c r="D66" s="134" t="s">
        <v>69</v>
      </c>
      <c r="E66" s="135">
        <v>7</v>
      </c>
      <c r="F66" s="136">
        <v>165</v>
      </c>
      <c r="G66" s="137">
        <v>5600</v>
      </c>
      <c r="H66" s="138">
        <v>94962</v>
      </c>
    </row>
    <row r="67" spans="1:8" x14ac:dyDescent="0.2">
      <c r="A67" s="133">
        <v>7</v>
      </c>
      <c r="B67" s="140" t="s">
        <v>70</v>
      </c>
      <c r="C67" s="140" t="s">
        <v>71</v>
      </c>
      <c r="D67" s="140" t="s">
        <v>72</v>
      </c>
      <c r="E67" s="141">
        <v>2</v>
      </c>
      <c r="F67" s="142">
        <v>86</v>
      </c>
      <c r="G67" s="143">
        <v>1600</v>
      </c>
      <c r="H67" s="138">
        <v>16320</v>
      </c>
    </row>
    <row r="68" spans="1:8" x14ac:dyDescent="0.2">
      <c r="A68" s="133">
        <v>8</v>
      </c>
      <c r="B68" s="140" t="s">
        <v>70</v>
      </c>
      <c r="C68" s="140" t="s">
        <v>73</v>
      </c>
      <c r="D68" s="140" t="s">
        <v>74</v>
      </c>
      <c r="E68" s="141">
        <v>2</v>
      </c>
      <c r="F68" s="142">
        <v>130</v>
      </c>
      <c r="G68" s="143">
        <v>1600</v>
      </c>
      <c r="H68" s="138">
        <v>19000</v>
      </c>
    </row>
    <row r="69" spans="1:8" x14ac:dyDescent="0.2">
      <c r="A69" s="133">
        <v>9</v>
      </c>
      <c r="B69" s="140" t="s">
        <v>70</v>
      </c>
      <c r="C69" s="140" t="s">
        <v>73</v>
      </c>
      <c r="D69" s="140" t="s">
        <v>75</v>
      </c>
      <c r="E69" s="141">
        <v>7</v>
      </c>
      <c r="F69" s="142">
        <v>110</v>
      </c>
      <c r="G69" s="143">
        <v>6400</v>
      </c>
      <c r="H69" s="138">
        <v>7600</v>
      </c>
    </row>
    <row r="70" spans="1:8" x14ac:dyDescent="0.2">
      <c r="A70" s="133">
        <v>10</v>
      </c>
      <c r="B70" s="140" t="s">
        <v>70</v>
      </c>
      <c r="C70" s="140" t="s">
        <v>63</v>
      </c>
      <c r="D70" s="140" t="s">
        <v>76</v>
      </c>
      <c r="E70" s="141">
        <v>2</v>
      </c>
      <c r="F70" s="142">
        <v>98</v>
      </c>
      <c r="G70" s="143">
        <v>1600</v>
      </c>
      <c r="H70" s="138">
        <v>15200</v>
      </c>
    </row>
    <row r="71" spans="1:8" x14ac:dyDescent="0.2">
      <c r="A71" s="133">
        <v>11</v>
      </c>
      <c r="B71" s="134" t="s">
        <v>395</v>
      </c>
      <c r="C71" s="134" t="s">
        <v>61</v>
      </c>
      <c r="D71" s="134" t="s">
        <v>77</v>
      </c>
      <c r="E71" s="135">
        <v>1</v>
      </c>
      <c r="F71" s="136">
        <v>56</v>
      </c>
      <c r="G71" s="137">
        <v>800</v>
      </c>
      <c r="H71" s="138">
        <v>5760</v>
      </c>
    </row>
    <row r="72" spans="1:8" x14ac:dyDescent="0.2">
      <c r="A72" s="133">
        <v>12</v>
      </c>
      <c r="B72" s="140" t="s">
        <v>78</v>
      </c>
      <c r="C72" s="140" t="s">
        <v>79</v>
      </c>
      <c r="D72" s="140" t="s">
        <v>80</v>
      </c>
      <c r="E72" s="141">
        <v>25</v>
      </c>
      <c r="F72" s="136">
        <v>279</v>
      </c>
      <c r="G72" s="137">
        <v>17600</v>
      </c>
      <c r="H72" s="138">
        <v>61600</v>
      </c>
    </row>
    <row r="73" spans="1:8" x14ac:dyDescent="0.2">
      <c r="A73" s="133">
        <v>13</v>
      </c>
      <c r="B73" s="140" t="s">
        <v>78</v>
      </c>
      <c r="C73" s="140" t="s">
        <v>79</v>
      </c>
      <c r="D73" s="144">
        <v>2324</v>
      </c>
      <c r="E73" s="141">
        <v>32</v>
      </c>
      <c r="F73" s="136">
        <v>280</v>
      </c>
      <c r="G73" s="137">
        <v>22528</v>
      </c>
      <c r="H73" s="138">
        <v>78848</v>
      </c>
    </row>
    <row r="74" spans="1:8" x14ac:dyDescent="0.2">
      <c r="A74" s="133">
        <v>14</v>
      </c>
      <c r="B74" s="140" t="s">
        <v>78</v>
      </c>
      <c r="C74" s="140" t="s">
        <v>79</v>
      </c>
      <c r="D74" s="140" t="s">
        <v>81</v>
      </c>
      <c r="E74" s="141">
        <v>20</v>
      </c>
      <c r="F74" s="136">
        <v>278</v>
      </c>
      <c r="G74" s="137">
        <v>14080</v>
      </c>
      <c r="H74" s="138">
        <v>49280</v>
      </c>
    </row>
    <row r="75" spans="1:8" x14ac:dyDescent="0.2">
      <c r="A75" s="133">
        <v>15</v>
      </c>
      <c r="B75" s="140" t="s">
        <v>78</v>
      </c>
      <c r="C75" s="140" t="s">
        <v>82</v>
      </c>
      <c r="D75" s="140" t="s">
        <v>80</v>
      </c>
      <c r="E75" s="141">
        <v>21</v>
      </c>
      <c r="F75" s="136">
        <v>285</v>
      </c>
      <c r="G75" s="137">
        <v>14784</v>
      </c>
      <c r="H75" s="138">
        <v>51744</v>
      </c>
    </row>
    <row r="76" spans="1:8" x14ac:dyDescent="0.2">
      <c r="A76" s="133">
        <v>16</v>
      </c>
      <c r="B76" s="140" t="s">
        <v>78</v>
      </c>
      <c r="C76" s="140" t="s">
        <v>83</v>
      </c>
      <c r="D76" s="140" t="s">
        <v>84</v>
      </c>
      <c r="E76" s="141">
        <v>3</v>
      </c>
      <c r="F76" s="136">
        <v>275</v>
      </c>
      <c r="G76" s="137">
        <v>2112</v>
      </c>
      <c r="H76" s="138">
        <v>7392</v>
      </c>
    </row>
    <row r="77" spans="1:8" x14ac:dyDescent="0.2">
      <c r="A77" s="133">
        <v>17</v>
      </c>
      <c r="B77" s="134" t="s">
        <v>85</v>
      </c>
      <c r="C77" s="134" t="s">
        <v>82</v>
      </c>
      <c r="D77" s="134" t="s">
        <v>86</v>
      </c>
      <c r="E77" s="135">
        <v>4</v>
      </c>
      <c r="F77" s="136">
        <v>150</v>
      </c>
      <c r="G77" s="137">
        <v>2816</v>
      </c>
      <c r="H77" s="138">
        <v>9856</v>
      </c>
    </row>
    <row r="78" spans="1:8" x14ac:dyDescent="0.2">
      <c r="A78" s="133">
        <v>18</v>
      </c>
      <c r="B78" s="134" t="s">
        <v>85</v>
      </c>
      <c r="C78" s="134" t="s">
        <v>79</v>
      </c>
      <c r="D78" s="139">
        <v>1313</v>
      </c>
      <c r="E78" s="135">
        <v>6</v>
      </c>
      <c r="F78" s="136">
        <v>110</v>
      </c>
      <c r="G78" s="137">
        <v>4224</v>
      </c>
      <c r="H78" s="138">
        <v>14784</v>
      </c>
    </row>
    <row r="79" spans="1:8" x14ac:dyDescent="0.2">
      <c r="A79" s="133">
        <v>19</v>
      </c>
      <c r="B79" s="134" t="s">
        <v>85</v>
      </c>
      <c r="C79" s="134" t="s">
        <v>87</v>
      </c>
      <c r="D79" s="134" t="s">
        <v>88</v>
      </c>
      <c r="E79" s="135">
        <v>6</v>
      </c>
      <c r="F79" s="136">
        <v>177</v>
      </c>
      <c r="G79" s="137">
        <v>4224</v>
      </c>
      <c r="H79" s="138">
        <v>14784</v>
      </c>
    </row>
    <row r="80" spans="1:8" x14ac:dyDescent="0.2">
      <c r="A80" s="133">
        <v>20</v>
      </c>
      <c r="B80" s="134" t="s">
        <v>89</v>
      </c>
      <c r="C80" s="134" t="s">
        <v>90</v>
      </c>
      <c r="D80" s="134" t="s">
        <v>91</v>
      </c>
      <c r="E80" s="135">
        <v>1</v>
      </c>
      <c r="F80" s="136">
        <v>137.94999999999999</v>
      </c>
      <c r="G80" s="137">
        <v>704</v>
      </c>
      <c r="H80" s="138">
        <v>15840</v>
      </c>
    </row>
    <row r="81" spans="1:8" x14ac:dyDescent="0.2">
      <c r="A81" s="133">
        <v>21</v>
      </c>
      <c r="B81" s="134" t="s">
        <v>92</v>
      </c>
      <c r="C81" s="134" t="s">
        <v>93</v>
      </c>
      <c r="D81" s="134" t="s">
        <v>94</v>
      </c>
      <c r="E81" s="135">
        <v>2</v>
      </c>
      <c r="F81" s="136">
        <v>55.16</v>
      </c>
      <c r="G81" s="137">
        <v>1600</v>
      </c>
      <c r="H81" s="138">
        <v>4000</v>
      </c>
    </row>
    <row r="82" spans="1:8" x14ac:dyDescent="0.2">
      <c r="A82" s="133">
        <v>22</v>
      </c>
      <c r="B82" s="134" t="s">
        <v>92</v>
      </c>
      <c r="C82" s="134" t="s">
        <v>87</v>
      </c>
      <c r="D82" s="134" t="s">
        <v>29</v>
      </c>
      <c r="E82" s="135">
        <v>2</v>
      </c>
      <c r="F82" s="136">
        <v>58.84</v>
      </c>
      <c r="G82" s="137">
        <v>1560</v>
      </c>
      <c r="H82" s="138">
        <v>4680</v>
      </c>
    </row>
    <row r="83" spans="1:8" x14ac:dyDescent="0.2">
      <c r="A83" s="133">
        <v>23</v>
      </c>
      <c r="B83" s="134" t="s">
        <v>92</v>
      </c>
      <c r="C83" s="134" t="s">
        <v>95</v>
      </c>
      <c r="D83" s="134" t="s">
        <v>96</v>
      </c>
      <c r="E83" s="135">
        <v>1</v>
      </c>
      <c r="F83" s="136">
        <v>121.36</v>
      </c>
      <c r="G83" s="137">
        <v>784</v>
      </c>
      <c r="H83" s="138">
        <v>2352</v>
      </c>
    </row>
    <row r="84" spans="1:8" x14ac:dyDescent="0.2">
      <c r="A84" s="133">
        <v>24</v>
      </c>
      <c r="B84" s="134" t="s">
        <v>97</v>
      </c>
      <c r="C84" s="134" t="s">
        <v>98</v>
      </c>
      <c r="D84" s="134" t="s">
        <v>99</v>
      </c>
      <c r="E84" s="135">
        <v>2</v>
      </c>
      <c r="F84" s="136">
        <v>152</v>
      </c>
      <c r="G84" s="137">
        <v>1568</v>
      </c>
      <c r="H84" s="138">
        <v>6272</v>
      </c>
    </row>
    <row r="85" spans="1:8" x14ac:dyDescent="0.2">
      <c r="A85" s="133">
        <v>25</v>
      </c>
      <c r="B85" s="134" t="s">
        <v>100</v>
      </c>
      <c r="C85" s="134" t="s">
        <v>82</v>
      </c>
      <c r="D85" s="134" t="s">
        <v>101</v>
      </c>
      <c r="E85" s="135">
        <v>2</v>
      </c>
      <c r="F85" s="136">
        <v>139.01</v>
      </c>
      <c r="G85" s="137">
        <v>1600</v>
      </c>
      <c r="H85" s="138">
        <v>6400</v>
      </c>
    </row>
    <row r="86" spans="1:8" x14ac:dyDescent="0.2">
      <c r="A86" s="133">
        <v>26</v>
      </c>
      <c r="B86" s="134" t="s">
        <v>102</v>
      </c>
      <c r="C86" s="134" t="s">
        <v>82</v>
      </c>
      <c r="D86" s="134" t="s">
        <v>103</v>
      </c>
      <c r="E86" s="135">
        <v>1</v>
      </c>
      <c r="F86" s="136">
        <v>158.13</v>
      </c>
      <c r="G86" s="137">
        <v>800</v>
      </c>
      <c r="H86" s="138">
        <v>3600</v>
      </c>
    </row>
  </sheetData>
  <sheetProtection algorithmName="SHA-512" hashValue="DJnZt8vrFOEI/twd14njRkKTFBfQnGOkSe4JG4FdGtrnneAGFXpEEsJKWXWOCvy0ye2slimODHnWxHn4aSb99A==" saltValue="0maN7G0mKp0ueL3Nh4BUmA==" spinCount="100000" sheet="1" objects="1" scenarios="1"/>
  <mergeCells count="19">
    <mergeCell ref="A54:D54"/>
    <mergeCell ref="F59:F60"/>
    <mergeCell ref="G59:G60"/>
    <mergeCell ref="H59:H60"/>
    <mergeCell ref="F28:F33"/>
    <mergeCell ref="F42:F48"/>
    <mergeCell ref="A59:A60"/>
    <mergeCell ref="B59:B60"/>
    <mergeCell ref="C59:C60"/>
    <mergeCell ref="D59:D60"/>
    <mergeCell ref="E59:E60"/>
    <mergeCell ref="I3:J3"/>
    <mergeCell ref="A53:D53"/>
    <mergeCell ref="A2:G2"/>
    <mergeCell ref="A3:A5"/>
    <mergeCell ref="B3:C4"/>
    <mergeCell ref="D3:D5"/>
    <mergeCell ref="E3:E5"/>
    <mergeCell ref="F3:G4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3"/>
  <sheetViews>
    <sheetView workbookViewId="0">
      <selection activeCell="H25" sqref="H25"/>
    </sheetView>
  </sheetViews>
  <sheetFormatPr defaultRowHeight="15" customHeight="1" x14ac:dyDescent="0.2"/>
  <cols>
    <col min="1" max="1" width="26.42578125" style="15" customWidth="1"/>
    <col min="2" max="2" width="21.5703125" style="15" customWidth="1"/>
    <col min="3" max="3" width="19.28515625" style="15" customWidth="1"/>
    <col min="4" max="4" width="24.7109375" style="15" customWidth="1"/>
    <col min="5" max="13" width="13.7109375" style="15" customWidth="1"/>
    <col min="14" max="19" width="8.7109375" style="15" customWidth="1"/>
    <col min="20" max="20" width="10.42578125" style="15" bestFit="1" customWidth="1"/>
    <col min="21" max="16384" width="9.140625" style="15"/>
  </cols>
  <sheetData>
    <row r="1" spans="1:20" ht="15" customHeight="1" x14ac:dyDescent="0.2">
      <c r="A1" s="17" t="s">
        <v>407</v>
      </c>
      <c r="B1" s="29">
        <v>1.3407</v>
      </c>
    </row>
    <row r="3" spans="1:20" ht="15" customHeight="1" x14ac:dyDescent="0.2">
      <c r="A3" s="3" t="s">
        <v>350</v>
      </c>
    </row>
    <row r="4" spans="1:20" ht="15" customHeight="1" x14ac:dyDescent="0.2">
      <c r="A4" s="238" t="s">
        <v>171</v>
      </c>
      <c r="B4" s="238" t="s">
        <v>183</v>
      </c>
      <c r="C4" s="238" t="s">
        <v>172</v>
      </c>
      <c r="D4" s="238" t="s">
        <v>173</v>
      </c>
      <c r="E4" s="242" t="s">
        <v>419</v>
      </c>
      <c r="F4" s="242" t="s">
        <v>420</v>
      </c>
      <c r="G4" s="238" t="s">
        <v>174</v>
      </c>
      <c r="H4" s="238" t="s">
        <v>175</v>
      </c>
      <c r="I4" s="240" t="s">
        <v>321</v>
      </c>
      <c r="J4" s="241"/>
      <c r="K4" s="241"/>
      <c r="L4" s="241"/>
      <c r="M4" s="243"/>
      <c r="N4" s="240" t="s">
        <v>176</v>
      </c>
      <c r="O4" s="241"/>
      <c r="P4" s="241"/>
      <c r="Q4" s="241"/>
      <c r="R4" s="241"/>
      <c r="S4" s="241"/>
      <c r="T4" s="241"/>
    </row>
    <row r="5" spans="1:20" ht="15" customHeight="1" x14ac:dyDescent="0.2">
      <c r="A5" s="239"/>
      <c r="B5" s="239"/>
      <c r="C5" s="239"/>
      <c r="D5" s="239"/>
      <c r="E5" s="242"/>
      <c r="F5" s="242"/>
      <c r="G5" s="239"/>
      <c r="H5" s="239"/>
      <c r="I5" s="18" t="s">
        <v>177</v>
      </c>
      <c r="J5" s="18" t="s">
        <v>180</v>
      </c>
      <c r="K5" s="18" t="s">
        <v>181</v>
      </c>
      <c r="L5" s="18" t="s">
        <v>182</v>
      </c>
      <c r="M5" s="18" t="s">
        <v>408</v>
      </c>
      <c r="N5" s="18" t="s">
        <v>177</v>
      </c>
      <c r="O5" s="18" t="s">
        <v>178</v>
      </c>
      <c r="P5" s="18" t="s">
        <v>179</v>
      </c>
      <c r="Q5" s="18" t="s">
        <v>180</v>
      </c>
      <c r="R5" s="18" t="s">
        <v>181</v>
      </c>
      <c r="S5" s="18" t="s">
        <v>182</v>
      </c>
      <c r="T5" s="18" t="s">
        <v>408</v>
      </c>
    </row>
    <row r="6" spans="1:20" ht="15" customHeight="1" x14ac:dyDescent="0.2">
      <c r="A6" s="17" t="str">
        <f>Dados!B61</f>
        <v>Escavadeira Hidráulica</v>
      </c>
      <c r="B6" s="90" t="str">
        <f>Dados!C61</f>
        <v>Hyundai</v>
      </c>
      <c r="C6" s="19">
        <f>Dados!F61*$B$1</f>
        <v>150.1584</v>
      </c>
      <c r="D6" s="24" t="s">
        <v>130</v>
      </c>
      <c r="E6" s="235">
        <v>-20.262758999999999</v>
      </c>
      <c r="F6" s="235">
        <v>-40.280014000000001</v>
      </c>
      <c r="G6" s="20">
        <f>Dados!E61</f>
        <v>1</v>
      </c>
      <c r="H6" s="19">
        <f>(Dados!G61/365)/G6</f>
        <v>2.1917808219178081</v>
      </c>
      <c r="I6" s="5">
        <f t="shared" ref="I6:I17" si="0">(INDEX(FE_Equip,MATCH($D6,Pot_Equip,0),2))</f>
        <v>3.6023154684608628E-2</v>
      </c>
      <c r="J6" s="5">
        <f t="shared" ref="J6:J17" si="1">(INDEX(FE_Equip,MATCH($D6,Pot_Equip,0),3))</f>
        <v>0.63034815463312366</v>
      </c>
      <c r="K6" s="5">
        <f>(INDEX(FE_Equip,MATCH($D6,Pot_Equip,0),4))</f>
        <v>5.7274397999067218E-4</v>
      </c>
      <c r="L6" s="5">
        <f t="shared" ref="L6:L17" si="2">(INDEX(FE_Equip,MATCH($D6,Pot_Equip,0),5))</f>
        <v>0.30652652990664653</v>
      </c>
      <c r="M6" s="5">
        <f t="shared" ref="M6:M17" si="3">(INDEX(FE_Equip,MATCH($D6,Pot_Equip,0),6))</f>
        <v>8.1297557226803041E-2</v>
      </c>
      <c r="N6" s="22">
        <f>I6*G6*H6/(24)</f>
        <v>3.289785815945993E-3</v>
      </c>
      <c r="O6" s="22">
        <f>N6</f>
        <v>3.289785815945993E-3</v>
      </c>
      <c r="P6" s="22">
        <f>N6</f>
        <v>3.289785815945993E-3</v>
      </c>
      <c r="Q6" s="22">
        <f>J6*$G6*$H6/(24)</f>
        <v>5.7566041519006718E-2</v>
      </c>
      <c r="R6" s="22">
        <f t="shared" ref="R6:T6" si="4">K6*$G6*$H6/(24)</f>
        <v>5.230538630051801E-5</v>
      </c>
      <c r="S6" s="22">
        <f t="shared" si="4"/>
        <v>2.7993290402433469E-2</v>
      </c>
      <c r="T6" s="22">
        <f t="shared" si="4"/>
        <v>7.4244344499363501E-3</v>
      </c>
    </row>
    <row r="7" spans="1:20" ht="15" customHeight="1" x14ac:dyDescent="0.2">
      <c r="A7" s="17" t="str">
        <f>Dados!B62</f>
        <v>Escavadeira Hidráulica</v>
      </c>
      <c r="B7" s="90" t="str">
        <f>Dados!C62</f>
        <v>Case</v>
      </c>
      <c r="C7" s="19">
        <f>Dados!F62*$B$1</f>
        <v>139.43279999999999</v>
      </c>
      <c r="D7" s="24" t="s">
        <v>130</v>
      </c>
      <c r="E7" s="236"/>
      <c r="F7" s="236"/>
      <c r="G7" s="20">
        <f>Dados!E62</f>
        <v>3</v>
      </c>
      <c r="H7" s="19">
        <f>(Dados!G62/365)/G7</f>
        <v>2.1917808219178081</v>
      </c>
      <c r="I7" s="5">
        <f t="shared" si="0"/>
        <v>3.6023154684608628E-2</v>
      </c>
      <c r="J7" s="5">
        <f t="shared" si="1"/>
        <v>0.63034815463312366</v>
      </c>
      <c r="K7" s="5">
        <f t="shared" ref="K7:K17" si="5">(INDEX(FE_Equip,MATCH($D7,Pot_Equip,0),4))</f>
        <v>5.7274397999067218E-4</v>
      </c>
      <c r="L7" s="5">
        <f t="shared" si="2"/>
        <v>0.30652652990664653</v>
      </c>
      <c r="M7" s="5">
        <f t="shared" si="3"/>
        <v>8.1297557226803041E-2</v>
      </c>
      <c r="N7" s="22">
        <f t="shared" ref="N7:N17" si="6">I7*G7*H7/(24)</f>
        <v>9.8693574478379807E-3</v>
      </c>
      <c r="O7" s="22">
        <f>N7</f>
        <v>9.8693574478379807E-3</v>
      </c>
      <c r="P7" s="22">
        <f t="shared" ref="P7:P9" si="7">N7</f>
        <v>9.8693574478379807E-3</v>
      </c>
      <c r="Q7" s="22">
        <f t="shared" ref="Q7:Q17" si="8">J7*$G7*$H7/(24)</f>
        <v>0.17269812455702016</v>
      </c>
      <c r="R7" s="22">
        <f t="shared" ref="R7:R17" si="9">K7*$G7*$H7/(24)</f>
        <v>1.5691615890155402E-4</v>
      </c>
      <c r="S7" s="22">
        <f t="shared" ref="S7:S17" si="10">L7*$G7*$H7/(24)</f>
        <v>8.3979871207300424E-2</v>
      </c>
      <c r="T7" s="22">
        <f t="shared" ref="T7:T17" si="11">M7*$G7*$H7/(24)</f>
        <v>2.2273303349809051E-2</v>
      </c>
    </row>
    <row r="8" spans="1:20" ht="15" customHeight="1" x14ac:dyDescent="0.2">
      <c r="A8" s="17" t="str">
        <f>Dados!B63</f>
        <v>Escavadeira Hidráulica</v>
      </c>
      <c r="B8" s="90" t="str">
        <f>Dados!C63</f>
        <v>Caterpillar</v>
      </c>
      <c r="C8" s="19">
        <f>Dados!F63*$B$1</f>
        <v>138.09209999999999</v>
      </c>
      <c r="D8" s="24" t="s">
        <v>130</v>
      </c>
      <c r="E8" s="236"/>
      <c r="F8" s="236"/>
      <c r="G8" s="20">
        <f>Dados!E63</f>
        <v>3</v>
      </c>
      <c r="H8" s="19">
        <f>(Dados!G63/365)/G8</f>
        <v>2.1917808219178081</v>
      </c>
      <c r="I8" s="5">
        <f t="shared" si="0"/>
        <v>3.6023154684608628E-2</v>
      </c>
      <c r="J8" s="5">
        <f t="shared" si="1"/>
        <v>0.63034815463312366</v>
      </c>
      <c r="K8" s="5">
        <f t="shared" si="5"/>
        <v>5.7274397999067218E-4</v>
      </c>
      <c r="L8" s="5">
        <f t="shared" si="2"/>
        <v>0.30652652990664653</v>
      </c>
      <c r="M8" s="5">
        <f t="shared" si="3"/>
        <v>8.1297557226803041E-2</v>
      </c>
      <c r="N8" s="22">
        <f t="shared" si="6"/>
        <v>9.8693574478379807E-3</v>
      </c>
      <c r="O8" s="22">
        <f t="shared" ref="O8:O17" si="12">N8</f>
        <v>9.8693574478379807E-3</v>
      </c>
      <c r="P8" s="22">
        <f t="shared" si="7"/>
        <v>9.8693574478379807E-3</v>
      </c>
      <c r="Q8" s="22">
        <f t="shared" si="8"/>
        <v>0.17269812455702016</v>
      </c>
      <c r="R8" s="22">
        <f t="shared" si="9"/>
        <v>1.5691615890155402E-4</v>
      </c>
      <c r="S8" s="22">
        <f t="shared" si="10"/>
        <v>8.3979871207300424E-2</v>
      </c>
      <c r="T8" s="22">
        <f t="shared" si="11"/>
        <v>2.2273303349809051E-2</v>
      </c>
    </row>
    <row r="9" spans="1:20" ht="15" customHeight="1" x14ac:dyDescent="0.2">
      <c r="A9" s="17" t="str">
        <f>Dados!B64</f>
        <v>Motoniveladora</v>
      </c>
      <c r="B9" s="90" t="str">
        <f>Dados!C64</f>
        <v>Case</v>
      </c>
      <c r="C9" s="19">
        <f>Dados!F64*$B$1</f>
        <v>172.9503</v>
      </c>
      <c r="D9" s="24" t="s">
        <v>113</v>
      </c>
      <c r="E9" s="236"/>
      <c r="F9" s="236"/>
      <c r="G9" s="20">
        <f>Dados!E64</f>
        <v>8</v>
      </c>
      <c r="H9" s="19">
        <f>(Dados!G64/365)/G9</f>
        <v>2.1917808219178081</v>
      </c>
      <c r="I9" s="5">
        <f t="shared" si="0"/>
        <v>4.1133851253363274E-2</v>
      </c>
      <c r="J9" s="5">
        <f t="shared" si="1"/>
        <v>0.73743613111810991</v>
      </c>
      <c r="K9" s="5">
        <f t="shared" si="5"/>
        <v>6.3245652808831298E-4</v>
      </c>
      <c r="L9" s="5">
        <f t="shared" si="2"/>
        <v>0.34201904518939646</v>
      </c>
      <c r="M9" s="5">
        <f t="shared" si="3"/>
        <v>9.4025823002404793E-2</v>
      </c>
      <c r="N9" s="22">
        <f t="shared" si="6"/>
        <v>3.005212876958047E-2</v>
      </c>
      <c r="O9" s="22">
        <f t="shared" si="12"/>
        <v>3.005212876958047E-2</v>
      </c>
      <c r="P9" s="22">
        <f t="shared" si="7"/>
        <v>3.005212876958047E-2</v>
      </c>
      <c r="Q9" s="22">
        <f t="shared" si="8"/>
        <v>0.53876612319131312</v>
      </c>
      <c r="R9" s="22">
        <f t="shared" si="9"/>
        <v>4.6206869632022863E-4</v>
      </c>
      <c r="S9" s="22">
        <f t="shared" si="10"/>
        <v>0.24987692799225311</v>
      </c>
      <c r="T9" s="22">
        <f t="shared" si="11"/>
        <v>6.8694665207236369E-2</v>
      </c>
    </row>
    <row r="10" spans="1:20" ht="15" customHeight="1" x14ac:dyDescent="0.2">
      <c r="A10" s="17" t="str">
        <f>Dados!B65</f>
        <v>Pá-carregadeira</v>
      </c>
      <c r="B10" s="90" t="str">
        <f>Dados!C65</f>
        <v>Case</v>
      </c>
      <c r="C10" s="19">
        <f>Dados!F65*$B$1</f>
        <v>151.968345</v>
      </c>
      <c r="D10" s="24" t="s">
        <v>138</v>
      </c>
      <c r="E10" s="236"/>
      <c r="F10" s="236"/>
      <c r="G10" s="20">
        <f>Dados!E65</f>
        <v>3</v>
      </c>
      <c r="H10" s="19">
        <f>(Dados!G65/365)/G10</f>
        <v>2.1917808219178081</v>
      </c>
      <c r="I10" s="5">
        <f t="shared" si="0"/>
        <v>3.4873730864910753E-2</v>
      </c>
      <c r="J10" s="5">
        <f t="shared" si="1"/>
        <v>0.62819014565488085</v>
      </c>
      <c r="K10" s="5">
        <f t="shared" si="5"/>
        <v>5.4259968788077681E-4</v>
      </c>
      <c r="L10" s="5">
        <f t="shared" si="2"/>
        <v>0.29143683660988179</v>
      </c>
      <c r="M10" s="5">
        <f t="shared" si="3"/>
        <v>7.9806989940830519E-2</v>
      </c>
      <c r="N10" s="22">
        <f t="shared" si="6"/>
        <v>9.554446812304317E-3</v>
      </c>
      <c r="O10" s="22">
        <f t="shared" si="12"/>
        <v>9.554446812304317E-3</v>
      </c>
      <c r="P10" s="22">
        <f t="shared" ref="P10:P16" si="13">N10</f>
        <v>9.554446812304317E-3</v>
      </c>
      <c r="Q10" s="22">
        <f t="shared" si="8"/>
        <v>0.17210688922051529</v>
      </c>
      <c r="R10" s="22">
        <f t="shared" si="9"/>
        <v>1.486574487344594E-4</v>
      </c>
      <c r="S10" s="22">
        <f t="shared" si="10"/>
        <v>7.9845708660241585E-2</v>
      </c>
      <c r="T10" s="22">
        <f t="shared" si="11"/>
        <v>2.1864928750912473E-2</v>
      </c>
    </row>
    <row r="11" spans="1:20" ht="15" customHeight="1" x14ac:dyDescent="0.2">
      <c r="A11" s="17" t="str">
        <f>Dados!B66</f>
        <v>Trator Agrícola com Arado</v>
      </c>
      <c r="B11" s="90" t="str">
        <f>Dados!C66</f>
        <v>Valtra</v>
      </c>
      <c r="C11" s="19">
        <f>Dados!F66*$B$1</f>
        <v>221.21549999999999</v>
      </c>
      <c r="D11" s="24" t="s">
        <v>152</v>
      </c>
      <c r="E11" s="236"/>
      <c r="F11" s="236"/>
      <c r="G11" s="20">
        <f>Dados!E66</f>
        <v>7</v>
      </c>
      <c r="H11" s="19">
        <f>(Dados!G66/365)/G11</f>
        <v>2.1917808219178081</v>
      </c>
      <c r="I11" s="5">
        <f t="shared" si="0"/>
        <v>2.9155253425145213E-2</v>
      </c>
      <c r="J11" s="5">
        <f t="shared" si="1"/>
        <v>0.87589188757724734</v>
      </c>
      <c r="K11" s="5">
        <f t="shared" si="5"/>
        <v>8.7649223561064675E-4</v>
      </c>
      <c r="L11" s="5">
        <f t="shared" si="2"/>
        <v>0.21389105427558991</v>
      </c>
      <c r="M11" s="5">
        <f t="shared" si="3"/>
        <v>7.7732208449766999E-2</v>
      </c>
      <c r="N11" s="22">
        <f t="shared" si="6"/>
        <v>1.863806155032114E-2</v>
      </c>
      <c r="O11" s="22">
        <f t="shared" si="12"/>
        <v>1.863806155032114E-2</v>
      </c>
      <c r="P11" s="22">
        <f t="shared" si="13"/>
        <v>1.863806155032114E-2</v>
      </c>
      <c r="Q11" s="22">
        <f t="shared" si="8"/>
        <v>0.55993088703568317</v>
      </c>
      <c r="R11" s="22">
        <f t="shared" si="9"/>
        <v>5.6031467116662349E-4</v>
      </c>
      <c r="S11" s="22">
        <f t="shared" si="10"/>
        <v>0.13673400729946386</v>
      </c>
      <c r="T11" s="22">
        <f t="shared" si="11"/>
        <v>4.9691822753275695E-2</v>
      </c>
    </row>
    <row r="12" spans="1:20" ht="15" customHeight="1" x14ac:dyDescent="0.2">
      <c r="A12" s="17" t="str">
        <f>Dados!B67</f>
        <v>Rolo Compactador Corrugado</v>
      </c>
      <c r="B12" s="90" t="str">
        <f>Dados!C67</f>
        <v>Aman</v>
      </c>
      <c r="C12" s="19">
        <f>Dados!F67*$B$1</f>
        <v>115.3002</v>
      </c>
      <c r="D12" s="24" t="s">
        <v>160</v>
      </c>
      <c r="E12" s="236"/>
      <c r="F12" s="236"/>
      <c r="G12" s="20">
        <f>Dados!E67</f>
        <v>2</v>
      </c>
      <c r="H12" s="19">
        <f>(Dados!G67/365)/G12</f>
        <v>2.1917808219178081</v>
      </c>
      <c r="I12" s="5">
        <f t="shared" si="0"/>
        <v>3.3309935982535011E-2</v>
      </c>
      <c r="J12" s="5">
        <f t="shared" si="1"/>
        <v>0.39234610723281199</v>
      </c>
      <c r="K12" s="5">
        <f t="shared" si="5"/>
        <v>3.1387121104473639E-4</v>
      </c>
      <c r="L12" s="5">
        <f t="shared" si="2"/>
        <v>0.19623905859425336</v>
      </c>
      <c r="M12" s="5">
        <f t="shared" si="3"/>
        <v>6.5780792944078362E-2</v>
      </c>
      <c r="N12" s="22">
        <f t="shared" si="6"/>
        <v>6.0840065721525132E-3</v>
      </c>
      <c r="O12" s="22">
        <f t="shared" si="12"/>
        <v>6.0840065721525132E-3</v>
      </c>
      <c r="P12" s="22">
        <f t="shared" si="13"/>
        <v>6.0840065721525132E-3</v>
      </c>
      <c r="Q12" s="22">
        <f t="shared" si="8"/>
        <v>7.1661389448915425E-2</v>
      </c>
      <c r="R12" s="22">
        <f t="shared" si="9"/>
        <v>5.7328075076664175E-5</v>
      </c>
      <c r="S12" s="22">
        <f t="shared" si="10"/>
        <v>3.5842750428174128E-2</v>
      </c>
      <c r="T12" s="22">
        <f t="shared" si="11"/>
        <v>1.2014756702114769E-2</v>
      </c>
    </row>
    <row r="13" spans="1:20" ht="15" customHeight="1" x14ac:dyDescent="0.2">
      <c r="A13" s="17" t="str">
        <f>Dados!B68</f>
        <v>Rolo Compactador Corrugado</v>
      </c>
      <c r="B13" s="90" t="str">
        <f>Dados!C68</f>
        <v>Bomag</v>
      </c>
      <c r="C13" s="19">
        <f>Dados!F68*$B$1</f>
        <v>174.291</v>
      </c>
      <c r="D13" s="24" t="s">
        <v>161</v>
      </c>
      <c r="E13" s="236"/>
      <c r="F13" s="236"/>
      <c r="G13" s="20">
        <f>Dados!E68</f>
        <v>2</v>
      </c>
      <c r="H13" s="19">
        <f>(Dados!G68/365)/G13</f>
        <v>2.1917808219178081</v>
      </c>
      <c r="I13" s="5">
        <f t="shared" si="0"/>
        <v>3.3912807797719428E-2</v>
      </c>
      <c r="J13" s="5">
        <f t="shared" si="1"/>
        <v>0.64385126444989804</v>
      </c>
      <c r="K13" s="5">
        <f t="shared" si="5"/>
        <v>5.5194373792824309E-4</v>
      </c>
      <c r="L13" s="5">
        <f t="shared" si="2"/>
        <v>0.29023161304287465</v>
      </c>
      <c r="M13" s="5">
        <f t="shared" si="3"/>
        <v>7.9307095273692785E-2</v>
      </c>
      <c r="N13" s="22">
        <f t="shared" si="6"/>
        <v>6.1941201457021778E-3</v>
      </c>
      <c r="O13" s="22">
        <f t="shared" si="12"/>
        <v>6.1941201457021778E-3</v>
      </c>
      <c r="P13" s="22">
        <f t="shared" si="13"/>
        <v>6.1941201457021778E-3</v>
      </c>
      <c r="Q13" s="22">
        <f t="shared" si="8"/>
        <v>0.11759840446573479</v>
      </c>
      <c r="R13" s="22">
        <f t="shared" si="9"/>
        <v>1.0081164163072932E-4</v>
      </c>
      <c r="S13" s="22">
        <f t="shared" si="10"/>
        <v>5.301034028180359E-2</v>
      </c>
      <c r="T13" s="22">
        <f t="shared" si="11"/>
        <v>1.4485314205240692E-2</v>
      </c>
    </row>
    <row r="14" spans="1:20" ht="15" customHeight="1" x14ac:dyDescent="0.2">
      <c r="A14" s="17" t="str">
        <f>Dados!B69</f>
        <v>Rolo Compactador Corrugado</v>
      </c>
      <c r="B14" s="90" t="str">
        <f>Dados!C69</f>
        <v>Bomag</v>
      </c>
      <c r="C14" s="19">
        <f>Dados!F69*$B$1</f>
        <v>147.477</v>
      </c>
      <c r="D14" s="24" t="s">
        <v>161</v>
      </c>
      <c r="E14" s="236"/>
      <c r="F14" s="236"/>
      <c r="G14" s="20">
        <f>Dados!E69</f>
        <v>7</v>
      </c>
      <c r="H14" s="19">
        <f>(Dados!G69/365)/G14</f>
        <v>2.5048923679060664</v>
      </c>
      <c r="I14" s="5">
        <f t="shared" si="0"/>
        <v>3.3912807797719428E-2</v>
      </c>
      <c r="J14" s="5">
        <f t="shared" si="1"/>
        <v>0.64385126444989804</v>
      </c>
      <c r="K14" s="5">
        <f t="shared" si="5"/>
        <v>5.5194373792824309E-4</v>
      </c>
      <c r="L14" s="5">
        <f t="shared" si="2"/>
        <v>0.29023161304287465</v>
      </c>
      <c r="M14" s="5">
        <f t="shared" si="3"/>
        <v>7.9307095273692785E-2</v>
      </c>
      <c r="N14" s="22">
        <f t="shared" si="6"/>
        <v>2.4776480582808711E-2</v>
      </c>
      <c r="O14" s="22">
        <f t="shared" si="12"/>
        <v>2.4776480582808711E-2</v>
      </c>
      <c r="P14" s="22">
        <f t="shared" si="13"/>
        <v>2.4776480582808711E-2</v>
      </c>
      <c r="Q14" s="22">
        <f t="shared" si="8"/>
        <v>0.47039361786293915</v>
      </c>
      <c r="R14" s="22">
        <f t="shared" si="9"/>
        <v>4.0324656652291729E-4</v>
      </c>
      <c r="S14" s="22">
        <f t="shared" si="10"/>
        <v>0.21204136112721436</v>
      </c>
      <c r="T14" s="22">
        <f t="shared" si="11"/>
        <v>5.7941256820962767E-2</v>
      </c>
    </row>
    <row r="15" spans="1:20" ht="15" customHeight="1" x14ac:dyDescent="0.2">
      <c r="A15" s="17" t="str">
        <f>Dados!B70</f>
        <v>Rolo Compactador Corrugado</v>
      </c>
      <c r="B15" s="90" t="str">
        <f>Dados!C70</f>
        <v>Caterpillar</v>
      </c>
      <c r="C15" s="19">
        <f>Dados!F70*$B$1</f>
        <v>131.3886</v>
      </c>
      <c r="D15" s="24" t="s">
        <v>161</v>
      </c>
      <c r="E15" s="236"/>
      <c r="F15" s="236"/>
      <c r="G15" s="20">
        <f>Dados!E70</f>
        <v>2</v>
      </c>
      <c r="H15" s="19">
        <f>(Dados!G70/365)/G15</f>
        <v>2.1917808219178081</v>
      </c>
      <c r="I15" s="5">
        <f t="shared" si="0"/>
        <v>3.3912807797719428E-2</v>
      </c>
      <c r="J15" s="5">
        <f t="shared" si="1"/>
        <v>0.64385126444989804</v>
      </c>
      <c r="K15" s="5">
        <f t="shared" si="5"/>
        <v>5.5194373792824309E-4</v>
      </c>
      <c r="L15" s="5">
        <f t="shared" si="2"/>
        <v>0.29023161304287465</v>
      </c>
      <c r="M15" s="5">
        <f t="shared" si="3"/>
        <v>7.9307095273692785E-2</v>
      </c>
      <c r="N15" s="22">
        <f t="shared" si="6"/>
        <v>6.1941201457021778E-3</v>
      </c>
      <c r="O15" s="22">
        <f t="shared" si="12"/>
        <v>6.1941201457021778E-3</v>
      </c>
      <c r="P15" s="22">
        <f t="shared" si="13"/>
        <v>6.1941201457021778E-3</v>
      </c>
      <c r="Q15" s="22">
        <f t="shared" si="8"/>
        <v>0.11759840446573479</v>
      </c>
      <c r="R15" s="22">
        <f t="shared" si="9"/>
        <v>1.0081164163072932E-4</v>
      </c>
      <c r="S15" s="22">
        <f t="shared" si="10"/>
        <v>5.301034028180359E-2</v>
      </c>
      <c r="T15" s="22">
        <f t="shared" si="11"/>
        <v>1.4485314205240692E-2</v>
      </c>
    </row>
    <row r="16" spans="1:20" ht="15" customHeight="1" x14ac:dyDescent="0.2">
      <c r="A16" s="17" t="str">
        <f>Dados!B71</f>
        <v>Retroescavadeira</v>
      </c>
      <c r="B16" s="90" t="str">
        <f>Dados!C71</f>
        <v>Case</v>
      </c>
      <c r="C16" s="19">
        <f>Dados!F71*$B$1</f>
        <v>75.0792</v>
      </c>
      <c r="D16" s="24" t="s">
        <v>150</v>
      </c>
      <c r="E16" s="236"/>
      <c r="F16" s="236"/>
      <c r="G16" s="20">
        <f>Dados!E71</f>
        <v>1</v>
      </c>
      <c r="H16" s="19">
        <f>(Dados!G71/365)/G16</f>
        <v>2.1917808219178081</v>
      </c>
      <c r="I16" s="5">
        <f t="shared" si="0"/>
        <v>2.8793655488323529E-2</v>
      </c>
      <c r="J16" s="5">
        <f t="shared" si="1"/>
        <v>0.31658028839538099</v>
      </c>
      <c r="K16" s="5">
        <f t="shared" si="5"/>
        <v>2.7523798360286437E-4</v>
      </c>
      <c r="L16" s="5">
        <f t="shared" si="2"/>
        <v>0.1700059255667182</v>
      </c>
      <c r="M16" s="5">
        <f t="shared" si="3"/>
        <v>5.3477532985904644E-2</v>
      </c>
      <c r="N16" s="22">
        <f t="shared" si="6"/>
        <v>2.6295575788423311E-3</v>
      </c>
      <c r="O16" s="22">
        <f t="shared" si="12"/>
        <v>2.6295575788423311E-3</v>
      </c>
      <c r="P16" s="22">
        <f t="shared" si="13"/>
        <v>2.6295575788423311E-3</v>
      </c>
      <c r="Q16" s="22">
        <f t="shared" si="8"/>
        <v>2.8911441862591869E-2</v>
      </c>
      <c r="R16" s="22">
        <f t="shared" si="9"/>
        <v>2.5135888913503592E-5</v>
      </c>
      <c r="S16" s="22">
        <f t="shared" si="10"/>
        <v>1.5525655302896638E-2</v>
      </c>
      <c r="T16" s="22">
        <f t="shared" si="11"/>
        <v>4.8837929667492818E-3</v>
      </c>
    </row>
    <row r="17" spans="1:21" ht="15" customHeight="1" x14ac:dyDescent="0.2">
      <c r="A17" s="17" t="str">
        <f>Dados!B80</f>
        <v>Trator Esteira D-6</v>
      </c>
      <c r="B17" s="90" t="str">
        <f>Dados!C80</f>
        <v>Caterpilar</v>
      </c>
      <c r="C17" s="19">
        <f>Dados!F80*$B$1</f>
        <v>184.94956499999998</v>
      </c>
      <c r="D17" s="24" t="s">
        <v>167</v>
      </c>
      <c r="E17" s="236"/>
      <c r="F17" s="236"/>
      <c r="G17" s="20">
        <f>Dados!E80</f>
        <v>1</v>
      </c>
      <c r="H17" s="19">
        <f>(Dados!G77/365)/G17</f>
        <v>7.7150684931506852</v>
      </c>
      <c r="I17" s="5">
        <f t="shared" si="0"/>
        <v>4.2283206527599426E-2</v>
      </c>
      <c r="J17" s="5">
        <f t="shared" si="1"/>
        <v>1.0352810333331539</v>
      </c>
      <c r="K17" s="5">
        <f t="shared" si="5"/>
        <v>8.4788367287406919E-4</v>
      </c>
      <c r="L17" s="5">
        <f t="shared" si="2"/>
        <v>0.30421833804757625</v>
      </c>
      <c r="M17" s="5">
        <f t="shared" si="3"/>
        <v>0.10821566630408518</v>
      </c>
      <c r="N17" s="22">
        <f t="shared" si="6"/>
        <v>1.3592409769602737E-2</v>
      </c>
      <c r="O17" s="22">
        <f t="shared" si="12"/>
        <v>1.3592409769602737E-2</v>
      </c>
      <c r="P17" s="22">
        <f t="shared" ref="P17" si="14">N17</f>
        <v>1.3592409769602737E-2</v>
      </c>
      <c r="Q17" s="22">
        <f t="shared" si="8"/>
        <v>0.33280267007604586</v>
      </c>
      <c r="R17" s="22">
        <f t="shared" si="9"/>
        <v>2.725616921019839E-4</v>
      </c>
      <c r="S17" s="22">
        <f t="shared" si="10"/>
        <v>9.7794388121229994E-2</v>
      </c>
      <c r="T17" s="22">
        <f t="shared" si="11"/>
        <v>3.4787136565331493E-2</v>
      </c>
    </row>
    <row r="18" spans="1:21" ht="15" customHeight="1" x14ac:dyDescent="0.2">
      <c r="A18" s="237" t="s">
        <v>49</v>
      </c>
      <c r="B18" s="237"/>
      <c r="C18" s="237"/>
      <c r="D18" s="237"/>
      <c r="E18" s="237"/>
      <c r="F18" s="237"/>
      <c r="G18" s="237"/>
      <c r="H18" s="237"/>
      <c r="I18" s="237"/>
      <c r="J18" s="237"/>
      <c r="K18" s="237"/>
      <c r="L18" s="237"/>
      <c r="M18" s="237"/>
      <c r="N18" s="21">
        <f t="shared" ref="N18:T18" si="15">SUM(N6:N17)</f>
        <v>0.14074383263863854</v>
      </c>
      <c r="O18" s="21">
        <f t="shared" si="15"/>
        <v>0.14074383263863854</v>
      </c>
      <c r="P18" s="21">
        <f t="shared" si="15"/>
        <v>0.14074383263863854</v>
      </c>
      <c r="Q18" s="21">
        <f t="shared" si="15"/>
        <v>2.8127321182625202</v>
      </c>
      <c r="R18" s="21">
        <f t="shared" si="15"/>
        <v>2.4970740262014652E-3</v>
      </c>
      <c r="S18" s="21">
        <f t="shared" si="15"/>
        <v>1.129634512312115</v>
      </c>
      <c r="T18" s="21">
        <f t="shared" si="15"/>
        <v>0.33082002932661864</v>
      </c>
      <c r="U18" s="22"/>
    </row>
    <row r="19" spans="1:21" ht="15" customHeight="1" x14ac:dyDescent="0.2">
      <c r="A19" s="23"/>
      <c r="B19" s="23"/>
      <c r="C19" s="24"/>
      <c r="H19" s="23"/>
      <c r="I19" s="23"/>
      <c r="J19" s="23"/>
      <c r="K19" s="23"/>
      <c r="L19" s="23"/>
      <c r="M19" s="23"/>
      <c r="N19" s="25"/>
      <c r="O19" s="25"/>
      <c r="P19" s="25"/>
      <c r="Q19" s="25"/>
      <c r="R19" s="26"/>
      <c r="S19" s="25"/>
      <c r="T19" s="25"/>
    </row>
    <row r="20" spans="1:21" ht="15" customHeight="1" x14ac:dyDescent="0.2">
      <c r="N20" s="27"/>
      <c r="O20" s="27"/>
      <c r="P20" s="27"/>
      <c r="Q20" s="27"/>
      <c r="R20" s="27"/>
    </row>
    <row r="21" spans="1:21" ht="15" customHeight="1" x14ac:dyDescent="0.25">
      <c r="A21" s="1"/>
      <c r="B21" s="1"/>
      <c r="C21" s="1"/>
      <c r="D21" s="1"/>
      <c r="E21" s="1"/>
      <c r="F21" s="1"/>
      <c r="G21" s="1"/>
    </row>
    <row r="22" spans="1:21" ht="15" customHeight="1" x14ac:dyDescent="0.25">
      <c r="N22"/>
      <c r="O22"/>
      <c r="P22"/>
      <c r="Q22"/>
      <c r="R22"/>
      <c r="S22"/>
      <c r="T22"/>
    </row>
    <row r="23" spans="1:21" ht="15" customHeight="1" x14ac:dyDescent="0.25">
      <c r="N23"/>
      <c r="O23"/>
      <c r="P23"/>
      <c r="Q23"/>
      <c r="R23"/>
      <c r="S23"/>
      <c r="T23"/>
    </row>
    <row r="24" spans="1:21" ht="15" customHeight="1" x14ac:dyDescent="0.25">
      <c r="N24"/>
      <c r="O24"/>
      <c r="P24"/>
      <c r="Q24"/>
      <c r="R24"/>
      <c r="S24"/>
      <c r="T24"/>
    </row>
    <row r="25" spans="1:21" ht="15" customHeight="1" x14ac:dyDescent="0.25">
      <c r="N25"/>
      <c r="O25"/>
      <c r="P25"/>
      <c r="Q25"/>
      <c r="R25"/>
      <c r="S25"/>
      <c r="T25"/>
    </row>
    <row r="26" spans="1:21" ht="15" customHeight="1" x14ac:dyDescent="0.25">
      <c r="N26"/>
      <c r="O26"/>
      <c r="P26"/>
      <c r="Q26"/>
      <c r="R26"/>
      <c r="S26"/>
      <c r="T26"/>
    </row>
    <row r="27" spans="1:21" ht="15" customHeight="1" x14ac:dyDescent="0.25">
      <c r="N27"/>
      <c r="O27"/>
      <c r="P27"/>
      <c r="Q27"/>
      <c r="R27"/>
      <c r="S27"/>
      <c r="T27"/>
    </row>
    <row r="28" spans="1:21" ht="15" customHeight="1" x14ac:dyDescent="0.25">
      <c r="N28"/>
      <c r="O28"/>
      <c r="P28"/>
      <c r="Q28"/>
      <c r="R28"/>
      <c r="S28"/>
      <c r="T28"/>
    </row>
    <row r="29" spans="1:21" ht="15" customHeight="1" x14ac:dyDescent="0.25">
      <c r="N29"/>
      <c r="O29"/>
      <c r="P29"/>
      <c r="Q29"/>
      <c r="R29"/>
      <c r="S29"/>
      <c r="T29"/>
    </row>
    <row r="30" spans="1:21" ht="15" customHeight="1" x14ac:dyDescent="0.25">
      <c r="N30"/>
      <c r="O30"/>
      <c r="P30"/>
      <c r="Q30"/>
      <c r="R30"/>
      <c r="S30"/>
      <c r="T30"/>
    </row>
    <row r="31" spans="1:21" ht="15" customHeight="1" x14ac:dyDescent="0.25">
      <c r="N31"/>
      <c r="O31"/>
      <c r="P31"/>
      <c r="Q31"/>
      <c r="R31"/>
      <c r="S31"/>
      <c r="T31"/>
    </row>
    <row r="32" spans="1:21" ht="15" customHeight="1" x14ac:dyDescent="0.25">
      <c r="N32"/>
      <c r="O32"/>
      <c r="P32"/>
      <c r="Q32"/>
      <c r="R32"/>
      <c r="S32"/>
      <c r="T32"/>
    </row>
    <row r="33" spans="14:20" ht="15" customHeight="1" x14ac:dyDescent="0.25">
      <c r="N33"/>
      <c r="O33"/>
      <c r="P33"/>
      <c r="Q33"/>
      <c r="R33"/>
      <c r="S33"/>
      <c r="T33"/>
    </row>
  </sheetData>
  <sheetProtection algorithmName="SHA-512" hashValue="16i3WasaEQvDY87aI+/s8asSBmzgLxxbqIditS3N0TWd+xi4OM2klDzK+JTAy5Ig2smJFpi+WyrUfc8w4ful8g==" saltValue="AAWA8fP38GqssB8nKVYmVg==" spinCount="100000" sheet="1" objects="1" scenarios="1"/>
  <mergeCells count="13">
    <mergeCell ref="E6:E17"/>
    <mergeCell ref="F6:F17"/>
    <mergeCell ref="A18:M18"/>
    <mergeCell ref="H4:H5"/>
    <mergeCell ref="N4:T4"/>
    <mergeCell ref="B4:B5"/>
    <mergeCell ref="A4:A5"/>
    <mergeCell ref="C4:C5"/>
    <mergeCell ref="D4:D5"/>
    <mergeCell ref="E4:E5"/>
    <mergeCell ref="F4:F5"/>
    <mergeCell ref="G4:G5"/>
    <mergeCell ref="I4:M4"/>
  </mergeCells>
  <dataValidations count="1">
    <dataValidation type="list" allowBlank="1" showInputMessage="1" showErrorMessage="1" sqref="D6:D17">
      <formula1>Pot_Equip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2"/>
  <sheetViews>
    <sheetView workbookViewId="0">
      <selection activeCell="E25" sqref="E25"/>
    </sheetView>
  </sheetViews>
  <sheetFormatPr defaultRowHeight="15" customHeight="1" x14ac:dyDescent="0.2"/>
  <cols>
    <col min="1" max="1" width="26.42578125" style="15" customWidth="1"/>
    <col min="2" max="3" width="21.5703125" style="15" customWidth="1"/>
    <col min="4" max="4" width="19.28515625" style="15" customWidth="1"/>
    <col min="5" max="5" width="30.140625" style="15" bestFit="1" customWidth="1"/>
    <col min="6" max="9" width="13.7109375" style="15" customWidth="1"/>
    <col min="10" max="14" width="9.5703125" style="15" customWidth="1"/>
    <col min="15" max="20" width="8.7109375" style="15" customWidth="1"/>
    <col min="21" max="21" width="10.42578125" style="15" bestFit="1" customWidth="1"/>
    <col min="22" max="16384" width="9.140625" style="15"/>
  </cols>
  <sheetData>
    <row r="1" spans="1:21" ht="15" customHeight="1" x14ac:dyDescent="0.2">
      <c r="A1" s="17" t="s">
        <v>407</v>
      </c>
      <c r="B1" s="29">
        <v>1.3407</v>
      </c>
      <c r="C1" s="17"/>
    </row>
    <row r="2" spans="1:21" ht="15" customHeight="1" x14ac:dyDescent="0.2">
      <c r="C2" s="28"/>
    </row>
    <row r="3" spans="1:21" ht="15" customHeight="1" x14ac:dyDescent="0.2">
      <c r="A3" s="3" t="s">
        <v>350</v>
      </c>
      <c r="C3" s="17"/>
    </row>
    <row r="4" spans="1:21" ht="15" customHeight="1" x14ac:dyDescent="0.2">
      <c r="A4" s="238" t="s">
        <v>171</v>
      </c>
      <c r="B4" s="238" t="s">
        <v>3</v>
      </c>
      <c r="C4" s="238" t="s">
        <v>304</v>
      </c>
      <c r="D4" s="238" t="s">
        <v>172</v>
      </c>
      <c r="E4" s="238" t="s">
        <v>173</v>
      </c>
      <c r="F4" s="242" t="s">
        <v>419</v>
      </c>
      <c r="G4" s="242" t="s">
        <v>420</v>
      </c>
      <c r="H4" s="238" t="s">
        <v>174</v>
      </c>
      <c r="I4" s="238" t="s">
        <v>175</v>
      </c>
      <c r="J4" s="240" t="s">
        <v>321</v>
      </c>
      <c r="K4" s="241"/>
      <c r="L4" s="241"/>
      <c r="M4" s="241"/>
      <c r="N4" s="241"/>
      <c r="O4" s="240" t="s">
        <v>176</v>
      </c>
      <c r="P4" s="241"/>
      <c r="Q4" s="241"/>
      <c r="R4" s="241"/>
      <c r="S4" s="241"/>
      <c r="T4" s="241"/>
      <c r="U4" s="241"/>
    </row>
    <row r="5" spans="1:21" ht="15" customHeight="1" x14ac:dyDescent="0.2">
      <c r="A5" s="239"/>
      <c r="B5" s="239"/>
      <c r="C5" s="239"/>
      <c r="D5" s="239"/>
      <c r="E5" s="239"/>
      <c r="F5" s="242"/>
      <c r="G5" s="242"/>
      <c r="H5" s="239"/>
      <c r="I5" s="239"/>
      <c r="J5" s="18" t="s">
        <v>177</v>
      </c>
      <c r="K5" s="18" t="s">
        <v>180</v>
      </c>
      <c r="L5" s="18" t="s">
        <v>181</v>
      </c>
      <c r="M5" s="18" t="s">
        <v>182</v>
      </c>
      <c r="N5" s="18" t="s">
        <v>408</v>
      </c>
      <c r="O5" s="18" t="s">
        <v>177</v>
      </c>
      <c r="P5" s="18" t="s">
        <v>178</v>
      </c>
      <c r="Q5" s="18" t="s">
        <v>179</v>
      </c>
      <c r="R5" s="18" t="s">
        <v>180</v>
      </c>
      <c r="S5" s="18" t="s">
        <v>181</v>
      </c>
      <c r="T5" s="18" t="s">
        <v>182</v>
      </c>
      <c r="U5" s="18" t="s">
        <v>408</v>
      </c>
    </row>
    <row r="6" spans="1:21" ht="15" customHeight="1" x14ac:dyDescent="0.2">
      <c r="A6" s="56" t="str">
        <f>Dados!C8</f>
        <v>Trator</v>
      </c>
      <c r="B6" s="20">
        <f>Dados!D8</f>
        <v>4100</v>
      </c>
      <c r="C6" s="20" t="str">
        <f>Dados!E8</f>
        <v>Agrale</v>
      </c>
      <c r="D6" s="19">
        <v>15</v>
      </c>
      <c r="E6" s="24" t="s">
        <v>148</v>
      </c>
      <c r="F6" s="235">
        <v>-20.262758999999999</v>
      </c>
      <c r="G6" s="235">
        <v>-40.280014000000001</v>
      </c>
      <c r="H6" s="20">
        <f>Dados!B8</f>
        <v>1</v>
      </c>
      <c r="I6" s="19">
        <v>8</v>
      </c>
      <c r="J6" s="63">
        <f t="shared" ref="J6:J18" si="0">(INDEX(FE_Equip,MATCH($E6,Pot_Equip,0),2))</f>
        <v>4.2993799041926711E-3</v>
      </c>
      <c r="K6" s="62">
        <f t="shared" ref="K6:K18" si="1">(INDEX(FE_Equip,MATCH($E6,Pot_Equip,0),3))</f>
        <v>6.5440289132956825E-2</v>
      </c>
      <c r="L6" s="5">
        <f t="shared" ref="L6:L18" si="2">(INDEX(FE_Equip,MATCH($E6,Pot_Equip,0),4))</f>
        <v>9.1296592193091332E-5</v>
      </c>
      <c r="M6" s="5">
        <f t="shared" ref="M6:M18" si="3">(INDEX(FE_Equip,MATCH($E6,Pot_Equip,0),5))</f>
        <v>3.3633509942077471E-2</v>
      </c>
      <c r="N6" s="62">
        <f t="shared" ref="N6:N18" si="4">(INDEX(FE_Equip,MATCH($E6,Pot_Equip,0),6))</f>
        <v>1.1508485911818236E-2</v>
      </c>
      <c r="O6" s="22">
        <f>J6*H6*I6/(24)</f>
        <v>1.4331266347308903E-3</v>
      </c>
      <c r="P6" s="22">
        <f>O6</f>
        <v>1.4331266347308903E-3</v>
      </c>
      <c r="Q6" s="22">
        <f>O6</f>
        <v>1.4331266347308903E-3</v>
      </c>
      <c r="R6" s="22">
        <f>K6*H6*I6/(24)</f>
        <v>2.1813429710985609E-2</v>
      </c>
      <c r="S6" s="22">
        <f>L6*H6*I6/(24)</f>
        <v>3.0432197397697112E-5</v>
      </c>
      <c r="T6" s="22">
        <f>M6*H6*I6/(24)</f>
        <v>1.1211169980692491E-2</v>
      </c>
      <c r="U6" s="22">
        <f>N6*H6*I6/(24)</f>
        <v>3.8361619706060788E-3</v>
      </c>
    </row>
    <row r="7" spans="1:21" ht="15" customHeight="1" x14ac:dyDescent="0.2">
      <c r="A7" s="56" t="str">
        <f>Dados!C10</f>
        <v>Gerador - GPU-M</v>
      </c>
      <c r="B7" s="20" t="str">
        <f>Dados!D10</f>
        <v>N/D</v>
      </c>
      <c r="C7" s="20" t="str">
        <f>Dados!E10</f>
        <v>Horbart</v>
      </c>
      <c r="D7" s="19">
        <v>109</v>
      </c>
      <c r="E7" s="24" t="s">
        <v>309</v>
      </c>
      <c r="F7" s="236"/>
      <c r="G7" s="236"/>
      <c r="H7" s="20">
        <f>Dados!B10</f>
        <v>1</v>
      </c>
      <c r="I7" s="19">
        <v>8</v>
      </c>
      <c r="J7" s="63">
        <f t="shared" si="0"/>
        <v>3.5898749736246127E-2</v>
      </c>
      <c r="K7" s="62">
        <f t="shared" si="1"/>
        <v>0.46892281022269755</v>
      </c>
      <c r="L7" s="5">
        <f t="shared" si="2"/>
        <v>4.1475845626583413E-4</v>
      </c>
      <c r="M7" s="5">
        <f t="shared" si="3"/>
        <v>0.235207374494215</v>
      </c>
      <c r="N7" s="62">
        <f t="shared" si="4"/>
        <v>7.4307665174849463E-2</v>
      </c>
      <c r="O7" s="22">
        <f t="shared" ref="O7:O18" si="5">J7*H7*I7/(24)</f>
        <v>1.1966249912082042E-2</v>
      </c>
      <c r="P7" s="22">
        <f t="shared" ref="P7:P18" si="6">O7</f>
        <v>1.1966249912082042E-2</v>
      </c>
      <c r="Q7" s="22">
        <f t="shared" ref="Q7:Q18" si="7">O7</f>
        <v>1.1966249912082042E-2</v>
      </c>
      <c r="R7" s="22">
        <f t="shared" ref="R7:R18" si="8">K7*H7*I7/(24)</f>
        <v>0.15630760340756586</v>
      </c>
      <c r="S7" s="22">
        <f t="shared" ref="S7:S18" si="9">L7*H7*I7/(24)</f>
        <v>1.3825281875527804E-4</v>
      </c>
      <c r="T7" s="22">
        <f t="shared" ref="T7:T18" si="10">M7*H7*I7/(24)</f>
        <v>7.8402458164738328E-2</v>
      </c>
      <c r="U7" s="22">
        <f t="shared" ref="U7:U18" si="11">N7*H7*I7/(24)</f>
        <v>2.476922172494982E-2</v>
      </c>
    </row>
    <row r="8" spans="1:21" ht="15" customHeight="1" x14ac:dyDescent="0.2">
      <c r="A8" s="56" t="str">
        <f>Dados!C12</f>
        <v>Trator</v>
      </c>
      <c r="B8" s="20" t="str">
        <f>Dados!D12</f>
        <v>A685-2</v>
      </c>
      <c r="C8" s="20" t="str">
        <f>Dados!E12</f>
        <v>Valtra</v>
      </c>
      <c r="D8" s="19">
        <v>66</v>
      </c>
      <c r="E8" s="24" t="s">
        <v>150</v>
      </c>
      <c r="F8" s="236"/>
      <c r="G8" s="236"/>
      <c r="H8" s="20">
        <f>Dados!B12</f>
        <v>1</v>
      </c>
      <c r="I8" s="19">
        <v>8</v>
      </c>
      <c r="J8" s="63">
        <f t="shared" si="0"/>
        <v>2.8793655488323529E-2</v>
      </c>
      <c r="K8" s="62">
        <f t="shared" si="1"/>
        <v>0.31658028839538099</v>
      </c>
      <c r="L8" s="5">
        <f t="shared" si="2"/>
        <v>2.7523798360286437E-4</v>
      </c>
      <c r="M8" s="5">
        <f t="shared" si="3"/>
        <v>0.1700059255667182</v>
      </c>
      <c r="N8" s="62">
        <f t="shared" si="4"/>
        <v>5.3477532985904644E-2</v>
      </c>
      <c r="O8" s="22">
        <f t="shared" si="5"/>
        <v>9.5978851627745096E-3</v>
      </c>
      <c r="P8" s="22">
        <f t="shared" si="6"/>
        <v>9.5978851627745096E-3</v>
      </c>
      <c r="Q8" s="22">
        <f t="shared" si="7"/>
        <v>9.5978851627745096E-3</v>
      </c>
      <c r="R8" s="22">
        <f t="shared" si="8"/>
        <v>0.10552676279846034</v>
      </c>
      <c r="S8" s="22">
        <f t="shared" si="9"/>
        <v>9.1745994534288118E-5</v>
      </c>
      <c r="T8" s="22">
        <f t="shared" si="10"/>
        <v>5.6668641855572736E-2</v>
      </c>
      <c r="U8" s="22">
        <f t="shared" si="11"/>
        <v>1.782584432863488E-2</v>
      </c>
    </row>
    <row r="9" spans="1:21" ht="15" customHeight="1" x14ac:dyDescent="0.2">
      <c r="A9" s="56" t="str">
        <f>Dados!C14</f>
        <v xml:space="preserve"> Gerador-GPU-E</v>
      </c>
      <c r="B9" s="20" t="str">
        <f>Dados!D14</f>
        <v>E-SERIES</v>
      </c>
      <c r="C9" s="20" t="str">
        <f>Dados!E14</f>
        <v>Horbart</v>
      </c>
      <c r="D9" s="19">
        <v>109</v>
      </c>
      <c r="E9" s="24" t="s">
        <v>309</v>
      </c>
      <c r="F9" s="236"/>
      <c r="G9" s="236"/>
      <c r="H9" s="20">
        <f>Dados!B14</f>
        <v>1</v>
      </c>
      <c r="I9" s="19">
        <v>8</v>
      </c>
      <c r="J9" s="63">
        <f t="shared" si="0"/>
        <v>3.5898749736246127E-2</v>
      </c>
      <c r="K9" s="62">
        <f t="shared" si="1"/>
        <v>0.46892281022269755</v>
      </c>
      <c r="L9" s="5">
        <f t="shared" si="2"/>
        <v>4.1475845626583413E-4</v>
      </c>
      <c r="M9" s="5">
        <f t="shared" si="3"/>
        <v>0.235207374494215</v>
      </c>
      <c r="N9" s="62">
        <f t="shared" si="4"/>
        <v>7.4307665174849463E-2</v>
      </c>
      <c r="O9" s="22">
        <f t="shared" si="5"/>
        <v>1.1966249912082042E-2</v>
      </c>
      <c r="P9" s="22">
        <f t="shared" si="6"/>
        <v>1.1966249912082042E-2</v>
      </c>
      <c r="Q9" s="22">
        <f t="shared" si="7"/>
        <v>1.1966249912082042E-2</v>
      </c>
      <c r="R9" s="22">
        <f t="shared" si="8"/>
        <v>0.15630760340756586</v>
      </c>
      <c r="S9" s="22">
        <f t="shared" si="9"/>
        <v>1.3825281875527804E-4</v>
      </c>
      <c r="T9" s="22">
        <f t="shared" si="10"/>
        <v>7.8402458164738328E-2</v>
      </c>
      <c r="U9" s="22">
        <f t="shared" si="11"/>
        <v>2.476922172494982E-2</v>
      </c>
    </row>
    <row r="10" spans="1:21" ht="15" customHeight="1" x14ac:dyDescent="0.2">
      <c r="A10" s="56" t="str">
        <f>Dados!C18</f>
        <v>Trator Velmet</v>
      </c>
      <c r="B10" s="20">
        <f>Dados!D18</f>
        <v>785</v>
      </c>
      <c r="C10" s="20" t="str">
        <f>Dados!E18</f>
        <v>Valtra</v>
      </c>
      <c r="D10" s="19">
        <v>78</v>
      </c>
      <c r="E10" s="24" t="s">
        <v>150</v>
      </c>
      <c r="F10" s="236"/>
      <c r="G10" s="236"/>
      <c r="H10" s="20">
        <f>Dados!B18</f>
        <v>1</v>
      </c>
      <c r="I10" s="19">
        <v>8</v>
      </c>
      <c r="J10" s="63">
        <f t="shared" si="0"/>
        <v>2.8793655488323529E-2</v>
      </c>
      <c r="K10" s="62">
        <f t="shared" si="1"/>
        <v>0.31658028839538099</v>
      </c>
      <c r="L10" s="5">
        <f t="shared" si="2"/>
        <v>2.7523798360286437E-4</v>
      </c>
      <c r="M10" s="5">
        <f t="shared" si="3"/>
        <v>0.1700059255667182</v>
      </c>
      <c r="N10" s="62">
        <f t="shared" si="4"/>
        <v>5.3477532985904644E-2</v>
      </c>
      <c r="O10" s="22">
        <f t="shared" si="5"/>
        <v>9.5978851627745096E-3</v>
      </c>
      <c r="P10" s="22">
        <f t="shared" si="6"/>
        <v>9.5978851627745096E-3</v>
      </c>
      <c r="Q10" s="22">
        <f t="shared" si="7"/>
        <v>9.5978851627745096E-3</v>
      </c>
      <c r="R10" s="22">
        <f t="shared" si="8"/>
        <v>0.10552676279846034</v>
      </c>
      <c r="S10" s="22">
        <f t="shared" si="9"/>
        <v>9.1745994534288118E-5</v>
      </c>
      <c r="T10" s="22">
        <f t="shared" si="10"/>
        <v>5.6668641855572736E-2</v>
      </c>
      <c r="U10" s="22">
        <f t="shared" si="11"/>
        <v>1.782584432863488E-2</v>
      </c>
    </row>
    <row r="11" spans="1:21" ht="15" customHeight="1" x14ac:dyDescent="0.2">
      <c r="A11" s="56" t="str">
        <f>Dados!C19</f>
        <v>Trator Agrale 4.100</v>
      </c>
      <c r="B11" s="20">
        <f>Dados!D19</f>
        <v>4100</v>
      </c>
      <c r="C11" s="20" t="str">
        <f>Dados!E19</f>
        <v>Agrale</v>
      </c>
      <c r="D11" s="19">
        <v>15</v>
      </c>
      <c r="E11" s="24" t="s">
        <v>148</v>
      </c>
      <c r="F11" s="236"/>
      <c r="G11" s="236"/>
      <c r="H11" s="20">
        <f>Dados!B19</f>
        <v>1</v>
      </c>
      <c r="I11" s="19">
        <v>8</v>
      </c>
      <c r="J11" s="63">
        <f t="shared" si="0"/>
        <v>4.2993799041926711E-3</v>
      </c>
      <c r="K11" s="62">
        <f t="shared" si="1"/>
        <v>6.5440289132956825E-2</v>
      </c>
      <c r="L11" s="5">
        <f t="shared" si="2"/>
        <v>9.1296592193091332E-5</v>
      </c>
      <c r="M11" s="5">
        <f t="shared" si="3"/>
        <v>3.3633509942077471E-2</v>
      </c>
      <c r="N11" s="62">
        <f t="shared" si="4"/>
        <v>1.1508485911818236E-2</v>
      </c>
      <c r="O11" s="22">
        <f t="shared" si="5"/>
        <v>1.4331266347308903E-3</v>
      </c>
      <c r="P11" s="22">
        <f t="shared" si="6"/>
        <v>1.4331266347308903E-3</v>
      </c>
      <c r="Q11" s="22">
        <f t="shared" si="7"/>
        <v>1.4331266347308903E-3</v>
      </c>
      <c r="R11" s="22">
        <f t="shared" si="8"/>
        <v>2.1813429710985609E-2</v>
      </c>
      <c r="S11" s="22">
        <f t="shared" si="9"/>
        <v>3.0432197397697112E-5</v>
      </c>
      <c r="T11" s="22">
        <f t="shared" si="10"/>
        <v>1.1211169980692491E-2</v>
      </c>
      <c r="U11" s="22">
        <f t="shared" si="11"/>
        <v>3.8361619706060788E-3</v>
      </c>
    </row>
    <row r="12" spans="1:21" ht="15" customHeight="1" x14ac:dyDescent="0.2">
      <c r="A12" s="56" t="str">
        <f>Dados!C20</f>
        <v>Trator Agrale 4.100</v>
      </c>
      <c r="B12" s="20">
        <f>Dados!D20</f>
        <v>4100</v>
      </c>
      <c r="C12" s="20" t="str">
        <f>Dados!E20</f>
        <v>Agrale</v>
      </c>
      <c r="D12" s="19">
        <v>15</v>
      </c>
      <c r="E12" s="24" t="s">
        <v>148</v>
      </c>
      <c r="F12" s="236"/>
      <c r="G12" s="236"/>
      <c r="H12" s="20">
        <f>Dados!B20</f>
        <v>1</v>
      </c>
      <c r="I12" s="19">
        <v>8</v>
      </c>
      <c r="J12" s="63">
        <f t="shared" si="0"/>
        <v>4.2993799041926711E-3</v>
      </c>
      <c r="K12" s="62">
        <f t="shared" si="1"/>
        <v>6.5440289132956825E-2</v>
      </c>
      <c r="L12" s="5">
        <f t="shared" si="2"/>
        <v>9.1296592193091332E-5</v>
      </c>
      <c r="M12" s="5">
        <f t="shared" si="3"/>
        <v>3.3633509942077471E-2</v>
      </c>
      <c r="N12" s="62">
        <f t="shared" si="4"/>
        <v>1.1508485911818236E-2</v>
      </c>
      <c r="O12" s="22">
        <f t="shared" si="5"/>
        <v>1.4331266347308903E-3</v>
      </c>
      <c r="P12" s="22">
        <f t="shared" si="6"/>
        <v>1.4331266347308903E-3</v>
      </c>
      <c r="Q12" s="22">
        <f t="shared" si="7"/>
        <v>1.4331266347308903E-3</v>
      </c>
      <c r="R12" s="22">
        <f t="shared" si="8"/>
        <v>2.1813429710985609E-2</v>
      </c>
      <c r="S12" s="22">
        <f t="shared" si="9"/>
        <v>3.0432197397697112E-5</v>
      </c>
      <c r="T12" s="22">
        <f t="shared" si="10"/>
        <v>1.1211169980692491E-2</v>
      </c>
      <c r="U12" s="22">
        <f t="shared" si="11"/>
        <v>3.8361619706060788E-3</v>
      </c>
    </row>
    <row r="13" spans="1:21" ht="15" customHeight="1" x14ac:dyDescent="0.2">
      <c r="A13" s="56" t="str">
        <f>Dados!C28</f>
        <v>Trator Valmet</v>
      </c>
      <c r="B13" s="20" t="str">
        <f>Dados!D28</f>
        <v>685ATS</v>
      </c>
      <c r="C13" s="20" t="str">
        <f>Dados!E28</f>
        <v>Valmet</v>
      </c>
      <c r="D13" s="19">
        <v>66</v>
      </c>
      <c r="E13" s="24" t="s">
        <v>150</v>
      </c>
      <c r="F13" s="236"/>
      <c r="G13" s="236"/>
      <c r="H13" s="20">
        <f>Dados!B28</f>
        <v>1</v>
      </c>
      <c r="I13" s="19">
        <v>8</v>
      </c>
      <c r="J13" s="63">
        <f t="shared" si="0"/>
        <v>2.8793655488323529E-2</v>
      </c>
      <c r="K13" s="62">
        <f t="shared" si="1"/>
        <v>0.31658028839538099</v>
      </c>
      <c r="L13" s="5">
        <f t="shared" si="2"/>
        <v>2.7523798360286437E-4</v>
      </c>
      <c r="M13" s="5">
        <f t="shared" si="3"/>
        <v>0.1700059255667182</v>
      </c>
      <c r="N13" s="62">
        <f t="shared" si="4"/>
        <v>5.3477532985904644E-2</v>
      </c>
      <c r="O13" s="22">
        <f t="shared" si="5"/>
        <v>9.5978851627745096E-3</v>
      </c>
      <c r="P13" s="22">
        <f t="shared" si="6"/>
        <v>9.5978851627745096E-3</v>
      </c>
      <c r="Q13" s="22">
        <f t="shared" si="7"/>
        <v>9.5978851627745096E-3</v>
      </c>
      <c r="R13" s="22">
        <f t="shared" si="8"/>
        <v>0.10552676279846034</v>
      </c>
      <c r="S13" s="22">
        <f t="shared" si="9"/>
        <v>9.1745994534288118E-5</v>
      </c>
      <c r="T13" s="22">
        <f t="shared" si="10"/>
        <v>5.6668641855572736E-2</v>
      </c>
      <c r="U13" s="22">
        <f t="shared" si="11"/>
        <v>1.782584432863488E-2</v>
      </c>
    </row>
    <row r="14" spans="1:21" ht="15" customHeight="1" x14ac:dyDescent="0.2">
      <c r="A14" s="56" t="str">
        <f>Dados!C29</f>
        <v>Trator Valtra</v>
      </c>
      <c r="B14" s="20" t="str">
        <f>Dados!D29</f>
        <v>685ATS</v>
      </c>
      <c r="C14" s="20" t="str">
        <f>Dados!E29</f>
        <v>Valtra</v>
      </c>
      <c r="D14" s="19">
        <v>66</v>
      </c>
      <c r="E14" s="24" t="s">
        <v>150</v>
      </c>
      <c r="F14" s="236"/>
      <c r="G14" s="236"/>
      <c r="H14" s="20">
        <f>Dados!B29</f>
        <v>1</v>
      </c>
      <c r="I14" s="19">
        <v>8</v>
      </c>
      <c r="J14" s="63">
        <f t="shared" si="0"/>
        <v>2.8793655488323529E-2</v>
      </c>
      <c r="K14" s="62">
        <f t="shared" si="1"/>
        <v>0.31658028839538099</v>
      </c>
      <c r="L14" s="5">
        <f t="shared" si="2"/>
        <v>2.7523798360286437E-4</v>
      </c>
      <c r="M14" s="5">
        <f t="shared" si="3"/>
        <v>0.1700059255667182</v>
      </c>
      <c r="N14" s="62">
        <f t="shared" si="4"/>
        <v>5.3477532985904644E-2</v>
      </c>
      <c r="O14" s="22">
        <f t="shared" si="5"/>
        <v>9.5978851627745096E-3</v>
      </c>
      <c r="P14" s="22">
        <f t="shared" si="6"/>
        <v>9.5978851627745096E-3</v>
      </c>
      <c r="Q14" s="22">
        <f t="shared" si="7"/>
        <v>9.5978851627745096E-3</v>
      </c>
      <c r="R14" s="22">
        <f t="shared" si="8"/>
        <v>0.10552676279846034</v>
      </c>
      <c r="S14" s="22">
        <f t="shared" si="9"/>
        <v>9.1745994534288118E-5</v>
      </c>
      <c r="T14" s="22">
        <f t="shared" si="10"/>
        <v>5.6668641855572736E-2</v>
      </c>
      <c r="U14" s="22">
        <f t="shared" si="11"/>
        <v>1.782584432863488E-2</v>
      </c>
    </row>
    <row r="15" spans="1:21" ht="15" customHeight="1" x14ac:dyDescent="0.2">
      <c r="A15" s="56" t="str">
        <f>Dados!C30</f>
        <v>Trator Valtra</v>
      </c>
      <c r="B15" s="20" t="str">
        <f>Dados!D30</f>
        <v>685ATS</v>
      </c>
      <c r="C15" s="20" t="str">
        <f>Dados!E30</f>
        <v>Valtra</v>
      </c>
      <c r="D15" s="19">
        <v>66</v>
      </c>
      <c r="E15" s="24" t="s">
        <v>150</v>
      </c>
      <c r="F15" s="236"/>
      <c r="G15" s="236"/>
      <c r="H15" s="20">
        <f>Dados!B30</f>
        <v>1</v>
      </c>
      <c r="I15" s="19">
        <v>8</v>
      </c>
      <c r="J15" s="63">
        <f t="shared" si="0"/>
        <v>2.8793655488323529E-2</v>
      </c>
      <c r="K15" s="62">
        <f t="shared" si="1"/>
        <v>0.31658028839538099</v>
      </c>
      <c r="L15" s="5">
        <f t="shared" si="2"/>
        <v>2.7523798360286437E-4</v>
      </c>
      <c r="M15" s="5">
        <f t="shared" si="3"/>
        <v>0.1700059255667182</v>
      </c>
      <c r="N15" s="62">
        <f t="shared" si="4"/>
        <v>5.3477532985904644E-2</v>
      </c>
      <c r="O15" s="22">
        <f t="shared" si="5"/>
        <v>9.5978851627745096E-3</v>
      </c>
      <c r="P15" s="22">
        <f t="shared" si="6"/>
        <v>9.5978851627745096E-3</v>
      </c>
      <c r="Q15" s="22">
        <f t="shared" si="7"/>
        <v>9.5978851627745096E-3</v>
      </c>
      <c r="R15" s="22">
        <f t="shared" si="8"/>
        <v>0.10552676279846034</v>
      </c>
      <c r="S15" s="22">
        <f t="shared" si="9"/>
        <v>9.1745994534288118E-5</v>
      </c>
      <c r="T15" s="22">
        <f t="shared" si="10"/>
        <v>5.6668641855572736E-2</v>
      </c>
      <c r="U15" s="22">
        <f t="shared" si="11"/>
        <v>1.782584432863488E-2</v>
      </c>
    </row>
    <row r="16" spans="1:21" ht="15" customHeight="1" x14ac:dyDescent="0.2">
      <c r="A16" s="56" t="str">
        <f>Dados!C38</f>
        <v>Trator</v>
      </c>
      <c r="B16" s="20" t="str">
        <f>Dados!D38</f>
        <v>Agrale 100</v>
      </c>
      <c r="C16" s="20" t="str">
        <f>Dados!E38</f>
        <v>Agrale</v>
      </c>
      <c r="D16" s="19">
        <v>15</v>
      </c>
      <c r="E16" s="24" t="s">
        <v>148</v>
      </c>
      <c r="F16" s="236"/>
      <c r="G16" s="236"/>
      <c r="H16" s="20">
        <f>Dados!B38</f>
        <v>1</v>
      </c>
      <c r="I16" s="19">
        <v>8</v>
      </c>
      <c r="J16" s="63">
        <f t="shared" si="0"/>
        <v>4.2993799041926711E-3</v>
      </c>
      <c r="K16" s="62">
        <f t="shared" si="1"/>
        <v>6.5440289132956825E-2</v>
      </c>
      <c r="L16" s="5">
        <f t="shared" si="2"/>
        <v>9.1296592193091332E-5</v>
      </c>
      <c r="M16" s="5">
        <f t="shared" si="3"/>
        <v>3.3633509942077471E-2</v>
      </c>
      <c r="N16" s="62">
        <f t="shared" si="4"/>
        <v>1.1508485911818236E-2</v>
      </c>
      <c r="O16" s="22">
        <f t="shared" si="5"/>
        <v>1.4331266347308903E-3</v>
      </c>
      <c r="P16" s="22">
        <f t="shared" si="6"/>
        <v>1.4331266347308903E-3</v>
      </c>
      <c r="Q16" s="22">
        <f t="shared" si="7"/>
        <v>1.4331266347308903E-3</v>
      </c>
      <c r="R16" s="22">
        <f t="shared" si="8"/>
        <v>2.1813429710985609E-2</v>
      </c>
      <c r="S16" s="22">
        <f t="shared" si="9"/>
        <v>3.0432197397697112E-5</v>
      </c>
      <c r="T16" s="22">
        <f t="shared" si="10"/>
        <v>1.1211169980692491E-2</v>
      </c>
      <c r="U16" s="22">
        <f t="shared" si="11"/>
        <v>3.8361619706060788E-3</v>
      </c>
    </row>
    <row r="17" spans="1:22" ht="15" customHeight="1" x14ac:dyDescent="0.2">
      <c r="A17" s="56" t="str">
        <f>Dados!C45</f>
        <v>Gerador</v>
      </c>
      <c r="B17" s="20" t="str">
        <f>Dados!D45</f>
        <v>100CU24P5</v>
      </c>
      <c r="C17" s="20" t="str">
        <f>Dados!E45</f>
        <v>Hobart</v>
      </c>
      <c r="D17" s="19">
        <v>109</v>
      </c>
      <c r="E17" s="24" t="s">
        <v>309</v>
      </c>
      <c r="F17" s="236"/>
      <c r="G17" s="236"/>
      <c r="H17" s="20">
        <f>Dados!B45</f>
        <v>1</v>
      </c>
      <c r="I17" s="19">
        <v>8</v>
      </c>
      <c r="J17" s="63">
        <f t="shared" si="0"/>
        <v>3.5898749736246127E-2</v>
      </c>
      <c r="K17" s="62">
        <f t="shared" si="1"/>
        <v>0.46892281022269755</v>
      </c>
      <c r="L17" s="5">
        <f t="shared" si="2"/>
        <v>4.1475845626583413E-4</v>
      </c>
      <c r="M17" s="5">
        <f t="shared" si="3"/>
        <v>0.235207374494215</v>
      </c>
      <c r="N17" s="62">
        <f t="shared" si="4"/>
        <v>7.4307665174849463E-2</v>
      </c>
      <c r="O17" s="22">
        <f t="shared" si="5"/>
        <v>1.1966249912082042E-2</v>
      </c>
      <c r="P17" s="22">
        <f t="shared" si="6"/>
        <v>1.1966249912082042E-2</v>
      </c>
      <c r="Q17" s="22">
        <f t="shared" si="7"/>
        <v>1.1966249912082042E-2</v>
      </c>
      <c r="R17" s="22">
        <f t="shared" si="8"/>
        <v>0.15630760340756586</v>
      </c>
      <c r="S17" s="22">
        <f t="shared" si="9"/>
        <v>1.3825281875527804E-4</v>
      </c>
      <c r="T17" s="22">
        <f t="shared" si="10"/>
        <v>7.8402458164738328E-2</v>
      </c>
      <c r="U17" s="22">
        <f t="shared" si="11"/>
        <v>2.476922172494982E-2</v>
      </c>
    </row>
    <row r="18" spans="1:22" ht="15" customHeight="1" x14ac:dyDescent="0.2">
      <c r="A18" s="56" t="str">
        <f>Dados!C48</f>
        <v>Trator</v>
      </c>
      <c r="B18" s="20" t="str">
        <f>Dados!D48</f>
        <v>685ATS</v>
      </c>
      <c r="C18" s="20" t="str">
        <f>Dados!E48</f>
        <v>Valtra / Valmet</v>
      </c>
      <c r="D18" s="19">
        <v>66</v>
      </c>
      <c r="E18" s="24" t="s">
        <v>150</v>
      </c>
      <c r="F18" s="236"/>
      <c r="G18" s="236"/>
      <c r="H18" s="20">
        <f>Dados!B48</f>
        <v>4</v>
      </c>
      <c r="I18" s="19">
        <v>8</v>
      </c>
      <c r="J18" s="63">
        <f t="shared" si="0"/>
        <v>2.8793655488323529E-2</v>
      </c>
      <c r="K18" s="62">
        <f t="shared" si="1"/>
        <v>0.31658028839538099</v>
      </c>
      <c r="L18" s="5">
        <f t="shared" si="2"/>
        <v>2.7523798360286437E-4</v>
      </c>
      <c r="M18" s="5">
        <f t="shared" si="3"/>
        <v>0.1700059255667182</v>
      </c>
      <c r="N18" s="62">
        <f t="shared" si="4"/>
        <v>5.3477532985904644E-2</v>
      </c>
      <c r="O18" s="22">
        <f t="shared" si="5"/>
        <v>3.8391540651098038E-2</v>
      </c>
      <c r="P18" s="22">
        <f t="shared" si="6"/>
        <v>3.8391540651098038E-2</v>
      </c>
      <c r="Q18" s="22">
        <f t="shared" si="7"/>
        <v>3.8391540651098038E-2</v>
      </c>
      <c r="R18" s="22">
        <f t="shared" si="8"/>
        <v>0.42210705119384134</v>
      </c>
      <c r="S18" s="22">
        <f t="shared" si="9"/>
        <v>3.6698397813715247E-4</v>
      </c>
      <c r="T18" s="22">
        <f t="shared" si="10"/>
        <v>0.22667456742229095</v>
      </c>
      <c r="U18" s="22">
        <f t="shared" si="11"/>
        <v>7.1303377314539521E-2</v>
      </c>
    </row>
    <row r="19" spans="1:22" ht="15" customHeight="1" x14ac:dyDescent="0.2">
      <c r="A19" s="237" t="s">
        <v>49</v>
      </c>
      <c r="B19" s="237"/>
      <c r="C19" s="237"/>
      <c r="D19" s="237"/>
      <c r="E19" s="237"/>
      <c r="F19" s="237"/>
      <c r="G19" s="237"/>
      <c r="H19" s="237"/>
      <c r="I19" s="237"/>
      <c r="J19" s="237"/>
      <c r="K19" s="237"/>
      <c r="L19" s="237"/>
      <c r="M19" s="237"/>
      <c r="N19" s="237"/>
      <c r="O19" s="21">
        <f t="shared" ref="O19:U19" si="12">SUM(O6:O18)</f>
        <v>0.12801222274014029</v>
      </c>
      <c r="P19" s="21">
        <f t="shared" si="12"/>
        <v>0.12801222274014029</v>
      </c>
      <c r="Q19" s="21">
        <f t="shared" si="12"/>
        <v>0.12801222274014029</v>
      </c>
      <c r="R19" s="21">
        <f t="shared" si="12"/>
        <v>1.505917394252783</v>
      </c>
      <c r="S19" s="21">
        <f t="shared" si="12"/>
        <v>1.3622011966652155E-3</v>
      </c>
      <c r="T19" s="21">
        <f t="shared" si="12"/>
        <v>0.79006983111713958</v>
      </c>
      <c r="U19" s="21">
        <f t="shared" si="12"/>
        <v>0.25008491201498767</v>
      </c>
      <c r="V19" s="22"/>
    </row>
    <row r="20" spans="1:22" ht="15" customHeight="1" x14ac:dyDescent="0.2">
      <c r="A20" s="23"/>
      <c r="B20" s="23"/>
      <c r="C20" s="23"/>
      <c r="D20" s="24"/>
      <c r="I20" s="23"/>
      <c r="J20" s="23"/>
      <c r="K20" s="23"/>
      <c r="L20" s="23"/>
      <c r="M20" s="23"/>
      <c r="N20" s="23"/>
      <c r="O20" s="25"/>
      <c r="P20" s="25"/>
      <c r="Q20" s="25"/>
      <c r="R20" s="25"/>
      <c r="S20" s="26"/>
      <c r="T20" s="25"/>
      <c r="U20" s="25"/>
    </row>
    <row r="21" spans="1:22" ht="15" customHeight="1" x14ac:dyDescent="0.2">
      <c r="O21" s="27"/>
      <c r="P21" s="27"/>
      <c r="Q21" s="27"/>
      <c r="R21" s="27"/>
      <c r="S21" s="27"/>
    </row>
    <row r="22" spans="1:22" ht="15" customHeight="1" x14ac:dyDescent="0.25">
      <c r="A22" s="1"/>
      <c r="B22" s="1"/>
      <c r="C22" s="1"/>
      <c r="D22" s="1"/>
      <c r="E22" s="1"/>
      <c r="F22" s="1"/>
      <c r="G22" s="1"/>
      <c r="H22" s="1"/>
    </row>
  </sheetData>
  <sheetProtection algorithmName="SHA-512" hashValue="uLgKV1VFkMhTiwYTu224dDlaK2Y9thc1xUHyW+WyJFxmvAj04LBE4917Fk5Q8ZxcJecOUtdS6a/dXnqd789w5g==" saltValue="SDTgCyLZ0ZkqFchUwQmeoA==" spinCount="100000" sheet="1" objects="1" scenarios="1"/>
  <mergeCells count="14">
    <mergeCell ref="F6:F18"/>
    <mergeCell ref="G6:G18"/>
    <mergeCell ref="A19:N19"/>
    <mergeCell ref="H4:H5"/>
    <mergeCell ref="I4:I5"/>
    <mergeCell ref="O4:U4"/>
    <mergeCell ref="C4:C5"/>
    <mergeCell ref="A4:A5"/>
    <mergeCell ref="B4:B5"/>
    <mergeCell ref="D4:D5"/>
    <mergeCell ref="E4:E5"/>
    <mergeCell ref="F4:F5"/>
    <mergeCell ref="G4:G5"/>
    <mergeCell ref="J4:N4"/>
  </mergeCells>
  <dataValidations count="1">
    <dataValidation type="list" allowBlank="1" showInputMessage="1" showErrorMessage="1" sqref="E6:E18">
      <formula1>Pot_Equip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zoomScaleNormal="100" workbookViewId="0">
      <selection activeCell="F19" sqref="F19"/>
    </sheetView>
  </sheetViews>
  <sheetFormatPr defaultRowHeight="15" x14ac:dyDescent="0.25"/>
  <cols>
    <col min="1" max="1" width="11.28515625" customWidth="1"/>
    <col min="2" max="2" width="60.140625" customWidth="1"/>
    <col min="3" max="3" width="13.5703125" customWidth="1"/>
    <col min="4" max="4" width="12.42578125" customWidth="1"/>
    <col min="5" max="5" width="12.140625" bestFit="1" customWidth="1"/>
  </cols>
  <sheetData>
    <row r="1" spans="1:21" x14ac:dyDescent="0.25">
      <c r="A1" s="3" t="s">
        <v>411</v>
      </c>
    </row>
    <row r="3" spans="1:21" x14ac:dyDescent="0.25">
      <c r="A3" s="3" t="s">
        <v>412</v>
      </c>
      <c r="B3" s="15"/>
      <c r="C3" s="15"/>
      <c r="D3" s="15"/>
    </row>
    <row r="4" spans="1:21" x14ac:dyDescent="0.25">
      <c r="A4" s="238" t="s">
        <v>185</v>
      </c>
      <c r="B4" s="238" t="s">
        <v>171</v>
      </c>
      <c r="C4" s="238" t="s">
        <v>421</v>
      </c>
      <c r="D4" s="238" t="s">
        <v>420</v>
      </c>
      <c r="E4" s="238" t="s">
        <v>186</v>
      </c>
      <c r="F4" s="246" t="s">
        <v>336</v>
      </c>
      <c r="G4" s="247"/>
      <c r="H4" s="247"/>
      <c r="I4" s="247"/>
      <c r="J4" s="247"/>
      <c r="K4" s="247"/>
      <c r="L4" s="247"/>
      <c r="M4" s="248"/>
      <c r="N4" s="246" t="s">
        <v>337</v>
      </c>
      <c r="O4" s="247"/>
      <c r="P4" s="247"/>
      <c r="Q4" s="247"/>
      <c r="R4" s="247"/>
      <c r="S4" s="247"/>
      <c r="T4" s="247"/>
      <c r="U4" s="248"/>
    </row>
    <row r="5" spans="1:21" ht="15" customHeight="1" x14ac:dyDescent="0.25">
      <c r="A5" s="245"/>
      <c r="B5" s="245"/>
      <c r="C5" s="245"/>
      <c r="D5" s="245"/>
      <c r="E5" s="245"/>
      <c r="F5" s="246" t="s">
        <v>180</v>
      </c>
      <c r="G5" s="248"/>
      <c r="H5" s="246" t="s">
        <v>199</v>
      </c>
      <c r="I5" s="248"/>
      <c r="J5" s="246" t="s">
        <v>182</v>
      </c>
      <c r="K5" s="248"/>
      <c r="L5" s="246" t="s">
        <v>408</v>
      </c>
      <c r="M5" s="248"/>
      <c r="N5" s="246" t="s">
        <v>180</v>
      </c>
      <c r="O5" s="248"/>
      <c r="P5" s="246" t="s">
        <v>199</v>
      </c>
      <c r="Q5" s="248"/>
      <c r="R5" s="246" t="s">
        <v>182</v>
      </c>
      <c r="S5" s="248"/>
      <c r="T5" s="246" t="s">
        <v>408</v>
      </c>
      <c r="U5" s="248"/>
    </row>
    <row r="6" spans="1:21" x14ac:dyDescent="0.25">
      <c r="A6" s="245"/>
      <c r="B6" s="245"/>
      <c r="C6" s="245"/>
      <c r="D6" s="245"/>
      <c r="E6" s="245"/>
      <c r="F6" s="84" t="s">
        <v>187</v>
      </c>
      <c r="G6" s="84" t="s">
        <v>188</v>
      </c>
      <c r="H6" s="84" t="s">
        <v>187</v>
      </c>
      <c r="I6" s="84" t="s">
        <v>188</v>
      </c>
      <c r="J6" s="84" t="s">
        <v>192</v>
      </c>
      <c r="K6" s="84" t="s">
        <v>193</v>
      </c>
      <c r="L6" s="84" t="s">
        <v>187</v>
      </c>
      <c r="M6" s="84" t="s">
        <v>188</v>
      </c>
      <c r="N6" s="84" t="s">
        <v>187</v>
      </c>
      <c r="O6" s="84" t="s">
        <v>188</v>
      </c>
      <c r="P6" s="84" t="s">
        <v>187</v>
      </c>
      <c r="Q6" s="84" t="s">
        <v>188</v>
      </c>
      <c r="R6" s="84" t="s">
        <v>192</v>
      </c>
      <c r="S6" s="84" t="s">
        <v>193</v>
      </c>
      <c r="T6" s="84" t="s">
        <v>187</v>
      </c>
      <c r="U6" s="84" t="s">
        <v>188</v>
      </c>
    </row>
    <row r="7" spans="1:21" x14ac:dyDescent="0.25">
      <c r="A7" s="44" t="s">
        <v>189</v>
      </c>
      <c r="B7" s="44" t="s">
        <v>201</v>
      </c>
      <c r="C7" s="44">
        <v>-20.259751000000001</v>
      </c>
      <c r="D7" s="44">
        <v>-40.289468999999997</v>
      </c>
      <c r="E7" s="64">
        <v>17898</v>
      </c>
      <c r="F7" s="44">
        <v>145</v>
      </c>
      <c r="G7" s="44">
        <v>13</v>
      </c>
      <c r="H7" s="44">
        <v>8</v>
      </c>
      <c r="I7" s="44" t="s">
        <v>184</v>
      </c>
      <c r="J7" s="44">
        <v>77</v>
      </c>
      <c r="K7" s="44">
        <v>13</v>
      </c>
      <c r="L7" s="44">
        <v>8</v>
      </c>
      <c r="M7" s="44">
        <v>1</v>
      </c>
      <c r="N7" s="10">
        <f>(F7*1000)/(365*24)</f>
        <v>16.552511415525114</v>
      </c>
      <c r="O7" s="10">
        <f>(G7*1000)/(365*24)</f>
        <v>1.4840182648401827</v>
      </c>
      <c r="P7" s="10">
        <f>(H7*1000)/(365*24)</f>
        <v>0.91324200913242004</v>
      </c>
      <c r="Q7" s="10" t="s">
        <v>184</v>
      </c>
      <c r="R7" s="10">
        <f>(J7*1000)/(365*24)</f>
        <v>8.7899543378995428</v>
      </c>
      <c r="S7" s="10">
        <f>(K7*1000)/(365*24)</f>
        <v>1.4840182648401827</v>
      </c>
      <c r="T7" s="10">
        <f>(L7*1000)/(365*24)</f>
        <v>0.91324200913242004</v>
      </c>
      <c r="U7" s="10">
        <f>(M7*1000)/(365*24)</f>
        <v>0.11415525114155251</v>
      </c>
    </row>
    <row r="8" spans="1:21" x14ac:dyDescent="0.25">
      <c r="A8" s="237" t="s">
        <v>49</v>
      </c>
      <c r="B8" s="237"/>
      <c r="C8" s="237"/>
      <c r="D8" s="237"/>
      <c r="E8" s="237"/>
      <c r="F8" s="237"/>
      <c r="G8" s="237"/>
      <c r="H8" s="237"/>
      <c r="I8" s="237"/>
      <c r="J8" s="237"/>
      <c r="K8" s="237"/>
      <c r="L8" s="237"/>
      <c r="M8" s="237"/>
      <c r="N8" s="244">
        <f>SUM(N7:O7)</f>
        <v>18.036529680365298</v>
      </c>
      <c r="O8" s="244"/>
      <c r="P8" s="244">
        <f>SUM(P7:Q7)</f>
        <v>0.91324200913242004</v>
      </c>
      <c r="Q8" s="244"/>
      <c r="R8" s="244">
        <f>SUM(R7:S7)</f>
        <v>10.273972602739725</v>
      </c>
      <c r="S8" s="244"/>
      <c r="T8" s="244">
        <f>SUM(T7:U7)</f>
        <v>1.0273972602739725</v>
      </c>
      <c r="U8" s="244"/>
    </row>
    <row r="9" spans="1:21" x14ac:dyDescent="0.25">
      <c r="A9" s="3" t="s">
        <v>194</v>
      </c>
      <c r="B9" s="3" t="s">
        <v>190</v>
      </c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</row>
    <row r="10" spans="1:21" x14ac:dyDescent="0.25">
      <c r="A10" s="3" t="s">
        <v>195</v>
      </c>
      <c r="B10" s="3" t="s">
        <v>191</v>
      </c>
      <c r="C10" s="3"/>
      <c r="D10" s="3"/>
      <c r="E10" s="146"/>
      <c r="F10" s="146"/>
      <c r="G10" s="146"/>
      <c r="H10" s="146"/>
      <c r="I10" s="146"/>
      <c r="J10" s="146"/>
      <c r="K10" s="146"/>
      <c r="L10" s="146"/>
      <c r="M10" s="146"/>
    </row>
    <row r="11" spans="1:21" x14ac:dyDescent="0.25">
      <c r="A11" s="146"/>
      <c r="B11" s="146"/>
      <c r="C11" s="3"/>
      <c r="D11" s="3"/>
      <c r="E11" s="146"/>
      <c r="F11" s="146"/>
      <c r="G11" s="146"/>
      <c r="H11" s="146"/>
      <c r="I11" s="146"/>
      <c r="L11" s="146"/>
      <c r="M11" s="146"/>
    </row>
    <row r="12" spans="1:21" x14ac:dyDescent="0.25">
      <c r="A12" s="3" t="s">
        <v>342</v>
      </c>
      <c r="C12" s="146"/>
      <c r="D12" s="146"/>
      <c r="E12" s="146"/>
      <c r="F12" s="146"/>
      <c r="G12" s="146"/>
      <c r="H12" s="146"/>
      <c r="I12" s="146"/>
      <c r="L12" s="146"/>
      <c r="M12" s="146"/>
    </row>
    <row r="13" spans="1:21" x14ac:dyDescent="0.25">
      <c r="A13" s="3" t="s">
        <v>413</v>
      </c>
      <c r="C13" s="146"/>
      <c r="D13" s="146"/>
      <c r="E13" s="146"/>
      <c r="F13" s="146"/>
      <c r="G13" s="146"/>
      <c r="H13" s="146"/>
      <c r="I13" s="146"/>
      <c r="L13" s="146"/>
      <c r="M13" s="146"/>
      <c r="N13" s="146"/>
      <c r="O13" s="146"/>
      <c r="P13" s="146"/>
      <c r="Q13" s="146"/>
      <c r="R13" s="146"/>
      <c r="S13" s="146"/>
    </row>
    <row r="14" spans="1:21" x14ac:dyDescent="0.25">
      <c r="A14" s="3" t="s">
        <v>414</v>
      </c>
    </row>
    <row r="16" spans="1:21" x14ac:dyDescent="0.25">
      <c r="C16" s="30"/>
      <c r="D16" s="30"/>
    </row>
  </sheetData>
  <sheetProtection algorithmName="SHA-512" hashValue="Hba4COLhE25yEN53v4dpd64ij6CXC2myHCUqrnqPWCBk7xkLRxVBSxOPmVg78ktkS5PzWeiOJ0PIT0VPGt26FQ==" saltValue="TkxruYluSsc6bkKFjZcMNw==" spinCount="100000" sheet="1" objects="1" scenarios="1"/>
  <mergeCells count="20">
    <mergeCell ref="C4:C6"/>
    <mergeCell ref="D4:D6"/>
    <mergeCell ref="B4:B6"/>
    <mergeCell ref="A4:A6"/>
    <mergeCell ref="N4:U4"/>
    <mergeCell ref="R5:S5"/>
    <mergeCell ref="N5:O5"/>
    <mergeCell ref="T5:U5"/>
    <mergeCell ref="P5:Q5"/>
    <mergeCell ref="F4:M4"/>
    <mergeCell ref="E4:E6"/>
    <mergeCell ref="J5:K5"/>
    <mergeCell ref="F5:G5"/>
    <mergeCell ref="L5:M5"/>
    <mergeCell ref="H5:I5"/>
    <mergeCell ref="R8:S8"/>
    <mergeCell ref="N8:O8"/>
    <mergeCell ref="T8:U8"/>
    <mergeCell ref="P8:Q8"/>
    <mergeCell ref="A8:M8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1"/>
  <sheetViews>
    <sheetView zoomScaleNormal="100" workbookViewId="0">
      <selection activeCell="H25" sqref="H25"/>
    </sheetView>
  </sheetViews>
  <sheetFormatPr defaultRowHeight="15" x14ac:dyDescent="0.25"/>
  <cols>
    <col min="1" max="1" width="30.7109375" customWidth="1"/>
    <col min="2" max="6" width="13.85546875" customWidth="1"/>
    <col min="7" max="8" width="15" customWidth="1"/>
    <col min="9" max="9" width="14.28515625" customWidth="1"/>
    <col min="10" max="10" width="10.42578125" customWidth="1"/>
    <col min="11" max="11" width="11.85546875" customWidth="1"/>
    <col min="12" max="14" width="14.85546875" customWidth="1"/>
    <col min="15" max="17" width="13.7109375" customWidth="1"/>
  </cols>
  <sheetData>
    <row r="1" spans="1:31" x14ac:dyDescent="0.25">
      <c r="A1" s="17" t="s">
        <v>415</v>
      </c>
    </row>
    <row r="3" spans="1:31" x14ac:dyDescent="0.25">
      <c r="A3" s="3" t="s">
        <v>202</v>
      </c>
      <c r="B3" s="64">
        <v>1500</v>
      </c>
    </row>
    <row r="4" spans="1:31" x14ac:dyDescent="0.25">
      <c r="A4" s="3" t="s">
        <v>203</v>
      </c>
      <c r="B4" s="64">
        <f>Dados!J10</f>
        <v>778000</v>
      </c>
    </row>
    <row r="5" spans="1:31" ht="15" customHeight="1" x14ac:dyDescent="0.25">
      <c r="A5" s="253" t="s">
        <v>246</v>
      </c>
      <c r="B5" s="253" t="s">
        <v>7</v>
      </c>
      <c r="C5" s="242" t="s">
        <v>419</v>
      </c>
      <c r="D5" s="242" t="s">
        <v>420</v>
      </c>
      <c r="E5" s="253" t="s">
        <v>326</v>
      </c>
      <c r="F5" s="253" t="s">
        <v>327</v>
      </c>
      <c r="G5" s="249" t="s">
        <v>328</v>
      </c>
      <c r="H5" s="249" t="s">
        <v>329</v>
      </c>
      <c r="I5" s="253" t="s">
        <v>330</v>
      </c>
      <c r="J5" s="253" t="s">
        <v>331</v>
      </c>
      <c r="K5" s="249" t="s">
        <v>332</v>
      </c>
      <c r="L5" s="255" t="s">
        <v>333</v>
      </c>
      <c r="M5" s="249" t="s">
        <v>247</v>
      </c>
      <c r="N5" s="249" t="s">
        <v>334</v>
      </c>
      <c r="O5" s="251" t="s">
        <v>338</v>
      </c>
      <c r="P5" s="252"/>
      <c r="Q5" s="252"/>
      <c r="R5" s="253" t="s">
        <v>335</v>
      </c>
      <c r="S5" s="253"/>
      <c r="T5" s="253"/>
      <c r="U5" s="253"/>
      <c r="V5" s="253"/>
      <c r="W5" s="253"/>
      <c r="X5" s="253"/>
      <c r="Y5" s="254" t="s">
        <v>176</v>
      </c>
      <c r="Z5" s="254"/>
      <c r="AA5" s="254"/>
      <c r="AB5" s="254"/>
      <c r="AC5" s="254"/>
      <c r="AD5" s="254"/>
      <c r="AE5" s="254"/>
    </row>
    <row r="6" spans="1:31" x14ac:dyDescent="0.25">
      <c r="A6" s="253"/>
      <c r="B6" s="253"/>
      <c r="C6" s="242"/>
      <c r="D6" s="242"/>
      <c r="E6" s="253"/>
      <c r="F6" s="253"/>
      <c r="G6" s="250"/>
      <c r="H6" s="250"/>
      <c r="I6" s="253"/>
      <c r="J6" s="253"/>
      <c r="K6" s="250"/>
      <c r="L6" s="256"/>
      <c r="M6" s="250"/>
      <c r="N6" s="250"/>
      <c r="O6" s="42" t="s">
        <v>177</v>
      </c>
      <c r="P6" s="42" t="s">
        <v>178</v>
      </c>
      <c r="Q6" s="43" t="s">
        <v>179</v>
      </c>
      <c r="R6" s="42" t="s">
        <v>177</v>
      </c>
      <c r="S6" s="42" t="s">
        <v>178</v>
      </c>
      <c r="T6" s="42" t="s">
        <v>179</v>
      </c>
      <c r="U6" s="42" t="s">
        <v>180</v>
      </c>
      <c r="V6" s="42" t="s">
        <v>181</v>
      </c>
      <c r="W6" s="42" t="s">
        <v>182</v>
      </c>
      <c r="X6" s="42" t="s">
        <v>408</v>
      </c>
      <c r="Y6" s="42" t="s">
        <v>177</v>
      </c>
      <c r="Z6" s="42" t="s">
        <v>178</v>
      </c>
      <c r="AA6" s="42" t="s">
        <v>179</v>
      </c>
      <c r="AB6" s="42" t="s">
        <v>180</v>
      </c>
      <c r="AC6" s="42" t="s">
        <v>181</v>
      </c>
      <c r="AD6" s="42" t="s">
        <v>182</v>
      </c>
      <c r="AE6" s="42" t="s">
        <v>408</v>
      </c>
    </row>
    <row r="7" spans="1:31" x14ac:dyDescent="0.25">
      <c r="A7" s="24" t="s">
        <v>250</v>
      </c>
      <c r="B7" s="44" t="s">
        <v>248</v>
      </c>
      <c r="C7" s="235">
        <v>-20.260725999999998</v>
      </c>
      <c r="D7" s="235">
        <v>-40.279150000000001</v>
      </c>
      <c r="E7" s="64">
        <v>2485</v>
      </c>
      <c r="F7" s="55">
        <f>E7/3</f>
        <v>828.33333333333337</v>
      </c>
      <c r="G7" s="45">
        <f t="shared" ref="G7:G13" si="0">($B$4*$B$3)/1000/(365*24)/COUNTA($A$7:$A$13)</f>
        <v>19.031311154598825</v>
      </c>
      <c r="H7" s="32">
        <v>14</v>
      </c>
      <c r="I7" s="31">
        <f>G7/H7</f>
        <v>1.3593793681856303</v>
      </c>
      <c r="J7" s="29">
        <f>(F7*I7/1000)*2</f>
        <v>2.2520384866275278</v>
      </c>
      <c r="K7" s="44">
        <v>8.5</v>
      </c>
      <c r="L7" s="90">
        <v>16</v>
      </c>
      <c r="M7" s="44" t="s">
        <v>249</v>
      </c>
      <c r="N7" s="55">
        <v>55</v>
      </c>
      <c r="O7" s="29">
        <f>('FE-Vias'!$D$6*((K7/12)^'FE-Vias'!$D$7)*((L7/3)^'FE-Vias'!$D$8)*'FE-Vias'!$B$9/1000)*'FE-Vias'!$G$17</f>
        <v>1.7237597744394337</v>
      </c>
      <c r="P7" s="29">
        <f>('FE-Vias'!$C$6*((K7/12)^'FE-Vias'!$C$7)*((L7/3)^'FE-Vias'!$C$8)*'FE-Vias'!$B$9/1000)*'FE-Vias'!$G$17</f>
        <v>0.49251499422489714</v>
      </c>
      <c r="Q7" s="29">
        <f>('FE-Vias'!$B$6*((K7/12)^'FE-Vias'!$B$7)*((L7/3)^'FE-Vias'!$B$8)*'FE-Vias'!$B$9/1000)*'FE-Vias'!$G$17</f>
        <v>4.9251499422489721E-2</v>
      </c>
      <c r="R7" s="60">
        <f>'FE-Vias'!B22/1000</f>
        <v>1.7489827604766657E-4</v>
      </c>
      <c r="S7" s="60">
        <f>'FE-Vias'!C22/1000</f>
        <v>1.7489827604766657E-4</v>
      </c>
      <c r="T7" s="60">
        <f>'FE-Vias'!D22/1000</f>
        <v>1.7489827604766657E-4</v>
      </c>
      <c r="U7" s="60">
        <f>'FE-Vias'!E22/1000</f>
        <v>5.4345140567386742E-3</v>
      </c>
      <c r="V7" s="60">
        <f>'FE-Vias'!F22/1000</f>
        <v>2.1032135261668511E-4</v>
      </c>
      <c r="W7" s="60">
        <f>'FE-Vias'!G22/1000</f>
        <v>1.0383730075038094E-3</v>
      </c>
      <c r="X7" s="60">
        <f>'FE-Vias'!H22/1000</f>
        <v>2.4766340643796463E-4</v>
      </c>
      <c r="Y7" s="46">
        <f>(O7*J7*(1-N7/100))+(R7*J7)</f>
        <v>1.7472818868310001</v>
      </c>
      <c r="Z7" s="46">
        <f>(P7*J7*(1-N7/100))+(S7*J7)</f>
        <v>0.49951710265492538</v>
      </c>
      <c r="AA7" s="46">
        <f>(Q7*J7*(1-N7/100))+(T7*J7)</f>
        <v>5.0306200149506285E-2</v>
      </c>
      <c r="AB7" s="46">
        <f>U7*J7</f>
        <v>1.2238734811893791E-2</v>
      </c>
      <c r="AC7" s="46">
        <f>V7*J7</f>
        <v>4.7365178065233418E-4</v>
      </c>
      <c r="AD7" s="46">
        <f>W7*J7</f>
        <v>2.3384559763737537E-3</v>
      </c>
      <c r="AE7" s="46">
        <f>X7*J7</f>
        <v>5.5774752302757214E-4</v>
      </c>
    </row>
    <row r="8" spans="1:31" x14ac:dyDescent="0.25">
      <c r="A8" s="24" t="s">
        <v>251</v>
      </c>
      <c r="B8" s="44" t="s">
        <v>248</v>
      </c>
      <c r="C8" s="236"/>
      <c r="D8" s="236"/>
      <c r="E8" s="64">
        <v>1485</v>
      </c>
      <c r="F8" s="55">
        <f t="shared" ref="F8:F13" si="1">E8/3</f>
        <v>495</v>
      </c>
      <c r="G8" s="45">
        <f t="shared" si="0"/>
        <v>19.031311154598825</v>
      </c>
      <c r="H8" s="32">
        <v>14</v>
      </c>
      <c r="I8" s="31">
        <f t="shared" ref="I8:I13" si="2">G8/H8</f>
        <v>1.3593793681856303</v>
      </c>
      <c r="J8" s="29">
        <f t="shared" ref="J8:J13" si="3">(F8*I8/1000)*2</f>
        <v>1.3457855745037741</v>
      </c>
      <c r="K8" s="44">
        <v>8.5</v>
      </c>
      <c r="L8" s="90">
        <v>16</v>
      </c>
      <c r="M8" s="44" t="s">
        <v>249</v>
      </c>
      <c r="N8" s="55">
        <v>55</v>
      </c>
      <c r="O8" s="29">
        <f>('FE-Vias'!$D$6*((K8/12)^'FE-Vias'!$D$7)*((L8/3)^'FE-Vias'!$D$8)*'FE-Vias'!$B$9/1000)*'FE-Vias'!$G$17</f>
        <v>1.7237597744394337</v>
      </c>
      <c r="P8" s="29">
        <f>('FE-Vias'!$C$6*((K8/12)^'FE-Vias'!$C$7)*((L8/3)^'FE-Vias'!$C$8)*'FE-Vias'!$B$9/1000)*'FE-Vias'!$G$17</f>
        <v>0.49251499422489714</v>
      </c>
      <c r="Q8" s="29">
        <f>('FE-Vias'!$B$6*((K8/12)^'FE-Vias'!$B$7)*((L8/3)^'FE-Vias'!$B$8)*'FE-Vias'!$B$9/1000)*'FE-Vias'!$G$17</f>
        <v>4.9251499422489721E-2</v>
      </c>
      <c r="R8" s="60">
        <f>'FE-Vias'!$B$22/1000</f>
        <v>1.7489827604766657E-4</v>
      </c>
      <c r="S8" s="60">
        <f>'FE-Vias'!$C$22/1000</f>
        <v>1.7489827604766657E-4</v>
      </c>
      <c r="T8" s="60">
        <f>'FE-Vias'!$D$22/1000</f>
        <v>1.7489827604766657E-4</v>
      </c>
      <c r="U8" s="60">
        <f>'FE-Vias'!$E$22/1000</f>
        <v>5.4345140567386742E-3</v>
      </c>
      <c r="V8" s="60">
        <f>'FE-Vias'!$F$22/1000</f>
        <v>2.1032135261668511E-4</v>
      </c>
      <c r="W8" s="60">
        <f>'FE-Vias'!$G$22/1000</f>
        <v>1.0383730075038094E-3</v>
      </c>
      <c r="X8" s="60">
        <f>'FE-Vias'!$H$22/1000</f>
        <v>2.4766340643796463E-4</v>
      </c>
      <c r="Y8" s="46">
        <f t="shared" ref="Y8:Y11" si="4">(O8*J8*(1-N8/100))+(R8*J8)</f>
        <v>1.0441503428346217</v>
      </c>
      <c r="Z8" s="46">
        <f t="shared" ref="Z8:Z11" si="5">(P8*J8*(1-N8/100))+(S8*J8)</f>
        <v>0.29850418408151475</v>
      </c>
      <c r="AA8" s="46">
        <f t="shared" ref="AA8:AA11" si="6">(Q8*J8*(1-N8/100))+(T8*J8)</f>
        <v>3.0062256427370957E-2</v>
      </c>
      <c r="AB8" s="46">
        <f t="shared" ref="AB8:AB11" si="7">U8*J8</f>
        <v>7.3136906219968927E-3</v>
      </c>
      <c r="AC8" s="46">
        <f t="shared" ref="AC8:AC11" si="8">V8*J8</f>
        <v>2.8304744236165645E-4</v>
      </c>
      <c r="AD8" s="46">
        <f t="shared" ref="AD8:AD11" si="9">W8*J8</f>
        <v>1.397427414452726E-3</v>
      </c>
      <c r="AE8" s="46">
        <f t="shared" ref="AE8:AE11" si="10">X8*J8</f>
        <v>3.3330183971667796E-4</v>
      </c>
    </row>
    <row r="9" spans="1:31" x14ac:dyDescent="0.25">
      <c r="A9" s="24" t="s">
        <v>252</v>
      </c>
      <c r="B9" s="44" t="s">
        <v>248</v>
      </c>
      <c r="C9" s="236"/>
      <c r="D9" s="236"/>
      <c r="E9" s="64">
        <v>352</v>
      </c>
      <c r="F9" s="55">
        <f t="shared" si="1"/>
        <v>117.33333333333333</v>
      </c>
      <c r="G9" s="45">
        <f t="shared" si="0"/>
        <v>19.031311154598825</v>
      </c>
      <c r="H9" s="32">
        <v>14</v>
      </c>
      <c r="I9" s="31">
        <f t="shared" si="2"/>
        <v>1.3593793681856303</v>
      </c>
      <c r="J9" s="29">
        <f t="shared" si="3"/>
        <v>0.31900102506756123</v>
      </c>
      <c r="K9" s="44">
        <v>8.5</v>
      </c>
      <c r="L9" s="90">
        <v>16</v>
      </c>
      <c r="M9" s="44" t="s">
        <v>249</v>
      </c>
      <c r="N9" s="55">
        <v>55</v>
      </c>
      <c r="O9" s="29">
        <f>('FE-Vias'!$D$6*((K9/12)^'FE-Vias'!$D$7)*((L9/3)^'FE-Vias'!$D$8)*'FE-Vias'!$B$9/1000)*'FE-Vias'!$G$17</f>
        <v>1.7237597744394337</v>
      </c>
      <c r="P9" s="29">
        <f>('FE-Vias'!$C$6*((K9/12)^'FE-Vias'!$C$7)*((L9/3)^'FE-Vias'!$C$8)*'FE-Vias'!$B$9/1000)*'FE-Vias'!$G$17</f>
        <v>0.49251499422489714</v>
      </c>
      <c r="Q9" s="29">
        <f>('FE-Vias'!$B$6*((K9/12)^'FE-Vias'!$B$7)*((L9/3)^'FE-Vias'!$B$8)*'FE-Vias'!$B$9/1000)*'FE-Vias'!$G$17</f>
        <v>4.9251499422489721E-2</v>
      </c>
      <c r="R9" s="60">
        <f>'FE-Vias'!$B$22/1000</f>
        <v>1.7489827604766657E-4</v>
      </c>
      <c r="S9" s="60">
        <f>'FE-Vias'!$C$22/1000</f>
        <v>1.7489827604766657E-4</v>
      </c>
      <c r="T9" s="60">
        <f>'FE-Vias'!$D$22/1000</f>
        <v>1.7489827604766657E-4</v>
      </c>
      <c r="U9" s="60">
        <f>'FE-Vias'!$E$22/1000</f>
        <v>5.4345140567386742E-3</v>
      </c>
      <c r="V9" s="60">
        <f>'FE-Vias'!$F$22/1000</f>
        <v>2.1032135261668511E-4</v>
      </c>
      <c r="W9" s="60">
        <f>'FE-Vias'!$G$22/1000</f>
        <v>1.0383730075038094E-3</v>
      </c>
      <c r="X9" s="60">
        <f>'FE-Vias'!$H$22/1000</f>
        <v>2.4766340643796463E-4</v>
      </c>
      <c r="Y9" s="46">
        <f t="shared" si="4"/>
        <v>0.24750230348672508</v>
      </c>
      <c r="Z9" s="46">
        <f t="shared" si="5"/>
        <v>7.0756547337840522E-2</v>
      </c>
      <c r="AA9" s="46">
        <f t="shared" si="6"/>
        <v>7.1258681901916338E-3</v>
      </c>
      <c r="AB9" s="46">
        <f t="shared" si="7"/>
        <v>1.7336155548437076E-3</v>
      </c>
      <c r="AC9" s="46">
        <f t="shared" si="8"/>
        <v>6.7092727078318546E-5</v>
      </c>
      <c r="AD9" s="46">
        <f t="shared" si="9"/>
        <v>3.3124205379620164E-4</v>
      </c>
      <c r="AE9" s="46">
        <f t="shared" si="10"/>
        <v>7.9004880525434756E-5</v>
      </c>
    </row>
    <row r="10" spans="1:31" x14ac:dyDescent="0.25">
      <c r="A10" s="24" t="s">
        <v>253</v>
      </c>
      <c r="B10" s="44" t="s">
        <v>248</v>
      </c>
      <c r="C10" s="236"/>
      <c r="D10" s="236"/>
      <c r="E10" s="64">
        <v>412</v>
      </c>
      <c r="F10" s="55">
        <f t="shared" si="1"/>
        <v>137.33333333333334</v>
      </c>
      <c r="G10" s="45">
        <f t="shared" si="0"/>
        <v>19.031311154598825</v>
      </c>
      <c r="H10" s="32">
        <v>14</v>
      </c>
      <c r="I10" s="31">
        <f t="shared" si="2"/>
        <v>1.3593793681856303</v>
      </c>
      <c r="J10" s="29">
        <f t="shared" si="3"/>
        <v>0.37337619979498649</v>
      </c>
      <c r="K10" s="44">
        <v>8.5</v>
      </c>
      <c r="L10" s="90">
        <v>16</v>
      </c>
      <c r="M10" s="44" t="s">
        <v>249</v>
      </c>
      <c r="N10" s="55">
        <v>55</v>
      </c>
      <c r="O10" s="29">
        <f>('FE-Vias'!$D$6*((K10/12)^'FE-Vias'!$D$7)*((L10/3)^'FE-Vias'!$D$8)*'FE-Vias'!$B$9/1000)*'FE-Vias'!$G$17</f>
        <v>1.7237597744394337</v>
      </c>
      <c r="P10" s="29">
        <f>('FE-Vias'!$C$6*((K10/12)^'FE-Vias'!$C$7)*((L10/3)^'FE-Vias'!$C$8)*'FE-Vias'!$B$9/1000)*'FE-Vias'!$G$17</f>
        <v>0.49251499422489714</v>
      </c>
      <c r="Q10" s="29">
        <f>('FE-Vias'!$B$6*((K10/12)^'FE-Vias'!$B$7)*((L10/3)^'FE-Vias'!$B$8)*'FE-Vias'!$B$9/1000)*'FE-Vias'!$G$17</f>
        <v>4.9251499422489721E-2</v>
      </c>
      <c r="R10" s="60">
        <f>'FE-Vias'!$B$22/1000</f>
        <v>1.7489827604766657E-4</v>
      </c>
      <c r="S10" s="60">
        <f>'FE-Vias'!$C$22/1000</f>
        <v>1.7489827604766657E-4</v>
      </c>
      <c r="T10" s="60">
        <f>'FE-Vias'!$D$22/1000</f>
        <v>1.7489827604766657E-4</v>
      </c>
      <c r="U10" s="60">
        <f>'FE-Vias'!$E$22/1000</f>
        <v>5.4345140567386742E-3</v>
      </c>
      <c r="V10" s="60">
        <f>'FE-Vias'!$F$22/1000</f>
        <v>2.1032135261668511E-4</v>
      </c>
      <c r="W10" s="60">
        <f>'FE-Vias'!$G$22/1000</f>
        <v>1.0383730075038094E-3</v>
      </c>
      <c r="X10" s="60">
        <f>'FE-Vias'!$H$22/1000</f>
        <v>2.4766340643796463E-4</v>
      </c>
      <c r="Y10" s="46">
        <f t="shared" si="4"/>
        <v>0.28969019612650782</v>
      </c>
      <c r="Z10" s="46">
        <f t="shared" si="5"/>
        <v>8.2817322452245171E-2</v>
      </c>
      <c r="AA10" s="46">
        <f t="shared" si="6"/>
        <v>8.3405048135197536E-3</v>
      </c>
      <c r="AB10" s="46">
        <f t="shared" si="7"/>
        <v>2.0291182062375217E-3</v>
      </c>
      <c r="AC10" s="46">
        <f t="shared" si="8"/>
        <v>7.8528987375759229E-5</v>
      </c>
      <c r="AD10" s="46">
        <f t="shared" si="9"/>
        <v>3.8770376751146333E-4</v>
      </c>
      <c r="AE10" s="46">
        <f t="shared" si="10"/>
        <v>9.2471621524088424E-5</v>
      </c>
    </row>
    <row r="11" spans="1:31" x14ac:dyDescent="0.25">
      <c r="A11" s="24" t="s">
        <v>254</v>
      </c>
      <c r="B11" s="44" t="s">
        <v>248</v>
      </c>
      <c r="C11" s="236"/>
      <c r="D11" s="236"/>
      <c r="E11" s="64">
        <v>899</v>
      </c>
      <c r="F11" s="55">
        <f t="shared" si="1"/>
        <v>299.66666666666669</v>
      </c>
      <c r="G11" s="45">
        <f t="shared" si="0"/>
        <v>19.031311154598825</v>
      </c>
      <c r="H11" s="32">
        <v>14</v>
      </c>
      <c r="I11" s="31">
        <f t="shared" si="2"/>
        <v>1.3593793681856303</v>
      </c>
      <c r="J11" s="29">
        <f t="shared" si="3"/>
        <v>0.81472136799925454</v>
      </c>
      <c r="K11" s="44">
        <v>8.5</v>
      </c>
      <c r="L11" s="90">
        <v>16</v>
      </c>
      <c r="M11" s="44" t="s">
        <v>249</v>
      </c>
      <c r="N11" s="55">
        <v>55</v>
      </c>
      <c r="O11" s="29">
        <f>('FE-Vias'!$D$6*((K11/12)^'FE-Vias'!$D$7)*((L11/3)^'FE-Vias'!$D$8)*'FE-Vias'!$B$9/1000)*'FE-Vias'!$G$17</f>
        <v>1.7237597744394337</v>
      </c>
      <c r="P11" s="29">
        <f>('FE-Vias'!$C$6*((K11/12)^'FE-Vias'!$C$7)*((L11/3)^'FE-Vias'!$C$8)*'FE-Vias'!$B$9/1000)*'FE-Vias'!$G$17</f>
        <v>0.49251499422489714</v>
      </c>
      <c r="Q11" s="29">
        <f>('FE-Vias'!$B$6*((K11/12)^'FE-Vias'!$B$7)*((L11/3)^'FE-Vias'!$B$8)*'FE-Vias'!$B$9/1000)*'FE-Vias'!$G$17</f>
        <v>4.9251499422489721E-2</v>
      </c>
      <c r="R11" s="60">
        <f>'FE-Vias'!$B$22/1000</f>
        <v>1.7489827604766657E-4</v>
      </c>
      <c r="S11" s="60">
        <f>'FE-Vias'!$C$22/1000</f>
        <v>1.7489827604766657E-4</v>
      </c>
      <c r="T11" s="60">
        <f>'FE-Vias'!$D$22/1000</f>
        <v>1.7489827604766657E-4</v>
      </c>
      <c r="U11" s="60">
        <f>'FE-Vias'!$E$22/1000</f>
        <v>5.4345140567386742E-3</v>
      </c>
      <c r="V11" s="60">
        <f>'FE-Vias'!$F$22/1000</f>
        <v>2.1032135261668511E-4</v>
      </c>
      <c r="W11" s="60">
        <f>'FE-Vias'!$G$22/1000</f>
        <v>1.0383730075038094E-3</v>
      </c>
      <c r="X11" s="60">
        <f>'FE-Vias'!$H$22/1000</f>
        <v>2.4766340643796463E-4</v>
      </c>
      <c r="Y11" s="46">
        <f t="shared" si="4"/>
        <v>0.63211525805274416</v>
      </c>
      <c r="Z11" s="46">
        <f t="shared" si="5"/>
        <v>0.18071061379749614</v>
      </c>
      <c r="AA11" s="46">
        <f t="shared" si="6"/>
        <v>1.8199305406199656E-2</v>
      </c>
      <c r="AB11" s="46">
        <f t="shared" si="7"/>
        <v>4.4276147267173112E-3</v>
      </c>
      <c r="AC11" s="46">
        <f t="shared" si="8"/>
        <v>1.713533001233193E-4</v>
      </c>
      <c r="AD11" s="46">
        <f t="shared" si="9"/>
        <v>8.4598467716700382E-4</v>
      </c>
      <c r="AE11" s="46">
        <f t="shared" si="10"/>
        <v>2.0177666929649393E-4</v>
      </c>
    </row>
    <row r="12" spans="1:31" x14ac:dyDescent="0.25">
      <c r="A12" s="24" t="s">
        <v>255</v>
      </c>
      <c r="B12" s="44" t="s">
        <v>248</v>
      </c>
      <c r="C12" s="236"/>
      <c r="D12" s="236"/>
      <c r="E12" s="64">
        <v>408</v>
      </c>
      <c r="F12" s="55">
        <f t="shared" si="1"/>
        <v>136</v>
      </c>
      <c r="G12" s="45">
        <f t="shared" si="0"/>
        <v>19.031311154598825</v>
      </c>
      <c r="H12" s="32">
        <v>14</v>
      </c>
      <c r="I12" s="31">
        <f t="shared" si="2"/>
        <v>1.3593793681856303</v>
      </c>
      <c r="J12" s="29">
        <f t="shared" si="3"/>
        <v>0.36975118814649149</v>
      </c>
      <c r="K12" s="44">
        <v>8.5</v>
      </c>
      <c r="L12" s="90">
        <v>16</v>
      </c>
      <c r="M12" s="44" t="s">
        <v>249</v>
      </c>
      <c r="N12" s="55">
        <v>55</v>
      </c>
      <c r="O12" s="29">
        <f>('FE-Vias'!$D$6*((K12/12)^'FE-Vias'!$D$7)*((L12/3)^'FE-Vias'!$D$8)*'FE-Vias'!$B$9/1000)*'FE-Vias'!$G$17</f>
        <v>1.7237597744394337</v>
      </c>
      <c r="P12" s="29">
        <f>('FE-Vias'!$C$6*((K12/12)^'FE-Vias'!$C$7)*((L12/3)^'FE-Vias'!$C$8)*'FE-Vias'!$B$9/1000)*'FE-Vias'!$G$17</f>
        <v>0.49251499422489714</v>
      </c>
      <c r="Q12" s="29">
        <f>('FE-Vias'!$B$6*((K12/12)^'FE-Vias'!$B$7)*((L12/3)^'FE-Vias'!$B$8)*'FE-Vias'!$B$9/1000)*'FE-Vias'!$G$17</f>
        <v>4.9251499422489721E-2</v>
      </c>
      <c r="R12" s="60">
        <f>'FE-Vias'!$B$22/1000</f>
        <v>1.7489827604766657E-4</v>
      </c>
      <c r="S12" s="60">
        <f>'FE-Vias'!$C$22/1000</f>
        <v>1.7489827604766657E-4</v>
      </c>
      <c r="T12" s="60">
        <f>'FE-Vias'!$D$22/1000</f>
        <v>1.7489827604766657E-4</v>
      </c>
      <c r="U12" s="60">
        <f>'FE-Vias'!$E$22/1000</f>
        <v>5.4345140567386742E-3</v>
      </c>
      <c r="V12" s="60">
        <f>'FE-Vias'!$F$22/1000</f>
        <v>2.1032135261668511E-4</v>
      </c>
      <c r="W12" s="60">
        <f>'FE-Vias'!$G$22/1000</f>
        <v>1.0383730075038094E-3</v>
      </c>
      <c r="X12" s="60">
        <f>'FE-Vias'!$H$22/1000</f>
        <v>2.4766340643796463E-4</v>
      </c>
      <c r="Y12" s="46">
        <f t="shared" ref="Y12:Y13" si="11">(O12*J12*(1-N12/100))+(R12*J12)</f>
        <v>0.28687766995052227</v>
      </c>
      <c r="Z12" s="46">
        <f t="shared" ref="Z12:Z13" si="12">(P12*J12*(1-N12/100))+(S12*J12)</f>
        <v>8.201327077795155E-2</v>
      </c>
      <c r="AA12" s="46">
        <f t="shared" ref="AA12:AA13" si="13">(Q12*J12*(1-N12/100))+(T12*J12)</f>
        <v>8.2595290386312126E-3</v>
      </c>
      <c r="AB12" s="46">
        <f t="shared" ref="AB12:AB13" si="14">U12*J12</f>
        <v>2.0094180294779342E-3</v>
      </c>
      <c r="AC12" s="46">
        <f t="shared" ref="AC12:AC13" si="15">V12*J12</f>
        <v>7.7766570022596521E-5</v>
      </c>
      <c r="AD12" s="46">
        <f t="shared" ref="AD12:AD13" si="16">W12*J12</f>
        <v>3.8393965326377925E-4</v>
      </c>
      <c r="AE12" s="46">
        <f t="shared" ref="AE12:AE13" si="17">X12*J12</f>
        <v>9.1573838790844845E-5</v>
      </c>
    </row>
    <row r="13" spans="1:31" x14ac:dyDescent="0.25">
      <c r="A13" s="24" t="s">
        <v>256</v>
      </c>
      <c r="B13" s="44" t="s">
        <v>248</v>
      </c>
      <c r="C13" s="236"/>
      <c r="D13" s="236"/>
      <c r="E13" s="64">
        <v>704</v>
      </c>
      <c r="F13" s="55">
        <f t="shared" si="1"/>
        <v>234.66666666666666</v>
      </c>
      <c r="G13" s="45">
        <f t="shared" si="0"/>
        <v>19.031311154598825</v>
      </c>
      <c r="H13" s="32">
        <v>14</v>
      </c>
      <c r="I13" s="31">
        <f t="shared" si="2"/>
        <v>1.3593793681856303</v>
      </c>
      <c r="J13" s="29">
        <f t="shared" si="3"/>
        <v>0.63800205013512246</v>
      </c>
      <c r="K13" s="44">
        <v>8.5</v>
      </c>
      <c r="L13" s="90">
        <v>16</v>
      </c>
      <c r="M13" s="44" t="s">
        <v>249</v>
      </c>
      <c r="N13" s="55">
        <v>55</v>
      </c>
      <c r="O13" s="29">
        <f>('FE-Vias'!$D$6*((K13/12)^'FE-Vias'!$D$7)*((L13/3)^'FE-Vias'!$D$8)*'FE-Vias'!$B$9/1000)*'FE-Vias'!$G$17</f>
        <v>1.7237597744394337</v>
      </c>
      <c r="P13" s="29">
        <f>('FE-Vias'!$C$6*((K13/12)^'FE-Vias'!$C$7)*((L13/3)^'FE-Vias'!$C$8)*'FE-Vias'!$B$9/1000)*'FE-Vias'!$G$17</f>
        <v>0.49251499422489714</v>
      </c>
      <c r="Q13" s="29">
        <f>('FE-Vias'!$B$6*((K13/12)^'FE-Vias'!$B$7)*((L13/3)^'FE-Vias'!$B$8)*'FE-Vias'!$B$9/1000)*'FE-Vias'!$G$17</f>
        <v>4.9251499422489721E-2</v>
      </c>
      <c r="R13" s="60">
        <f>'FE-Vias'!$B$22/1000</f>
        <v>1.7489827604766657E-4</v>
      </c>
      <c r="S13" s="60">
        <f>'FE-Vias'!$C$22/1000</f>
        <v>1.7489827604766657E-4</v>
      </c>
      <c r="T13" s="60">
        <f>'FE-Vias'!$D$22/1000</f>
        <v>1.7489827604766657E-4</v>
      </c>
      <c r="U13" s="60">
        <f>'FE-Vias'!$E$22/1000</f>
        <v>5.4345140567386742E-3</v>
      </c>
      <c r="V13" s="60">
        <f>'FE-Vias'!$F$22/1000</f>
        <v>2.1032135261668511E-4</v>
      </c>
      <c r="W13" s="60">
        <f>'FE-Vias'!$G$22/1000</f>
        <v>1.0383730075038094E-3</v>
      </c>
      <c r="X13" s="60">
        <f>'FE-Vias'!$H$22/1000</f>
        <v>2.4766340643796463E-4</v>
      </c>
      <c r="Y13" s="46">
        <f t="shared" si="11"/>
        <v>0.49500460697345017</v>
      </c>
      <c r="Z13" s="46">
        <f t="shared" si="12"/>
        <v>0.14151309467568104</v>
      </c>
      <c r="AA13" s="46">
        <f t="shared" si="13"/>
        <v>1.4251736380383268E-2</v>
      </c>
      <c r="AB13" s="46">
        <f t="shared" si="14"/>
        <v>3.4672311096874153E-3</v>
      </c>
      <c r="AC13" s="46">
        <f t="shared" si="15"/>
        <v>1.3418545415663709E-4</v>
      </c>
      <c r="AD13" s="46">
        <f t="shared" si="16"/>
        <v>6.6248410759240327E-4</v>
      </c>
      <c r="AE13" s="46">
        <f t="shared" si="17"/>
        <v>1.5800976105086951E-4</v>
      </c>
    </row>
    <row r="14" spans="1:31" x14ac:dyDescent="0.25">
      <c r="A14" s="237" t="s">
        <v>49</v>
      </c>
      <c r="B14" s="237"/>
      <c r="C14" s="237"/>
      <c r="D14" s="237"/>
      <c r="E14" s="237"/>
      <c r="F14" s="237"/>
      <c r="G14" s="237"/>
      <c r="H14" s="237"/>
      <c r="I14" s="237"/>
      <c r="J14" s="237"/>
      <c r="K14" s="237"/>
      <c r="L14" s="237"/>
      <c r="M14" s="237"/>
      <c r="N14" s="237"/>
      <c r="O14" s="237"/>
      <c r="P14" s="237"/>
      <c r="Q14" s="237"/>
      <c r="R14" s="237"/>
      <c r="S14" s="237"/>
      <c r="T14" s="237"/>
      <c r="U14" s="237"/>
      <c r="V14" s="237"/>
      <c r="W14" s="237"/>
      <c r="X14" s="237"/>
      <c r="Y14" s="21">
        <f>SUM(Y7:Y13)</f>
        <v>4.7426222642555711</v>
      </c>
      <c r="Z14" s="21">
        <f t="shared" ref="Z14:AE14" si="18">SUM(Z7:Z13)</f>
        <v>1.3558321357776546</v>
      </c>
      <c r="AA14" s="21">
        <f t="shared" si="18"/>
        <v>0.13654540040580276</v>
      </c>
      <c r="AB14" s="21">
        <f t="shared" si="18"/>
        <v>3.3219423060854576E-2</v>
      </c>
      <c r="AC14" s="21">
        <f t="shared" si="18"/>
        <v>1.2856262617706215E-3</v>
      </c>
      <c r="AD14" s="21">
        <f t="shared" si="18"/>
        <v>6.3472376501573311E-3</v>
      </c>
      <c r="AE14" s="21">
        <f t="shared" si="18"/>
        <v>1.5138861339319815E-3</v>
      </c>
    </row>
    <row r="15" spans="1:31" x14ac:dyDescent="0.25">
      <c r="L15" s="23"/>
      <c r="M15" s="23"/>
    </row>
    <row r="16" spans="1:31" x14ac:dyDescent="0.25">
      <c r="B16" s="47"/>
      <c r="H16" s="32"/>
      <c r="I16" s="6"/>
      <c r="J16" s="6"/>
    </row>
    <row r="17" spans="8:10" x14ac:dyDescent="0.25">
      <c r="H17" s="32"/>
      <c r="I17" s="6"/>
      <c r="J17" s="6"/>
    </row>
    <row r="18" spans="8:10" x14ac:dyDescent="0.25">
      <c r="H18" s="48"/>
      <c r="I18" s="6"/>
      <c r="J18" s="6"/>
    </row>
    <row r="19" spans="8:10" x14ac:dyDescent="0.25">
      <c r="H19" s="6"/>
      <c r="I19" s="6"/>
      <c r="J19" s="6"/>
    </row>
    <row r="21" spans="8:10" ht="15" customHeight="1" x14ac:dyDescent="0.25"/>
  </sheetData>
  <sheetProtection algorithmName="SHA-512" hashValue="acXrVHEg6a3sXSs7Eevv9RW0EAe0YPryGsT5AbJPg2/T7kLfOIr9UTSMexPFke7BuyEyjY1N7xFdXXYsu1+YMA==" saltValue="hB/ZRXNJgN83JGQgEiNhIg==" spinCount="100000" sheet="1" objects="1" scenarios="1"/>
  <mergeCells count="20">
    <mergeCell ref="Y5:AE5"/>
    <mergeCell ref="H5:H6"/>
    <mergeCell ref="I5:I6"/>
    <mergeCell ref="J5:J6"/>
    <mergeCell ref="K5:K6"/>
    <mergeCell ref="L5:L6"/>
    <mergeCell ref="M5:M6"/>
    <mergeCell ref="C7:C13"/>
    <mergeCell ref="D7:D13"/>
    <mergeCell ref="A14:X14"/>
    <mergeCell ref="G5:G6"/>
    <mergeCell ref="N5:N6"/>
    <mergeCell ref="O5:Q5"/>
    <mergeCell ref="R5:X5"/>
    <mergeCell ref="A5:A6"/>
    <mergeCell ref="B5:B6"/>
    <mergeCell ref="C5:C6"/>
    <mergeCell ref="D5:D6"/>
    <mergeCell ref="E5:E6"/>
    <mergeCell ref="F5:F6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2</vt:i4>
      </vt:variant>
    </vt:vector>
  </HeadingPairs>
  <TitlesOfParts>
    <vt:vector size="14" baseType="lpstr">
      <vt:lpstr>FE-Transferências</vt:lpstr>
      <vt:lpstr>FE-Vias</vt:lpstr>
      <vt:lpstr>FE-Compactação</vt:lpstr>
      <vt:lpstr>FE-Maq Equip</vt:lpstr>
      <vt:lpstr>Dados</vt:lpstr>
      <vt:lpstr>Emissão Maq e Equip</vt:lpstr>
      <vt:lpstr>Emissão Maq Aeródromo</vt:lpstr>
      <vt:lpstr>Emissão Aeródromo</vt:lpstr>
      <vt:lpstr>Emissão Vias </vt:lpstr>
      <vt:lpstr>Emissão Transferências</vt:lpstr>
      <vt:lpstr>Emissão Compactação</vt:lpstr>
      <vt:lpstr>Resumo</vt:lpstr>
      <vt:lpstr>FE_Equip</vt:lpstr>
      <vt:lpstr>Pot_Equip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Aarão Gonçalves</dc:creator>
  <cp:lastModifiedBy>Tatiane Jardim Morais</cp:lastModifiedBy>
  <dcterms:created xsi:type="dcterms:W3CDTF">2018-11-28T16:27:13Z</dcterms:created>
  <dcterms:modified xsi:type="dcterms:W3CDTF">2019-06-06T18:52:51Z</dcterms:modified>
</cp:coreProperties>
</file>