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Tubarão\"/>
    </mc:Choice>
  </mc:AlternateContent>
  <bookViews>
    <workbookView xWindow="0" yWindow="0" windowWidth="24000" windowHeight="9735" firstSheet="1" activeTab="9"/>
  </bookViews>
  <sheets>
    <sheet name="FE-Britagem e Peneiramento" sheetId="6" r:id="rId1"/>
    <sheet name="FE-Transferências" sheetId="5" r:id="rId2"/>
    <sheet name="FE-Sucata" sheetId="8" r:id="rId3"/>
    <sheet name="FE-Difusas" sheetId="10" r:id="rId4"/>
    <sheet name="Infos COV" sheetId="11" r:id="rId5"/>
    <sheet name="Controles" sheetId="7" r:id="rId6"/>
    <sheet name="Dados" sheetId="1" r:id="rId7"/>
    <sheet name="Rotas" sheetId="2" r:id="rId8"/>
    <sheet name="Transferências" sheetId="4" r:id="rId9"/>
    <sheet name="Fugitivas" sheetId="9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O5" i="9" s="1"/>
  <c r="G5" i="9"/>
  <c r="H4" i="9"/>
  <c r="G4" i="9"/>
  <c r="L6" i="9" l="1"/>
  <c r="S6" i="9" s="1"/>
  <c r="S7" i="9" s="1"/>
  <c r="B6" i="9"/>
  <c r="P7" i="9"/>
  <c r="Q7" i="9"/>
  <c r="R7" i="9"/>
  <c r="M7" i="9"/>
  <c r="L5" i="9" l="1"/>
  <c r="L4" i="9"/>
  <c r="F5" i="9"/>
  <c r="F4" i="9"/>
  <c r="D34" i="10" l="1"/>
  <c r="D47" i="10" l="1"/>
  <c r="D46" i="10"/>
  <c r="D45" i="10"/>
  <c r="D43" i="10"/>
  <c r="D42" i="10"/>
  <c r="D41" i="10"/>
  <c r="D39" i="10"/>
  <c r="D38" i="10"/>
  <c r="D37" i="10"/>
  <c r="D35" i="10"/>
  <c r="D32" i="10"/>
  <c r="H222" i="4" l="1"/>
  <c r="H221" i="4"/>
  <c r="I48" i="2"/>
  <c r="C48" i="2" l="1"/>
  <c r="N268" i="4" l="1"/>
  <c r="N266" i="4"/>
  <c r="M268" i="4"/>
  <c r="M266" i="4"/>
  <c r="L268" i="4"/>
  <c r="L266" i="4"/>
  <c r="H268" i="4"/>
  <c r="H269" i="4"/>
  <c r="H266" i="4"/>
  <c r="H267" i="4"/>
  <c r="P266" i="4" l="1"/>
  <c r="O266" i="4"/>
  <c r="Q266" i="4"/>
  <c r="O268" i="4"/>
  <c r="Q268" i="4"/>
  <c r="P268" i="4"/>
  <c r="M35" i="2" l="1"/>
  <c r="H187" i="4"/>
  <c r="H186" i="4"/>
  <c r="H185" i="4"/>
  <c r="O41" i="2"/>
  <c r="H184" i="4"/>
  <c r="H183" i="4"/>
  <c r="H182" i="4"/>
  <c r="H181" i="4"/>
  <c r="H180" i="4"/>
  <c r="H179" i="4"/>
  <c r="H128" i="4"/>
  <c r="H127" i="4"/>
  <c r="H31" i="2"/>
  <c r="L33" i="2"/>
  <c r="H212" i="4" l="1"/>
  <c r="H201" i="4"/>
  <c r="H200" i="4"/>
  <c r="L35" i="2"/>
  <c r="Q56" i="2" l="1"/>
  <c r="G30" i="4" l="1"/>
  <c r="G19" i="4"/>
  <c r="G13" i="4"/>
  <c r="M10" i="4" l="1"/>
  <c r="L7" i="4"/>
  <c r="N7" i="4" s="1"/>
  <c r="L24" i="4"/>
  <c r="N24" i="4" s="1"/>
  <c r="M7" i="4"/>
  <c r="L10" i="4"/>
  <c r="N10" i="4" s="1"/>
  <c r="B4" i="9" l="1"/>
  <c r="B5" i="9"/>
  <c r="K5" i="9"/>
  <c r="J5" i="9"/>
  <c r="I5" i="9"/>
  <c r="M4" i="9" l="1"/>
  <c r="S4" i="9"/>
  <c r="M5" i="9"/>
  <c r="Q5" i="9"/>
  <c r="O4" i="9"/>
  <c r="O7" i="9" s="1"/>
  <c r="N4" i="9"/>
  <c r="P5" i="9"/>
  <c r="R5" i="9"/>
  <c r="S5" i="9"/>
  <c r="N5" i="9"/>
  <c r="N7" i="9" s="1"/>
  <c r="G263" i="4" l="1"/>
  <c r="H63" i="4"/>
  <c r="G148" i="4" l="1"/>
  <c r="G154" i="4"/>
  <c r="G160" i="4"/>
  <c r="G166" i="4"/>
  <c r="G227" i="4"/>
  <c r="N262" i="4"/>
  <c r="N261" i="4"/>
  <c r="N260" i="4"/>
  <c r="M262" i="4"/>
  <c r="M261" i="4"/>
  <c r="M260" i="4"/>
  <c r="L262" i="4"/>
  <c r="L261" i="4"/>
  <c r="L260" i="4"/>
  <c r="N259" i="4"/>
  <c r="N255" i="4"/>
  <c r="M259" i="4"/>
  <c r="M254" i="4"/>
  <c r="L259" i="4"/>
  <c r="L256" i="4"/>
  <c r="N256" i="4"/>
  <c r="M256" i="4"/>
  <c r="M255" i="4"/>
  <c r="L255" i="4"/>
  <c r="N254" i="4"/>
  <c r="L254" i="4"/>
  <c r="N253" i="4"/>
  <c r="M253" i="4"/>
  <c r="L253" i="4"/>
  <c r="H254" i="4"/>
  <c r="H253" i="4"/>
  <c r="N252" i="4"/>
  <c r="M252" i="4"/>
  <c r="S91" i="2" l="1"/>
  <c r="P43" i="2"/>
  <c r="H211" i="4"/>
  <c r="H210" i="4"/>
  <c r="H209" i="4"/>
  <c r="H208" i="4"/>
  <c r="H242" i="4"/>
  <c r="H241" i="4"/>
  <c r="N207" i="4"/>
  <c r="N206" i="4"/>
  <c r="M207" i="4"/>
  <c r="M206" i="4"/>
  <c r="L207" i="4"/>
  <c r="L206" i="4"/>
  <c r="L252" i="4"/>
  <c r="N251" i="4"/>
  <c r="N250" i="4"/>
  <c r="N249" i="4"/>
  <c r="N238" i="4"/>
  <c r="M251" i="4"/>
  <c r="M250" i="4"/>
  <c r="M249" i="4"/>
  <c r="M236" i="4"/>
  <c r="L251" i="4"/>
  <c r="L250" i="4"/>
  <c r="L249" i="4"/>
  <c r="L234" i="4"/>
  <c r="C108" i="2"/>
  <c r="O253" i="4"/>
  <c r="P253" i="4"/>
  <c r="Q253" i="4"/>
  <c r="O254" i="4"/>
  <c r="P254" i="4"/>
  <c r="Q254" i="4"/>
  <c r="H248" i="4"/>
  <c r="H247" i="4"/>
  <c r="H240" i="4"/>
  <c r="H239" i="4"/>
  <c r="N237" i="4"/>
  <c r="N236" i="4"/>
  <c r="M238" i="4"/>
  <c r="M237" i="4"/>
  <c r="L238" i="4"/>
  <c r="L237" i="4"/>
  <c r="L236" i="4"/>
  <c r="N235" i="4"/>
  <c r="N234" i="4"/>
  <c r="M235" i="4"/>
  <c r="M234" i="4"/>
  <c r="L235" i="4"/>
  <c r="L233" i="4" l="1"/>
  <c r="N233" i="4" l="1"/>
  <c r="M233" i="4"/>
  <c r="F51" i="2" l="1"/>
  <c r="H228" i="4" l="1"/>
  <c r="H230" i="4"/>
  <c r="H227" i="4"/>
  <c r="H229" i="4"/>
  <c r="E187" i="4" l="1"/>
  <c r="E186" i="4"/>
  <c r="E185" i="4"/>
  <c r="T54" i="2" l="1"/>
  <c r="L7" i="2"/>
  <c r="Q60" i="2"/>
  <c r="H112" i="4" s="1"/>
  <c r="H125" i="4" l="1"/>
  <c r="H121" i="4"/>
  <c r="H122" i="4"/>
  <c r="H124" i="4"/>
  <c r="H123" i="4"/>
  <c r="H126" i="4"/>
  <c r="H130" i="4"/>
  <c r="H129" i="4"/>
  <c r="H111" i="4"/>
  <c r="H110" i="4"/>
  <c r="H113" i="4"/>
  <c r="M41" i="2" l="1"/>
  <c r="H151" i="4" l="1"/>
  <c r="H153" i="4"/>
  <c r="H148" i="4"/>
  <c r="H150" i="4"/>
  <c r="H149" i="4"/>
  <c r="H152" i="4"/>
  <c r="H64" i="4" l="1"/>
  <c r="M24" i="4" l="1"/>
  <c r="W6" i="2" l="1"/>
  <c r="B51" i="1" l="1"/>
  <c r="E7" i="4" s="1"/>
  <c r="B52" i="1"/>
  <c r="B53" i="1"/>
  <c r="C52" i="1" l="1"/>
  <c r="E226" i="4" s="1"/>
  <c r="E8" i="4"/>
  <c r="E38" i="4"/>
  <c r="E41" i="4"/>
  <c r="E40" i="4"/>
  <c r="E37" i="4"/>
  <c r="E39" i="4"/>
  <c r="E32" i="4"/>
  <c r="E33" i="4"/>
  <c r="E29" i="4"/>
  <c r="E31" i="4"/>
  <c r="E30" i="4"/>
  <c r="E34" i="4"/>
  <c r="E25" i="4"/>
  <c r="E21" i="4"/>
  <c r="E16" i="4"/>
  <c r="E22" i="4"/>
  <c r="E13" i="4"/>
  <c r="E28" i="4"/>
  <c r="E24" i="4"/>
  <c r="E20" i="4"/>
  <c r="E15" i="4"/>
  <c r="E18" i="4"/>
  <c r="E27" i="4"/>
  <c r="E23" i="4"/>
  <c r="E19" i="4"/>
  <c r="E14" i="4"/>
  <c r="E26" i="4"/>
  <c r="E17" i="4"/>
  <c r="E9" i="4"/>
  <c r="E49" i="4" l="1"/>
  <c r="E64" i="4"/>
  <c r="E46" i="4"/>
  <c r="E12" i="4"/>
  <c r="E50" i="4"/>
  <c r="E106" i="4"/>
  <c r="E47" i="4"/>
  <c r="E87" i="4"/>
  <c r="E156" i="4"/>
  <c r="E48" i="4"/>
  <c r="E107" i="4"/>
  <c r="E157" i="4"/>
  <c r="E10" i="4"/>
  <c r="E158" i="4"/>
  <c r="E225" i="4"/>
  <c r="E109" i="4"/>
  <c r="E155" i="4"/>
  <c r="E154" i="4"/>
  <c r="E11" i="4"/>
  <c r="E45" i="4"/>
  <c r="E108" i="4"/>
  <c r="E223" i="4"/>
  <c r="E63" i="4"/>
  <c r="E159" i="4"/>
  <c r="E224" i="4"/>
  <c r="W60" i="2"/>
  <c r="AA6" i="2" l="1"/>
  <c r="P41" i="2"/>
  <c r="O83" i="2"/>
  <c r="S27" i="2"/>
  <c r="H97" i="4" s="1"/>
  <c r="R27" i="2"/>
  <c r="H87" i="4" s="1"/>
  <c r="D41" i="1"/>
  <c r="S31" i="2"/>
  <c r="S33" i="2" l="1"/>
  <c r="H245" i="4"/>
  <c r="H246" i="4"/>
  <c r="H12" i="4"/>
  <c r="H10" i="4"/>
  <c r="H11" i="4"/>
  <c r="AE15" i="2"/>
  <c r="C41" i="1"/>
  <c r="E41" i="1" s="1"/>
  <c r="H109" i="4" l="1"/>
  <c r="H108" i="4"/>
  <c r="H106" i="4"/>
  <c r="H107" i="4"/>
  <c r="M97" i="2" l="1"/>
  <c r="Z75" i="2"/>
  <c r="D84" i="2" s="1"/>
  <c r="D108" i="2"/>
  <c r="D77" i="2"/>
  <c r="H256" i="4" l="1"/>
  <c r="H255" i="4"/>
  <c r="H99" i="2"/>
  <c r="H265" i="4" s="1"/>
  <c r="H95" i="2"/>
  <c r="H264" i="4" l="1"/>
  <c r="H263" i="4"/>
  <c r="O255" i="4"/>
  <c r="Q255" i="4"/>
  <c r="P255" i="4"/>
  <c r="P256" i="4"/>
  <c r="Q256" i="4"/>
  <c r="O256" i="4"/>
  <c r="R31" i="2"/>
  <c r="M94" i="2"/>
  <c r="M100" i="2"/>
  <c r="AD80" i="2"/>
  <c r="AD75" i="2"/>
  <c r="C46" i="2"/>
  <c r="E47" i="2"/>
  <c r="AA75" i="2"/>
  <c r="I55" i="2"/>
  <c r="I52" i="2"/>
  <c r="I61" i="2"/>
  <c r="D44" i="1"/>
  <c r="C44" i="1"/>
  <c r="V63" i="2"/>
  <c r="AA80" i="2"/>
  <c r="AB70" i="2"/>
  <c r="H252" i="4" l="1"/>
  <c r="H251" i="4"/>
  <c r="H224" i="4"/>
  <c r="H226" i="4"/>
  <c r="H223" i="4"/>
  <c r="H225" i="4"/>
  <c r="AA53" i="2"/>
  <c r="AA62" i="2" s="1"/>
  <c r="H261" i="4"/>
  <c r="H262" i="4"/>
  <c r="H215" i="4"/>
  <c r="H216" i="4"/>
  <c r="H214" i="4"/>
  <c r="H259" i="4"/>
  <c r="H260" i="4"/>
  <c r="H206" i="4"/>
  <c r="H207" i="4"/>
  <c r="H238" i="4"/>
  <c r="H237" i="4"/>
  <c r="H236" i="4"/>
  <c r="H235" i="4"/>
  <c r="H217" i="4"/>
  <c r="H219" i="4"/>
  <c r="H220" i="4"/>
  <c r="H218" i="4"/>
  <c r="H203" i="4"/>
  <c r="H204" i="4"/>
  <c r="H202" i="4"/>
  <c r="H205" i="4"/>
  <c r="H234" i="4"/>
  <c r="H233" i="4"/>
  <c r="H249" i="4"/>
  <c r="H250" i="4"/>
  <c r="H104" i="4"/>
  <c r="H105" i="4"/>
  <c r="K41" i="2"/>
  <c r="O43" i="2"/>
  <c r="D36" i="1"/>
  <c r="H10" i="1"/>
  <c r="AA43" i="2"/>
  <c r="T56" i="2"/>
  <c r="H159" i="4" l="1"/>
  <c r="H155" i="4"/>
  <c r="H156" i="4"/>
  <c r="H158" i="4"/>
  <c r="H154" i="4"/>
  <c r="H157" i="4"/>
  <c r="O236" i="4"/>
  <c r="P236" i="4"/>
  <c r="Q236" i="4"/>
  <c r="O206" i="4"/>
  <c r="P206" i="4"/>
  <c r="Q206" i="4"/>
  <c r="P261" i="4"/>
  <c r="O261" i="4"/>
  <c r="Q261" i="4"/>
  <c r="P237" i="4"/>
  <c r="Q237" i="4"/>
  <c r="O237" i="4"/>
  <c r="Q260" i="4"/>
  <c r="P260" i="4"/>
  <c r="O260" i="4"/>
  <c r="Q234" i="4"/>
  <c r="O234" i="4"/>
  <c r="P234" i="4"/>
  <c r="Q238" i="4"/>
  <c r="O238" i="4"/>
  <c r="P238" i="4"/>
  <c r="O259" i="4"/>
  <c r="P259" i="4"/>
  <c r="Q259" i="4"/>
  <c r="P251" i="4"/>
  <c r="O251" i="4"/>
  <c r="Q251" i="4"/>
  <c r="H29" i="4"/>
  <c r="H25" i="4"/>
  <c r="H21" i="4"/>
  <c r="H26" i="4"/>
  <c r="H22" i="4"/>
  <c r="H28" i="4"/>
  <c r="H24" i="4"/>
  <c r="H20" i="4"/>
  <c r="H27" i="4"/>
  <c r="H23" i="4"/>
  <c r="H19" i="4"/>
  <c r="O249" i="4"/>
  <c r="P249" i="4"/>
  <c r="Q249" i="4"/>
  <c r="O233" i="4"/>
  <c r="Q233" i="4"/>
  <c r="P233" i="4"/>
  <c r="H45" i="4"/>
  <c r="H50" i="4"/>
  <c r="H46" i="4"/>
  <c r="H49" i="4"/>
  <c r="H48" i="4"/>
  <c r="H47" i="4"/>
  <c r="H139" i="4"/>
  <c r="H140" i="4"/>
  <c r="H138" i="4"/>
  <c r="H163" i="4"/>
  <c r="H161" i="4"/>
  <c r="H162" i="4"/>
  <c r="H165" i="4"/>
  <c r="H164" i="4"/>
  <c r="H160" i="4"/>
  <c r="O250" i="4"/>
  <c r="Q250" i="4"/>
  <c r="P250" i="4"/>
  <c r="P235" i="4"/>
  <c r="Q235" i="4"/>
  <c r="O235" i="4"/>
  <c r="P207" i="4"/>
  <c r="O207" i="4"/>
  <c r="Q207" i="4"/>
  <c r="Q262" i="4"/>
  <c r="P262" i="4"/>
  <c r="O262" i="4"/>
  <c r="P252" i="4"/>
  <c r="O252" i="4"/>
  <c r="Q252" i="4"/>
  <c r="B2" i="4"/>
  <c r="L221" i="4" l="1"/>
  <c r="O221" i="4" s="1"/>
  <c r="M222" i="4"/>
  <c r="P222" i="4" s="1"/>
  <c r="M221" i="4"/>
  <c r="P221" i="4" s="1"/>
  <c r="N222" i="4"/>
  <c r="Q222" i="4" s="1"/>
  <c r="L222" i="4"/>
  <c r="O222" i="4" s="1"/>
  <c r="N221" i="4"/>
  <c r="Q221" i="4" s="1"/>
  <c r="L184" i="4"/>
  <c r="O184" i="4" s="1"/>
  <c r="L183" i="4"/>
  <c r="O183" i="4" s="1"/>
  <c r="N180" i="4"/>
  <c r="Q180" i="4" s="1"/>
  <c r="M179" i="4"/>
  <c r="P179" i="4" s="1"/>
  <c r="N182" i="4"/>
  <c r="Q182" i="4" s="1"/>
  <c r="N181" i="4"/>
  <c r="Q181" i="4" s="1"/>
  <c r="M180" i="4"/>
  <c r="P180" i="4" s="1"/>
  <c r="L179" i="4"/>
  <c r="O179" i="4" s="1"/>
  <c r="N184" i="4"/>
  <c r="Q184" i="4" s="1"/>
  <c r="N183" i="4"/>
  <c r="Q183" i="4" s="1"/>
  <c r="M182" i="4"/>
  <c r="P182" i="4" s="1"/>
  <c r="M181" i="4"/>
  <c r="P181" i="4" s="1"/>
  <c r="L180" i="4"/>
  <c r="O180" i="4" s="1"/>
  <c r="M184" i="4"/>
  <c r="P184" i="4" s="1"/>
  <c r="M183" i="4"/>
  <c r="P183" i="4" s="1"/>
  <c r="L182" i="4"/>
  <c r="O182" i="4" s="1"/>
  <c r="L181" i="4"/>
  <c r="O181" i="4" s="1"/>
  <c r="N179" i="4"/>
  <c r="Q179" i="4" s="1"/>
  <c r="L128" i="4"/>
  <c r="O128" i="4" s="1"/>
  <c r="M128" i="4"/>
  <c r="P128" i="4" s="1"/>
  <c r="N128" i="4"/>
  <c r="Q128" i="4" s="1"/>
  <c r="L127" i="4"/>
  <c r="O127" i="4" s="1"/>
  <c r="M127" i="4"/>
  <c r="P127" i="4" s="1"/>
  <c r="N127" i="4"/>
  <c r="Q127" i="4" s="1"/>
  <c r="N25" i="4"/>
  <c r="Q25" i="4" s="1"/>
  <c r="N201" i="4"/>
  <c r="Q201" i="4" s="1"/>
  <c r="M200" i="4"/>
  <c r="P200" i="4" s="1"/>
  <c r="L201" i="4"/>
  <c r="O201" i="4" s="1"/>
  <c r="M201" i="4"/>
  <c r="P201" i="4" s="1"/>
  <c r="L200" i="4"/>
  <c r="O200" i="4" s="1"/>
  <c r="N200" i="4"/>
  <c r="Q200" i="4" s="1"/>
  <c r="Q24" i="4"/>
  <c r="P24" i="4"/>
  <c r="O24" i="4"/>
  <c r="N63" i="4"/>
  <c r="Q63" i="4" s="1"/>
  <c r="M63" i="4"/>
  <c r="P63" i="4" s="1"/>
  <c r="L63" i="4"/>
  <c r="O63" i="4" s="1"/>
  <c r="M265" i="4"/>
  <c r="P265" i="4" s="1"/>
  <c r="N263" i="4"/>
  <c r="Q263" i="4" s="1"/>
  <c r="L265" i="4"/>
  <c r="O265" i="4" s="1"/>
  <c r="N264" i="4"/>
  <c r="Q264" i="4" s="1"/>
  <c r="M263" i="4"/>
  <c r="P263" i="4" s="1"/>
  <c r="M264" i="4"/>
  <c r="P264" i="4" s="1"/>
  <c r="L263" i="4"/>
  <c r="O263" i="4" s="1"/>
  <c r="N265" i="4"/>
  <c r="Q265" i="4" s="1"/>
  <c r="L264" i="4"/>
  <c r="O264" i="4" s="1"/>
  <c r="N257" i="4"/>
  <c r="M257" i="4"/>
  <c r="L257" i="4"/>
  <c r="L258" i="4"/>
  <c r="N258" i="4"/>
  <c r="M258" i="4"/>
  <c r="M210" i="4"/>
  <c r="P210" i="4" s="1"/>
  <c r="N211" i="4"/>
  <c r="Q211" i="4" s="1"/>
  <c r="N210" i="4"/>
  <c r="Q210" i="4" s="1"/>
  <c r="L211" i="4"/>
  <c r="O211" i="4" s="1"/>
  <c r="M211" i="4"/>
  <c r="P211" i="4" s="1"/>
  <c r="L210" i="4"/>
  <c r="O210" i="4" s="1"/>
  <c r="L245" i="4"/>
  <c r="O245" i="4" s="1"/>
  <c r="M245" i="4"/>
  <c r="P245" i="4" s="1"/>
  <c r="L246" i="4"/>
  <c r="O246" i="4" s="1"/>
  <c r="N246" i="4"/>
  <c r="Q246" i="4" s="1"/>
  <c r="N245" i="4"/>
  <c r="Q245" i="4" s="1"/>
  <c r="M246" i="4"/>
  <c r="P246" i="4" s="1"/>
  <c r="L244" i="4"/>
  <c r="M244" i="4"/>
  <c r="L243" i="4"/>
  <c r="M243" i="4"/>
  <c r="N244" i="4"/>
  <c r="N243" i="4"/>
  <c r="L209" i="4"/>
  <c r="O209" i="4" s="1"/>
  <c r="M209" i="4"/>
  <c r="P209" i="4" s="1"/>
  <c r="N269" i="4"/>
  <c r="Q269" i="4" s="1"/>
  <c r="N208" i="4"/>
  <c r="Q208" i="4" s="1"/>
  <c r="L208" i="4"/>
  <c r="O208" i="4" s="1"/>
  <c r="M269" i="4"/>
  <c r="P269" i="4" s="1"/>
  <c r="N209" i="4"/>
  <c r="Q209" i="4" s="1"/>
  <c r="M208" i="4"/>
  <c r="P208" i="4" s="1"/>
  <c r="L269" i="4"/>
  <c r="O269" i="4" s="1"/>
  <c r="M242" i="4"/>
  <c r="P242" i="4" s="1"/>
  <c r="L241" i="4"/>
  <c r="O241" i="4" s="1"/>
  <c r="N242" i="4"/>
  <c r="Q242" i="4" s="1"/>
  <c r="M241" i="4"/>
  <c r="P241" i="4" s="1"/>
  <c r="L242" i="4"/>
  <c r="O242" i="4" s="1"/>
  <c r="N241" i="4"/>
  <c r="Q241" i="4" s="1"/>
  <c r="N267" i="4"/>
  <c r="Q267" i="4" s="1"/>
  <c r="L267" i="4"/>
  <c r="O267" i="4" s="1"/>
  <c r="M267" i="4"/>
  <c r="P267" i="4" s="1"/>
  <c r="N248" i="4"/>
  <c r="Q248" i="4" s="1"/>
  <c r="M247" i="4"/>
  <c r="P247" i="4" s="1"/>
  <c r="L240" i="4"/>
  <c r="O240" i="4" s="1"/>
  <c r="M240" i="4"/>
  <c r="P240" i="4" s="1"/>
  <c r="M248" i="4"/>
  <c r="P248" i="4" s="1"/>
  <c r="L247" i="4"/>
  <c r="O247" i="4" s="1"/>
  <c r="N239" i="4"/>
  <c r="Q239" i="4" s="1"/>
  <c r="L248" i="4"/>
  <c r="O248" i="4" s="1"/>
  <c r="N240" i="4"/>
  <c r="Q240" i="4" s="1"/>
  <c r="M239" i="4"/>
  <c r="P239" i="4" s="1"/>
  <c r="N247" i="4"/>
  <c r="Q247" i="4" s="1"/>
  <c r="L239" i="4"/>
  <c r="O239" i="4" s="1"/>
  <c r="M11" i="4"/>
  <c r="P11" i="4" s="1"/>
  <c r="L12" i="4"/>
  <c r="O12" i="4" s="1"/>
  <c r="Q10" i="4"/>
  <c r="O10" i="4"/>
  <c r="N11" i="4"/>
  <c r="Q11" i="4" s="1"/>
  <c r="M12" i="4"/>
  <c r="P12" i="4" s="1"/>
  <c r="N12" i="4"/>
  <c r="Q12" i="4" s="1"/>
  <c r="L11" i="4"/>
  <c r="O11" i="4" s="1"/>
  <c r="P10" i="4"/>
  <c r="L231" i="4"/>
  <c r="M232" i="4"/>
  <c r="L228" i="4"/>
  <c r="O228" i="4" s="1"/>
  <c r="M229" i="4"/>
  <c r="P229" i="4" s="1"/>
  <c r="N230" i="4"/>
  <c r="Q230" i="4" s="1"/>
  <c r="M230" i="4"/>
  <c r="P230" i="4" s="1"/>
  <c r="M231" i="4"/>
  <c r="N232" i="4"/>
  <c r="M228" i="4"/>
  <c r="P228" i="4" s="1"/>
  <c r="N229" i="4"/>
  <c r="Q229" i="4" s="1"/>
  <c r="L227" i="4"/>
  <c r="O227" i="4" s="1"/>
  <c r="L232" i="4"/>
  <c r="N227" i="4"/>
  <c r="Q227" i="4" s="1"/>
  <c r="N231" i="4"/>
  <c r="N228" i="4"/>
  <c r="Q228" i="4" s="1"/>
  <c r="L230" i="4"/>
  <c r="O230" i="4" s="1"/>
  <c r="M227" i="4"/>
  <c r="P227" i="4" s="1"/>
  <c r="L229" i="4"/>
  <c r="O229" i="4" s="1"/>
  <c r="N202" i="4"/>
  <c r="Q202" i="4" s="1"/>
  <c r="M202" i="4"/>
  <c r="P202" i="4" s="1"/>
  <c r="L202" i="4"/>
  <c r="O202" i="4" s="1"/>
  <c r="L204" i="4"/>
  <c r="O204" i="4" s="1"/>
  <c r="M204" i="4"/>
  <c r="P204" i="4" s="1"/>
  <c r="N204" i="4"/>
  <c r="Q204" i="4" s="1"/>
  <c r="L205" i="4"/>
  <c r="O205" i="4" s="1"/>
  <c r="M205" i="4"/>
  <c r="P205" i="4" s="1"/>
  <c r="N205" i="4"/>
  <c r="Q205" i="4" s="1"/>
  <c r="M203" i="4"/>
  <c r="P203" i="4" s="1"/>
  <c r="L203" i="4"/>
  <c r="O203" i="4" s="1"/>
  <c r="N203" i="4"/>
  <c r="Q203" i="4" s="1"/>
  <c r="L223" i="4"/>
  <c r="O223" i="4" s="1"/>
  <c r="N225" i="4"/>
  <c r="Q225" i="4" s="1"/>
  <c r="M223" i="4"/>
  <c r="P223" i="4" s="1"/>
  <c r="N224" i="4"/>
  <c r="Q224" i="4" s="1"/>
  <c r="N223" i="4"/>
  <c r="Q223" i="4" s="1"/>
  <c r="L225" i="4"/>
  <c r="O225" i="4" s="1"/>
  <c r="M226" i="4"/>
  <c r="P226" i="4" s="1"/>
  <c r="L224" i="4"/>
  <c r="O224" i="4" s="1"/>
  <c r="M225" i="4"/>
  <c r="P225" i="4" s="1"/>
  <c r="N226" i="4"/>
  <c r="Q226" i="4" s="1"/>
  <c r="M224" i="4"/>
  <c r="P224" i="4" s="1"/>
  <c r="L226" i="4"/>
  <c r="O226" i="4" s="1"/>
  <c r="L218" i="4"/>
  <c r="O218" i="4" s="1"/>
  <c r="M219" i="4"/>
  <c r="P219" i="4" s="1"/>
  <c r="N220" i="4"/>
  <c r="Q220" i="4" s="1"/>
  <c r="N216" i="4"/>
  <c r="Q216" i="4" s="1"/>
  <c r="M215" i="4"/>
  <c r="P215" i="4" s="1"/>
  <c r="L214" i="4"/>
  <c r="O214" i="4" s="1"/>
  <c r="N139" i="4"/>
  <c r="Q139" i="4" s="1"/>
  <c r="M138" i="4"/>
  <c r="P138" i="4" s="1"/>
  <c r="N138" i="4"/>
  <c r="Q138" i="4" s="1"/>
  <c r="L217" i="4"/>
  <c r="O217" i="4" s="1"/>
  <c r="M218" i="4"/>
  <c r="P218" i="4" s="1"/>
  <c r="N219" i="4"/>
  <c r="Q219" i="4" s="1"/>
  <c r="M216" i="4"/>
  <c r="P216" i="4" s="1"/>
  <c r="L215" i="4"/>
  <c r="O215" i="4" s="1"/>
  <c r="N140" i="4"/>
  <c r="Q140" i="4" s="1"/>
  <c r="M139" i="4"/>
  <c r="P139" i="4" s="1"/>
  <c r="L138" i="4"/>
  <c r="O138" i="4" s="1"/>
  <c r="L219" i="4"/>
  <c r="O219" i="4" s="1"/>
  <c r="M220" i="4"/>
  <c r="P220" i="4" s="1"/>
  <c r="N215" i="4"/>
  <c r="Q215" i="4" s="1"/>
  <c r="L140" i="4"/>
  <c r="O140" i="4" s="1"/>
  <c r="M217" i="4"/>
  <c r="P217" i="4" s="1"/>
  <c r="N218" i="4"/>
  <c r="Q218" i="4" s="1"/>
  <c r="L220" i="4"/>
  <c r="O220" i="4" s="1"/>
  <c r="L216" i="4"/>
  <c r="O216" i="4" s="1"/>
  <c r="N214" i="4"/>
  <c r="Q214" i="4" s="1"/>
  <c r="M140" i="4"/>
  <c r="P140" i="4" s="1"/>
  <c r="L139" i="4"/>
  <c r="O139" i="4" s="1"/>
  <c r="N217" i="4"/>
  <c r="Q217" i="4" s="1"/>
  <c r="M214" i="4"/>
  <c r="P214" i="4" s="1"/>
  <c r="N65" i="4"/>
  <c r="L66" i="4"/>
  <c r="N66" i="4"/>
  <c r="L65" i="4"/>
  <c r="M66" i="4"/>
  <c r="M65" i="4"/>
  <c r="N104" i="4"/>
  <c r="Q104" i="4" s="1"/>
  <c r="L105" i="4"/>
  <c r="O105" i="4" s="1"/>
  <c r="L104" i="4"/>
  <c r="O104" i="4" s="1"/>
  <c r="M105" i="4"/>
  <c r="P105" i="4" s="1"/>
  <c r="M104" i="4"/>
  <c r="P104" i="4" s="1"/>
  <c r="N105" i="4"/>
  <c r="Q105" i="4" s="1"/>
  <c r="M212" i="4"/>
  <c r="P212" i="4" s="1"/>
  <c r="L212" i="4"/>
  <c r="O212" i="4" s="1"/>
  <c r="N212" i="4"/>
  <c r="Q212" i="4" s="1"/>
  <c r="L186" i="4"/>
  <c r="M187" i="4"/>
  <c r="N172" i="4"/>
  <c r="L174" i="4"/>
  <c r="M175" i="4"/>
  <c r="N176" i="4"/>
  <c r="L178" i="4"/>
  <c r="N185" i="4"/>
  <c r="N173" i="4"/>
  <c r="N177" i="4"/>
  <c r="L185" i="4"/>
  <c r="M186" i="4"/>
  <c r="N187" i="4"/>
  <c r="L173" i="4"/>
  <c r="M174" i="4"/>
  <c r="N175" i="4"/>
  <c r="L177" i="4"/>
  <c r="M178" i="4"/>
  <c r="M172" i="4"/>
  <c r="M176" i="4"/>
  <c r="M185" i="4"/>
  <c r="N186" i="4"/>
  <c r="L172" i="4"/>
  <c r="M173" i="4"/>
  <c r="N174" i="4"/>
  <c r="L176" i="4"/>
  <c r="M177" i="4"/>
  <c r="N178" i="4"/>
  <c r="L187" i="4"/>
  <c r="L175" i="4"/>
  <c r="N166" i="4"/>
  <c r="L168" i="4"/>
  <c r="M169" i="4"/>
  <c r="N170" i="4"/>
  <c r="M167" i="4"/>
  <c r="L170" i="4"/>
  <c r="M171" i="4"/>
  <c r="N167" i="4"/>
  <c r="N171" i="4"/>
  <c r="L167" i="4"/>
  <c r="M168" i="4"/>
  <c r="N169" i="4"/>
  <c r="L171" i="4"/>
  <c r="L166" i="4"/>
  <c r="N168" i="4"/>
  <c r="M166" i="4"/>
  <c r="L169" i="4"/>
  <c r="M170" i="4"/>
  <c r="L160" i="4"/>
  <c r="O160" i="4" s="1"/>
  <c r="M161" i="4"/>
  <c r="P161" i="4" s="1"/>
  <c r="N162" i="4"/>
  <c r="Q162" i="4" s="1"/>
  <c r="L164" i="4"/>
  <c r="O164" i="4" s="1"/>
  <c r="M165" i="4"/>
  <c r="P165" i="4" s="1"/>
  <c r="L154" i="4"/>
  <c r="O154" i="4" s="1"/>
  <c r="M155" i="4"/>
  <c r="P155" i="4" s="1"/>
  <c r="N156" i="4"/>
  <c r="Q156" i="4" s="1"/>
  <c r="L158" i="4"/>
  <c r="O158" i="4" s="1"/>
  <c r="N159" i="4"/>
  <c r="Q159" i="4" s="1"/>
  <c r="N163" i="4"/>
  <c r="Q163" i="4" s="1"/>
  <c r="M159" i="4"/>
  <c r="P159" i="4" s="1"/>
  <c r="M160" i="4"/>
  <c r="P160" i="4" s="1"/>
  <c r="N161" i="4"/>
  <c r="Q161" i="4" s="1"/>
  <c r="L163" i="4"/>
  <c r="O163" i="4" s="1"/>
  <c r="M164" i="4"/>
  <c r="P164" i="4" s="1"/>
  <c r="N165" i="4"/>
  <c r="Q165" i="4" s="1"/>
  <c r="M154" i="4"/>
  <c r="P154" i="4" s="1"/>
  <c r="N155" i="4"/>
  <c r="Q155" i="4" s="1"/>
  <c r="L157" i="4"/>
  <c r="O157" i="4" s="1"/>
  <c r="M158" i="4"/>
  <c r="P158" i="4" s="1"/>
  <c r="M162" i="4"/>
  <c r="P162" i="4" s="1"/>
  <c r="L165" i="4"/>
  <c r="O165" i="4" s="1"/>
  <c r="L155" i="4"/>
  <c r="O155" i="4" s="1"/>
  <c r="N157" i="4"/>
  <c r="Q157" i="4" s="1"/>
  <c r="N160" i="4"/>
  <c r="Q160" i="4" s="1"/>
  <c r="L162" i="4"/>
  <c r="O162" i="4" s="1"/>
  <c r="M163" i="4"/>
  <c r="P163" i="4" s="1"/>
  <c r="N164" i="4"/>
  <c r="Q164" i="4" s="1"/>
  <c r="N154" i="4"/>
  <c r="Q154" i="4" s="1"/>
  <c r="L156" i="4"/>
  <c r="O156" i="4" s="1"/>
  <c r="M157" i="4"/>
  <c r="P157" i="4" s="1"/>
  <c r="N158" i="4"/>
  <c r="Q158" i="4" s="1"/>
  <c r="L161" i="4"/>
  <c r="O161" i="4" s="1"/>
  <c r="M156" i="4"/>
  <c r="P156" i="4" s="1"/>
  <c r="L159" i="4"/>
  <c r="O159" i="4" s="1"/>
  <c r="L153" i="4"/>
  <c r="O153" i="4" s="1"/>
  <c r="N151" i="4"/>
  <c r="Q151" i="4" s="1"/>
  <c r="M150" i="4"/>
  <c r="P150" i="4" s="1"/>
  <c r="L149" i="4"/>
  <c r="O149" i="4" s="1"/>
  <c r="L130" i="4"/>
  <c r="O130" i="4" s="1"/>
  <c r="N153" i="4"/>
  <c r="Q153" i="4" s="1"/>
  <c r="M148" i="4"/>
  <c r="P148" i="4" s="1"/>
  <c r="N152" i="4"/>
  <c r="Q152" i="4" s="1"/>
  <c r="M151" i="4"/>
  <c r="P151" i="4" s="1"/>
  <c r="L150" i="4"/>
  <c r="O150" i="4" s="1"/>
  <c r="N148" i="4"/>
  <c r="Q148" i="4" s="1"/>
  <c r="L129" i="4"/>
  <c r="O129" i="4" s="1"/>
  <c r="L151" i="4"/>
  <c r="O151" i="4" s="1"/>
  <c r="M129" i="4"/>
  <c r="P129" i="4" s="1"/>
  <c r="M153" i="4"/>
  <c r="P153" i="4" s="1"/>
  <c r="L152" i="4"/>
  <c r="O152" i="4" s="1"/>
  <c r="N150" i="4"/>
  <c r="Q150" i="4" s="1"/>
  <c r="M149" i="4"/>
  <c r="P149" i="4" s="1"/>
  <c r="L148" i="4"/>
  <c r="O148" i="4" s="1"/>
  <c r="N129" i="4"/>
  <c r="Q129" i="4" s="1"/>
  <c r="M130" i="4"/>
  <c r="P130" i="4" s="1"/>
  <c r="M152" i="4"/>
  <c r="P152" i="4" s="1"/>
  <c r="N149" i="4"/>
  <c r="Q149" i="4" s="1"/>
  <c r="N130" i="4"/>
  <c r="Q130" i="4" s="1"/>
  <c r="M122" i="4"/>
  <c r="P122" i="4" s="1"/>
  <c r="N123" i="4"/>
  <c r="Q123" i="4" s="1"/>
  <c r="L125" i="4"/>
  <c r="O125" i="4" s="1"/>
  <c r="M126" i="4"/>
  <c r="P126" i="4" s="1"/>
  <c r="L121" i="4"/>
  <c r="O121" i="4" s="1"/>
  <c r="M124" i="4"/>
  <c r="P124" i="4" s="1"/>
  <c r="N121" i="4"/>
  <c r="Q121" i="4" s="1"/>
  <c r="M123" i="4"/>
  <c r="P123" i="4" s="1"/>
  <c r="L126" i="4"/>
  <c r="O126" i="4" s="1"/>
  <c r="N122" i="4"/>
  <c r="Q122" i="4" s="1"/>
  <c r="L124" i="4"/>
  <c r="O124" i="4" s="1"/>
  <c r="M125" i="4"/>
  <c r="P125" i="4" s="1"/>
  <c r="N126" i="4"/>
  <c r="Q126" i="4" s="1"/>
  <c r="L123" i="4"/>
  <c r="O123" i="4" s="1"/>
  <c r="N125" i="4"/>
  <c r="Q125" i="4" s="1"/>
  <c r="L122" i="4"/>
  <c r="O122" i="4" s="1"/>
  <c r="N124" i="4"/>
  <c r="Q124" i="4" s="1"/>
  <c r="M121" i="4"/>
  <c r="P121" i="4" s="1"/>
  <c r="L110" i="4"/>
  <c r="O110" i="4" s="1"/>
  <c r="M111" i="4"/>
  <c r="P111" i="4" s="1"/>
  <c r="N112" i="4"/>
  <c r="Q112" i="4" s="1"/>
  <c r="M110" i="4"/>
  <c r="P110" i="4" s="1"/>
  <c r="N111" i="4"/>
  <c r="Q111" i="4" s="1"/>
  <c r="L113" i="4"/>
  <c r="O113" i="4" s="1"/>
  <c r="N110" i="4"/>
  <c r="Q110" i="4" s="1"/>
  <c r="L112" i="4"/>
  <c r="O112" i="4" s="1"/>
  <c r="M113" i="4"/>
  <c r="P113" i="4" s="1"/>
  <c r="L111" i="4"/>
  <c r="O111" i="4" s="1"/>
  <c r="M112" i="4"/>
  <c r="P112" i="4" s="1"/>
  <c r="N113" i="4"/>
  <c r="Q113" i="4" s="1"/>
  <c r="M109" i="4"/>
  <c r="P109" i="4" s="1"/>
  <c r="N106" i="4"/>
  <c r="Q106" i="4" s="1"/>
  <c r="N109" i="4"/>
  <c r="Q109" i="4" s="1"/>
  <c r="M106" i="4"/>
  <c r="P106" i="4" s="1"/>
  <c r="L109" i="4"/>
  <c r="O109" i="4" s="1"/>
  <c r="L106" i="4"/>
  <c r="O106" i="4" s="1"/>
  <c r="M108" i="4"/>
  <c r="P108" i="4" s="1"/>
  <c r="L107" i="4"/>
  <c r="O107" i="4" s="1"/>
  <c r="L103" i="4"/>
  <c r="M103" i="4"/>
  <c r="L108" i="4"/>
  <c r="O108" i="4" s="1"/>
  <c r="M107" i="4"/>
  <c r="P107" i="4" s="1"/>
  <c r="N107" i="4"/>
  <c r="Q107" i="4" s="1"/>
  <c r="N108" i="4"/>
  <c r="Q108" i="4" s="1"/>
  <c r="N103" i="4"/>
  <c r="N98" i="4"/>
  <c r="M100" i="4"/>
  <c r="L102" i="4"/>
  <c r="L98" i="4"/>
  <c r="M102" i="4"/>
  <c r="L100" i="4"/>
  <c r="N99" i="4"/>
  <c r="M101" i="4"/>
  <c r="L99" i="4"/>
  <c r="N102" i="4"/>
  <c r="M99" i="4"/>
  <c r="L101" i="4"/>
  <c r="N100" i="4"/>
  <c r="M98" i="4"/>
  <c r="N97" i="4"/>
  <c r="Q97" i="4" s="1"/>
  <c r="M97" i="4"/>
  <c r="P97" i="4" s="1"/>
  <c r="L97" i="4"/>
  <c r="O97" i="4" s="1"/>
  <c r="N101" i="4"/>
  <c r="M87" i="4"/>
  <c r="P87" i="4" s="1"/>
  <c r="L87" i="4"/>
  <c r="O87" i="4" s="1"/>
  <c r="N87" i="4"/>
  <c r="Q87" i="4" s="1"/>
  <c r="M77" i="4"/>
  <c r="N75" i="4"/>
  <c r="M74" i="4"/>
  <c r="L73" i="4"/>
  <c r="N74" i="4"/>
  <c r="L77" i="4"/>
  <c r="N76" i="4"/>
  <c r="M75" i="4"/>
  <c r="L74" i="4"/>
  <c r="N72" i="4"/>
  <c r="N77" i="4"/>
  <c r="M73" i="4"/>
  <c r="M76" i="4"/>
  <c r="L75" i="4"/>
  <c r="N73" i="4"/>
  <c r="M72" i="4"/>
  <c r="L76" i="4"/>
  <c r="L72" i="4"/>
  <c r="L69" i="4"/>
  <c r="M70" i="4"/>
  <c r="N67" i="4"/>
  <c r="N69" i="4"/>
  <c r="M71" i="4"/>
  <c r="N68" i="4"/>
  <c r="L68" i="4"/>
  <c r="M69" i="4"/>
  <c r="N70" i="4"/>
  <c r="L71" i="4"/>
  <c r="M67" i="4"/>
  <c r="M68" i="4"/>
  <c r="L67" i="4"/>
  <c r="L70" i="4"/>
  <c r="N71" i="4"/>
  <c r="L64" i="4"/>
  <c r="O64" i="4" s="1"/>
  <c r="N64" i="4"/>
  <c r="Q64" i="4" s="1"/>
  <c r="M64" i="4"/>
  <c r="P64" i="4" s="1"/>
  <c r="M47" i="4"/>
  <c r="P47" i="4" s="1"/>
  <c r="L45" i="4"/>
  <c r="O45" i="4" s="1"/>
  <c r="L49" i="4"/>
  <c r="O49" i="4" s="1"/>
  <c r="M46" i="4"/>
  <c r="P46" i="4" s="1"/>
  <c r="M45" i="4"/>
  <c r="P45" i="4" s="1"/>
  <c r="N46" i="4"/>
  <c r="Q46" i="4" s="1"/>
  <c r="L48" i="4"/>
  <c r="O48" i="4" s="1"/>
  <c r="M49" i="4"/>
  <c r="P49" i="4" s="1"/>
  <c r="N50" i="4"/>
  <c r="Q50" i="4" s="1"/>
  <c r="N45" i="4"/>
  <c r="Q45" i="4" s="1"/>
  <c r="L47" i="4"/>
  <c r="O47" i="4" s="1"/>
  <c r="M48" i="4"/>
  <c r="P48" i="4" s="1"/>
  <c r="N49" i="4"/>
  <c r="Q49" i="4" s="1"/>
  <c r="L46" i="4"/>
  <c r="O46" i="4" s="1"/>
  <c r="N48" i="4"/>
  <c r="Q48" i="4" s="1"/>
  <c r="L50" i="4"/>
  <c r="O50" i="4" s="1"/>
  <c r="N47" i="4"/>
  <c r="Q47" i="4" s="1"/>
  <c r="M50" i="4"/>
  <c r="P50" i="4" s="1"/>
  <c r="N39" i="4"/>
  <c r="L41" i="4"/>
  <c r="L40" i="4"/>
  <c r="M41" i="4"/>
  <c r="M39" i="4"/>
  <c r="N40" i="4"/>
  <c r="L39" i="4"/>
  <c r="M40" i="4"/>
  <c r="N41" i="4"/>
  <c r="N37" i="4"/>
  <c r="M38" i="4"/>
  <c r="M37" i="4"/>
  <c r="L38" i="4"/>
  <c r="L37" i="4"/>
  <c r="N38" i="4"/>
  <c r="L31" i="4"/>
  <c r="M32" i="4"/>
  <c r="N33" i="4"/>
  <c r="L33" i="4"/>
  <c r="M33" i="4"/>
  <c r="L30" i="4"/>
  <c r="M31" i="4"/>
  <c r="N32" i="4"/>
  <c r="L34" i="4"/>
  <c r="N31" i="4"/>
  <c r="L32" i="4"/>
  <c r="M30" i="4"/>
  <c r="M34" i="4"/>
  <c r="N30" i="4"/>
  <c r="N34" i="4"/>
  <c r="N29" i="4"/>
  <c r="Q29" i="4" s="1"/>
  <c r="L27" i="4"/>
  <c r="O27" i="4" s="1"/>
  <c r="M28" i="4"/>
  <c r="P28" i="4" s="1"/>
  <c r="L19" i="4"/>
  <c r="O19" i="4" s="1"/>
  <c r="M20" i="4"/>
  <c r="P20" i="4" s="1"/>
  <c r="N21" i="4"/>
  <c r="Q21" i="4" s="1"/>
  <c r="L23" i="4"/>
  <c r="O23" i="4" s="1"/>
  <c r="M18" i="4"/>
  <c r="L9" i="4"/>
  <c r="N16" i="4"/>
  <c r="M15" i="4"/>
  <c r="M26" i="4"/>
  <c r="P26" i="4" s="1"/>
  <c r="N27" i="4"/>
  <c r="Q27" i="4" s="1"/>
  <c r="L29" i="4"/>
  <c r="O29" i="4" s="1"/>
  <c r="N19" i="4"/>
  <c r="Q19" i="4" s="1"/>
  <c r="L21" i="4"/>
  <c r="O21" i="4" s="1"/>
  <c r="N23" i="4"/>
  <c r="Q23" i="4" s="1"/>
  <c r="L14" i="4"/>
  <c r="N14" i="4"/>
  <c r="M13" i="4"/>
  <c r="M17" i="4"/>
  <c r="N26" i="4"/>
  <c r="Q26" i="4" s="1"/>
  <c r="M29" i="4"/>
  <c r="P29" i="4" s="1"/>
  <c r="M21" i="4"/>
  <c r="P21" i="4" s="1"/>
  <c r="N18" i="4"/>
  <c r="L15" i="4"/>
  <c r="L26" i="4"/>
  <c r="O26" i="4" s="1"/>
  <c r="M27" i="4"/>
  <c r="P27" i="4" s="1"/>
  <c r="N28" i="4"/>
  <c r="Q28" i="4" s="1"/>
  <c r="L25" i="4"/>
  <c r="O25" i="4" s="1"/>
  <c r="M19" i="4"/>
  <c r="P19" i="4" s="1"/>
  <c r="N20" i="4"/>
  <c r="Q20" i="4" s="1"/>
  <c r="L22" i="4"/>
  <c r="O22" i="4" s="1"/>
  <c r="M23" i="4"/>
  <c r="P23" i="4" s="1"/>
  <c r="L18" i="4"/>
  <c r="L13" i="4"/>
  <c r="L8" i="4"/>
  <c r="N13" i="4"/>
  <c r="N17" i="4"/>
  <c r="M16" i="4"/>
  <c r="M22" i="4"/>
  <c r="P22" i="4" s="1"/>
  <c r="L17" i="4"/>
  <c r="L28" i="4"/>
  <c r="O28" i="4" s="1"/>
  <c r="M25" i="4"/>
  <c r="P25" i="4" s="1"/>
  <c r="L20" i="4"/>
  <c r="O20" i="4" s="1"/>
  <c r="N22" i="4"/>
  <c r="Q22" i="4" s="1"/>
  <c r="L16" i="4"/>
  <c r="N15" i="4"/>
  <c r="M14" i="4"/>
  <c r="M8" i="4"/>
  <c r="N8" i="4"/>
  <c r="M9" i="4"/>
  <c r="N9" i="4"/>
  <c r="C56" i="2" l="1"/>
  <c r="J101" i="2"/>
  <c r="N97" i="2"/>
  <c r="P83" i="2" l="1"/>
  <c r="H257" i="4"/>
  <c r="H258" i="4"/>
  <c r="H232" i="4"/>
  <c r="H231" i="4"/>
  <c r="K43" i="2"/>
  <c r="Q231" i="4" l="1"/>
  <c r="O231" i="4"/>
  <c r="P231" i="4"/>
  <c r="Q232" i="4"/>
  <c r="O232" i="4"/>
  <c r="P232" i="4"/>
  <c r="O258" i="4"/>
  <c r="P258" i="4"/>
  <c r="Q258" i="4"/>
  <c r="Q257" i="4"/>
  <c r="O257" i="4"/>
  <c r="P257" i="4"/>
  <c r="H243" i="4"/>
  <c r="H244" i="4"/>
  <c r="M33" i="2"/>
  <c r="R24" i="2"/>
  <c r="L41" i="2" l="1"/>
  <c r="H66" i="4"/>
  <c r="H65" i="4"/>
  <c r="Q244" i="4"/>
  <c r="O244" i="4"/>
  <c r="P244" i="4"/>
  <c r="O243" i="4"/>
  <c r="P243" i="4"/>
  <c r="Q243" i="4"/>
  <c r="AI29" i="2"/>
  <c r="E37" i="1"/>
  <c r="P33" i="2"/>
  <c r="O66" i="4" l="1"/>
  <c r="Q66" i="4"/>
  <c r="P66" i="4"/>
  <c r="Q65" i="4"/>
  <c r="O65" i="4"/>
  <c r="P65" i="4"/>
  <c r="H171" i="4"/>
  <c r="H167" i="4"/>
  <c r="H168" i="4"/>
  <c r="H170" i="4"/>
  <c r="H166" i="4"/>
  <c r="H169" i="4"/>
  <c r="R20" i="2"/>
  <c r="AC22" i="2"/>
  <c r="L43" i="2"/>
  <c r="Q3" i="2"/>
  <c r="O3" i="2"/>
  <c r="M43" i="2"/>
  <c r="H22" i="2"/>
  <c r="J33" i="2" l="1"/>
  <c r="H77" i="4"/>
  <c r="H74" i="4"/>
  <c r="H76" i="4"/>
  <c r="H73" i="4"/>
  <c r="H72" i="4"/>
  <c r="H75" i="4"/>
  <c r="P167" i="4"/>
  <c r="O167" i="4"/>
  <c r="Q167" i="4"/>
  <c r="H40" i="4"/>
  <c r="H39" i="4"/>
  <c r="H41" i="4"/>
  <c r="O166" i="4"/>
  <c r="P166" i="4"/>
  <c r="Q166" i="4"/>
  <c r="O170" i="4"/>
  <c r="Q170" i="4"/>
  <c r="P170" i="4"/>
  <c r="P169" i="4"/>
  <c r="Q169" i="4"/>
  <c r="O169" i="4"/>
  <c r="I10" i="2"/>
  <c r="H100" i="4"/>
  <c r="H103" i="4"/>
  <c r="H102" i="4"/>
  <c r="H101" i="4"/>
  <c r="O171" i="4"/>
  <c r="P171" i="4"/>
  <c r="Q171" i="4"/>
  <c r="H176" i="4"/>
  <c r="H172" i="4"/>
  <c r="H175" i="4"/>
  <c r="H178" i="4"/>
  <c r="H174" i="4"/>
  <c r="H177" i="4"/>
  <c r="H173" i="4"/>
  <c r="H17" i="4"/>
  <c r="H13" i="4"/>
  <c r="H14" i="4"/>
  <c r="H16" i="4"/>
  <c r="H18" i="4"/>
  <c r="H15" i="4"/>
  <c r="H67" i="4"/>
  <c r="H69" i="4"/>
  <c r="H68" i="4"/>
  <c r="H70" i="4"/>
  <c r="K33" i="2"/>
  <c r="H71" i="4"/>
  <c r="H37" i="4"/>
  <c r="O33" i="2"/>
  <c r="H38" i="4"/>
  <c r="O168" i="4"/>
  <c r="P168" i="4"/>
  <c r="Q168" i="4"/>
  <c r="Y6" i="2"/>
  <c r="U6" i="2"/>
  <c r="H11" i="1"/>
  <c r="O70" i="4" l="1"/>
  <c r="Q70" i="4"/>
  <c r="P70" i="4"/>
  <c r="O14" i="4"/>
  <c r="P14" i="4"/>
  <c r="Q14" i="4"/>
  <c r="O174" i="4"/>
  <c r="P174" i="4"/>
  <c r="Q174" i="4"/>
  <c r="P176" i="4"/>
  <c r="O176" i="4"/>
  <c r="Q176" i="4"/>
  <c r="P101" i="4"/>
  <c r="O101" i="4"/>
  <c r="Q101" i="4"/>
  <c r="O40" i="4"/>
  <c r="P40" i="4"/>
  <c r="Q40" i="4"/>
  <c r="Q76" i="4"/>
  <c r="O76" i="4"/>
  <c r="P76" i="4"/>
  <c r="H7" i="4"/>
  <c r="H8" i="4"/>
  <c r="Q37" i="4"/>
  <c r="O37" i="4"/>
  <c r="P37" i="4"/>
  <c r="O186" i="4"/>
  <c r="P186" i="4"/>
  <c r="Q186" i="4"/>
  <c r="O72" i="4"/>
  <c r="P72" i="4"/>
  <c r="Q72" i="4"/>
  <c r="O74" i="4"/>
  <c r="P74" i="4"/>
  <c r="Q74" i="4"/>
  <c r="W56" i="2"/>
  <c r="H9" i="4"/>
  <c r="P71" i="4"/>
  <c r="O71" i="4"/>
  <c r="Q71" i="4"/>
  <c r="Q69" i="4"/>
  <c r="P69" i="4"/>
  <c r="O69" i="4"/>
  <c r="P18" i="4"/>
  <c r="O18" i="4"/>
  <c r="Q18" i="4"/>
  <c r="Q17" i="4"/>
  <c r="P17" i="4"/>
  <c r="O17" i="4"/>
  <c r="O173" i="4"/>
  <c r="P173" i="4"/>
  <c r="Q173" i="4"/>
  <c r="P175" i="4"/>
  <c r="O175" i="4"/>
  <c r="Q175" i="4"/>
  <c r="Q103" i="4"/>
  <c r="O103" i="4"/>
  <c r="P103" i="4"/>
  <c r="O41" i="4"/>
  <c r="P41" i="4"/>
  <c r="Q41" i="4"/>
  <c r="Q73" i="4"/>
  <c r="O73" i="4"/>
  <c r="P73" i="4"/>
  <c r="O77" i="4"/>
  <c r="P77" i="4"/>
  <c r="Q77" i="4"/>
  <c r="O185" i="4"/>
  <c r="P185" i="4"/>
  <c r="Q185" i="4"/>
  <c r="H99" i="4"/>
  <c r="H98" i="4"/>
  <c r="O75" i="4"/>
  <c r="Q75" i="4"/>
  <c r="P75" i="4"/>
  <c r="P68" i="4"/>
  <c r="Q68" i="4"/>
  <c r="O68" i="4"/>
  <c r="Q15" i="4"/>
  <c r="O15" i="4"/>
  <c r="P15" i="4"/>
  <c r="O13" i="4"/>
  <c r="P13" i="4"/>
  <c r="Q13" i="4"/>
  <c r="P178" i="4"/>
  <c r="O178" i="4"/>
  <c r="Q178" i="4"/>
  <c r="P102" i="4"/>
  <c r="O102" i="4"/>
  <c r="Q102" i="4"/>
  <c r="Q38" i="4"/>
  <c r="O38" i="4"/>
  <c r="P38" i="4"/>
  <c r="O67" i="4"/>
  <c r="P67" i="4"/>
  <c r="Q67" i="4"/>
  <c r="O16" i="4"/>
  <c r="P16" i="4"/>
  <c r="Q16" i="4"/>
  <c r="P187" i="4"/>
  <c r="O187" i="4"/>
  <c r="Q187" i="4"/>
  <c r="P177" i="4"/>
  <c r="O177" i="4"/>
  <c r="Q177" i="4"/>
  <c r="P172" i="4"/>
  <c r="O172" i="4"/>
  <c r="Q172" i="4"/>
  <c r="O100" i="4"/>
  <c r="P100" i="4"/>
  <c r="Q100" i="4"/>
  <c r="O39" i="4"/>
  <c r="P39" i="4"/>
  <c r="Q39" i="4"/>
  <c r="E46" i="1"/>
  <c r="E45" i="1"/>
  <c r="E44" i="1"/>
  <c r="E43" i="1"/>
  <c r="E42" i="1"/>
  <c r="E40" i="1"/>
  <c r="E39" i="1"/>
  <c r="E38" i="1"/>
  <c r="E36" i="1"/>
  <c r="E35" i="1"/>
  <c r="P9" i="4" l="1"/>
  <c r="Q9" i="4"/>
  <c r="O9" i="4"/>
  <c r="H31" i="4"/>
  <c r="H34" i="4"/>
  <c r="H33" i="4"/>
  <c r="H32" i="4"/>
  <c r="H30" i="4"/>
  <c r="P98" i="4"/>
  <c r="Q98" i="4"/>
  <c r="O98" i="4"/>
  <c r="Q99" i="4"/>
  <c r="P99" i="4"/>
  <c r="O99" i="4"/>
  <c r="P8" i="4"/>
  <c r="O8" i="4"/>
  <c r="Q8" i="4"/>
  <c r="O7" i="4"/>
  <c r="Q7" i="4"/>
  <c r="P7" i="4"/>
  <c r="Q31" i="4" l="1"/>
  <c r="O31" i="4"/>
  <c r="P31" i="4"/>
  <c r="O33" i="4"/>
  <c r="Q33" i="4"/>
  <c r="P33" i="4"/>
  <c r="Q30" i="4"/>
  <c r="O30" i="4"/>
  <c r="P30" i="4"/>
  <c r="O32" i="4"/>
  <c r="Q32" i="4"/>
  <c r="P32" i="4"/>
  <c r="Q34" i="4"/>
  <c r="P34" i="4"/>
  <c r="O34" i="4"/>
  <c r="P270" i="4" l="1"/>
  <c r="O270" i="4"/>
  <c r="Q270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>Background document - Chapter 12.02 - Coke Production (USEPA, 2008). Pag. 4-28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>http://www.apis.ac.uk/overview/pollutants/overview_VOCs.htm</t>
        </r>
      </text>
    </comment>
    <comment ref="A57" authorId="0" shapeId="0">
      <text>
        <r>
          <rPr>
            <sz val="9"/>
            <color indexed="81"/>
            <rFont val="Segoe UI"/>
            <family val="2"/>
          </rPr>
          <t>https://www.epa.gov/indoor-air-quality-iaq/technical-overview-volatile-organic-compounds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N6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https://www.intechopen.com/books/air-pollution-monitoring-modelling-and-health/fugitive-dust-emissions-from-a-coal-iron-ore-and-hydrated-alumina-stockpile</t>
        </r>
      </text>
    </comment>
    <comment ref="N12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http://www.npi.gov.au/system/files/resources/7e04163a-12ba-6864-d19a-f57d960aae58/files/mining.pdf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B16" authorId="0" shapeId="0">
      <text>
        <r>
          <rPr>
            <sz val="9"/>
            <color indexed="81"/>
            <rFont val="Segoe UI"/>
            <family val="2"/>
          </rPr>
          <t>Valor ajustado, conforme informado em reunião por José Gustavo em 27/11/18. Valor anterior: 166.915 t</t>
        </r>
      </text>
    </comment>
    <comment ref="D16" authorId="0" shapeId="0">
      <text>
        <r>
          <rPr>
            <sz val="9"/>
            <color indexed="81"/>
            <rFont val="Segoe UI"/>
            <family val="2"/>
          </rPr>
          <t xml:space="preserve">Valor ajustado, conforme informado em reunião por José Gustavo em 27/11/18.
Valor anterior: 160.050 t
</t>
        </r>
      </text>
    </comment>
    <comment ref="G17" authorId="0" shapeId="0">
      <text>
        <r>
          <rPr>
            <sz val="9"/>
            <color indexed="81"/>
            <rFont val="Segoe UI"/>
            <family val="2"/>
          </rPr>
          <t xml:space="preserve">Valor ajustado, conforme informado em reunião por José Gustavo em 27/11/18. Valor anterior: 72.122,54 t
</t>
        </r>
      </text>
    </comment>
    <comment ref="F28" authorId="0" shapeId="0">
      <text>
        <r>
          <rPr>
            <sz val="9"/>
            <color indexed="81"/>
            <rFont val="Segoe UI"/>
            <family val="2"/>
          </rPr>
          <t xml:space="preserve">Informação obtida no documento de resposta ao Ofício 443-2016 / DP-IEMA da Lhoist do Brasil
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 xml:space="preserve">Valor ajustado, conforme dados informados em reunião com José Gustavo em 27/11/18
</t>
        </r>
      </text>
    </comment>
    <comment ref="B50" authorId="0" shapeId="0">
      <text>
        <r>
          <rPr>
            <sz val="9"/>
            <color indexed="81"/>
            <rFont val="Segoe UI"/>
            <family val="2"/>
          </rPr>
          <t>Inventário de Fontes da Sol Coqueria (2015)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AE15" authorId="0" shapeId="0">
      <text>
        <r>
          <rPr>
            <sz val="9"/>
            <color indexed="81"/>
            <rFont val="Segoe UI"/>
            <family val="2"/>
          </rPr>
          <t xml:space="preserve">Foi informado por José Gustavo na reunião de 27/11/2018, que o coque importado é encaminhado para esta pilha.
</t>
        </r>
      </text>
    </comment>
    <comment ref="T54" authorId="0" shapeId="0">
      <text>
        <r>
          <rPr>
            <sz val="9"/>
            <color indexed="81"/>
            <rFont val="Segoe UI"/>
            <family val="2"/>
          </rPr>
          <t xml:space="preserve">41,3% -&gt; AF1
12,9% -&gt; AF2
45,8% -&gt; AF3
</t>
        </r>
      </text>
    </comment>
    <comment ref="Q60" authorId="0" shapeId="0">
      <text>
        <r>
          <rPr>
            <sz val="9"/>
            <color indexed="81"/>
            <rFont val="Segoe UI"/>
            <family val="2"/>
          </rPr>
          <t>41,3% -&gt; AF1
12,9% -&gt; AF2
45,8% -&gt; AF3</t>
        </r>
      </text>
    </comment>
    <comment ref="J100" authorId="0" shapeId="0">
      <text>
        <r>
          <rPr>
            <b/>
            <sz val="9"/>
            <color indexed="81"/>
            <rFont val="Segoe UI"/>
            <family val="2"/>
          </rPr>
          <t>Comprado no mercado externo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Fonte: Estação do Aeroporto de Vitória (SBVT) - Dados Metar (2015)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7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N7" authorId="0" shapeId="0">
      <text>
        <r>
          <rPr>
            <sz val="9"/>
            <color indexed="81"/>
            <rFont val="Segoe UI"/>
            <family val="2"/>
          </rPr>
          <t>Foi considerada a relação PM2.5/PM30 da constante de multiplicação da partícula (Capítulo 13.2.4 - AP42), pois não há fator de emissão para peneiramento de carvão</t>
        </r>
      </text>
    </comment>
    <comment ref="E10" authorId="0" shapeId="0">
      <text>
        <r>
          <rPr>
            <sz val="9"/>
            <color indexed="81"/>
            <rFont val="Segoe UI"/>
            <family val="2"/>
          </rPr>
          <t>Considerada a mesma umidade do coque da Coqueria Heat Recovery, uma vez que a AMT não informou o teor de umidade do coque.</t>
        </r>
      </text>
    </comment>
    <comment ref="G10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N10" authorId="0" shapeId="0">
      <text>
        <r>
          <rPr>
            <sz val="9"/>
            <color indexed="81"/>
            <rFont val="Segoe UI"/>
            <family val="2"/>
          </rPr>
          <t>Foi considerada a relação PM2.5/PM30 da constante de multiplicação da partícula (Capítulo 13.2.4 - AP42), pois não há fator de emissão para peneiramento de carvão</t>
        </r>
      </text>
    </comment>
    <comment ref="E11" authorId="0" shapeId="0">
      <text>
        <r>
          <rPr>
            <sz val="9"/>
            <color indexed="81"/>
            <rFont val="Segoe UI"/>
            <family val="2"/>
          </rPr>
          <t>Considerada a mesma umidade do coque da Coqueria Heat Recovery, uma vez que a AMT não informou o teor de umidade do coque.</t>
        </r>
      </text>
    </comment>
    <comment ref="E12" authorId="0" shapeId="0">
      <text>
        <r>
          <rPr>
            <sz val="9"/>
            <color indexed="81"/>
            <rFont val="Segoe UI"/>
            <family val="2"/>
          </rPr>
          <t>Considerada a mesma umidade do coque da Coqueria Heat Recovery, uma vez que a AMT não informou o teor de umidade do coque.</t>
        </r>
      </text>
    </comment>
    <comment ref="G13" authorId="0" shapeId="0">
      <text>
        <r>
          <rPr>
            <sz val="9"/>
            <color indexed="81"/>
            <rFont val="Segoe UI"/>
            <family val="2"/>
          </rPr>
          <t xml:space="preserve">Referência (WRAP, 2016) - Aba Controles: 
Cinturão Verde - 25%
Aspersão com polímero - 84% 
</t>
        </r>
      </text>
    </comment>
    <comment ref="G18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19" authorId="0" shapeId="0">
      <text>
        <r>
          <rPr>
            <sz val="9"/>
            <color indexed="81"/>
            <rFont val="Segoe UI"/>
            <family val="2"/>
          </rPr>
          <t xml:space="preserve">Referência (WRAP, 2016) - Aba Controles: 
Cinturão Verde - 25%
Aspersão com polímero - 84% 
</t>
        </r>
      </text>
    </comment>
    <comment ref="G23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4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N24" authorId="0" shapeId="0">
      <text>
        <r>
          <rPr>
            <sz val="9"/>
            <color indexed="81"/>
            <rFont val="Segoe UI"/>
            <family val="2"/>
          </rPr>
          <t>Foi considerada a relação PM2.5/PM30 da constante de multiplicação da partícula (Capítulo 13.2.4 - AP42), pois não há fator de emissão para peneiramento de carvão</t>
        </r>
      </text>
    </comment>
    <comment ref="G25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6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7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8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9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30" authorId="0" shapeId="0">
      <text>
        <r>
          <rPr>
            <sz val="9"/>
            <color indexed="81"/>
            <rFont val="Segoe UI"/>
            <family val="2"/>
          </rPr>
          <t xml:space="preserve">Referência (WRAP, 2016) - Aba Controles: 
Cinturão Verde - 25%
Aspersão com polímero - 84% 
</t>
        </r>
      </text>
    </comment>
    <comment ref="G33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G37" authorId="0" shapeId="0">
      <text>
        <r>
          <rPr>
            <sz val="9"/>
            <color indexed="81"/>
            <rFont val="Segoe UI"/>
            <family val="2"/>
          </rPr>
          <t xml:space="preserve">Referência: WRAP (2006) - Aba Controles
</t>
        </r>
      </text>
    </comment>
    <comment ref="G39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E45" authorId="0" shapeId="0">
      <text>
        <r>
          <rPr>
            <sz val="9"/>
            <color indexed="81"/>
            <rFont val="Segoe UI"/>
            <family val="2"/>
          </rPr>
          <t>Considerada a mesma umidade do coque da Coqueria Heat Recovery, uma vez que a AMT não informou o teor de umidade do coque.</t>
        </r>
      </text>
    </comment>
    <comment ref="E46" authorId="0" shapeId="0">
      <text>
        <r>
          <rPr>
            <sz val="9"/>
            <color indexed="81"/>
            <rFont val="Segoe UI"/>
            <family val="2"/>
          </rPr>
          <t>Considerada a mesma umidade do coque da Coqueria Heat Recovery, uma vez que a AMT não informou o teor de umidade do coque.</t>
        </r>
      </text>
    </comment>
    <comment ref="E47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48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49" authorId="0" shapeId="0">
      <text>
        <r>
          <rPr>
            <sz val="9"/>
            <color indexed="81"/>
            <rFont val="Segoe UI"/>
            <family val="2"/>
          </rPr>
          <t>Considerada a mesma umidade do coque da Coqueria Heat Recovery, uma vez que a AMT não informou o teor de umidade do coque.</t>
        </r>
      </text>
    </comment>
    <comment ref="E50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63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64" authorId="0" shapeId="0">
      <text>
        <r>
          <rPr>
            <sz val="9"/>
            <color indexed="81"/>
            <rFont val="Segoe UI"/>
            <family val="2"/>
          </rPr>
          <t>Considerada a mesma umidade do coque da Coqueria Heat Recovery, uma vez que a AMT não informou o teor de umidade do coque.</t>
        </r>
      </text>
    </comment>
    <comment ref="E65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66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67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G67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E68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G68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69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G69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70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71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72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G72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E73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G73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74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G74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75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E76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E77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E87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97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98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G98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99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G99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100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101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102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103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104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G104" authorId="0" shapeId="0">
      <text>
        <r>
          <rPr>
            <sz val="9"/>
            <color indexed="81"/>
            <rFont val="Segoe UI"/>
            <family val="2"/>
          </rPr>
          <t>Considerada a mesma eficiência de controle aplicada para aspersão com água, pois não há referência bibliográfica de controle utilizado o melaço de cana.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105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106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G106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E107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108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G108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E109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G109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110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G110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111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G111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112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G112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C113" authorId="0" shapeId="0">
      <text>
        <r>
          <rPr>
            <sz val="9"/>
            <color indexed="81"/>
            <rFont val="Segoe UI"/>
            <family val="2"/>
          </rPr>
          <t>Silos</t>
        </r>
      </text>
    </comment>
    <comment ref="E113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G113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121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G121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122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G122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123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G123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C124" authorId="0" shapeId="0">
      <text>
        <r>
          <rPr>
            <sz val="9"/>
            <color indexed="81"/>
            <rFont val="Segoe UI"/>
            <family val="2"/>
          </rPr>
          <t>Silos</t>
        </r>
      </text>
    </comment>
    <comment ref="E124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G124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125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E126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E127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E128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G128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E129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E130" authorId="0" shapeId="0">
      <text>
        <r>
          <rPr>
            <sz val="9"/>
            <color indexed="81"/>
            <rFont val="Segoe UI"/>
            <family val="2"/>
          </rPr>
          <t>Considerada a mesma umidade da pelota movimentada na Vale, uma vez que a pelota é fornecida pela Vale e a AMT não forneceu o teor de umidade.</t>
        </r>
      </text>
    </comment>
    <comment ref="E138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E139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E140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E148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G148" authorId="0" shapeId="0">
      <text>
        <r>
          <rPr>
            <sz val="9"/>
            <color indexed="81"/>
            <rFont val="Segoe UI"/>
            <family val="2"/>
          </rPr>
          <t>Referência: WRAP (2006)
50% - Aspersão com água
84% - Aplicação de polímero</t>
        </r>
      </text>
    </comment>
    <comment ref="E149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150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151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G151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152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153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154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G154" authorId="0" shapeId="0">
      <text>
        <r>
          <rPr>
            <sz val="9"/>
            <color indexed="81"/>
            <rFont val="Segoe UI"/>
            <family val="2"/>
          </rPr>
          <t xml:space="preserve">Referência: WRAP (2006)
50% - Aspersão com água
84% - Aplicação de polímero
</t>
        </r>
      </text>
    </comment>
    <comment ref="E155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156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157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G157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158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159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160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G160" authorId="0" shapeId="0">
      <text>
        <r>
          <rPr>
            <sz val="9"/>
            <color indexed="81"/>
            <rFont val="Segoe UI"/>
            <family val="2"/>
          </rPr>
          <t xml:space="preserve">Referência: WRAP (2006)
50% - Aspersão com água
84% - Aplicação de polímero
</t>
        </r>
      </text>
    </comment>
    <comment ref="E161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162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163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G163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164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165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166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G166" authorId="0" shapeId="0">
      <text>
        <r>
          <rPr>
            <sz val="9"/>
            <color indexed="81"/>
            <rFont val="Segoe UI"/>
            <family val="2"/>
          </rPr>
          <t>Referência: WRAP (2006)
50% - Aspersão com água
84% - Aplicação de polímero</t>
        </r>
      </text>
    </comment>
    <comment ref="E167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168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169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G169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170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171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172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G172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E173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174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175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176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G176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177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178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179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G179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E180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E181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E182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G182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183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E184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E200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201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E202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03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04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05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08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09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10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211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212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G212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214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G214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215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G215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216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G216" authorId="0" shapeId="0">
      <text>
        <r>
          <rPr>
            <sz val="9"/>
            <color indexed="81"/>
            <rFont val="Segoe UI"/>
            <family val="2"/>
          </rPr>
          <t xml:space="preserve">Referência: WRAP (2006)
</t>
        </r>
      </text>
    </comment>
    <comment ref="E217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218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219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220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G220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221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222" authorId="0" shapeId="0">
      <text>
        <r>
          <rPr>
            <sz val="9"/>
            <color indexed="81"/>
            <rFont val="Segoe UI"/>
            <family val="2"/>
          </rPr>
          <t xml:space="preserve">Valor informado pela AMT durante visita técnica 
</t>
        </r>
      </text>
    </comment>
    <comment ref="E223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224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225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E226" authorId="0" shapeId="0">
      <text>
        <r>
          <rPr>
            <sz val="9"/>
            <color indexed="81"/>
            <rFont val="Segoe UI"/>
            <family val="2"/>
          </rPr>
          <t xml:space="preserve">Considerada a mesma umidade do coque da Coqueria Heat Recovery, uma vez que a AMT não informou o teor de umidade do coque.
</t>
        </r>
      </text>
    </comment>
    <comment ref="G226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227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G227" authorId="0" shapeId="0">
      <text>
        <r>
          <rPr>
            <sz val="9"/>
            <color indexed="81"/>
            <rFont val="Segoe UI"/>
            <family val="2"/>
          </rPr>
          <t>Referência: WRAP (2006)
50% - Aspersão com água
84% - Aplicação de polímero</t>
        </r>
      </text>
    </comment>
    <comment ref="E228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E229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E230" authorId="0" shapeId="0">
      <text>
        <r>
          <rPr>
            <sz val="9"/>
            <color indexed="81"/>
            <rFont val="Segoe UI"/>
            <family val="2"/>
          </rPr>
          <t>Considerada a mesma umidade do minério granulado movimentado na Vale, uma vez que a AMT não informou o teor de umidade do minério granulado.</t>
        </r>
      </text>
    </comment>
    <comment ref="G230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231" authorId="0" shapeId="0">
      <text>
        <r>
          <rPr>
            <sz val="9"/>
            <color indexed="81"/>
            <rFont val="Segoe UI"/>
            <family val="2"/>
          </rPr>
          <t xml:space="preserve">Considerada a mesma umidade do sinter feed na Vale, uma vez que a AMT não informou o teor de umidade do briquete.
</t>
        </r>
      </text>
    </comment>
    <comment ref="E232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briquete.</t>
        </r>
      </text>
    </comment>
    <comment ref="G232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34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239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40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41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42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45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246" authorId="0" shapeId="0">
      <text>
        <r>
          <rPr>
            <sz val="9"/>
            <color indexed="81"/>
            <rFont val="Segoe UI"/>
            <family val="2"/>
          </rPr>
          <t>Considerada a mesma umidade do material pellet feed manuseado na Vale, pois a AMT não informou o teor de umidade dos finos de despoeiramento dos AFs e Aciaria</t>
        </r>
      </text>
    </comment>
    <comment ref="E247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E248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G256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258" authorId="0" shapeId="0">
      <text>
        <r>
          <rPr>
            <sz val="9"/>
            <color indexed="81"/>
            <rFont val="Segoe UI"/>
            <family val="2"/>
          </rPr>
          <t xml:space="preserve">Nesta etapa a lama de aciaria está com menor teor de umidade. Adotado o mesmo teor de umidade da escória
</t>
        </r>
      </text>
    </comment>
    <comment ref="G258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59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60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61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62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263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G263" authorId="0" shapeId="0">
      <text>
        <r>
          <rPr>
            <sz val="9"/>
            <color indexed="81"/>
            <rFont val="Segoe UI"/>
            <family val="2"/>
          </rPr>
          <t xml:space="preserve">Referência: WRAP (2006)
50% - Aspersão com água
84% - Aplicação de polímero
</t>
        </r>
      </text>
    </comment>
    <comment ref="E264" authorId="0" shapeId="0">
      <text>
        <r>
          <rPr>
            <sz val="9"/>
            <color indexed="81"/>
            <rFont val="Segoe UI"/>
            <family val="2"/>
          </rPr>
          <t>Considerada a mesma umidade do sinter feed na Vale, uma vez que a AMT não informou o teor de umidade do sinter feed.</t>
        </r>
      </text>
    </comment>
    <comment ref="G264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E265" authorId="0" shapeId="0">
      <text>
        <r>
          <rPr>
            <sz val="9"/>
            <color indexed="81"/>
            <rFont val="Segoe UI"/>
            <family val="2"/>
          </rPr>
          <t>Utilizado o menor range da Tabela 13.2.4-1, uma vez que foi informado pela Lhoist que a cal quase não possui umidade</t>
        </r>
      </text>
    </comment>
    <comment ref="G265" authorId="0" shapeId="0">
      <text>
        <r>
          <rPr>
            <sz val="9"/>
            <color indexed="81"/>
            <rFont val="Segoe UI"/>
            <family val="2"/>
          </rPr>
          <t xml:space="preserve">Valor informado pela empresa (Inventário da Sol Coqueria, 2015); Valor observado no
WRAP (2006)
</t>
        </r>
      </text>
    </comment>
    <comment ref="G266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E267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G267" authorId="0" shapeId="0">
      <text>
        <r>
          <rPr>
            <sz val="9"/>
            <color indexed="81"/>
            <rFont val="Segoe UI"/>
            <family val="2"/>
          </rPr>
          <t>Referência: WRAP (2006) - Aba Controles</t>
        </r>
      </text>
    </comment>
    <comment ref="G268" authorId="0" shapeId="0">
      <text>
        <r>
          <rPr>
            <sz val="9"/>
            <color indexed="81"/>
            <rFont val="Segoe UI"/>
            <family val="2"/>
          </rPr>
          <t>Considerada a mesma eficiência de controle aplicada para aspersão com água, pois não há referência bibliográfica de controle utilizado o melaço de cana.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69" authorId="0" shapeId="0">
      <text>
        <r>
          <rPr>
            <sz val="9"/>
            <color indexed="81"/>
            <rFont val="Segoe UI"/>
            <family val="2"/>
          </rPr>
          <t xml:space="preserve">Valor informado em visita técnica pela AMT
</t>
        </r>
      </text>
    </comment>
    <comment ref="G269" authorId="0" shapeId="0">
      <text>
        <r>
          <rPr>
            <sz val="9"/>
            <color indexed="81"/>
            <rFont val="Segoe UI"/>
            <family val="2"/>
          </rPr>
          <t>Considerada a mesma eficiência de controle aplicada para aspersão com água, pois não há referência bibliográfica de controle utilizado o melaço de cana.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G5" authorId="0" shapeId="0">
      <text>
        <r>
          <rPr>
            <sz val="9"/>
            <color indexed="81"/>
            <rFont val="Segoe UI"/>
            <family val="2"/>
          </rPr>
          <t xml:space="preserve">Considerada relação PM10/PM obtida no Capítulo 1.B.1.b da EEA (2016) - Fugitive Emissions from Solid Fuels </t>
        </r>
      </text>
    </comment>
    <comment ref="H5" authorId="0" shapeId="0">
      <text>
        <r>
          <rPr>
            <sz val="9"/>
            <color indexed="81"/>
            <rFont val="Segoe UI"/>
            <family val="2"/>
          </rPr>
          <t xml:space="preserve">Considerada relação PM2,5/PM obtida no Capítulo 1.B.1.b da EEA (2016) - Fugitive Emissions from Solid Fuels 
</t>
        </r>
      </text>
    </comment>
  </commentList>
</comments>
</file>

<file path=xl/sharedStrings.xml><?xml version="1.0" encoding="utf-8"?>
<sst xmlns="http://schemas.openxmlformats.org/spreadsheetml/2006/main" count="1594" uniqueCount="657">
  <si>
    <t>Fonte: Informações enviadas pelo empreendimento através dos Ofícios IEMA N° 576/2016</t>
  </si>
  <si>
    <t>Coqueria</t>
  </si>
  <si>
    <t>Aciaria</t>
  </si>
  <si>
    <t>Quantidade [toneladas]</t>
  </si>
  <si>
    <t xml:space="preserve">Material </t>
  </si>
  <si>
    <t>Quantidade (ton.)</t>
  </si>
  <si>
    <t>Produção de coque bruto</t>
  </si>
  <si>
    <t>Produção de aço liquido</t>
  </si>
  <si>
    <t>Carvão consumido (base seca)</t>
  </si>
  <si>
    <t>Ferro gusa - consumido</t>
  </si>
  <si>
    <t>Coque - consumido</t>
  </si>
  <si>
    <t>Sinterização</t>
  </si>
  <si>
    <t>Produção de sinter bruto</t>
  </si>
  <si>
    <t>Total considerando carvão base seca</t>
  </si>
  <si>
    <t>Sucata interna - geração</t>
  </si>
  <si>
    <t>Sucata interna - consumida</t>
  </si>
  <si>
    <t>Altos-fornos</t>
  </si>
  <si>
    <t>Lingotamento continuo</t>
  </si>
  <si>
    <t>Produção de gusa</t>
  </si>
  <si>
    <t>Aço liquido - consumido</t>
  </si>
  <si>
    <t>Placa (aço bruto) - geração</t>
  </si>
  <si>
    <t>Sinter - cosumido</t>
  </si>
  <si>
    <t>Placa (aço bruto) - venda</t>
  </si>
  <si>
    <t>Minério de ferro - consumido</t>
  </si>
  <si>
    <t>Placa (aço bruto) - estoque</t>
  </si>
  <si>
    <t>Pelotas - consumido</t>
  </si>
  <si>
    <t>Carvão para PCI - consumido</t>
  </si>
  <si>
    <t>Laminação de tiras a quente (LTQ)</t>
  </si>
  <si>
    <t>Sucata gerada</t>
  </si>
  <si>
    <t>Sucata consumida</t>
  </si>
  <si>
    <t>Placa (aço bruto) - consumido</t>
  </si>
  <si>
    <t>Escoria granulada</t>
  </si>
  <si>
    <t>Bobinas - geração</t>
  </si>
  <si>
    <t>Pelota</t>
  </si>
  <si>
    <t>Minério Granulado</t>
  </si>
  <si>
    <t>Calcário</t>
  </si>
  <si>
    <t>Carvão</t>
  </si>
  <si>
    <t>Antracito</t>
  </si>
  <si>
    <t>Carvão PCI</t>
  </si>
  <si>
    <t>Origem</t>
  </si>
  <si>
    <t>Material</t>
  </si>
  <si>
    <t>Quantidade recebida [tonelada]</t>
  </si>
  <si>
    <t>quantidade distribuida [tonelada]</t>
  </si>
  <si>
    <t>estoque</t>
  </si>
  <si>
    <t>Enviado para</t>
  </si>
  <si>
    <t>Materias-primas</t>
  </si>
  <si>
    <t>Sinter Feed</t>
  </si>
  <si>
    <t>Minério de Ferro granulado</t>
  </si>
  <si>
    <t>Altos-Fornos</t>
  </si>
  <si>
    <t>Coque fino</t>
  </si>
  <si>
    <t>Pó do Balão AF</t>
  </si>
  <si>
    <t>Cal Dolomítica Fina</t>
  </si>
  <si>
    <t>Pré-Cal Calcitica</t>
  </si>
  <si>
    <t>Coqueria, Sinterização, Altos-fornos e Aciaria (Finos Industriais:Lama, po carbonoso,  finos sinter, pó de despoeiramento)</t>
  </si>
  <si>
    <t>Lama Aciaria Fina</t>
  </si>
  <si>
    <t>Pó Carbonoso Coqueria</t>
  </si>
  <si>
    <t xml:space="preserve">Finos de sinter, pós de despoeiramentos </t>
  </si>
  <si>
    <t>Coqueria Convencional (by products)</t>
  </si>
  <si>
    <t>Carvão base umida</t>
  </si>
  <si>
    <t>Carvão base seca</t>
  </si>
  <si>
    <t>Coqueria Heat Recovery</t>
  </si>
  <si>
    <t>Carvão para PCI</t>
  </si>
  <si>
    <t>Coque</t>
  </si>
  <si>
    <t>Total considerando carvão base umida</t>
  </si>
  <si>
    <t>Unidade</t>
  </si>
  <si>
    <t xml:space="preserve"> </t>
  </si>
  <si>
    <t xml:space="preserve">Sinter </t>
  </si>
  <si>
    <t>Coque Fino</t>
  </si>
  <si>
    <t>Lama Aciaria</t>
  </si>
  <si>
    <t>Pó AF</t>
  </si>
  <si>
    <t>Aciaria e Sinterização (Finos: calcario, escória)</t>
  </si>
  <si>
    <t>Pó Convertedor</t>
  </si>
  <si>
    <r>
      <t>Oleo diesel - consumido (m</t>
    </r>
    <r>
      <rPr>
        <vertAlign val="superscript"/>
        <sz val="9"/>
        <color theme="1"/>
        <rFont val="Arial"/>
        <family val="2"/>
      </rPr>
      <t>3</t>
    </r>
    <r>
      <rPr>
        <sz val="9"/>
        <color theme="1"/>
        <rFont val="Arial"/>
        <family val="2"/>
      </rPr>
      <t>)</t>
    </r>
  </si>
  <si>
    <t>Cal</t>
  </si>
  <si>
    <t>Sinter Fino</t>
  </si>
  <si>
    <t>Pó Carbonoso</t>
  </si>
  <si>
    <t xml:space="preserve">Beneficiamento 8 de Escória </t>
  </si>
  <si>
    <t>2 britadores</t>
  </si>
  <si>
    <t>Pátios</t>
  </si>
  <si>
    <t>CASP</t>
  </si>
  <si>
    <t>Umidade [%]</t>
  </si>
  <si>
    <t>OBS</t>
  </si>
  <si>
    <t>35-40 (lama AF)</t>
  </si>
  <si>
    <t>Escória de AF e aciaria</t>
  </si>
  <si>
    <t>Escória KR</t>
  </si>
  <si>
    <t>Escória LD</t>
  </si>
  <si>
    <t>Carepa</t>
  </si>
  <si>
    <t>Pó Balão AF</t>
  </si>
  <si>
    <t>Carepa Transferência</t>
  </si>
  <si>
    <t>Sucata Fina</t>
  </si>
  <si>
    <t>Lama de Aciaria</t>
  </si>
  <si>
    <t>Carepa Interna</t>
  </si>
  <si>
    <t>Finos de Sinter</t>
  </si>
  <si>
    <t>Cimento</t>
  </si>
  <si>
    <t>Cal Hidratada</t>
  </si>
  <si>
    <t>Melaço</t>
  </si>
  <si>
    <t>Produção 2015 (t)</t>
  </si>
  <si>
    <t>Materiais Movimentados BRIQUETAGEM – 2015 (t)</t>
  </si>
  <si>
    <t>Sucata</t>
  </si>
  <si>
    <t>Briquete</t>
  </si>
  <si>
    <t>Pó da limpeza do gas do Convertedor LD - geração</t>
  </si>
  <si>
    <t>Lama do Convertedor do LD - geração</t>
  </si>
  <si>
    <t>Pó da limpeza do gas do Convertedor LD - consumido</t>
  </si>
  <si>
    <t>Lama do Convertedor do LD - consumido</t>
  </si>
  <si>
    <t>Ferro-cromo - consumido</t>
  </si>
  <si>
    <t>Ferro-manganes - consumido</t>
  </si>
  <si>
    <t>Niquel - consumido</t>
  </si>
  <si>
    <t>Sucata comprada - consumido</t>
  </si>
  <si>
    <t>Cal - consumido</t>
  </si>
  <si>
    <t>Dolomita bruta - consumido</t>
  </si>
  <si>
    <t>Dolomita calcinada - consumido</t>
  </si>
  <si>
    <t>Minerio de ferro - consumido</t>
  </si>
  <si>
    <t>coque - consumido</t>
  </si>
  <si>
    <t>sinter fino - consumido</t>
  </si>
  <si>
    <t>cal - consumido</t>
  </si>
  <si>
    <t>Antracito - consumido</t>
  </si>
  <si>
    <t>Pó da limpeza do gas de AF - consumido</t>
  </si>
  <si>
    <t>Minerio de ferro (sinter feed) - consumido</t>
  </si>
  <si>
    <t>calcario - consumido</t>
  </si>
  <si>
    <t xml:space="preserve">Minério </t>
  </si>
  <si>
    <t>CAREPA 100% CONSUMIDA EM TUBARAO</t>
  </si>
  <si>
    <t>ESCORIA DE AF VENDIDA</t>
  </si>
  <si>
    <t>LAMA FINA ACIARIA - CONSUMIDA EM TUBARAO</t>
  </si>
  <si>
    <t>PÓ BALAO - 3124 T VENDIDO E RESTANTE CONSUMIDO/ESTOCADO (21339 T CONSUMIDAS NA SINTE; DIFERENÇA E ESTOCADA)</t>
  </si>
  <si>
    <t>ESCORIA LD - 100% VENDIDA</t>
  </si>
  <si>
    <t>TRANSPORTE: CAMINHAO</t>
  </si>
  <si>
    <t>O sinter fino e a cal vem de onde? CAL - SILOS; SINTER FINO - STOCKHOUSE</t>
  </si>
  <si>
    <t xml:space="preserve">Funcionamento (horas): </t>
  </si>
  <si>
    <t>Velocidade do Vento (m/s)</t>
  </si>
  <si>
    <t>Fonte Emissora</t>
  </si>
  <si>
    <t>Umidade do Material [%]</t>
  </si>
  <si>
    <t xml:space="preserve">Controle </t>
  </si>
  <si>
    <t>Controle [%]</t>
  </si>
  <si>
    <t>Quantidade [t/h]</t>
  </si>
  <si>
    <t>Lat (º)</t>
  </si>
  <si>
    <t>Long (º)</t>
  </si>
  <si>
    <t>H (m)</t>
  </si>
  <si>
    <t>Fator de Emissão [kg/t]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</si>
  <si>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</si>
  <si>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</si>
  <si>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</si>
  <si>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</si>
  <si>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TOTAL</t>
  </si>
  <si>
    <t>Equação Geral:</t>
  </si>
  <si>
    <t>Onde:
TE - taxa de emissão (kg/h)
k - particle size multiplier (dimensionless)
U - mean wind speed, meters per second (m/s) (miles per hour [mph]) 
M - material moisture content (%)
Q - quantidade de material moviemntada (t/h)
ER - eficiência de controle (%)</t>
  </si>
  <si>
    <t>Onde:
E - taxa de emissão (kg/h)
EF - fator de emissão (kg/t)
ER - eficiência de redução de emissão
Q - quantidade de material movimentado (t/h)</t>
  </si>
  <si>
    <t>Fonte: Informações enviadas pelo empreendimento através do Ofício IEMA N° 576/2016</t>
  </si>
  <si>
    <t>C56-04 / 56-08</t>
  </si>
  <si>
    <t>Vendido para João Monlevade - transportado por vagões</t>
  </si>
  <si>
    <t>Escória AF - Dry Pit</t>
  </si>
  <si>
    <t>Escória Granulada</t>
  </si>
  <si>
    <t>Ferro Gusa</t>
  </si>
  <si>
    <t>Calcário enviado para Lhoist (ton.):</t>
  </si>
  <si>
    <t>Dolomita Calcinada</t>
  </si>
  <si>
    <t>ESCORIA KR - VENDIDA/DOAÇAO ; CONSUMO SINTER 78847 T; BRIQUETAGEM 1468 T - Não consegui fazer o balanço, pois não foi informado consumo de KR pela sinterização ou briquetagem na planilha oficial encmainhada</t>
  </si>
  <si>
    <t>1 britador</t>
  </si>
  <si>
    <t>Pátio Escória 2</t>
  </si>
  <si>
    <t>Transporte</t>
  </si>
  <si>
    <t>Caminhão</t>
  </si>
  <si>
    <t>Caminhão e correia transportadora</t>
  </si>
  <si>
    <t xml:space="preserve">Origem </t>
  </si>
  <si>
    <t>Destino</t>
  </si>
  <si>
    <t>Pátio Carvão - Vale</t>
  </si>
  <si>
    <t>Pátio Carvão - AMT</t>
  </si>
  <si>
    <t>Aerodynamic Particle Size Multiplier (k) For Equation 1</t>
  </si>
  <si>
    <t xml:space="preserve">Table 13.2.4-1. TYPICAL SILT AND MOISTURE CONTENTS OF MATERIALS AT VARIOUS INDUSTRIES </t>
  </si>
  <si>
    <t>&lt; 30 µm</t>
  </si>
  <si>
    <t>&lt; 15 µm</t>
  </si>
  <si>
    <t>&lt; 10 µm</t>
  </si>
  <si>
    <t>&lt; 5 µm</t>
  </si>
  <si>
    <t>&lt; 2.5 µm</t>
  </si>
  <si>
    <t>Industry</t>
  </si>
  <si>
    <t>Silt Content (%)</t>
  </si>
  <si>
    <t>Moisture Content (%)</t>
  </si>
  <si>
    <t>Range</t>
  </si>
  <si>
    <t>Mean</t>
  </si>
  <si>
    <t>Iron and steel production</t>
  </si>
  <si>
    <t>Pellet ore</t>
  </si>
  <si>
    <t>1,3 - 13</t>
  </si>
  <si>
    <t xml:space="preserve">0,64 - 4,0 </t>
  </si>
  <si>
    <t>Lump ore</t>
  </si>
  <si>
    <t>2,8 - 19</t>
  </si>
  <si>
    <t>1,6 - 8,0</t>
  </si>
  <si>
    <t>Coal</t>
  </si>
  <si>
    <t>2,0 - 7,7</t>
  </si>
  <si>
    <t>2,8 - 11</t>
  </si>
  <si>
    <t>Slag</t>
  </si>
  <si>
    <t>3,0 - 7,3</t>
  </si>
  <si>
    <t>0,25 - 2,0</t>
  </si>
  <si>
    <t>Flue dust</t>
  </si>
  <si>
    <t>2,7 - 23</t>
  </si>
  <si>
    <t>-</t>
  </si>
  <si>
    <t>Coke breeze</t>
  </si>
  <si>
    <t>4,4 - 5,4</t>
  </si>
  <si>
    <t>6,4 - 9,2</t>
  </si>
  <si>
    <t>Onde:
E - emissão
k - particle size multiplier (dimensionless)
U - mean wind speed, meters per second (m/s) (miles per hour [mph]) 
M - material moisture content (%)</t>
  </si>
  <si>
    <t>Blended ore</t>
  </si>
  <si>
    <t>Sinter</t>
  </si>
  <si>
    <t>Limestone</t>
  </si>
  <si>
    <t>0,4 - 2,3</t>
  </si>
  <si>
    <t>ND</t>
  </si>
  <si>
    <t>Stone quarrying and processing</t>
  </si>
  <si>
    <t>Crushed limestone</t>
  </si>
  <si>
    <t>1,3 - 1,9</t>
  </si>
  <si>
    <t>0,3 - 1,1</t>
  </si>
  <si>
    <t>Various limestone products</t>
  </si>
  <si>
    <t>0,8 - 14</t>
  </si>
  <si>
    <t>0,46 - 5,0</t>
  </si>
  <si>
    <t>Taconite mining and processing</t>
  </si>
  <si>
    <t>Pellets</t>
  </si>
  <si>
    <t>2,2 - 5,4</t>
  </si>
  <si>
    <t>0,05 - 2,0</t>
  </si>
  <si>
    <t>Tailings</t>
  </si>
  <si>
    <t>Western surface coal mining</t>
  </si>
  <si>
    <t>3,4 - 16</t>
  </si>
  <si>
    <t>2,8 - 20</t>
  </si>
  <si>
    <t>Overburden</t>
  </si>
  <si>
    <t>3,8 - 15</t>
  </si>
  <si>
    <t>Exposed ground</t>
  </si>
  <si>
    <t>5,1 - 21</t>
  </si>
  <si>
    <t>0,8 - 6,4</t>
  </si>
  <si>
    <t>Coal-fired power plant</t>
  </si>
  <si>
    <t>Coal (as received)</t>
  </si>
  <si>
    <t>0,6 - 4,8</t>
  </si>
  <si>
    <t>2,7 - 7,4</t>
  </si>
  <si>
    <t>Municipal solid waste landfills</t>
  </si>
  <si>
    <t>Sand</t>
  </si>
  <si>
    <t>3,0 - 4,7</t>
  </si>
  <si>
    <t>2,3 - 4,9</t>
  </si>
  <si>
    <t>Cover</t>
  </si>
  <si>
    <t>5,0 - 16</t>
  </si>
  <si>
    <t>8,9 - 16</t>
  </si>
  <si>
    <t>Clay/dirty mix</t>
  </si>
  <si>
    <t>Clay</t>
  </si>
  <si>
    <t>4,5 - 7,4</t>
  </si>
  <si>
    <t>8,9 - 11</t>
  </si>
  <si>
    <t>Fly ash</t>
  </si>
  <si>
    <t>78 - 81</t>
  </si>
  <si>
    <t>26 - 29</t>
  </si>
  <si>
    <t>Misc. Fill materials</t>
  </si>
  <si>
    <t>Umidade (%)</t>
  </si>
  <si>
    <t>Coque - Small Coke</t>
  </si>
  <si>
    <t>Coque - Breeze Coke</t>
  </si>
  <si>
    <t>Fonte: Informações enviadas pelo empreendimento através dos Ofícios IEMA N° 444/2016 e 012/2017 (Coqueria Heat Recovery)</t>
  </si>
  <si>
    <t xml:space="preserve">C56-01 - Peneira / C56-04 </t>
  </si>
  <si>
    <t>Referências: AP-42 (USEPA, 2004) - https://www3.epa.gov/ttn/chief/ap42/ch11/final/c11s1902.pdf</t>
  </si>
  <si>
    <t>Table 11.19.2-1 (Metric Units). EMISSION FACTORS FOR CRUSHED STONE PROCESSING OPERATIONS (kg/Mg)</t>
  </si>
  <si>
    <t>Source</t>
  </si>
  <si>
    <t>EMISSION FACTOR RATING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</si>
  <si>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</si>
  <si>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2.5</t>
    </r>
  </si>
  <si>
    <t>Tertiary Crushing</t>
  </si>
  <si>
    <t>E</t>
  </si>
  <si>
    <t>C</t>
  </si>
  <si>
    <t xml:space="preserve">Tertiary Crushing (controlled) </t>
  </si>
  <si>
    <t>Screening</t>
  </si>
  <si>
    <t>Screening (controlled)</t>
  </si>
  <si>
    <t>Table 12.2-18 (Metric And English Units).
EMISSION FACTORS FOR MISCELLANEOUS COKE PRODUCTION SOURCES</t>
  </si>
  <si>
    <t>Pollutant</t>
  </si>
  <si>
    <t>Emissions kg/Mg</t>
  </si>
  <si>
    <t>Emissions lb/ton</t>
  </si>
  <si>
    <t>Coal crushing, with cyclone</t>
  </si>
  <si>
    <t>Filterable PM</t>
  </si>
  <si>
    <t>D</t>
  </si>
  <si>
    <t>Coal crushing, with rotoclone</t>
  </si>
  <si>
    <t>Primary coal pulverizer with building enclosure</t>
  </si>
  <si>
    <t xml:space="preserve">Filterable PM-10 </t>
  </si>
  <si>
    <t>Secondary coal pulverizer with
building enclosure</t>
  </si>
  <si>
    <t>Coke handling, with cyclone</t>
  </si>
  <si>
    <t>Coke screening</t>
  </si>
  <si>
    <t>REC_PC</t>
  </si>
  <si>
    <t>REC_PC /  BC-214</t>
  </si>
  <si>
    <t>BC-214 / BC-215</t>
  </si>
  <si>
    <t>BC-215 / BC-215A</t>
  </si>
  <si>
    <t>BC-215A / BC-216</t>
  </si>
  <si>
    <t>BC-216 / Heat Recovery</t>
  </si>
  <si>
    <t xml:space="preserve">Enclausurada </t>
  </si>
  <si>
    <t>Fonte: Fugitive Dust Emissions from a Coal, Iron, Ore and Hydrated Alumina Stockpile (2012)</t>
  </si>
  <si>
    <t>Fonte: WRAP Fugitive Dust Handbook (2006)</t>
  </si>
  <si>
    <t>Fonte: Emission Control Technologies and Emission Factors for unpaved road fugitive emissions</t>
  </si>
  <si>
    <t>Fonte: Dust Control Handbook for Industrial Minerals Mining and Processing (CDC, 2012)</t>
  </si>
  <si>
    <t>Huan et al. (2013)</t>
  </si>
  <si>
    <t>Fonte: Handbook of dust control in mining - CDC (IC-9465)</t>
  </si>
  <si>
    <t>Fonte: Topic and Zitnik (2012)</t>
  </si>
  <si>
    <t>Fonte: PARTICULATE MATTER BEST MANAGEMENT PRACTICE  POLLUTION REDUCTION PROGRAM (2012)</t>
  </si>
  <si>
    <t>Fonte: NPI (2012)</t>
  </si>
  <si>
    <t>Coqueria Convencional</t>
  </si>
  <si>
    <t>REC_PC /  C56-13A</t>
  </si>
  <si>
    <t>C56-13A / C56-13</t>
  </si>
  <si>
    <t>C56-13 / C56-16</t>
  </si>
  <si>
    <t>C56-16 / Silos Mistura</t>
  </si>
  <si>
    <t>C6 / Britadores</t>
  </si>
  <si>
    <t>C9 / C10</t>
  </si>
  <si>
    <t>C10 / C13 / C11</t>
  </si>
  <si>
    <t>C13 / Torre 2</t>
  </si>
  <si>
    <t>C11 / C12</t>
  </si>
  <si>
    <t>C12 / Torre 1</t>
  </si>
  <si>
    <t>REC_PC / C56-14</t>
  </si>
  <si>
    <t>C56-14 / C56-17</t>
  </si>
  <si>
    <t>C56-17 / Silos Regularização PCI</t>
  </si>
  <si>
    <t>C56-18A / C56-19A</t>
  </si>
  <si>
    <t>C56-19A / C-56-20A</t>
  </si>
  <si>
    <t>Moagem do PCI</t>
  </si>
  <si>
    <t>Pá Carregadeira / Caminhão</t>
  </si>
  <si>
    <t>Caminhão / Pilha Antracito</t>
  </si>
  <si>
    <t>OBS:</t>
  </si>
  <si>
    <t>Pilha Antracito - Pátio Minérios</t>
  </si>
  <si>
    <t>Pá carregadeira / Tremonha</t>
  </si>
  <si>
    <t>CT1</t>
  </si>
  <si>
    <t>CT2</t>
  </si>
  <si>
    <t>CT3</t>
  </si>
  <si>
    <t>CT4</t>
  </si>
  <si>
    <t>CT4 / Silos Sinterização</t>
  </si>
  <si>
    <t>Silos da Sinterização</t>
  </si>
  <si>
    <t>Stockhouse AF3</t>
  </si>
  <si>
    <t>Heat Recovery / BC-331</t>
  </si>
  <si>
    <t>BC-331 / BC-332</t>
  </si>
  <si>
    <t>BC-332 / BC-332A</t>
  </si>
  <si>
    <t>BC-332A / BC-332B</t>
  </si>
  <si>
    <t>BC-332B / BC-333</t>
  </si>
  <si>
    <t>BC-333 / BC-334</t>
  </si>
  <si>
    <t>BC-334 / CK-202</t>
  </si>
  <si>
    <t>CK-202 / CK-203</t>
  </si>
  <si>
    <t>CK-203 / CK-204</t>
  </si>
  <si>
    <t>CK-204 / CK-205</t>
  </si>
  <si>
    <t>CK-4 / CK5</t>
  </si>
  <si>
    <t>CK-5 / CK5-BIS</t>
  </si>
  <si>
    <t>CK5-BIS / CK6</t>
  </si>
  <si>
    <t>CK-6 / Silos Coque AF1</t>
  </si>
  <si>
    <t>Stockhouse AF1</t>
  </si>
  <si>
    <t>C56-20A / C56-25A</t>
  </si>
  <si>
    <t>CK-3 - Peneiramento / CK4</t>
  </si>
  <si>
    <t>CK-5 / CK-21</t>
  </si>
  <si>
    <t xml:space="preserve">Hopper Ferroviário </t>
  </si>
  <si>
    <t>Pátio de Minérios</t>
  </si>
  <si>
    <t>Hopper Ferroviário -  Sinter Feed</t>
  </si>
  <si>
    <t>CT1 / M-2</t>
  </si>
  <si>
    <t>M-2 / M3-R</t>
  </si>
  <si>
    <t>M-3R / M-4R</t>
  </si>
  <si>
    <t>EP_Sinter Feed</t>
  </si>
  <si>
    <t>Aspersão com Água</t>
  </si>
  <si>
    <t xml:space="preserve">Hopper Ferroviário -  Minério Granulado </t>
  </si>
  <si>
    <t>EP_Minério Granulado</t>
  </si>
  <si>
    <t>Silo Coque Fino / R-1</t>
  </si>
  <si>
    <t>R-1 / F-2</t>
  </si>
  <si>
    <t>F-2 / F-1</t>
  </si>
  <si>
    <t>F-1 / S-22</t>
  </si>
  <si>
    <t>S-22 / SE-1</t>
  </si>
  <si>
    <t>EP_Coque Fino</t>
  </si>
  <si>
    <t>Finos de Coque</t>
  </si>
  <si>
    <t>Silo Finos / R-1</t>
  </si>
  <si>
    <t>EP_Finos</t>
  </si>
  <si>
    <t>Altos Fornos (Stockhouses)</t>
  </si>
  <si>
    <t>Basculamento Calcário</t>
  </si>
  <si>
    <t>CT2 / M-2</t>
  </si>
  <si>
    <t>M-2 / M-4</t>
  </si>
  <si>
    <t>EP_Calcário</t>
  </si>
  <si>
    <t xml:space="preserve">Hopper Rodoviário </t>
  </si>
  <si>
    <t>Pátio Minérios</t>
  </si>
  <si>
    <t>Pá Carregadeira / Moega</t>
  </si>
  <si>
    <t>Pátio Emergência de Coque (Coqueria)</t>
  </si>
  <si>
    <t>Pátio Carvão</t>
  </si>
  <si>
    <t>Pilha de Emergência de Coque (Sinterização)</t>
  </si>
  <si>
    <t>Umectação com Caminhão</t>
  </si>
  <si>
    <t>Carvão e Antracito</t>
  </si>
  <si>
    <t>EP_Coque</t>
  </si>
  <si>
    <t>EP_Carvão_Antracito</t>
  </si>
  <si>
    <t xml:space="preserve">Pá Carregadeira / Caminhão </t>
  </si>
  <si>
    <t>CT5</t>
  </si>
  <si>
    <t>CT6</t>
  </si>
  <si>
    <t>CT7</t>
  </si>
  <si>
    <t>CT8</t>
  </si>
  <si>
    <t>CT9</t>
  </si>
  <si>
    <t>CT10</t>
  </si>
  <si>
    <t>CT11</t>
  </si>
  <si>
    <t>Vale</t>
  </si>
  <si>
    <t>Altos Fornos</t>
  </si>
  <si>
    <t>EP_Pelotas</t>
  </si>
  <si>
    <t>REC_Pelota</t>
  </si>
  <si>
    <t>Pilha Homogeinizado</t>
  </si>
  <si>
    <t>REC_Minérios</t>
  </si>
  <si>
    <t>M-21 / B-23</t>
  </si>
  <si>
    <t>B-23 / B-24</t>
  </si>
  <si>
    <t>B-24 / Silos</t>
  </si>
  <si>
    <t>B-8 / B-9R</t>
  </si>
  <si>
    <t>EP_Minérios</t>
  </si>
  <si>
    <t>Aspersão com Água + Aplicação Polímero</t>
  </si>
  <si>
    <t>REC_Finos</t>
  </si>
  <si>
    <t>Finos Despoeiramento</t>
  </si>
  <si>
    <t>REC_Fundentes</t>
  </si>
  <si>
    <t>M-4 / B-22</t>
  </si>
  <si>
    <t>B-22/ B-23</t>
  </si>
  <si>
    <t>EP_Fundentes</t>
  </si>
  <si>
    <t>REC_Pilha Homogeinizado</t>
  </si>
  <si>
    <t>D-3 / D-4</t>
  </si>
  <si>
    <t>D-4 / D-6</t>
  </si>
  <si>
    <t>D-6 / Silos Sinterização</t>
  </si>
  <si>
    <t>Homogeinizado</t>
  </si>
  <si>
    <t>Contemplado pelo sistema de despoeiramento (monitoramento contínuo / manual). As chaminés dos sistemas de despoeiramento foram inventariadas.</t>
  </si>
  <si>
    <t>Lhoist</t>
  </si>
  <si>
    <t>Considerado que toda Cal foi recebida nos Silos</t>
  </si>
  <si>
    <t>Silos de Cal</t>
  </si>
  <si>
    <t>Recebimento de Cal (Caminhão)</t>
  </si>
  <si>
    <t>Aspersão com Melaço</t>
  </si>
  <si>
    <t>Basculamento Pó Carbonoso</t>
  </si>
  <si>
    <t>Pátio Minérios (Pilha Antracito)</t>
  </si>
  <si>
    <t>REC_Minério</t>
  </si>
  <si>
    <t>Stockhouse AF2</t>
  </si>
  <si>
    <t>T13 / T15</t>
  </si>
  <si>
    <t>T15 / T16</t>
  </si>
  <si>
    <t>Abastecimento Aciaria</t>
  </si>
  <si>
    <t xml:space="preserve">Coqueria </t>
  </si>
  <si>
    <t>Carregamento Caminhão</t>
  </si>
  <si>
    <t>Carregamento Caminhão - Coqueria</t>
  </si>
  <si>
    <t>Descarregamento Coque - Pátio Aciaria</t>
  </si>
  <si>
    <t>Carregamento Coque</t>
  </si>
  <si>
    <t>Basculamento Coque</t>
  </si>
  <si>
    <t>Carregamento Caminhão - Hopper</t>
  </si>
  <si>
    <t>Carregamento Caminhão - Aciaria</t>
  </si>
  <si>
    <t xml:space="preserve">Altos Fornos </t>
  </si>
  <si>
    <t>Mercado Externo</t>
  </si>
  <si>
    <t>Silos Escória Granulada / Caminhão - AF2</t>
  </si>
  <si>
    <t>Silos Escória Granulada / Caminhão - AF1</t>
  </si>
  <si>
    <t>Silos Escória Granulada / Caminhão - AF3</t>
  </si>
  <si>
    <t>Basculamento Calcário - Pátio Aciaria</t>
  </si>
  <si>
    <t>Basculamento Minério</t>
  </si>
  <si>
    <t>Carregamento Caminhão - Pátio Mininérios</t>
  </si>
  <si>
    <t>Basculamento Minério - Pátio Aciaria</t>
  </si>
  <si>
    <t>Briquetagem</t>
  </si>
  <si>
    <t xml:space="preserve">Carregamento Caminhão </t>
  </si>
  <si>
    <t>Basculamento Briquete</t>
  </si>
  <si>
    <t>Referência: AP-42 (USEPA, 2006) - https://www3.epa.gov/ttn/chief/ap42/ch13/final/c13s0204.pdf</t>
  </si>
  <si>
    <t>Referência: AP-42 (USEPA, 2008) - https://www3.epa.gov/ttn/chief/ap42/ch12/final/c12s02_may08.pdf</t>
  </si>
  <si>
    <t>Class of material</t>
  </si>
  <si>
    <t>Drift sensitivity</t>
  </si>
  <si>
    <t>Wettable</t>
  </si>
  <si>
    <t>Example of material</t>
  </si>
  <si>
    <t>Emission factor of the dry material (g/kg)</t>
  </si>
  <si>
    <t>S1</t>
  </si>
  <si>
    <t>High</t>
  </si>
  <si>
    <t>No</t>
  </si>
  <si>
    <t>S2</t>
  </si>
  <si>
    <t>Yes</t>
  </si>
  <si>
    <t>shredder dust (fines+fluff)</t>
  </si>
  <si>
    <t>S3</t>
  </si>
  <si>
    <t>Moderate</t>
  </si>
  <si>
    <t>S4</t>
  </si>
  <si>
    <t>Ferrous metal, non-ferrous metal, waste, ASR</t>
  </si>
  <si>
    <t>S5</t>
  </si>
  <si>
    <t>Slight</t>
  </si>
  <si>
    <t>Figure in parenthesis is the emission factor of the wet material</t>
  </si>
  <si>
    <t>Pátio Sucata</t>
  </si>
  <si>
    <t>Emission factor of the wet material (g/kg)</t>
  </si>
  <si>
    <r>
      <t>Referên</t>
    </r>
    <r>
      <rPr>
        <sz val="8"/>
        <rFont val="Arial"/>
        <family val="2"/>
      </rPr>
      <t>cia: CIRCAB (IPPC, 2007)</t>
    </r>
    <r>
      <rPr>
        <sz val="8"/>
        <color theme="1"/>
        <rFont val="Arial"/>
        <family val="2"/>
      </rPr>
      <t xml:space="preserve"> -  https://circabc.europa.eu/webdav/CircaBC/env/ippc_rev/Library/gathering_activities/final_report ; https://circabc.europa.eu/webdav/CircaBC/env/ippc_rev/Library/gathering_activities/final_report/fact%20sheet%20E11%20scrap%20metal%20preparation.doc</t>
    </r>
  </si>
  <si>
    <t>Table 2: Emission factors associated to the handling and crushing of materials</t>
  </si>
  <si>
    <r>
      <t xml:space="preserve">Table 12.5-4 (Metric And English Units). UNCONTROLLED PARTICULATE EMISSION
FACTORS FOR OPEN DUST SOURCES AT IRON AND STEEL MILLS </t>
    </r>
    <r>
      <rPr>
        <vertAlign val="superscript"/>
        <sz val="8"/>
        <color theme="1"/>
        <rFont val="Arial"/>
        <family val="2"/>
      </rPr>
      <t>a</t>
    </r>
  </si>
  <si>
    <t>Operation</t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</si>
  <si>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30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</si>
  <si>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15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</si>
  <si>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10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</si>
  <si>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</si>
  <si>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2.5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</si>
  <si>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t>Emissions By Particle Size Range (Aerodynamic Diameter)</t>
  </si>
  <si>
    <t>Units</t>
  </si>
  <si>
    <t>Batch drop Front end loader/truck</t>
  </si>
  <si>
    <t>High silt slag</t>
  </si>
  <si>
    <t>Low silt slag</t>
  </si>
  <si>
    <t>g/t</t>
  </si>
  <si>
    <t>Referência: AP-42 (USEPA, 1986) - https://www3.epa.gov/ttn/chief/ap42/ch12/final/c12s05.pdf</t>
  </si>
  <si>
    <t>Alto Fornos</t>
  </si>
  <si>
    <t>Basculamento Sucata</t>
  </si>
  <si>
    <t xml:space="preserve">Aciaria </t>
  </si>
  <si>
    <t>Basculamento - Pátio Sucata</t>
  </si>
  <si>
    <t>Escória de KR e LD</t>
  </si>
  <si>
    <t>Basculamento Escória LD</t>
  </si>
  <si>
    <t xml:space="preserve">Pátio Sucata </t>
  </si>
  <si>
    <t>LTQ</t>
  </si>
  <si>
    <t>Lingotamento Contínuo</t>
  </si>
  <si>
    <t>Escória LD e Escória KR</t>
  </si>
  <si>
    <t>Basculamento Escória KR</t>
  </si>
  <si>
    <t>Pátio Beneficiamento de Escória (Canteiro 8)</t>
  </si>
  <si>
    <t>Basculamento Dry Pit</t>
  </si>
  <si>
    <t>Dry Pit</t>
  </si>
  <si>
    <t>Escória Dry Pit</t>
  </si>
  <si>
    <t>Basculamento Lama Aciaria</t>
  </si>
  <si>
    <t>Lama de AF e Aciaria</t>
  </si>
  <si>
    <t>Basculamento Pó Convertedor</t>
  </si>
  <si>
    <t>Basculamento Pó Balão AF</t>
  </si>
  <si>
    <t>Basculamento Carepa</t>
  </si>
  <si>
    <t>Basculamento Finos Sinter</t>
  </si>
  <si>
    <t>Basculamento Cal</t>
  </si>
  <si>
    <t>Basculamento Finos Despoeiramento</t>
  </si>
  <si>
    <t xml:space="preserve">Basculamento Coque </t>
  </si>
  <si>
    <t>Basculamento Silos Sinterização</t>
  </si>
  <si>
    <t>Lingotamento Contínuo e LTQ</t>
  </si>
  <si>
    <t xml:space="preserve">Lhoist </t>
  </si>
  <si>
    <t>Fonte: Dados obtidos em visita técnica</t>
  </si>
  <si>
    <t>Como não foi informada a umidade do carvão, antracito e coque pela AMT, foram considerados os valores de umidade disponibilizados pela Coqueria Heat Recovery.</t>
  </si>
  <si>
    <t>Referência: AP-42 (USEPA, 2003) - https://www3.epa.gov/ttn/chief/ap42/ch12/final/c12s05.pdf</t>
  </si>
  <si>
    <t>Emission Factor</t>
  </si>
  <si>
    <t>Hot metal transfer</t>
  </si>
  <si>
    <t>At source</t>
  </si>
  <si>
    <t>A</t>
  </si>
  <si>
    <t>kg/Mg hot metal</t>
  </si>
  <si>
    <t>Table 12.5-1 (Metric And English Units). PARTICULATE EMISSION FACTORS FOR IRON AND STEEL MILLS</t>
  </si>
  <si>
    <t>Table 12.5-2 (Metric And English Units). SIZE SPECIFIC EMISSION FACTORS</t>
  </si>
  <si>
    <t>Blast furnace</t>
  </si>
  <si>
    <t>Particle Size (µm)</t>
  </si>
  <si>
    <t>Cumulative Mass % 
≤ Stated Size</t>
  </si>
  <si>
    <t>Cumulative Mass Emission Factor</t>
  </si>
  <si>
    <t>kg/Mg</t>
  </si>
  <si>
    <t>Roof monitor</t>
  </si>
  <si>
    <t>Furnace with local evacuation</t>
  </si>
  <si>
    <t>Referências: AP-42 (USEPA, 2008) - https://www3.epa.gov/ttn/chief/ap42/ch12/final/c12s02_may08.pdf</t>
  </si>
  <si>
    <t>Total PM</t>
  </si>
  <si>
    <t xml:space="preserve">kg/Mg </t>
  </si>
  <si>
    <t>Door Leaks</t>
  </si>
  <si>
    <t>Uncontrolled</t>
  </si>
  <si>
    <t>Pre-NESHAP controls</t>
  </si>
  <si>
    <t>Post-NESHAP controls</t>
  </si>
  <si>
    <t>Scrubber</t>
  </si>
  <si>
    <r>
      <t xml:space="preserve">Table 12.2-2 (Metric And English Units). TYPICAL EMISSION FACTORS FOR COKE PRODUCTION: OVEN LEAKS AND CHARGING </t>
    </r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>; EMISSION FACTOR RATING: E</t>
    </r>
  </si>
  <si>
    <t xml:space="preserve">a Emission factor units are kg/Mg and lb/ton of coal charged unless otherwise specified. </t>
  </si>
  <si>
    <t>SO2</t>
  </si>
  <si>
    <t>NOx</t>
  </si>
  <si>
    <t>TOC</t>
  </si>
  <si>
    <t>CO</t>
  </si>
  <si>
    <t>Table 12.2-3. EMISSION FACTORS FOR COKE PRODUCTION: DOOR LEAKS--SO2, NOx, TOC, CO a
EMISSION FACTOR RATING: E</t>
  </si>
  <si>
    <t>Controlled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</si>
  <si>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</si>
  <si>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</si>
  <si>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COV</t>
  </si>
  <si>
    <t>Table 12.2-19 (Metric Units). PARTICLE SIZE DATA FOR COKE PRODUCTION</t>
  </si>
  <si>
    <t xml:space="preserve">Cumulative Mass Percent Less Than Stated Size, µm </t>
  </si>
  <si>
    <t xml:space="preserve">Coal preheating </t>
  </si>
  <si>
    <t>Coal preheating, with Venturi</t>
  </si>
  <si>
    <t>Coal charging (sequential or stage)</t>
  </si>
  <si>
    <t>Coke pushing</t>
  </si>
  <si>
    <t>Coke pushing, with Venturi</t>
  </si>
  <si>
    <t>Coke pushing, with Mobile Scrubber Car</t>
  </si>
  <si>
    <t>Quenching, with dirty water</t>
  </si>
  <si>
    <t>Quenching, with clean water</t>
  </si>
  <si>
    <t>Quenching, with baffles and dirty water</t>
  </si>
  <si>
    <t>Quenching, with baffles and clean water</t>
  </si>
  <si>
    <t>Combustion stack</t>
  </si>
  <si>
    <t>ND = No Data</t>
  </si>
  <si>
    <t>Charging</t>
  </si>
  <si>
    <r>
      <t xml:space="preserve">Table 12.2-21 (Metric And English Units). EMISSION FACTORS FOR COKE PRODUCTION: NONRECOVERY CHARGING </t>
    </r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
EMISSION FACTOR RATING: D</t>
    </r>
  </si>
  <si>
    <t>Uncontrolled Emissions</t>
  </si>
  <si>
    <r>
      <t xml:space="preserve">Controlled Emissions </t>
    </r>
    <r>
      <rPr>
        <vertAlign val="superscript"/>
        <sz val="8"/>
        <color theme="1"/>
        <rFont val="Arial"/>
        <family val="2"/>
      </rPr>
      <t>b</t>
    </r>
  </si>
  <si>
    <t>TSO</t>
  </si>
  <si>
    <t>Benzene</t>
  </si>
  <si>
    <t>Toluene</t>
  </si>
  <si>
    <t>Xylene</t>
  </si>
  <si>
    <t>Carbon disulfide</t>
  </si>
  <si>
    <t>Chloromethane</t>
  </si>
  <si>
    <t>Ethyl benzene</t>
  </si>
  <si>
    <t>Naphthalene</t>
  </si>
  <si>
    <t>Total PAHs</t>
  </si>
  <si>
    <t>Manganese</t>
  </si>
  <si>
    <t>Arsenic</t>
  </si>
  <si>
    <t>Nickel</t>
  </si>
  <si>
    <t>Lead</t>
  </si>
  <si>
    <t>Chromium</t>
  </si>
  <si>
    <t>Cobalt</t>
  </si>
  <si>
    <t>Beryllium</t>
  </si>
  <si>
    <t>Mercury</t>
  </si>
  <si>
    <t>a Expressed as kg/Mg and lb/ton of coal charged. 
b Fabric filter control system: based on estimed 70 percent capture effciency and analysis of baghouse catch.</t>
  </si>
  <si>
    <t xml:space="preserve">Substance Details - Volatile organic compounds: </t>
  </si>
  <si>
    <t>https://iaspub.epa.gov/sor_internet/registry/substreg/substance/details.do?displayPopup=&amp;id=83723</t>
  </si>
  <si>
    <t>VOC in BSO (benzene-soluble organics): Propane, butane, ethylene, propylene, butene, pentene, benzene, toluene, xylene, acetylene, tar acids, tar bases, heavy hydrocarbons, solvents, naphthalene, and tar oil</t>
  </si>
  <si>
    <t>The largest emissions of individual VOCs are of butane, toluene, pentane, propane, ethanol</t>
  </si>
  <si>
    <t>PAR</t>
  </si>
  <si>
    <t>Parafina</t>
  </si>
  <si>
    <t>ETH</t>
  </si>
  <si>
    <t>Eteno</t>
  </si>
  <si>
    <t>OLE</t>
  </si>
  <si>
    <t>Oleofina</t>
  </si>
  <si>
    <t>TOL</t>
  </si>
  <si>
    <t>Tolueno</t>
  </si>
  <si>
    <t>XYL</t>
  </si>
  <si>
    <t>Xileno</t>
  </si>
  <si>
    <t>MEOH</t>
  </si>
  <si>
    <t>Metanol</t>
  </si>
  <si>
    <t>ETOH</t>
  </si>
  <si>
    <t>Etanol</t>
  </si>
  <si>
    <t>ISOP</t>
  </si>
  <si>
    <t>Isopreno</t>
  </si>
  <si>
    <t>CRES</t>
  </si>
  <si>
    <t>Cresol</t>
  </si>
  <si>
    <t>FORM</t>
  </si>
  <si>
    <t>Formaldeído</t>
  </si>
  <si>
    <t>ALD2</t>
  </si>
  <si>
    <t>Acetaldeído</t>
  </si>
  <si>
    <t>IOLE</t>
  </si>
  <si>
    <t>ALDX</t>
  </si>
  <si>
    <t>Acroleína</t>
  </si>
  <si>
    <t>Referência: CB05 (USEPA, 2005)</t>
  </si>
  <si>
    <t>Referência: Technical Overview of Volatile Organic Compounds - USEPA (2017)</t>
  </si>
  <si>
    <t>Nota:</t>
  </si>
  <si>
    <t>Dados de altura estimados a partir de observação em visita técnica, pois os mesmos não foram informados pela AMT.</t>
  </si>
  <si>
    <t>Chega em bags e vai para silos térreos</t>
  </si>
  <si>
    <t>Fugitivas Carregamento Carvão</t>
  </si>
  <si>
    <t>Aspersão com Polímero / Cinturão Verde</t>
  </si>
  <si>
    <t>EP_Sinter</t>
  </si>
  <si>
    <t>CASP / SAPPORO</t>
  </si>
  <si>
    <t>Não foram consideradas as transferências no Pátio de Emergência BPF3, pois não foi informada a quantidade de material movimentada neste local.</t>
  </si>
  <si>
    <t>Britagem Escória</t>
  </si>
  <si>
    <t>Britagem Dry Pit</t>
  </si>
  <si>
    <t>As emissões fugitivas do carro torpedo não puderam ser estimadas devido à inexistência de fator de emissão disponível em literatura (EPA, EEA, dentre outras).</t>
  </si>
  <si>
    <t>Calcário Recebido</t>
  </si>
  <si>
    <t>Basculamento Caminhão - Pilha Calcário</t>
  </si>
  <si>
    <t>Como não foi informada a umidade do sinter feed, pelota e minério pela AMT, foram considerados os valores de umidade disponibilizados pela Vale.</t>
  </si>
  <si>
    <t>Total PM 
kg/Mg</t>
  </si>
  <si>
    <t>BSO
kg/Mg</t>
  </si>
  <si>
    <t>Doors Leaks</t>
  </si>
  <si>
    <t>Lid Leaks</t>
  </si>
  <si>
    <t>Offtake leaks</t>
  </si>
  <si>
    <t>Table 12.2-2 (Metric And English Units). TYPICAL EMISSION FACTORS FOR COKE PRODUCTION: OVEN LEAKS AND CHARGING 
EMISSION FACTOR RATING: E</t>
  </si>
  <si>
    <t>VOC
kg/Mg</t>
  </si>
  <si>
    <t>Fugitivas Vazamento de Portas e Tampas</t>
  </si>
  <si>
    <t xml:space="preserve">As emissões relacionadas ao processo de desenfornamento de coque estão contabilizadas na planilha de chaminés, devido existência de dados de monitoramento de material particulado. </t>
  </si>
  <si>
    <t>VOC [kg/t]</t>
  </si>
  <si>
    <t>Light-oil storage tank</t>
  </si>
  <si>
    <t xml:space="preserve">Light-oil storage tank with gas blanketing </t>
  </si>
  <si>
    <t>Tar decanter</t>
  </si>
  <si>
    <t xml:space="preserve">Tar decanter with gas blanketing </t>
  </si>
  <si>
    <t>Naphthalene separation and processing</t>
  </si>
  <si>
    <t>Naphthalene separation and processing with activated carbon</t>
  </si>
  <si>
    <t>Cooling tower, direct-water</t>
  </si>
  <si>
    <t>Cooling tower, tar-bottom</t>
  </si>
  <si>
    <t>Tar intercepting sump</t>
  </si>
  <si>
    <t>Tar dewatering tank</t>
  </si>
  <si>
    <t xml:space="preserve">Tar dewatering tank with gas blanketing </t>
  </si>
  <si>
    <t>Tar storage tank</t>
  </si>
  <si>
    <t xml:space="preserve">Tar storage tank with gas blanketing </t>
  </si>
  <si>
    <t>Light-oil condenser vent</t>
  </si>
  <si>
    <t xml:space="preserve">Light-oil condenser vent with gas blanketing </t>
  </si>
  <si>
    <t>Light-oil sump</t>
  </si>
  <si>
    <t>Light-oil sump with gas blanketing</t>
  </si>
  <si>
    <t>BTX storage</t>
  </si>
  <si>
    <t xml:space="preserve">BTX storage with gas blanketing </t>
  </si>
  <si>
    <t>Benzene storage</t>
  </si>
  <si>
    <t xml:space="preserve">Benzene storage with gas blanketing </t>
  </si>
  <si>
    <t>Flushing liquor circulation tank</t>
  </si>
  <si>
    <t xml:space="preserve">Flushing liquor circulation tank with gas blanketing </t>
  </si>
  <si>
    <t>Excess ammonia liquor tank</t>
  </si>
  <si>
    <t xml:space="preserve">Excess ammonia liquor tank with gas blanketing </t>
  </si>
  <si>
    <t>Wash-oil decanter</t>
  </si>
  <si>
    <t>Wash-oil decanter with gas blanketing</t>
  </si>
  <si>
    <t>Wash-oil circulation tank</t>
  </si>
  <si>
    <t>Wash-oil circulation tank with gas blanketing</t>
  </si>
  <si>
    <t>Type Of Byproduct Plant Operation</t>
  </si>
  <si>
    <t>a Emission factor units are kg/Mg and lb/ton of coke pushed.</t>
  </si>
  <si>
    <t>Fonte: Informado por e-mail pela AMT em 28/03/2019</t>
  </si>
  <si>
    <r>
      <t xml:space="preserve">Table 12.2-23 (Metric And English Units). EMISSION FACTORS FOR COKE BYPRODUCT RECOVERY PLANTS-VOCs </t>
    </r>
    <r>
      <rPr>
        <vertAlign val="superscript"/>
        <sz val="8"/>
        <color theme="1"/>
        <rFont val="Arial"/>
        <family val="2"/>
      </rPr>
      <t xml:space="preserve">a 
</t>
    </r>
    <r>
      <rPr>
        <sz val="8"/>
        <color theme="1"/>
        <rFont val="Arial"/>
        <family val="2"/>
      </rPr>
      <t>EMISSION FACTOR RATING: E</t>
    </r>
  </si>
  <si>
    <t>Fugitivas Planta Carboquímica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</si>
</sst>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"/>
    <numFmt numFmtId="165" formatCode="0.000000"/>
    <numFmt numFmtId="166" formatCode="#,##0.0000"/>
    <numFmt numFmtId="167" formatCode="0.00000"/>
    <numFmt numFmtId="168" formatCode="#,##0.00000"/>
    <numFmt numFmtId="169" formatCode="0.0000"/>
    <numFmt numFmtId="170" formatCode="0.000"/>
    <numFmt numFmtId="171" formatCode="#,##0.000000000"/>
    <numFmt numFmtId="172" formatCode="#,##0.0000000000"/>
    <numFmt numFmtId="173" formatCode="#,##0.000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Calibri"/>
      <family val="2"/>
    </font>
    <font>
      <sz val="7"/>
      <color theme="1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25" fillId="0" borderId="0" applyNumberFormat="0" applyFill="0" applyBorder="0" applyAlignment="0" applyProtection="0"/>
  </cellStyleXfs>
  <cellXfs count="281">
    <xf numFmtId="0" fontId="0" fillId="0" borderId="0" xfId="0"/>
    <xf numFmtId="0" fontId="2" fillId="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3" fontId="5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4" fontId="12" fillId="0" borderId="10" xfId="0" applyNumberFormat="1" applyFont="1" applyBorder="1" applyAlignment="1">
      <alignment horizontal="right" vertical="center"/>
    </xf>
    <xf numFmtId="4" fontId="12" fillId="0" borderId="9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3" fillId="5" borderId="15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0" fontId="3" fillId="0" borderId="15" xfId="0" applyFont="1" applyFill="1" applyBorder="1" applyAlignment="1">
      <alignment vertical="center" wrapText="1"/>
    </xf>
    <xf numFmtId="0" fontId="3" fillId="0" borderId="22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3" fontId="5" fillId="8" borderId="1" xfId="1" applyNumberFormat="1" applyFont="1" applyFill="1" applyBorder="1" applyAlignment="1">
      <alignment horizontal="center" vertical="center"/>
    </xf>
    <xf numFmtId="0" fontId="8" fillId="8" borderId="1" xfId="2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3" fontId="5" fillId="4" borderId="1" xfId="1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/>
    </xf>
    <xf numFmtId="3" fontId="8" fillId="8" borderId="1" xfId="1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vertical="center"/>
    </xf>
    <xf numFmtId="4" fontId="12" fillId="8" borderId="10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3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8" borderId="6" xfId="0" applyFont="1" applyFill="1" applyBorder="1" applyAlignment="1">
      <alignment vertical="center"/>
    </xf>
    <xf numFmtId="4" fontId="12" fillId="8" borderId="8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2" fontId="0" fillId="0" borderId="0" xfId="0" applyNumberFormat="1"/>
    <xf numFmtId="0" fontId="19" fillId="5" borderId="15" xfId="0" applyFont="1" applyFill="1" applyBorder="1" applyAlignment="1">
      <alignment horizontal="center" vertical="center"/>
    </xf>
    <xf numFmtId="2" fontId="19" fillId="5" borderId="15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/>
    <xf numFmtId="0" fontId="4" fillId="8" borderId="6" xfId="0" applyFont="1" applyFill="1" applyBorder="1" applyAlignment="1">
      <alignment vertical="center"/>
    </xf>
    <xf numFmtId="4" fontId="5" fillId="8" borderId="6" xfId="0" applyNumberFormat="1" applyFont="1" applyFill="1" applyBorder="1" applyAlignment="1">
      <alignment horizontal="right" vertical="center"/>
    </xf>
    <xf numFmtId="0" fontId="3" fillId="6" borderId="0" xfId="0" applyFont="1" applyFill="1" applyAlignment="1">
      <alignment horizontal="center" vertical="center"/>
    </xf>
    <xf numFmtId="0" fontId="3" fillId="0" borderId="18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3" fontId="5" fillId="8" borderId="5" xfId="0" applyNumberFormat="1" applyFont="1" applyFill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2" fontId="3" fillId="9" borderId="0" xfId="0" applyNumberFormat="1" applyFont="1" applyFill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11" fontId="3" fillId="9" borderId="0" xfId="0" applyNumberFormat="1" applyFont="1" applyFill="1" applyAlignment="1">
      <alignment horizontal="center" vertical="center"/>
    </xf>
    <xf numFmtId="166" fontId="3" fillId="9" borderId="0" xfId="0" applyNumberFormat="1" applyFont="1" applyFill="1" applyAlignment="1">
      <alignment horizontal="center" vertical="center"/>
    </xf>
    <xf numFmtId="2" fontId="3" fillId="9" borderId="0" xfId="0" applyNumberFormat="1" applyFont="1" applyFill="1" applyAlignment="1">
      <alignment vertical="center"/>
    </xf>
    <xf numFmtId="165" fontId="3" fillId="9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/>
    </xf>
    <xf numFmtId="3" fontId="8" fillId="8" borderId="5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18" fillId="0" borderId="15" xfId="0" applyFont="1" applyBorder="1"/>
    <xf numFmtId="0" fontId="18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3" fillId="5" borderId="15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68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7" borderId="15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18" fillId="0" borderId="0" xfId="0" applyFont="1"/>
    <xf numFmtId="0" fontId="18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71" fontId="3" fillId="0" borderId="15" xfId="0" applyNumberFormat="1" applyFont="1" applyBorder="1" applyAlignment="1">
      <alignment horizontal="center" vertical="center"/>
    </xf>
    <xf numFmtId="172" fontId="3" fillId="0" borderId="15" xfId="0" applyNumberFormat="1" applyFont="1" applyBorder="1" applyAlignment="1">
      <alignment horizontal="center" vertical="center"/>
    </xf>
    <xf numFmtId="173" fontId="3" fillId="0" borderId="15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6" xfId="0" applyFont="1" applyFill="1" applyBorder="1" applyAlignment="1">
      <alignment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9" fontId="18" fillId="0" borderId="0" xfId="0" applyNumberFormat="1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4" fillId="10" borderId="0" xfId="0" applyFont="1" applyFill="1" applyAlignment="1">
      <alignment vertical="center" wrapText="1"/>
    </xf>
    <xf numFmtId="0" fontId="18" fillId="10" borderId="0" xfId="0" applyFont="1" applyFill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left" vertical="center"/>
    </xf>
    <xf numFmtId="0" fontId="15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left" vertical="center" wrapText="1"/>
    </xf>
    <xf numFmtId="0" fontId="3" fillId="7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25" fillId="0" borderId="0" xfId="3" applyAlignment="1">
      <alignment horizontal="left"/>
    </xf>
    <xf numFmtId="0" fontId="26" fillId="0" borderId="0" xfId="3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13" fillId="5" borderId="16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14" xfId="0" applyNumberFormat="1" applyFont="1" applyFill="1" applyBorder="1" applyAlignment="1" applyProtection="1">
      <alignment horizontal="center" vertical="center" wrapText="1"/>
    </xf>
    <xf numFmtId="0" fontId="13" fillId="5" borderId="25" xfId="0" applyNumberFormat="1" applyFont="1" applyFill="1" applyBorder="1" applyAlignment="1" applyProtection="1">
      <alignment horizontal="center" vertical="center" wrapText="1"/>
    </xf>
    <xf numFmtId="0" fontId="13" fillId="5" borderId="15" xfId="0" applyNumberFormat="1" applyFont="1" applyFill="1" applyBorder="1" applyAlignment="1" applyProtection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3" xfId="0" applyNumberFormat="1" applyFont="1" applyFill="1" applyBorder="1" applyAlignment="1" applyProtection="1">
      <alignment horizontal="center" vertical="center" wrapText="1"/>
    </xf>
    <xf numFmtId="0" fontId="13" fillId="5" borderId="1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18" fillId="0" borderId="1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3" fillId="9" borderId="16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3" fillId="5" borderId="23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</cellXfs>
  <cellStyles count="4">
    <cellStyle name="Hiperlink" xfId="3" builtinId="8"/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colors>
    <mruColors>
      <color rgb="FF3BF582"/>
      <color rgb="FFDCE6F1"/>
      <color rgb="FFD9D9D9"/>
      <color rgb="FFEF5BD3"/>
      <color rgb="FF833B1B"/>
      <color rgb="FF990033"/>
      <color rgb="FF88D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5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152400</xdr:rowOff>
    </xdr:from>
    <xdr:ext cx="6943725" cy="4991100"/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8325"/>
          <a:ext cx="6943725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9525</xdr:rowOff>
    </xdr:from>
    <xdr:ext cx="6076950" cy="3609975"/>
    <xdr:pic>
      <xdr:nvPicPr>
        <xdr:cNvPr id="3" name="Imagem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3" r="615"/>
        <a:stretch/>
      </xdr:blipFill>
      <xdr:spPr bwMode="auto">
        <a:xfrm>
          <a:off x="0" y="1504950"/>
          <a:ext cx="607695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138112</xdr:rowOff>
    </xdr:from>
    <xdr:ext cx="6858000" cy="3648075"/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38112"/>
          <a:ext cx="6858000" cy="36480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66675</xdr:colOff>
      <xdr:row>22</xdr:row>
      <xdr:rowOff>45239</xdr:rowOff>
    </xdr:from>
    <xdr:ext cx="7191375" cy="1781175"/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4236239"/>
          <a:ext cx="7191375" cy="1781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104775</xdr:colOff>
      <xdr:row>30</xdr:row>
      <xdr:rowOff>140489</xdr:rowOff>
    </xdr:from>
    <xdr:ext cx="7134225" cy="561975"/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775" y="5855489"/>
          <a:ext cx="7134225" cy="5619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17991</xdr:colOff>
      <xdr:row>36</xdr:row>
      <xdr:rowOff>24863</xdr:rowOff>
    </xdr:from>
    <xdr:ext cx="7193756" cy="1694566"/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991" y="6882863"/>
          <a:ext cx="7193756" cy="1694566"/>
        </a:xfrm>
        <a:prstGeom prst="rect">
          <a:avLst/>
        </a:prstGeom>
        <a:noFill/>
      </xdr:spPr>
    </xdr:pic>
    <xdr:clientData/>
  </xdr:oneCellAnchor>
  <xdr:oneCellAnchor>
    <xdr:from>
      <xdr:col>12</xdr:col>
      <xdr:colOff>261938</xdr:colOff>
      <xdr:row>0</xdr:row>
      <xdr:rowOff>142876</xdr:rowOff>
    </xdr:from>
    <xdr:ext cx="7367587" cy="2878931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31352" t="34195" r="20312" b="32222"/>
        <a:stretch>
          <a:fillRect/>
        </a:stretch>
      </xdr:blipFill>
      <xdr:spPr bwMode="auto">
        <a:xfrm>
          <a:off x="7577138" y="142876"/>
          <a:ext cx="7367587" cy="28789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13</xdr:col>
      <xdr:colOff>11907</xdr:colOff>
      <xdr:row>36</xdr:row>
      <xdr:rowOff>26172</xdr:rowOff>
    </xdr:from>
    <xdr:ext cx="4438650" cy="5181600"/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56062" t="28222" r="14813" b="11333"/>
        <a:stretch>
          <a:fillRect/>
        </a:stretch>
      </xdr:blipFill>
      <xdr:spPr bwMode="auto">
        <a:xfrm>
          <a:off x="7936707" y="6884172"/>
          <a:ext cx="44386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333376</xdr:colOff>
      <xdr:row>0</xdr:row>
      <xdr:rowOff>119063</xdr:rowOff>
    </xdr:from>
    <xdr:ext cx="6072188" cy="4274343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36471" t="27639" r="23686" b="22500"/>
        <a:stretch>
          <a:fillRect/>
        </a:stretch>
      </xdr:blipFill>
      <xdr:spPr bwMode="auto">
        <a:xfrm>
          <a:off x="15573376" y="119063"/>
          <a:ext cx="6072188" cy="42743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321468</xdr:colOff>
      <xdr:row>22</xdr:row>
      <xdr:rowOff>154782</xdr:rowOff>
    </xdr:from>
    <xdr:ext cx="6096001" cy="2162175"/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561468" y="4345782"/>
          <a:ext cx="6096001" cy="2162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31750</xdr:colOff>
      <xdr:row>47</xdr:row>
      <xdr:rowOff>53918</xdr:rowOff>
    </xdr:from>
    <xdr:ext cx="6788944" cy="2210899"/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750" y="9007418"/>
          <a:ext cx="6788944" cy="2210899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285749</xdr:colOff>
      <xdr:row>38</xdr:row>
      <xdr:rowOff>1</xdr:rowOff>
    </xdr:from>
    <xdr:ext cx="6162676" cy="4286250"/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5525749" y="7239001"/>
          <a:ext cx="6162676" cy="4286250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297657</xdr:colOff>
      <xdr:row>60</xdr:row>
      <xdr:rowOff>119063</xdr:rowOff>
    </xdr:from>
    <xdr:ext cx="6172201" cy="2152650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5537657" y="11549063"/>
          <a:ext cx="6172201" cy="21526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599279</xdr:colOff>
      <xdr:row>38</xdr:row>
      <xdr:rowOff>67470</xdr:rowOff>
    </xdr:from>
    <xdr:ext cx="6764911" cy="1440655"/>
    <xdr:pic>
      <xdr:nvPicPr>
        <xdr:cNvPr id="1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1935279" y="7306470"/>
          <a:ext cx="6764911" cy="1440655"/>
        </a:xfrm>
        <a:prstGeom prst="rect">
          <a:avLst/>
        </a:prstGeom>
        <a:noFill/>
      </xdr:spPr>
    </xdr:pic>
    <xdr:clientData/>
  </xdr:oneCellAnchor>
  <xdr:oneCellAnchor>
    <xdr:from>
      <xdr:col>36</xdr:col>
      <xdr:colOff>7938</xdr:colOff>
      <xdr:row>46</xdr:row>
      <xdr:rowOff>130968</xdr:rowOff>
    </xdr:from>
    <xdr:ext cx="6824662" cy="3429001"/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1953538" y="8893968"/>
          <a:ext cx="6824662" cy="3429001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595313</xdr:colOff>
      <xdr:row>0</xdr:row>
      <xdr:rowOff>0</xdr:rowOff>
    </xdr:from>
    <xdr:ext cx="6374606" cy="2457450"/>
    <xdr:pic>
      <xdr:nvPicPr>
        <xdr:cNvPr id="1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31313" y="0"/>
          <a:ext cx="6374606" cy="245745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11905</xdr:colOff>
      <xdr:row>12</xdr:row>
      <xdr:rowOff>154781</xdr:rowOff>
    </xdr:from>
    <xdr:ext cx="6296025" cy="400050"/>
    <xdr:pic>
      <xdr:nvPicPr>
        <xdr:cNvPr id="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1957505" y="2440781"/>
          <a:ext cx="6296025" cy="4000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607217</xdr:colOff>
      <xdr:row>17</xdr:row>
      <xdr:rowOff>166689</xdr:rowOff>
    </xdr:from>
    <xdr:ext cx="6312695" cy="933719"/>
    <xdr:pic>
      <xdr:nvPicPr>
        <xdr:cNvPr id="1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1943217" y="3405189"/>
          <a:ext cx="6312695" cy="933719"/>
        </a:xfrm>
        <a:prstGeom prst="rect">
          <a:avLst/>
        </a:prstGeom>
        <a:noFill/>
      </xdr:spPr>
    </xdr:pic>
    <xdr:clientData/>
  </xdr:oneCellAnchor>
  <xdr:oneCellAnchor>
    <xdr:from>
      <xdr:col>46</xdr:col>
      <xdr:colOff>595312</xdr:colOff>
      <xdr:row>0</xdr:row>
      <xdr:rowOff>59532</xdr:rowOff>
    </xdr:from>
    <xdr:ext cx="9729788" cy="4377320"/>
    <xdr:pic>
      <xdr:nvPicPr>
        <xdr:cNvPr id="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8636912" y="59532"/>
          <a:ext cx="9729788" cy="4377320"/>
        </a:xfrm>
        <a:prstGeom prst="rect">
          <a:avLst/>
        </a:prstGeom>
        <a:noFill/>
      </xdr:spPr>
    </xdr:pic>
    <xdr:clientData/>
  </xdr:oneCellAnchor>
  <xdr:oneCellAnchor>
    <xdr:from>
      <xdr:col>49</xdr:col>
      <xdr:colOff>35732</xdr:colOff>
      <xdr:row>29</xdr:row>
      <xdr:rowOff>11920</xdr:rowOff>
    </xdr:from>
    <xdr:ext cx="6045993" cy="3523928"/>
    <xdr:pic>
      <xdr:nvPicPr>
        <xdr:cNvPr id="1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9906132" y="5536420"/>
          <a:ext cx="6045993" cy="3523928"/>
        </a:xfrm>
        <a:prstGeom prst="rect">
          <a:avLst/>
        </a:prstGeom>
        <a:noFill/>
      </xdr:spPr>
    </xdr:pic>
    <xdr:clientData/>
  </xdr:oneCellAnchor>
  <xdr:oneCellAnchor>
    <xdr:from>
      <xdr:col>49</xdr:col>
      <xdr:colOff>11919</xdr:colOff>
      <xdr:row>26</xdr:row>
      <xdr:rowOff>107170</xdr:rowOff>
    </xdr:from>
    <xdr:ext cx="5876924" cy="419100"/>
    <xdr:pic>
      <xdr:nvPicPr>
        <xdr:cNvPr id="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9882319" y="5060170"/>
          <a:ext cx="5876924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367770</xdr:colOff>
      <xdr:row>16</xdr:row>
      <xdr:rowOff>84675</xdr:rowOff>
    </xdr:from>
    <xdr:ext cx="6908005" cy="3009900"/>
    <xdr:pic>
      <xdr:nvPicPr>
        <xdr:cNvPr id="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682970" y="3132675"/>
          <a:ext cx="6908005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142875</xdr:colOff>
      <xdr:row>62</xdr:row>
      <xdr:rowOff>0</xdr:rowOff>
    </xdr:from>
    <xdr:ext cx="3134949" cy="3821906"/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811000"/>
          <a:ext cx="3134949" cy="3821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64</xdr:col>
      <xdr:colOff>23812</xdr:colOff>
      <xdr:row>0</xdr:row>
      <xdr:rowOff>130970</xdr:rowOff>
    </xdr:from>
    <xdr:to>
      <xdr:col>73</xdr:col>
      <xdr:colOff>507955</xdr:colOff>
      <xdr:row>38</xdr:row>
      <xdr:rowOff>0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8885812" y="130970"/>
          <a:ext cx="5949112" cy="7108030"/>
        </a:xfrm>
        <a:prstGeom prst="rect">
          <a:avLst/>
        </a:prstGeom>
        <a:noFill/>
      </xdr:spPr>
    </xdr:pic>
    <xdr:clientData/>
  </xdr:twoCellAnchor>
  <xdr:oneCellAnchor>
    <xdr:from>
      <xdr:col>12</xdr:col>
      <xdr:colOff>595312</xdr:colOff>
      <xdr:row>66</xdr:row>
      <xdr:rowOff>142871</xdr:rowOff>
    </xdr:from>
    <xdr:ext cx="5869781" cy="10868025"/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512" y="12715871"/>
          <a:ext cx="5869781" cy="1086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67</xdr:col>
      <xdr:colOff>116417</xdr:colOff>
      <xdr:row>35</xdr:row>
      <xdr:rowOff>19840</xdr:rowOff>
    </xdr:from>
    <xdr:to>
      <xdr:col>73</xdr:col>
      <xdr:colOff>486834</xdr:colOff>
      <xdr:row>35</xdr:row>
      <xdr:rowOff>189173</xdr:rowOff>
    </xdr:to>
    <xdr:sp macro="" textlink="">
      <xdr:nvSpPr>
        <xdr:cNvPr id="27" name="Retângulo 26"/>
        <xdr:cNvSpPr/>
      </xdr:nvSpPr>
      <xdr:spPr>
        <a:xfrm>
          <a:off x="40800073" y="6687340"/>
          <a:ext cx="4013730" cy="169333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67</xdr:col>
      <xdr:colOff>116417</xdr:colOff>
      <xdr:row>16</xdr:row>
      <xdr:rowOff>52917</xdr:rowOff>
    </xdr:from>
    <xdr:to>
      <xdr:col>73</xdr:col>
      <xdr:colOff>497999</xdr:colOff>
      <xdr:row>17</xdr:row>
      <xdr:rowOff>31751</xdr:rowOff>
    </xdr:to>
    <xdr:sp macro="" textlink="">
      <xdr:nvSpPr>
        <xdr:cNvPr id="30" name="Retângulo 29"/>
        <xdr:cNvSpPr/>
      </xdr:nvSpPr>
      <xdr:spPr>
        <a:xfrm>
          <a:off x="40959617" y="3100917"/>
          <a:ext cx="4039182" cy="169334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416719</xdr:colOff>
      <xdr:row>100</xdr:row>
      <xdr:rowOff>47625</xdr:rowOff>
    </xdr:from>
    <xdr:to>
      <xdr:col>22</xdr:col>
      <xdr:colOff>332052</xdr:colOff>
      <xdr:row>101</xdr:row>
      <xdr:rowOff>52922</xdr:rowOff>
    </xdr:to>
    <xdr:sp macro="" textlink="">
      <xdr:nvSpPr>
        <xdr:cNvPr id="32" name="Retângulo 31"/>
        <xdr:cNvSpPr/>
      </xdr:nvSpPr>
      <xdr:spPr>
        <a:xfrm>
          <a:off x="10132219" y="19097625"/>
          <a:ext cx="3558646" cy="195797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64</xdr:row>
      <xdr:rowOff>28575</xdr:rowOff>
    </xdr:from>
    <xdr:to>
      <xdr:col>3</xdr:col>
      <xdr:colOff>590550</xdr:colOff>
      <xdr:row>95</xdr:row>
      <xdr:rowOff>28575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25350"/>
          <a:ext cx="7810500" cy="590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104776</xdr:rowOff>
    </xdr:from>
    <xdr:to>
      <xdr:col>16</xdr:col>
      <xdr:colOff>0</xdr:colOff>
      <xdr:row>8</xdr:row>
      <xdr:rowOff>104776</xdr:rowOff>
    </xdr:to>
    <xdr:sp macro="" textlink="">
      <xdr:nvSpPr>
        <xdr:cNvPr id="3" name="Retângulo 2"/>
        <xdr:cNvSpPr/>
      </xdr:nvSpPr>
      <xdr:spPr>
        <a:xfrm>
          <a:off x="10915650" y="1057276"/>
          <a:ext cx="7715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VIRADOR </a:t>
          </a:r>
          <a:r>
            <a:rPr lang="pt-BR" sz="800" baseline="0">
              <a:latin typeface="Arial" panose="020B0604020202020204" pitchFamily="34" charset="0"/>
              <a:cs typeface="Arial" panose="020B0604020202020204" pitchFamily="34" charset="0"/>
            </a:rPr>
            <a:t> DE VAGÕES</a:t>
          </a:r>
          <a:endParaRPr lang="pt-BR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390525</xdr:colOff>
      <xdr:row>3</xdr:row>
      <xdr:rowOff>19050</xdr:rowOff>
    </xdr:from>
    <xdr:to>
      <xdr:col>15</xdr:col>
      <xdr:colOff>0</xdr:colOff>
      <xdr:row>7</xdr:row>
      <xdr:rowOff>9526</xdr:rowOff>
    </xdr:to>
    <xdr:cxnSp macro="">
      <xdr:nvCxnSpPr>
        <xdr:cNvPr id="4" name="Conector angulado 3"/>
        <xdr:cNvCxnSpPr>
          <a:endCxn id="3" idx="1"/>
        </xdr:cNvCxnSpPr>
      </xdr:nvCxnSpPr>
      <xdr:spPr>
        <a:xfrm rot="16200000" flipH="1">
          <a:off x="10253662" y="681038"/>
          <a:ext cx="752476" cy="5715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19050</xdr:rowOff>
    </xdr:from>
    <xdr:to>
      <xdr:col>16</xdr:col>
      <xdr:colOff>552450</xdr:colOff>
      <xdr:row>7</xdr:row>
      <xdr:rowOff>9526</xdr:rowOff>
    </xdr:to>
    <xdr:cxnSp macro="">
      <xdr:nvCxnSpPr>
        <xdr:cNvPr id="6" name="Conector angulado 5"/>
        <xdr:cNvCxnSpPr>
          <a:endCxn id="3" idx="3"/>
        </xdr:cNvCxnSpPr>
      </xdr:nvCxnSpPr>
      <xdr:spPr>
        <a:xfrm rot="5400000">
          <a:off x="11587162" y="690563"/>
          <a:ext cx="752476" cy="5524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10</xdr:row>
      <xdr:rowOff>9525</xdr:rowOff>
    </xdr:from>
    <xdr:to>
      <xdr:col>8</xdr:col>
      <xdr:colOff>1037166</xdr:colOff>
      <xdr:row>13</xdr:row>
      <xdr:rowOff>1275</xdr:rowOff>
    </xdr:to>
    <xdr:sp macro="" textlink="">
      <xdr:nvSpPr>
        <xdr:cNvPr id="54" name="Retângulo 53"/>
        <xdr:cNvSpPr/>
      </xdr:nvSpPr>
      <xdr:spPr>
        <a:xfrm>
          <a:off x="4909608" y="1914525"/>
          <a:ext cx="1831975" cy="563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" panose="020B0604020202020204" pitchFamily="34" charset="0"/>
              <a:cs typeface="Arial" panose="020B0604020202020204" pitchFamily="34" charset="0"/>
            </a:rPr>
            <a:t>RECEBIMENTO</a:t>
          </a:r>
          <a:r>
            <a:rPr lang="pt-BR" sz="900" baseline="0">
              <a:latin typeface="Arial" panose="020B0604020202020204" pitchFamily="34" charset="0"/>
              <a:cs typeface="Arial" panose="020B0604020202020204" pitchFamily="34" charset="0"/>
            </a:rPr>
            <a:t> DE </a:t>
          </a:r>
          <a:r>
            <a:rPr lang="pt-BR" sz="900">
              <a:latin typeface="Arial" panose="020B0604020202020204" pitchFamily="34" charset="0"/>
              <a:cs typeface="Arial" panose="020B0604020202020204" pitchFamily="34" charset="0"/>
            </a:rPr>
            <a:t>CALCÁRIO</a:t>
          </a:r>
        </a:p>
      </xdr:txBody>
    </xdr:sp>
    <xdr:clientData/>
  </xdr:twoCellAnchor>
  <xdr:twoCellAnchor>
    <xdr:from>
      <xdr:col>19</xdr:col>
      <xdr:colOff>638175</xdr:colOff>
      <xdr:row>9</xdr:row>
      <xdr:rowOff>9524</xdr:rowOff>
    </xdr:from>
    <xdr:to>
      <xdr:col>25</xdr:col>
      <xdr:colOff>254462</xdr:colOff>
      <xdr:row>14</xdr:row>
      <xdr:rowOff>190499</xdr:rowOff>
    </xdr:to>
    <xdr:sp macro="" textlink="">
      <xdr:nvSpPr>
        <xdr:cNvPr id="56" name="Retângulo 55"/>
        <xdr:cNvSpPr/>
      </xdr:nvSpPr>
      <xdr:spPr>
        <a:xfrm>
          <a:off x="10801350" y="962024"/>
          <a:ext cx="4254962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PÁTIO DE CARVÃO</a:t>
          </a:r>
        </a:p>
      </xdr:txBody>
    </xdr:sp>
    <xdr:clientData/>
  </xdr:twoCellAnchor>
  <xdr:twoCellAnchor>
    <xdr:from>
      <xdr:col>22</xdr:col>
      <xdr:colOff>314325</xdr:colOff>
      <xdr:row>6</xdr:row>
      <xdr:rowOff>9525</xdr:rowOff>
    </xdr:from>
    <xdr:to>
      <xdr:col>22</xdr:col>
      <xdr:colOff>314325</xdr:colOff>
      <xdr:row>8</xdr:row>
      <xdr:rowOff>179025</xdr:rowOff>
    </xdr:to>
    <xdr:cxnSp macro="">
      <xdr:nvCxnSpPr>
        <xdr:cNvPr id="57" name="Conector de seta reta 56"/>
        <xdr:cNvCxnSpPr/>
      </xdr:nvCxnSpPr>
      <xdr:spPr>
        <a:xfrm>
          <a:off x="14716125" y="581025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323850</xdr:colOff>
      <xdr:row>6</xdr:row>
      <xdr:rowOff>19050</xdr:rowOff>
    </xdr:from>
    <xdr:to>
      <xdr:col>20</xdr:col>
      <xdr:colOff>323850</xdr:colOff>
      <xdr:row>8</xdr:row>
      <xdr:rowOff>188550</xdr:rowOff>
    </xdr:to>
    <xdr:cxnSp macro="">
      <xdr:nvCxnSpPr>
        <xdr:cNvPr id="58" name="Conector de seta reta 57"/>
        <xdr:cNvCxnSpPr/>
      </xdr:nvCxnSpPr>
      <xdr:spPr>
        <a:xfrm>
          <a:off x="13411200" y="59055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6</xdr:row>
      <xdr:rowOff>9525</xdr:rowOff>
    </xdr:from>
    <xdr:to>
      <xdr:col>24</xdr:col>
      <xdr:colOff>333375</xdr:colOff>
      <xdr:row>8</xdr:row>
      <xdr:rowOff>179025</xdr:rowOff>
    </xdr:to>
    <xdr:cxnSp macro="">
      <xdr:nvCxnSpPr>
        <xdr:cNvPr id="59" name="Conector de seta reta 58"/>
        <xdr:cNvCxnSpPr/>
      </xdr:nvCxnSpPr>
      <xdr:spPr>
        <a:xfrm>
          <a:off x="16002000" y="581025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254462</xdr:colOff>
      <xdr:row>6</xdr:row>
      <xdr:rowOff>1</xdr:rowOff>
    </xdr:from>
    <xdr:to>
      <xdr:col>26</xdr:col>
      <xdr:colOff>333377</xdr:colOff>
      <xdr:row>12</xdr:row>
      <xdr:rowOff>100013</xdr:rowOff>
    </xdr:to>
    <xdr:cxnSp macro="">
      <xdr:nvCxnSpPr>
        <xdr:cNvPr id="86" name="Conector angulado 85"/>
        <xdr:cNvCxnSpPr>
          <a:endCxn id="56" idx="3"/>
        </xdr:cNvCxnSpPr>
      </xdr:nvCxnSpPr>
      <xdr:spPr>
        <a:xfrm rot="5400000">
          <a:off x="14969564" y="658249"/>
          <a:ext cx="862012" cy="6885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121179</xdr:colOff>
      <xdr:row>13</xdr:row>
      <xdr:rowOff>1275</xdr:rowOff>
    </xdr:from>
    <xdr:to>
      <xdr:col>8</xdr:col>
      <xdr:colOff>533399</xdr:colOff>
      <xdr:row>21</xdr:row>
      <xdr:rowOff>185735</xdr:rowOff>
    </xdr:to>
    <xdr:cxnSp macro="">
      <xdr:nvCxnSpPr>
        <xdr:cNvPr id="91" name="Conector angulado 90"/>
        <xdr:cNvCxnSpPr>
          <a:stCxn id="54" idx="2"/>
        </xdr:cNvCxnSpPr>
      </xdr:nvCxnSpPr>
      <xdr:spPr>
        <a:xfrm rot="16200000" flipH="1">
          <a:off x="5177476" y="3125895"/>
          <a:ext cx="1708460" cy="412220"/>
        </a:xfrm>
        <a:prstGeom prst="bentConnector3">
          <a:avLst>
            <a:gd name="adj1" fmla="val 10017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460375</xdr:colOff>
      <xdr:row>8</xdr:row>
      <xdr:rowOff>104776</xdr:rowOff>
    </xdr:from>
    <xdr:to>
      <xdr:col>15</xdr:col>
      <xdr:colOff>465667</xdr:colOff>
      <xdr:row>18</xdr:row>
      <xdr:rowOff>10583</xdr:rowOff>
    </xdr:to>
    <xdr:cxnSp macro="">
      <xdr:nvCxnSpPr>
        <xdr:cNvPr id="93" name="Conector de seta reta 92"/>
        <xdr:cNvCxnSpPr>
          <a:stCxn id="3" idx="2"/>
        </xdr:cNvCxnSpPr>
      </xdr:nvCxnSpPr>
      <xdr:spPr>
        <a:xfrm>
          <a:off x="13075708" y="1628776"/>
          <a:ext cx="5292" cy="1810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647700</xdr:colOff>
      <xdr:row>15</xdr:row>
      <xdr:rowOff>9524</xdr:rowOff>
    </xdr:from>
    <xdr:to>
      <xdr:col>20</xdr:col>
      <xdr:colOff>47625</xdr:colOff>
      <xdr:row>20</xdr:row>
      <xdr:rowOff>57150</xdr:rowOff>
    </xdr:to>
    <xdr:cxnSp macro="">
      <xdr:nvCxnSpPr>
        <xdr:cNvPr id="94" name="Conector angulado 93"/>
        <xdr:cNvCxnSpPr/>
      </xdr:nvCxnSpPr>
      <xdr:spPr>
        <a:xfrm rot="10800000" flipV="1">
          <a:off x="12334875" y="1914524"/>
          <a:ext cx="3048000" cy="1000126"/>
        </a:xfrm>
        <a:prstGeom prst="bentConnector3">
          <a:avLst>
            <a:gd name="adj1" fmla="val 35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390525</xdr:colOff>
      <xdr:row>31</xdr:row>
      <xdr:rowOff>19050</xdr:rowOff>
    </xdr:from>
    <xdr:to>
      <xdr:col>13</xdr:col>
      <xdr:colOff>390525</xdr:colOff>
      <xdr:row>43</xdr:row>
      <xdr:rowOff>37050</xdr:rowOff>
    </xdr:to>
    <xdr:cxnSp macro="">
      <xdr:nvCxnSpPr>
        <xdr:cNvPr id="99" name="Conector de seta reta 98"/>
        <xdr:cNvCxnSpPr/>
      </xdr:nvCxnSpPr>
      <xdr:spPr>
        <a:xfrm>
          <a:off x="10815108" y="5924550"/>
          <a:ext cx="0" cy="230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43</xdr:row>
      <xdr:rowOff>63499</xdr:rowOff>
    </xdr:from>
    <xdr:to>
      <xdr:col>16</xdr:col>
      <xdr:colOff>9525</xdr:colOff>
      <xdr:row>49</xdr:row>
      <xdr:rowOff>6350</xdr:rowOff>
    </xdr:to>
    <xdr:sp macro="" textlink="">
      <xdr:nvSpPr>
        <xdr:cNvPr id="100" name="Retângulo 99"/>
        <xdr:cNvSpPr/>
      </xdr:nvSpPr>
      <xdr:spPr>
        <a:xfrm>
          <a:off x="7514167" y="8254999"/>
          <a:ext cx="5417608" cy="1085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SINTERIZAÇÃO</a:t>
          </a:r>
        </a:p>
      </xdr:txBody>
    </xdr:sp>
    <xdr:clientData/>
  </xdr:twoCellAnchor>
  <xdr:twoCellAnchor>
    <xdr:from>
      <xdr:col>23</xdr:col>
      <xdr:colOff>142875</xdr:colOff>
      <xdr:row>43</xdr:row>
      <xdr:rowOff>95250</xdr:rowOff>
    </xdr:from>
    <xdr:to>
      <xdr:col>27</xdr:col>
      <xdr:colOff>447675</xdr:colOff>
      <xdr:row>47</xdr:row>
      <xdr:rowOff>76201</xdr:rowOff>
    </xdr:to>
    <xdr:sp macro="" textlink="">
      <xdr:nvSpPr>
        <xdr:cNvPr id="101" name="Retângulo 100"/>
        <xdr:cNvSpPr/>
      </xdr:nvSpPr>
      <xdr:spPr>
        <a:xfrm>
          <a:off x="15725775" y="5238750"/>
          <a:ext cx="2828925" cy="742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COQUERIA</a:t>
          </a:r>
        </a:p>
      </xdr:txBody>
    </xdr:sp>
    <xdr:clientData/>
  </xdr:twoCellAnchor>
  <xdr:twoCellAnchor>
    <xdr:from>
      <xdr:col>25</xdr:col>
      <xdr:colOff>219075</xdr:colOff>
      <xdr:row>15</xdr:row>
      <xdr:rowOff>10583</xdr:rowOff>
    </xdr:from>
    <xdr:to>
      <xdr:col>25</xdr:col>
      <xdr:colOff>222250</xdr:colOff>
      <xdr:row>43</xdr:row>
      <xdr:rowOff>76874</xdr:rowOff>
    </xdr:to>
    <xdr:cxnSp macro="">
      <xdr:nvCxnSpPr>
        <xdr:cNvPr id="102" name="Conector de seta reta 101"/>
        <xdr:cNvCxnSpPr/>
      </xdr:nvCxnSpPr>
      <xdr:spPr>
        <a:xfrm flipH="1">
          <a:off x="21290492" y="2868083"/>
          <a:ext cx="3175" cy="54002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219075</xdr:colOff>
      <xdr:row>22</xdr:row>
      <xdr:rowOff>180975</xdr:rowOff>
    </xdr:from>
    <xdr:to>
      <xdr:col>29</xdr:col>
      <xdr:colOff>253050</xdr:colOff>
      <xdr:row>22</xdr:row>
      <xdr:rowOff>180975</xdr:rowOff>
    </xdr:to>
    <xdr:cxnSp macro="">
      <xdr:nvCxnSpPr>
        <xdr:cNvPr id="105" name="Conector de seta reta 104"/>
        <xdr:cNvCxnSpPr/>
      </xdr:nvCxnSpPr>
      <xdr:spPr>
        <a:xfrm>
          <a:off x="14144625" y="3419475"/>
          <a:ext cx="2520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276226</xdr:colOff>
      <xdr:row>21</xdr:row>
      <xdr:rowOff>1</xdr:rowOff>
    </xdr:from>
    <xdr:to>
      <xdr:col>31</xdr:col>
      <xdr:colOff>66675</xdr:colOff>
      <xdr:row>29</xdr:row>
      <xdr:rowOff>47625</xdr:rowOff>
    </xdr:to>
    <xdr:sp macro="" textlink="">
      <xdr:nvSpPr>
        <xdr:cNvPr id="106" name="Retângulo 105"/>
        <xdr:cNvSpPr/>
      </xdr:nvSpPr>
      <xdr:spPr>
        <a:xfrm>
          <a:off x="21878926" y="4000501"/>
          <a:ext cx="1057274" cy="809624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COQUERIA HEAT RECOVERY</a:t>
          </a:r>
        </a:p>
      </xdr:txBody>
    </xdr:sp>
    <xdr:clientData/>
  </xdr:twoCellAnchor>
  <xdr:twoCellAnchor>
    <xdr:from>
      <xdr:col>17</xdr:col>
      <xdr:colOff>466725</xdr:colOff>
      <xdr:row>56</xdr:row>
      <xdr:rowOff>19049</xdr:rowOff>
    </xdr:from>
    <xdr:to>
      <xdr:col>22</xdr:col>
      <xdr:colOff>0</xdr:colOff>
      <xdr:row>60</xdr:row>
      <xdr:rowOff>180974</xdr:rowOff>
    </xdr:to>
    <xdr:sp macro="" textlink="">
      <xdr:nvSpPr>
        <xdr:cNvPr id="110" name="Retângulo 109"/>
        <xdr:cNvSpPr/>
      </xdr:nvSpPr>
      <xdr:spPr>
        <a:xfrm>
          <a:off x="13458825" y="10687049"/>
          <a:ext cx="3971925" cy="923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ALTOS</a:t>
          </a:r>
          <a:r>
            <a:rPr lang="pt-BR" sz="1000" baseline="0">
              <a:latin typeface="Arial" panose="020B0604020202020204" pitchFamily="34" charset="0"/>
              <a:cs typeface="Arial" panose="020B0604020202020204" pitchFamily="34" charset="0"/>
            </a:rPr>
            <a:t> FORNOS</a:t>
          </a:r>
        </a:p>
      </xdr:txBody>
    </xdr:sp>
    <xdr:clientData/>
  </xdr:twoCellAnchor>
  <xdr:twoCellAnchor>
    <xdr:from>
      <xdr:col>21</xdr:col>
      <xdr:colOff>485775</xdr:colOff>
      <xdr:row>15</xdr:row>
      <xdr:rowOff>9525</xdr:rowOff>
    </xdr:from>
    <xdr:to>
      <xdr:col>21</xdr:col>
      <xdr:colOff>495300</xdr:colOff>
      <xdr:row>56</xdr:row>
      <xdr:rowOff>600</xdr:rowOff>
    </xdr:to>
    <xdr:cxnSp macro="">
      <xdr:nvCxnSpPr>
        <xdr:cNvPr id="111" name="Conector de seta reta 110"/>
        <xdr:cNvCxnSpPr/>
      </xdr:nvCxnSpPr>
      <xdr:spPr>
        <a:xfrm>
          <a:off x="14754225" y="1914525"/>
          <a:ext cx="9525" cy="5706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676277</xdr:colOff>
      <xdr:row>28</xdr:row>
      <xdr:rowOff>3</xdr:rowOff>
    </xdr:from>
    <xdr:to>
      <xdr:col>20</xdr:col>
      <xdr:colOff>28578</xdr:colOff>
      <xdr:row>56</xdr:row>
      <xdr:rowOff>19053</xdr:rowOff>
    </xdr:to>
    <xdr:cxnSp macro="">
      <xdr:nvCxnSpPr>
        <xdr:cNvPr id="135" name="Conector angulado 134"/>
        <xdr:cNvCxnSpPr/>
      </xdr:nvCxnSpPr>
      <xdr:spPr>
        <a:xfrm rot="16200000" flipH="1">
          <a:off x="11463340" y="6510340"/>
          <a:ext cx="5353050" cy="3000376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7327</xdr:colOff>
      <xdr:row>47</xdr:row>
      <xdr:rowOff>87920</xdr:rowOff>
    </xdr:from>
    <xdr:to>
      <xdr:col>25</xdr:col>
      <xdr:colOff>519484</xdr:colOff>
      <xdr:row>57</xdr:row>
      <xdr:rowOff>146537</xdr:rowOff>
    </xdr:to>
    <xdr:cxnSp macro="">
      <xdr:nvCxnSpPr>
        <xdr:cNvPr id="148" name="Conector angulado 147"/>
        <xdr:cNvCxnSpPr/>
      </xdr:nvCxnSpPr>
      <xdr:spPr>
        <a:xfrm rot="10800000" flipV="1">
          <a:off x="17452731" y="9041420"/>
          <a:ext cx="2475772" cy="1963617"/>
        </a:xfrm>
        <a:prstGeom prst="bentConnector3">
          <a:avLst>
            <a:gd name="adj1" fmla="val -14"/>
          </a:avLst>
        </a:prstGeom>
        <a:ln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800100</xdr:colOff>
      <xdr:row>57</xdr:row>
      <xdr:rowOff>180975</xdr:rowOff>
    </xdr:from>
    <xdr:to>
      <xdr:col>17</xdr:col>
      <xdr:colOff>476250</xdr:colOff>
      <xdr:row>58</xdr:row>
      <xdr:rowOff>0</xdr:rowOff>
    </xdr:to>
    <xdr:cxnSp macro="">
      <xdr:nvCxnSpPr>
        <xdr:cNvPr id="151" name="Conector de seta reta 150"/>
        <xdr:cNvCxnSpPr/>
      </xdr:nvCxnSpPr>
      <xdr:spPr>
        <a:xfrm flipV="1">
          <a:off x="11605683" y="11039475"/>
          <a:ext cx="2438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581025</xdr:colOff>
      <xdr:row>56</xdr:row>
      <xdr:rowOff>161925</xdr:rowOff>
    </xdr:from>
    <xdr:to>
      <xdr:col>14</xdr:col>
      <xdr:colOff>775050</xdr:colOff>
      <xdr:row>59</xdr:row>
      <xdr:rowOff>58425</xdr:rowOff>
    </xdr:to>
    <xdr:sp macro="" textlink="">
      <xdr:nvSpPr>
        <xdr:cNvPr id="152" name="Retângulo 151"/>
        <xdr:cNvSpPr/>
      </xdr:nvSpPr>
      <xdr:spPr>
        <a:xfrm>
          <a:off x="8039100" y="7781925"/>
          <a:ext cx="956025" cy="468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VALE</a:t>
          </a:r>
        </a:p>
      </xdr:txBody>
    </xdr:sp>
    <xdr:clientData/>
  </xdr:twoCellAnchor>
  <xdr:twoCellAnchor>
    <xdr:from>
      <xdr:col>15</xdr:col>
      <xdr:colOff>535781</xdr:colOff>
      <xdr:row>49</xdr:row>
      <xdr:rowOff>41672</xdr:rowOff>
    </xdr:from>
    <xdr:to>
      <xdr:col>17</xdr:col>
      <xdr:colOff>438150</xdr:colOff>
      <xdr:row>56</xdr:row>
      <xdr:rowOff>171450</xdr:rowOff>
    </xdr:to>
    <xdr:cxnSp macro="">
      <xdr:nvCxnSpPr>
        <xdr:cNvPr id="154" name="Conector angulado 153"/>
        <xdr:cNvCxnSpPr/>
      </xdr:nvCxnSpPr>
      <xdr:spPr>
        <a:xfrm>
          <a:off x="11721703" y="9376172"/>
          <a:ext cx="1706166" cy="1463278"/>
        </a:xfrm>
        <a:prstGeom prst="bentConnector3">
          <a:avLst>
            <a:gd name="adj1" fmla="val -942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51</xdr:row>
      <xdr:rowOff>9524</xdr:rowOff>
    </xdr:from>
    <xdr:to>
      <xdr:col>8</xdr:col>
      <xdr:colOff>0</xdr:colOff>
      <xdr:row>56</xdr:row>
      <xdr:rowOff>179917</xdr:rowOff>
    </xdr:to>
    <xdr:sp macro="" textlink="">
      <xdr:nvSpPr>
        <xdr:cNvPr id="163" name="Retângulo 162"/>
        <xdr:cNvSpPr/>
      </xdr:nvSpPr>
      <xdr:spPr>
        <a:xfrm>
          <a:off x="1974850" y="9725024"/>
          <a:ext cx="3729567" cy="11228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ACIARIA</a:t>
          </a:r>
        </a:p>
      </xdr:txBody>
    </xdr:sp>
    <xdr:clientData/>
  </xdr:twoCellAnchor>
  <xdr:twoCellAnchor>
    <xdr:from>
      <xdr:col>16</xdr:col>
      <xdr:colOff>647700</xdr:colOff>
      <xdr:row>21</xdr:row>
      <xdr:rowOff>100013</xdr:rowOff>
    </xdr:from>
    <xdr:to>
      <xdr:col>23</xdr:col>
      <xdr:colOff>314326</xdr:colOff>
      <xdr:row>43</xdr:row>
      <xdr:rowOff>85726</xdr:rowOff>
    </xdr:to>
    <xdr:cxnSp macro="">
      <xdr:nvCxnSpPr>
        <xdr:cNvPr id="210" name="Conector angulado 209"/>
        <xdr:cNvCxnSpPr>
          <a:endCxn id="88" idx="3"/>
        </xdr:cNvCxnSpPr>
      </xdr:nvCxnSpPr>
      <xdr:spPr>
        <a:xfrm rot="10800000">
          <a:off x="10601325" y="3148013"/>
          <a:ext cx="5276851" cy="2081213"/>
        </a:xfrm>
        <a:prstGeom prst="bentConnector3">
          <a:avLst>
            <a:gd name="adj1" fmla="val 181"/>
          </a:avLst>
        </a:prstGeom>
        <a:ln>
          <a:solidFill>
            <a:srgbClr val="FFFF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842963</xdr:colOff>
      <xdr:row>60</xdr:row>
      <xdr:rowOff>180974</xdr:rowOff>
    </xdr:from>
    <xdr:to>
      <xdr:col>19</xdr:col>
      <xdr:colOff>866776</xdr:colOff>
      <xdr:row>80</xdr:row>
      <xdr:rowOff>156150</xdr:rowOff>
    </xdr:to>
    <xdr:cxnSp macro="">
      <xdr:nvCxnSpPr>
        <xdr:cNvPr id="217" name="Conector de seta reta 216"/>
        <xdr:cNvCxnSpPr>
          <a:stCxn id="110" idx="2"/>
        </xdr:cNvCxnSpPr>
      </xdr:nvCxnSpPr>
      <xdr:spPr>
        <a:xfrm>
          <a:off x="15444788" y="11610974"/>
          <a:ext cx="23813" cy="1880176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847726</xdr:colOff>
      <xdr:row>80</xdr:row>
      <xdr:rowOff>171450</xdr:rowOff>
    </xdr:from>
    <xdr:to>
      <xdr:col>21</xdr:col>
      <xdr:colOff>645585</xdr:colOff>
      <xdr:row>88</xdr:row>
      <xdr:rowOff>57149</xdr:rowOff>
    </xdr:to>
    <xdr:sp macro="" textlink="">
      <xdr:nvSpPr>
        <xdr:cNvPr id="218" name="Retângulo 217"/>
        <xdr:cNvSpPr/>
      </xdr:nvSpPr>
      <xdr:spPr>
        <a:xfrm>
          <a:off x="13388976" y="13506450"/>
          <a:ext cx="4602692" cy="140969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CASP / SAPPORO</a:t>
          </a:r>
        </a:p>
      </xdr:txBody>
    </xdr:sp>
    <xdr:clientData/>
  </xdr:twoCellAnchor>
  <xdr:twoCellAnchor>
    <xdr:from>
      <xdr:col>7</xdr:col>
      <xdr:colOff>5291</xdr:colOff>
      <xdr:row>74</xdr:row>
      <xdr:rowOff>76200</xdr:rowOff>
    </xdr:from>
    <xdr:to>
      <xdr:col>7</xdr:col>
      <xdr:colOff>10583</xdr:colOff>
      <xdr:row>77</xdr:row>
      <xdr:rowOff>116700</xdr:rowOff>
    </xdr:to>
    <xdr:cxnSp macro="">
      <xdr:nvCxnSpPr>
        <xdr:cNvPr id="36" name="Conector de seta reta 35"/>
        <xdr:cNvCxnSpPr/>
      </xdr:nvCxnSpPr>
      <xdr:spPr>
        <a:xfrm flipH="1">
          <a:off x="4619624" y="12268200"/>
          <a:ext cx="5292" cy="61200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603251</xdr:colOff>
      <xdr:row>77</xdr:row>
      <xdr:rowOff>134699</xdr:rowOff>
    </xdr:from>
    <xdr:to>
      <xdr:col>8</xdr:col>
      <xdr:colOff>10585</xdr:colOff>
      <xdr:row>81</xdr:row>
      <xdr:rowOff>84667</xdr:rowOff>
    </xdr:to>
    <xdr:sp macro="" textlink="">
      <xdr:nvSpPr>
        <xdr:cNvPr id="37" name="Retângulo 36"/>
        <xdr:cNvSpPr/>
      </xdr:nvSpPr>
      <xdr:spPr>
        <a:xfrm>
          <a:off x="1830918" y="12898199"/>
          <a:ext cx="1460500" cy="71196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PÁTIO DE BENEFICIAMENTO DE ESCÓRIA (CANTEIRO 8)</a:t>
          </a:r>
          <a:endParaRPr lang="pt-BR" sz="900">
            <a:effectLst/>
          </a:endParaRPr>
        </a:p>
      </xdr:txBody>
    </xdr:sp>
    <xdr:clientData/>
  </xdr:twoCellAnchor>
  <xdr:twoCellAnchor>
    <xdr:from>
      <xdr:col>3</xdr:col>
      <xdr:colOff>714374</xdr:colOff>
      <xdr:row>74</xdr:row>
      <xdr:rowOff>76200</xdr:rowOff>
    </xdr:from>
    <xdr:to>
      <xdr:col>4</xdr:col>
      <xdr:colOff>0</xdr:colOff>
      <xdr:row>77</xdr:row>
      <xdr:rowOff>116700</xdr:rowOff>
    </xdr:to>
    <xdr:cxnSp macro="">
      <xdr:nvCxnSpPr>
        <xdr:cNvPr id="38" name="Conector de seta reta 37"/>
        <xdr:cNvCxnSpPr/>
      </xdr:nvCxnSpPr>
      <xdr:spPr>
        <a:xfrm flipH="1">
          <a:off x="4581524" y="10363200"/>
          <a:ext cx="1" cy="61200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77</xdr:row>
      <xdr:rowOff>124116</xdr:rowOff>
    </xdr:from>
    <xdr:to>
      <xdr:col>4</xdr:col>
      <xdr:colOff>698500</xdr:colOff>
      <xdr:row>81</xdr:row>
      <xdr:rowOff>74084</xdr:rowOff>
    </xdr:to>
    <xdr:sp macro="" textlink="">
      <xdr:nvSpPr>
        <xdr:cNvPr id="39" name="Retângulo 38"/>
        <xdr:cNvSpPr/>
      </xdr:nvSpPr>
      <xdr:spPr>
        <a:xfrm>
          <a:off x="3877733" y="12887616"/>
          <a:ext cx="1435100" cy="71196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PÁTIO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ESCÓRIA</a:t>
          </a:r>
          <a:endParaRPr lang="pt-BR" sz="900">
            <a:effectLst/>
          </a:endParaRPr>
        </a:p>
        <a:p>
          <a:pPr algn="ctr"/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pt-BR" sz="900">
            <a:effectLst/>
          </a:endParaRPr>
        </a:p>
      </xdr:txBody>
    </xdr:sp>
    <xdr:clientData/>
  </xdr:twoCellAnchor>
  <xdr:twoCellAnchor>
    <xdr:from>
      <xdr:col>6</xdr:col>
      <xdr:colOff>201085</xdr:colOff>
      <xdr:row>81</xdr:row>
      <xdr:rowOff>95250</xdr:rowOff>
    </xdr:from>
    <xdr:to>
      <xdr:col>6</xdr:col>
      <xdr:colOff>211666</xdr:colOff>
      <xdr:row>108</xdr:row>
      <xdr:rowOff>10583</xdr:rowOff>
    </xdr:to>
    <xdr:cxnSp macro="">
      <xdr:nvCxnSpPr>
        <xdr:cNvPr id="43" name="Conector de seta reta 42"/>
        <xdr:cNvCxnSpPr/>
      </xdr:nvCxnSpPr>
      <xdr:spPr>
        <a:xfrm>
          <a:off x="4476752" y="15525750"/>
          <a:ext cx="10581" cy="5058833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116415</xdr:colOff>
      <xdr:row>81</xdr:row>
      <xdr:rowOff>95250</xdr:rowOff>
    </xdr:from>
    <xdr:to>
      <xdr:col>4</xdr:col>
      <xdr:colOff>116416</xdr:colOff>
      <xdr:row>108</xdr:row>
      <xdr:rowOff>9750</xdr:rowOff>
    </xdr:to>
    <xdr:cxnSp macro="">
      <xdr:nvCxnSpPr>
        <xdr:cNvPr id="44" name="Conector de seta reta 43"/>
        <xdr:cNvCxnSpPr/>
      </xdr:nvCxnSpPr>
      <xdr:spPr>
        <a:xfrm>
          <a:off x="3058582" y="15525750"/>
          <a:ext cx="1" cy="505800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92</xdr:row>
      <xdr:rowOff>180975</xdr:rowOff>
    </xdr:from>
    <xdr:to>
      <xdr:col>12</xdr:col>
      <xdr:colOff>9525</xdr:colOff>
      <xdr:row>98</xdr:row>
      <xdr:rowOff>0</xdr:rowOff>
    </xdr:to>
    <xdr:sp macro="" textlink="">
      <xdr:nvSpPr>
        <xdr:cNvPr id="49" name="Retângulo 48"/>
        <xdr:cNvSpPr/>
      </xdr:nvSpPr>
      <xdr:spPr>
        <a:xfrm>
          <a:off x="4514850" y="12753975"/>
          <a:ext cx="2705100" cy="9620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BRIQUETAGEM</a:t>
          </a:r>
        </a:p>
      </xdr:txBody>
    </xdr:sp>
    <xdr:clientData/>
  </xdr:twoCellAnchor>
  <xdr:twoCellAnchor>
    <xdr:from>
      <xdr:col>3</xdr:col>
      <xdr:colOff>704850</xdr:colOff>
      <xdr:row>74</xdr:row>
      <xdr:rowOff>66675</xdr:rowOff>
    </xdr:from>
    <xdr:to>
      <xdr:col>7</xdr:col>
      <xdr:colOff>9525</xdr:colOff>
      <xdr:row>74</xdr:row>
      <xdr:rowOff>76200</xdr:rowOff>
    </xdr:to>
    <xdr:cxnSp macro="">
      <xdr:nvCxnSpPr>
        <xdr:cNvPr id="18" name="Conector reto 17"/>
        <xdr:cNvCxnSpPr/>
      </xdr:nvCxnSpPr>
      <xdr:spPr>
        <a:xfrm flipV="1">
          <a:off x="2533650" y="10353675"/>
          <a:ext cx="2057400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10585</xdr:colOff>
      <xdr:row>24</xdr:row>
      <xdr:rowOff>100012</xdr:rowOff>
    </xdr:from>
    <xdr:to>
      <xdr:col>8</xdr:col>
      <xdr:colOff>572557</xdr:colOff>
      <xdr:row>51</xdr:row>
      <xdr:rowOff>11642</xdr:rowOff>
    </xdr:to>
    <xdr:cxnSp macro="">
      <xdr:nvCxnSpPr>
        <xdr:cNvPr id="15" name="Conector angulado 14"/>
        <xdr:cNvCxnSpPr/>
      </xdr:nvCxnSpPr>
      <xdr:spPr>
        <a:xfrm rot="10800000" flipV="1">
          <a:off x="3905252" y="4672012"/>
          <a:ext cx="2371722" cy="5055130"/>
        </a:xfrm>
        <a:prstGeom prst="bentConnector2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285751</xdr:colOff>
      <xdr:row>57</xdr:row>
      <xdr:rowOff>21167</xdr:rowOff>
    </xdr:from>
    <xdr:to>
      <xdr:col>5</xdr:col>
      <xdr:colOff>296334</xdr:colOff>
      <xdr:row>74</xdr:row>
      <xdr:rowOff>38850</xdr:rowOff>
    </xdr:to>
    <xdr:cxnSp macro="">
      <xdr:nvCxnSpPr>
        <xdr:cNvPr id="74" name="Conector de seta reta 73"/>
        <xdr:cNvCxnSpPr/>
      </xdr:nvCxnSpPr>
      <xdr:spPr>
        <a:xfrm flipH="1">
          <a:off x="3566584" y="10879667"/>
          <a:ext cx="10583" cy="3256183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19051</xdr:colOff>
      <xdr:row>29</xdr:row>
      <xdr:rowOff>47624</xdr:rowOff>
    </xdr:from>
    <xdr:to>
      <xdr:col>30</xdr:col>
      <xdr:colOff>195264</xdr:colOff>
      <xdr:row>60</xdr:row>
      <xdr:rowOff>19049</xdr:rowOff>
    </xdr:to>
    <xdr:cxnSp macro="">
      <xdr:nvCxnSpPr>
        <xdr:cNvPr id="27" name="Conector angulado 26"/>
        <xdr:cNvCxnSpPr>
          <a:stCxn id="106" idx="2"/>
        </xdr:cNvCxnSpPr>
      </xdr:nvCxnSpPr>
      <xdr:spPr>
        <a:xfrm rot="5400000">
          <a:off x="17128332" y="5893593"/>
          <a:ext cx="5876925" cy="5233988"/>
        </a:xfrm>
        <a:prstGeom prst="bentConnector3">
          <a:avLst>
            <a:gd name="adj1" fmla="val 99919"/>
          </a:avLst>
        </a:prstGeom>
        <a:ln>
          <a:prstDash val="dashDot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27</xdr:row>
      <xdr:rowOff>180975</xdr:rowOff>
    </xdr:from>
    <xdr:to>
      <xdr:col>33</xdr:col>
      <xdr:colOff>575475</xdr:colOff>
      <xdr:row>27</xdr:row>
      <xdr:rowOff>180975</xdr:rowOff>
    </xdr:to>
    <xdr:cxnSp macro="">
      <xdr:nvCxnSpPr>
        <xdr:cNvPr id="85" name="Conector de seta reta 84"/>
        <xdr:cNvCxnSpPr/>
      </xdr:nvCxnSpPr>
      <xdr:spPr>
        <a:xfrm>
          <a:off x="23212425" y="5324475"/>
          <a:ext cx="1728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296334</xdr:colOff>
      <xdr:row>70</xdr:row>
      <xdr:rowOff>10583</xdr:rowOff>
    </xdr:from>
    <xdr:to>
      <xdr:col>16</xdr:col>
      <xdr:colOff>809625</xdr:colOff>
      <xdr:row>83</xdr:row>
      <xdr:rowOff>47625</xdr:rowOff>
    </xdr:to>
    <xdr:cxnSp macro="">
      <xdr:nvCxnSpPr>
        <xdr:cNvPr id="107" name="Conector angulado 106"/>
        <xdr:cNvCxnSpPr/>
      </xdr:nvCxnSpPr>
      <xdr:spPr>
        <a:xfrm>
          <a:off x="3577167" y="13345583"/>
          <a:ext cx="9773708" cy="2513542"/>
        </a:xfrm>
        <a:prstGeom prst="bentConnector3">
          <a:avLst>
            <a:gd name="adj1" fmla="val 50000"/>
          </a:avLst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676275</xdr:colOff>
      <xdr:row>30</xdr:row>
      <xdr:rowOff>161925</xdr:rowOff>
    </xdr:from>
    <xdr:to>
      <xdr:col>17</xdr:col>
      <xdr:colOff>203203</xdr:colOff>
      <xdr:row>80</xdr:row>
      <xdr:rowOff>158751</xdr:rowOff>
    </xdr:to>
    <xdr:cxnSp macro="">
      <xdr:nvCxnSpPr>
        <xdr:cNvPr id="133" name="Conector angulado 132"/>
        <xdr:cNvCxnSpPr/>
      </xdr:nvCxnSpPr>
      <xdr:spPr>
        <a:xfrm rot="16200000" flipV="1">
          <a:off x="9109076" y="9407524"/>
          <a:ext cx="7616826" cy="555628"/>
        </a:xfrm>
        <a:prstGeom prst="bentConnector3">
          <a:avLst>
            <a:gd name="adj1" fmla="val 100021"/>
          </a:avLst>
        </a:prstGeom>
        <a:ln>
          <a:solidFill>
            <a:schemeClr val="accent2">
              <a:lumMod val="75000"/>
            </a:schemeClr>
          </a:solidFill>
          <a:prstDash val="dashDot"/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21170</xdr:colOff>
      <xdr:row>61</xdr:row>
      <xdr:rowOff>10583</xdr:rowOff>
    </xdr:from>
    <xdr:to>
      <xdr:col>19</xdr:col>
      <xdr:colOff>21168</xdr:colOff>
      <xdr:row>79</xdr:row>
      <xdr:rowOff>99099</xdr:rowOff>
    </xdr:to>
    <xdr:cxnSp macro="">
      <xdr:nvCxnSpPr>
        <xdr:cNvPr id="8" name="Conector angulado 7"/>
        <xdr:cNvCxnSpPr/>
      </xdr:nvCxnSpPr>
      <xdr:spPr>
        <a:xfrm rot="10800000" flipV="1">
          <a:off x="5725587" y="11631083"/>
          <a:ext cx="9472081" cy="3517516"/>
        </a:xfrm>
        <a:prstGeom prst="bentConnector3">
          <a:avLst>
            <a:gd name="adj1" fmla="val 56"/>
          </a:avLst>
        </a:prstGeom>
        <a:ln>
          <a:prstDash val="dashDot"/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60</xdr:row>
      <xdr:rowOff>169333</xdr:rowOff>
    </xdr:from>
    <xdr:to>
      <xdr:col>27</xdr:col>
      <xdr:colOff>1068917</xdr:colOff>
      <xdr:row>67</xdr:row>
      <xdr:rowOff>42333</xdr:rowOff>
    </xdr:to>
    <xdr:cxnSp macro="">
      <xdr:nvCxnSpPr>
        <xdr:cNvPr id="12" name="Conector angulado 11"/>
        <xdr:cNvCxnSpPr/>
      </xdr:nvCxnSpPr>
      <xdr:spPr>
        <a:xfrm>
          <a:off x="19102917" y="11599333"/>
          <a:ext cx="4265083" cy="1206500"/>
        </a:xfrm>
        <a:prstGeom prst="bentConnector3">
          <a:avLst>
            <a:gd name="adj1" fmla="val 50000"/>
          </a:avLst>
        </a:prstGeom>
        <a:ln>
          <a:prstDash val="dashDot"/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10583</xdr:colOff>
      <xdr:row>65</xdr:row>
      <xdr:rowOff>179916</xdr:rowOff>
    </xdr:from>
    <xdr:to>
      <xdr:col>29</xdr:col>
      <xdr:colOff>603249</xdr:colOff>
      <xdr:row>69</xdr:row>
      <xdr:rowOff>179916</xdr:rowOff>
    </xdr:to>
    <xdr:sp macro="" textlink="">
      <xdr:nvSpPr>
        <xdr:cNvPr id="21" name="Retângulo 20"/>
        <xdr:cNvSpPr/>
      </xdr:nvSpPr>
      <xdr:spPr>
        <a:xfrm>
          <a:off x="22309666" y="12562416"/>
          <a:ext cx="1365250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Vendida -</a:t>
          </a:r>
          <a:r>
            <a:rPr lang="pt-BR" sz="1100" baseline="0"/>
            <a:t> Transportada Caminhão</a:t>
          </a:r>
          <a:endParaRPr lang="pt-BR" sz="1100"/>
        </a:p>
      </xdr:txBody>
    </xdr:sp>
    <xdr:clientData/>
  </xdr:twoCellAnchor>
  <xdr:twoCellAnchor>
    <xdr:from>
      <xdr:col>26</xdr:col>
      <xdr:colOff>613832</xdr:colOff>
      <xdr:row>73</xdr:row>
      <xdr:rowOff>0</xdr:rowOff>
    </xdr:from>
    <xdr:to>
      <xdr:col>28</xdr:col>
      <xdr:colOff>772583</xdr:colOff>
      <xdr:row>79</xdr:row>
      <xdr:rowOff>21167</xdr:rowOff>
    </xdr:to>
    <xdr:sp macro="" textlink="">
      <xdr:nvSpPr>
        <xdr:cNvPr id="76" name="Retângulo 75"/>
        <xdr:cNvSpPr/>
      </xdr:nvSpPr>
      <xdr:spPr>
        <a:xfrm>
          <a:off x="21579415" y="13906500"/>
          <a:ext cx="1873251" cy="116416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" panose="020B0604020202020204" pitchFamily="34" charset="0"/>
              <a:cs typeface="Arial" panose="020B0604020202020204" pitchFamily="34" charset="0"/>
            </a:rPr>
            <a:t>PÁTIO</a:t>
          </a:r>
          <a:r>
            <a:rPr lang="pt-BR" sz="900" baseline="0">
              <a:latin typeface="Arial" panose="020B0604020202020204" pitchFamily="34" charset="0"/>
              <a:cs typeface="Arial" panose="020B0604020202020204" pitchFamily="34" charset="0"/>
            </a:rPr>
            <a:t> SUCATA</a:t>
          </a:r>
          <a:endParaRPr lang="pt-BR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677332</xdr:colOff>
      <xdr:row>61</xdr:row>
      <xdr:rowOff>42333</xdr:rowOff>
    </xdr:from>
    <xdr:to>
      <xdr:col>26</xdr:col>
      <xdr:colOff>560917</xdr:colOff>
      <xdr:row>77</xdr:row>
      <xdr:rowOff>169333</xdr:rowOff>
    </xdr:to>
    <xdr:cxnSp macro="">
      <xdr:nvCxnSpPr>
        <xdr:cNvPr id="35" name="Conector angulado 34"/>
        <xdr:cNvCxnSpPr/>
      </xdr:nvCxnSpPr>
      <xdr:spPr>
        <a:xfrm>
          <a:off x="16859249" y="11662833"/>
          <a:ext cx="4286251" cy="3175000"/>
        </a:xfrm>
        <a:prstGeom prst="bentConnector3">
          <a:avLst>
            <a:gd name="adj1" fmla="val -370"/>
          </a:avLst>
        </a:prstGeom>
        <a:ln>
          <a:prstDash val="dashDot"/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1058338</xdr:colOff>
      <xdr:row>61</xdr:row>
      <xdr:rowOff>21168</xdr:rowOff>
    </xdr:from>
    <xdr:to>
      <xdr:col>26</xdr:col>
      <xdr:colOff>582085</xdr:colOff>
      <xdr:row>75</xdr:row>
      <xdr:rowOff>116417</xdr:rowOff>
    </xdr:to>
    <xdr:cxnSp macro="">
      <xdr:nvCxnSpPr>
        <xdr:cNvPr id="42" name="Conector angulado 41"/>
        <xdr:cNvCxnSpPr/>
      </xdr:nvCxnSpPr>
      <xdr:spPr>
        <a:xfrm rot="10800000">
          <a:off x="17240255" y="11641668"/>
          <a:ext cx="3926413" cy="2762249"/>
        </a:xfrm>
        <a:prstGeom prst="bentConnector3">
          <a:avLst>
            <a:gd name="adj1" fmla="val 100135"/>
          </a:avLst>
        </a:prstGeom>
        <a:ln>
          <a:solidFill>
            <a:srgbClr val="EF5BD3"/>
          </a:solidFill>
          <a:prstDash val="dashDot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698501</xdr:colOff>
      <xdr:row>7</xdr:row>
      <xdr:rowOff>105834</xdr:rowOff>
    </xdr:from>
    <xdr:to>
      <xdr:col>12</xdr:col>
      <xdr:colOff>109359</xdr:colOff>
      <xdr:row>10</xdr:row>
      <xdr:rowOff>2334</xdr:rowOff>
    </xdr:to>
    <xdr:sp macro="" textlink="">
      <xdr:nvSpPr>
        <xdr:cNvPr id="87" name="Retângulo 86"/>
        <xdr:cNvSpPr/>
      </xdr:nvSpPr>
      <xdr:spPr>
        <a:xfrm>
          <a:off x="8477251" y="1439334"/>
          <a:ext cx="956025" cy="468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VALE</a:t>
          </a:r>
        </a:p>
      </xdr:txBody>
    </xdr:sp>
    <xdr:clientData/>
  </xdr:twoCellAnchor>
  <xdr:twoCellAnchor>
    <xdr:from>
      <xdr:col>11</xdr:col>
      <xdr:colOff>402167</xdr:colOff>
      <xdr:row>10</xdr:row>
      <xdr:rowOff>0</xdr:rowOff>
    </xdr:from>
    <xdr:to>
      <xdr:col>11</xdr:col>
      <xdr:colOff>402167</xdr:colOff>
      <xdr:row>17</xdr:row>
      <xdr:rowOff>178500</xdr:rowOff>
    </xdr:to>
    <xdr:cxnSp macro="">
      <xdr:nvCxnSpPr>
        <xdr:cNvPr id="89" name="Conector de seta reta 88"/>
        <xdr:cNvCxnSpPr/>
      </xdr:nvCxnSpPr>
      <xdr:spPr>
        <a:xfrm>
          <a:off x="8932334" y="1905000"/>
          <a:ext cx="0" cy="151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963085</xdr:colOff>
      <xdr:row>57</xdr:row>
      <xdr:rowOff>31751</xdr:rowOff>
    </xdr:from>
    <xdr:to>
      <xdr:col>17</xdr:col>
      <xdr:colOff>465674</xdr:colOff>
      <xdr:row>60</xdr:row>
      <xdr:rowOff>179920</xdr:rowOff>
    </xdr:to>
    <xdr:cxnSp macro="">
      <xdr:nvCxnSpPr>
        <xdr:cNvPr id="53" name="Conector angulado 52"/>
        <xdr:cNvCxnSpPr/>
      </xdr:nvCxnSpPr>
      <xdr:spPr>
        <a:xfrm rot="10800000">
          <a:off x="5577418" y="10890251"/>
          <a:ext cx="8456089" cy="719669"/>
        </a:xfrm>
        <a:prstGeom prst="bentConnector3">
          <a:avLst>
            <a:gd name="adj1" fmla="val 100063"/>
          </a:avLst>
        </a:prstGeom>
        <a:ln>
          <a:prstDash val="dashDot"/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10590</xdr:colOff>
      <xdr:row>55</xdr:row>
      <xdr:rowOff>63512</xdr:rowOff>
    </xdr:from>
    <xdr:to>
      <xdr:col>26</xdr:col>
      <xdr:colOff>613833</xdr:colOff>
      <xdr:row>76</xdr:row>
      <xdr:rowOff>10584</xdr:rowOff>
    </xdr:to>
    <xdr:cxnSp macro="">
      <xdr:nvCxnSpPr>
        <xdr:cNvPr id="81" name="Conector angulado 80"/>
        <xdr:cNvCxnSpPr>
          <a:stCxn id="76" idx="1"/>
        </xdr:cNvCxnSpPr>
      </xdr:nvCxnSpPr>
      <xdr:spPr>
        <a:xfrm rot="10800000">
          <a:off x="6096007" y="10541012"/>
          <a:ext cx="15483409" cy="3947572"/>
        </a:xfrm>
        <a:prstGeom prst="bentConnector3">
          <a:avLst>
            <a:gd name="adj1" fmla="val 73718"/>
          </a:avLst>
        </a:prstGeom>
        <a:ln>
          <a:solidFill>
            <a:srgbClr val="EF5BD3"/>
          </a:solidFill>
          <a:prstDash val="dashDot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42333</xdr:colOff>
      <xdr:row>57</xdr:row>
      <xdr:rowOff>21165</xdr:rowOff>
    </xdr:from>
    <xdr:to>
      <xdr:col>26</xdr:col>
      <xdr:colOff>592667</xdr:colOff>
      <xdr:row>75</xdr:row>
      <xdr:rowOff>21165</xdr:rowOff>
    </xdr:to>
    <xdr:cxnSp macro="">
      <xdr:nvCxnSpPr>
        <xdr:cNvPr id="115" name="Conector angulado 114"/>
        <xdr:cNvCxnSpPr/>
      </xdr:nvCxnSpPr>
      <xdr:spPr>
        <a:xfrm>
          <a:off x="5746750" y="10879665"/>
          <a:ext cx="15430500" cy="3429000"/>
        </a:xfrm>
        <a:prstGeom prst="bentConnector3">
          <a:avLst>
            <a:gd name="adj1" fmla="val 24623"/>
          </a:avLst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561974</xdr:colOff>
      <xdr:row>18</xdr:row>
      <xdr:rowOff>9524</xdr:rowOff>
    </xdr:from>
    <xdr:to>
      <xdr:col>16</xdr:col>
      <xdr:colOff>647699</xdr:colOff>
      <xdr:row>31</xdr:row>
      <xdr:rowOff>0</xdr:rowOff>
    </xdr:to>
    <xdr:sp macro="" textlink="">
      <xdr:nvSpPr>
        <xdr:cNvPr id="88" name="Retângulo 87"/>
        <xdr:cNvSpPr/>
      </xdr:nvSpPr>
      <xdr:spPr>
        <a:xfrm>
          <a:off x="4162424" y="2486024"/>
          <a:ext cx="6438900" cy="1323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PÁTIO DE MINÉRIOS</a:t>
          </a:r>
        </a:p>
      </xdr:txBody>
    </xdr:sp>
    <xdr:clientData/>
  </xdr:twoCellAnchor>
  <xdr:twoCellAnchor>
    <xdr:from>
      <xdr:col>3</xdr:col>
      <xdr:colOff>687928</xdr:colOff>
      <xdr:row>11</xdr:row>
      <xdr:rowOff>100650</xdr:rowOff>
    </xdr:from>
    <xdr:to>
      <xdr:col>7</xdr:col>
      <xdr:colOff>295275</xdr:colOff>
      <xdr:row>51</xdr:row>
      <xdr:rowOff>0</xdr:rowOff>
    </xdr:to>
    <xdr:cxnSp macro="">
      <xdr:nvCxnSpPr>
        <xdr:cNvPr id="129" name="Conector angulado 128"/>
        <xdr:cNvCxnSpPr>
          <a:stCxn id="54" idx="1"/>
        </xdr:cNvCxnSpPr>
      </xdr:nvCxnSpPr>
      <xdr:spPr>
        <a:xfrm rot="10800000" flipV="1">
          <a:off x="2910428" y="2196150"/>
          <a:ext cx="2380180" cy="75193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158750</xdr:colOff>
      <xdr:row>10</xdr:row>
      <xdr:rowOff>31750</xdr:rowOff>
    </xdr:from>
    <xdr:to>
      <xdr:col>7</xdr:col>
      <xdr:colOff>285750</xdr:colOff>
      <xdr:row>10</xdr:row>
      <xdr:rowOff>42333</xdr:rowOff>
    </xdr:to>
    <xdr:cxnSp macro="">
      <xdr:nvCxnSpPr>
        <xdr:cNvPr id="140" name="Conector de seta reta 139"/>
        <xdr:cNvCxnSpPr/>
      </xdr:nvCxnSpPr>
      <xdr:spPr>
        <a:xfrm flipH="1">
          <a:off x="2000250" y="1936750"/>
          <a:ext cx="2899833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402167</xdr:colOff>
      <xdr:row>9</xdr:row>
      <xdr:rowOff>6</xdr:rowOff>
    </xdr:from>
    <xdr:to>
      <xdr:col>3</xdr:col>
      <xdr:colOff>130525</xdr:colOff>
      <xdr:row>11</xdr:row>
      <xdr:rowOff>158752</xdr:rowOff>
    </xdr:to>
    <xdr:sp macro="" textlink="">
      <xdr:nvSpPr>
        <xdr:cNvPr id="150" name="Retângulo 149"/>
        <xdr:cNvSpPr/>
      </xdr:nvSpPr>
      <xdr:spPr>
        <a:xfrm>
          <a:off x="1016000" y="1714506"/>
          <a:ext cx="1337025" cy="539746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Arial" panose="020B0604020202020204" pitchFamily="34" charset="0"/>
              <a:cs typeface="Arial" panose="020B0604020202020204" pitchFamily="34" charset="0"/>
            </a:rPr>
            <a:t>LHOIST</a:t>
          </a:r>
        </a:p>
      </xdr:txBody>
    </xdr:sp>
    <xdr:clientData/>
  </xdr:twoCellAnchor>
  <xdr:twoCellAnchor>
    <xdr:from>
      <xdr:col>3</xdr:col>
      <xdr:colOff>130525</xdr:colOff>
      <xdr:row>10</xdr:row>
      <xdr:rowOff>79379</xdr:rowOff>
    </xdr:from>
    <xdr:to>
      <xdr:col>3</xdr:col>
      <xdr:colOff>158750</xdr:colOff>
      <xdr:row>51</xdr:row>
      <xdr:rowOff>10583</xdr:rowOff>
    </xdr:to>
    <xdr:cxnSp macro="">
      <xdr:nvCxnSpPr>
        <xdr:cNvPr id="149" name="Conector angulado 148"/>
        <xdr:cNvCxnSpPr>
          <a:stCxn id="150" idx="3"/>
        </xdr:cNvCxnSpPr>
      </xdr:nvCxnSpPr>
      <xdr:spPr>
        <a:xfrm>
          <a:off x="2353025" y="1984379"/>
          <a:ext cx="28225" cy="7741704"/>
        </a:xfrm>
        <a:prstGeom prst="bentConnector2">
          <a:avLst/>
        </a:prstGeom>
        <a:ln>
          <a:solidFill>
            <a:srgbClr val="3BF58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</xdr:colOff>
      <xdr:row>71</xdr:row>
      <xdr:rowOff>179911</xdr:rowOff>
    </xdr:from>
    <xdr:to>
      <xdr:col>35</xdr:col>
      <xdr:colOff>137585</xdr:colOff>
      <xdr:row>75</xdr:row>
      <xdr:rowOff>179911</xdr:rowOff>
    </xdr:to>
    <xdr:sp macro="" textlink="">
      <xdr:nvSpPr>
        <xdr:cNvPr id="161" name="Retângulo 160"/>
        <xdr:cNvSpPr/>
      </xdr:nvSpPr>
      <xdr:spPr>
        <a:xfrm>
          <a:off x="25950335" y="13705411"/>
          <a:ext cx="1365250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LINGOTAMENTO CONTÍNUO</a:t>
          </a:r>
        </a:p>
      </xdr:txBody>
    </xdr:sp>
    <xdr:clientData/>
  </xdr:twoCellAnchor>
  <xdr:twoCellAnchor>
    <xdr:from>
      <xdr:col>33</xdr:col>
      <xdr:colOff>1</xdr:colOff>
      <xdr:row>76</xdr:row>
      <xdr:rowOff>179917</xdr:rowOff>
    </xdr:from>
    <xdr:to>
      <xdr:col>35</xdr:col>
      <xdr:colOff>137584</xdr:colOff>
      <xdr:row>80</xdr:row>
      <xdr:rowOff>179917</xdr:rowOff>
    </xdr:to>
    <xdr:sp macro="" textlink="">
      <xdr:nvSpPr>
        <xdr:cNvPr id="162" name="Retângulo 161"/>
        <xdr:cNvSpPr/>
      </xdr:nvSpPr>
      <xdr:spPr>
        <a:xfrm>
          <a:off x="25950334" y="14657917"/>
          <a:ext cx="1365250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LTQ</a:t>
          </a:r>
        </a:p>
      </xdr:txBody>
    </xdr:sp>
    <xdr:clientData/>
  </xdr:twoCellAnchor>
  <xdr:twoCellAnchor>
    <xdr:from>
      <xdr:col>29</xdr:col>
      <xdr:colOff>10583</xdr:colOff>
      <xdr:row>75</xdr:row>
      <xdr:rowOff>31743</xdr:rowOff>
    </xdr:from>
    <xdr:to>
      <xdr:col>33</xdr:col>
      <xdr:colOff>10585</xdr:colOff>
      <xdr:row>75</xdr:row>
      <xdr:rowOff>31749</xdr:rowOff>
    </xdr:to>
    <xdr:cxnSp macro="">
      <xdr:nvCxnSpPr>
        <xdr:cNvPr id="166" name="Conector de seta reta 165"/>
        <xdr:cNvCxnSpPr/>
      </xdr:nvCxnSpPr>
      <xdr:spPr>
        <a:xfrm flipH="1">
          <a:off x="23463250" y="14319243"/>
          <a:ext cx="2497668" cy="6"/>
        </a:xfrm>
        <a:prstGeom prst="straightConnector1">
          <a:avLst/>
        </a:prstGeom>
        <a:ln>
          <a:solidFill>
            <a:srgbClr val="88DEE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751418</xdr:colOff>
      <xdr:row>77</xdr:row>
      <xdr:rowOff>158754</xdr:rowOff>
    </xdr:from>
    <xdr:to>
      <xdr:col>32</xdr:col>
      <xdr:colOff>592669</xdr:colOff>
      <xdr:row>77</xdr:row>
      <xdr:rowOff>158760</xdr:rowOff>
    </xdr:to>
    <xdr:cxnSp macro="">
      <xdr:nvCxnSpPr>
        <xdr:cNvPr id="170" name="Conector de seta reta 169"/>
        <xdr:cNvCxnSpPr/>
      </xdr:nvCxnSpPr>
      <xdr:spPr>
        <a:xfrm flipH="1">
          <a:off x="23431501" y="14827254"/>
          <a:ext cx="2497668" cy="6"/>
        </a:xfrm>
        <a:prstGeom prst="straightConnector1">
          <a:avLst/>
        </a:prstGeom>
        <a:ln>
          <a:solidFill>
            <a:srgbClr val="88DEE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423333</xdr:colOff>
      <xdr:row>72</xdr:row>
      <xdr:rowOff>10583</xdr:rowOff>
    </xdr:from>
    <xdr:to>
      <xdr:col>36</xdr:col>
      <xdr:colOff>264584</xdr:colOff>
      <xdr:row>81</xdr:row>
      <xdr:rowOff>0</xdr:rowOff>
    </xdr:to>
    <xdr:sp macro="" textlink="">
      <xdr:nvSpPr>
        <xdr:cNvPr id="167" name="Chave direita 166"/>
        <xdr:cNvSpPr/>
      </xdr:nvSpPr>
      <xdr:spPr>
        <a:xfrm>
          <a:off x="27601333" y="13726583"/>
          <a:ext cx="455084" cy="1703917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0</xdr:colOff>
      <xdr:row>81</xdr:row>
      <xdr:rowOff>10583</xdr:rowOff>
    </xdr:from>
    <xdr:to>
      <xdr:col>36</xdr:col>
      <xdr:colOff>10586</xdr:colOff>
      <xdr:row>97</xdr:row>
      <xdr:rowOff>169333</xdr:rowOff>
    </xdr:to>
    <xdr:cxnSp macro="">
      <xdr:nvCxnSpPr>
        <xdr:cNvPr id="173" name="Conector angulado 172"/>
        <xdr:cNvCxnSpPr/>
      </xdr:nvCxnSpPr>
      <xdr:spPr>
        <a:xfrm rot="10800000" flipV="1">
          <a:off x="9704917" y="15441083"/>
          <a:ext cx="18097502" cy="3206750"/>
        </a:xfrm>
        <a:prstGeom prst="bentConnector3">
          <a:avLst>
            <a:gd name="adj1" fmla="val 5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88</xdr:row>
      <xdr:rowOff>57149</xdr:rowOff>
    </xdr:from>
    <xdr:to>
      <xdr:col>19</xdr:col>
      <xdr:colOff>513823</xdr:colOff>
      <xdr:row>97</xdr:row>
      <xdr:rowOff>31750</xdr:rowOff>
    </xdr:to>
    <xdr:cxnSp macro="">
      <xdr:nvCxnSpPr>
        <xdr:cNvPr id="178" name="Conector angulado 177"/>
        <xdr:cNvCxnSpPr>
          <a:stCxn id="218" idx="2"/>
        </xdr:cNvCxnSpPr>
      </xdr:nvCxnSpPr>
      <xdr:spPr>
        <a:xfrm rot="5400000">
          <a:off x="12043570" y="14482497"/>
          <a:ext cx="1689101" cy="6366405"/>
        </a:xfrm>
        <a:prstGeom prst="bentConnector2">
          <a:avLst/>
        </a:prstGeom>
        <a:ln>
          <a:solidFill>
            <a:srgbClr val="99003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42334</xdr:colOff>
      <xdr:row>80</xdr:row>
      <xdr:rowOff>179917</xdr:rowOff>
    </xdr:from>
    <xdr:to>
      <xdr:col>35</xdr:col>
      <xdr:colOff>539751</xdr:colOff>
      <xdr:row>87</xdr:row>
      <xdr:rowOff>84667</xdr:rowOff>
    </xdr:to>
    <xdr:cxnSp macro="">
      <xdr:nvCxnSpPr>
        <xdr:cNvPr id="180" name="Conector angulado 179"/>
        <xdr:cNvCxnSpPr/>
      </xdr:nvCxnSpPr>
      <xdr:spPr>
        <a:xfrm rot="10800000" flipV="1">
          <a:off x="18425584" y="15419917"/>
          <a:ext cx="9292167" cy="123825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10586</xdr:colOff>
      <xdr:row>79</xdr:row>
      <xdr:rowOff>21167</xdr:rowOff>
    </xdr:from>
    <xdr:to>
      <xdr:col>27</xdr:col>
      <xdr:colOff>936625</xdr:colOff>
      <xdr:row>94</xdr:row>
      <xdr:rowOff>42336</xdr:rowOff>
    </xdr:to>
    <xdr:cxnSp macro="">
      <xdr:nvCxnSpPr>
        <xdr:cNvPr id="186" name="Conector angulado 185"/>
        <xdr:cNvCxnSpPr>
          <a:stCxn id="76" idx="2"/>
        </xdr:cNvCxnSpPr>
      </xdr:nvCxnSpPr>
      <xdr:spPr>
        <a:xfrm rot="5400000">
          <a:off x="14676438" y="10109732"/>
          <a:ext cx="2878669" cy="12800539"/>
        </a:xfrm>
        <a:prstGeom prst="bentConnector2">
          <a:avLst/>
        </a:prstGeom>
        <a:ln>
          <a:solidFill>
            <a:srgbClr val="EF5BD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576416</xdr:colOff>
      <xdr:row>27</xdr:row>
      <xdr:rowOff>0</xdr:rowOff>
    </xdr:to>
    <xdr:cxnSp macro="">
      <xdr:nvCxnSpPr>
        <xdr:cNvPr id="206" name="Conector reto 205"/>
        <xdr:cNvCxnSpPr/>
      </xdr:nvCxnSpPr>
      <xdr:spPr>
        <a:xfrm flipH="1">
          <a:off x="613833" y="5143500"/>
          <a:ext cx="604800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603250</xdr:colOff>
      <xdr:row>27</xdr:row>
      <xdr:rowOff>10583</xdr:rowOff>
    </xdr:from>
    <xdr:to>
      <xdr:col>1</xdr:col>
      <xdr:colOff>0</xdr:colOff>
      <xdr:row>95</xdr:row>
      <xdr:rowOff>16583</xdr:rowOff>
    </xdr:to>
    <xdr:cxnSp macro="">
      <xdr:nvCxnSpPr>
        <xdr:cNvPr id="208" name="Conector reto 207"/>
        <xdr:cNvCxnSpPr/>
      </xdr:nvCxnSpPr>
      <xdr:spPr>
        <a:xfrm flipH="1">
          <a:off x="603250" y="5154083"/>
          <a:ext cx="10583" cy="129600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603249</xdr:colOff>
      <xdr:row>94</xdr:row>
      <xdr:rowOff>179917</xdr:rowOff>
    </xdr:from>
    <xdr:to>
      <xdr:col>8</xdr:col>
      <xdr:colOff>391582</xdr:colOff>
      <xdr:row>95</xdr:row>
      <xdr:rowOff>10583</xdr:rowOff>
    </xdr:to>
    <xdr:cxnSp macro="">
      <xdr:nvCxnSpPr>
        <xdr:cNvPr id="215" name="Conector de seta reta 214"/>
        <xdr:cNvCxnSpPr/>
      </xdr:nvCxnSpPr>
      <xdr:spPr>
        <a:xfrm flipV="1">
          <a:off x="603249" y="18086917"/>
          <a:ext cx="5873750" cy="211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402167</xdr:colOff>
      <xdr:row>10</xdr:row>
      <xdr:rowOff>79379</xdr:rowOff>
    </xdr:from>
    <xdr:to>
      <xdr:col>8</xdr:col>
      <xdr:colOff>391583</xdr:colOff>
      <xdr:row>96</xdr:row>
      <xdr:rowOff>52919</xdr:rowOff>
    </xdr:to>
    <xdr:cxnSp macro="">
      <xdr:nvCxnSpPr>
        <xdr:cNvPr id="219" name="Conector angulado 218"/>
        <xdr:cNvCxnSpPr>
          <a:stCxn id="150" idx="1"/>
        </xdr:cNvCxnSpPr>
      </xdr:nvCxnSpPr>
      <xdr:spPr>
        <a:xfrm rot="10800000" flipH="1" flipV="1">
          <a:off x="1016000" y="1984379"/>
          <a:ext cx="5461000" cy="16356540"/>
        </a:xfrm>
        <a:prstGeom prst="bentConnector4">
          <a:avLst>
            <a:gd name="adj1" fmla="val -4186"/>
            <a:gd name="adj2" fmla="val 100000"/>
          </a:avLst>
        </a:prstGeom>
        <a:ln>
          <a:solidFill>
            <a:srgbClr val="3BF58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</xdr:colOff>
      <xdr:row>98</xdr:row>
      <xdr:rowOff>21166</xdr:rowOff>
    </xdr:from>
    <xdr:to>
      <xdr:col>10</xdr:col>
      <xdr:colOff>31750</xdr:colOff>
      <xdr:row>102</xdr:row>
      <xdr:rowOff>169333</xdr:rowOff>
    </xdr:to>
    <xdr:cxnSp macro="">
      <xdr:nvCxnSpPr>
        <xdr:cNvPr id="246" name="Conector de seta reta 245"/>
        <xdr:cNvCxnSpPr/>
      </xdr:nvCxnSpPr>
      <xdr:spPr>
        <a:xfrm flipV="1">
          <a:off x="8191500" y="18690166"/>
          <a:ext cx="0" cy="9101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456846</xdr:colOff>
      <xdr:row>9</xdr:row>
      <xdr:rowOff>5</xdr:rowOff>
    </xdr:from>
    <xdr:to>
      <xdr:col>9</xdr:col>
      <xdr:colOff>381000</xdr:colOff>
      <xdr:row>46</xdr:row>
      <xdr:rowOff>34924</xdr:rowOff>
    </xdr:to>
    <xdr:cxnSp macro="">
      <xdr:nvCxnSpPr>
        <xdr:cNvPr id="249" name="Conector angulado 248"/>
        <xdr:cNvCxnSpPr>
          <a:stCxn id="150" idx="0"/>
          <a:endCxn id="100" idx="1"/>
        </xdr:cNvCxnSpPr>
      </xdr:nvCxnSpPr>
      <xdr:spPr>
        <a:xfrm rot="16200000" flipH="1">
          <a:off x="1290463" y="2108555"/>
          <a:ext cx="7083419" cy="6295320"/>
        </a:xfrm>
        <a:prstGeom prst="bentConnector4">
          <a:avLst>
            <a:gd name="adj1" fmla="val -3227"/>
            <a:gd name="adj2" fmla="val 55310"/>
          </a:avLst>
        </a:prstGeom>
        <a:ln w="19050">
          <a:solidFill>
            <a:srgbClr val="3BF582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108</xdr:row>
      <xdr:rowOff>21166</xdr:rowOff>
    </xdr:from>
    <xdr:to>
      <xdr:col>7</xdr:col>
      <xdr:colOff>42337</xdr:colOff>
      <xdr:row>112</xdr:row>
      <xdr:rowOff>21166</xdr:rowOff>
    </xdr:to>
    <xdr:sp macro="" textlink="">
      <xdr:nvSpPr>
        <xdr:cNvPr id="285" name="Retângulo 284"/>
        <xdr:cNvSpPr/>
      </xdr:nvSpPr>
      <xdr:spPr>
        <a:xfrm>
          <a:off x="3672420" y="20595166"/>
          <a:ext cx="1365250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Vendida -</a:t>
          </a:r>
          <a:r>
            <a:rPr lang="pt-BR" sz="1100" baseline="0"/>
            <a:t> Transportada Caminhão</a:t>
          </a:r>
          <a:endParaRPr lang="pt-BR" sz="1100"/>
        </a:p>
      </xdr:txBody>
    </xdr:sp>
    <xdr:clientData/>
  </xdr:twoCellAnchor>
  <xdr:twoCellAnchor>
    <xdr:from>
      <xdr:col>9</xdr:col>
      <xdr:colOff>984250</xdr:colOff>
      <xdr:row>90</xdr:row>
      <xdr:rowOff>10583</xdr:rowOff>
    </xdr:from>
    <xdr:to>
      <xdr:col>9</xdr:col>
      <xdr:colOff>985838</xdr:colOff>
      <xdr:row>92</xdr:row>
      <xdr:rowOff>180975</xdr:rowOff>
    </xdr:to>
    <xdr:cxnSp macro="">
      <xdr:nvCxnSpPr>
        <xdr:cNvPr id="290" name="Conector reto 289"/>
        <xdr:cNvCxnSpPr>
          <a:stCxn id="49" idx="0"/>
        </xdr:cNvCxnSpPr>
      </xdr:nvCxnSpPr>
      <xdr:spPr>
        <a:xfrm flipH="1" flipV="1">
          <a:off x="8117417" y="17155583"/>
          <a:ext cx="1588" cy="551392"/>
        </a:xfrm>
        <a:prstGeom prst="line">
          <a:avLst/>
        </a:prstGeom>
        <a:ln>
          <a:solidFill>
            <a:srgbClr val="833B1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603250</xdr:colOff>
      <xdr:row>89</xdr:row>
      <xdr:rowOff>179917</xdr:rowOff>
    </xdr:from>
    <xdr:to>
      <xdr:col>9</xdr:col>
      <xdr:colOff>995916</xdr:colOff>
      <xdr:row>90</xdr:row>
      <xdr:rowOff>0</xdr:rowOff>
    </xdr:to>
    <xdr:cxnSp macro="">
      <xdr:nvCxnSpPr>
        <xdr:cNvPr id="292" name="Conector reto 291"/>
        <xdr:cNvCxnSpPr/>
      </xdr:nvCxnSpPr>
      <xdr:spPr>
        <a:xfrm flipH="1" flipV="1">
          <a:off x="1217083" y="17134417"/>
          <a:ext cx="6912000" cy="10583"/>
        </a:xfrm>
        <a:prstGeom prst="line">
          <a:avLst/>
        </a:prstGeom>
        <a:ln>
          <a:solidFill>
            <a:srgbClr val="833B1B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4233</xdr:colOff>
      <xdr:row>53</xdr:row>
      <xdr:rowOff>158754</xdr:rowOff>
    </xdr:from>
    <xdr:to>
      <xdr:col>2</xdr:col>
      <xdr:colOff>10583</xdr:colOff>
      <xdr:row>89</xdr:row>
      <xdr:rowOff>176754</xdr:rowOff>
    </xdr:to>
    <xdr:cxnSp macro="">
      <xdr:nvCxnSpPr>
        <xdr:cNvPr id="294" name="Conector reto 293"/>
        <xdr:cNvCxnSpPr/>
      </xdr:nvCxnSpPr>
      <xdr:spPr>
        <a:xfrm flipH="1">
          <a:off x="1231900" y="10255254"/>
          <a:ext cx="6350" cy="6876000"/>
        </a:xfrm>
        <a:prstGeom prst="line">
          <a:avLst/>
        </a:prstGeom>
        <a:ln>
          <a:solidFill>
            <a:srgbClr val="833B1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10583</xdr:colOff>
      <xdr:row>53</xdr:row>
      <xdr:rowOff>169333</xdr:rowOff>
    </xdr:from>
    <xdr:to>
      <xdr:col>3</xdr:col>
      <xdr:colOff>131750</xdr:colOff>
      <xdr:row>53</xdr:row>
      <xdr:rowOff>169333</xdr:rowOff>
    </xdr:to>
    <xdr:cxnSp macro="">
      <xdr:nvCxnSpPr>
        <xdr:cNvPr id="297" name="Conector de seta reta 296"/>
        <xdr:cNvCxnSpPr/>
      </xdr:nvCxnSpPr>
      <xdr:spPr>
        <a:xfrm>
          <a:off x="1238250" y="10265833"/>
          <a:ext cx="1116000" cy="0"/>
        </a:xfrm>
        <a:prstGeom prst="straightConnector1">
          <a:avLst/>
        </a:prstGeom>
        <a:ln>
          <a:solidFill>
            <a:srgbClr val="833B1B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582084</xdr:colOff>
      <xdr:row>108</xdr:row>
      <xdr:rowOff>21167</xdr:rowOff>
    </xdr:from>
    <xdr:to>
      <xdr:col>4</xdr:col>
      <xdr:colOff>232834</xdr:colOff>
      <xdr:row>112</xdr:row>
      <xdr:rowOff>21167</xdr:rowOff>
    </xdr:to>
    <xdr:sp macro="" textlink="">
      <xdr:nvSpPr>
        <xdr:cNvPr id="300" name="Retângulo 299"/>
        <xdr:cNvSpPr/>
      </xdr:nvSpPr>
      <xdr:spPr>
        <a:xfrm>
          <a:off x="1809751" y="20595167"/>
          <a:ext cx="1365250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Vendida -</a:t>
          </a:r>
          <a:r>
            <a:rPr lang="pt-BR" sz="1100" baseline="0"/>
            <a:t> Transportada Caminhão</a:t>
          </a:r>
          <a:endParaRPr lang="pt-BR" sz="1100"/>
        </a:p>
      </xdr:txBody>
    </xdr:sp>
    <xdr:clientData/>
  </xdr:twoCellAnchor>
  <xdr:twoCellAnchor>
    <xdr:from>
      <xdr:col>28</xdr:col>
      <xdr:colOff>285750</xdr:colOff>
      <xdr:row>79</xdr:row>
      <xdr:rowOff>31749</xdr:rowOff>
    </xdr:from>
    <xdr:to>
      <xdr:col>28</xdr:col>
      <xdr:colOff>296334</xdr:colOff>
      <xdr:row>104</xdr:row>
      <xdr:rowOff>129249</xdr:rowOff>
    </xdr:to>
    <xdr:cxnSp macro="">
      <xdr:nvCxnSpPr>
        <xdr:cNvPr id="303" name="Conector reto 302"/>
        <xdr:cNvCxnSpPr/>
      </xdr:nvCxnSpPr>
      <xdr:spPr>
        <a:xfrm>
          <a:off x="22965833" y="15081249"/>
          <a:ext cx="10584" cy="4860000"/>
        </a:xfrm>
        <a:prstGeom prst="line">
          <a:avLst/>
        </a:prstGeom>
        <a:ln>
          <a:solidFill>
            <a:srgbClr val="EF5BD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931322</xdr:colOff>
      <xdr:row>104</xdr:row>
      <xdr:rowOff>116419</xdr:rowOff>
    </xdr:from>
    <xdr:to>
      <xdr:col>28</xdr:col>
      <xdr:colOff>286906</xdr:colOff>
      <xdr:row>104</xdr:row>
      <xdr:rowOff>127003</xdr:rowOff>
    </xdr:to>
    <xdr:cxnSp macro="">
      <xdr:nvCxnSpPr>
        <xdr:cNvPr id="305" name="Conector reto 304"/>
        <xdr:cNvCxnSpPr/>
      </xdr:nvCxnSpPr>
      <xdr:spPr>
        <a:xfrm flipH="1" flipV="1">
          <a:off x="2158989" y="19928419"/>
          <a:ext cx="20808000" cy="10584"/>
        </a:xfrm>
        <a:prstGeom prst="line">
          <a:avLst/>
        </a:prstGeom>
        <a:ln>
          <a:solidFill>
            <a:srgbClr val="EF5BD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941916</xdr:colOff>
      <xdr:row>81</xdr:row>
      <xdr:rowOff>95250</xdr:rowOff>
    </xdr:from>
    <xdr:to>
      <xdr:col>2</xdr:col>
      <xdr:colOff>941920</xdr:colOff>
      <xdr:row>104</xdr:row>
      <xdr:rowOff>116333</xdr:rowOff>
    </xdr:to>
    <xdr:cxnSp macro="">
      <xdr:nvCxnSpPr>
        <xdr:cNvPr id="308" name="Conector de seta reta 307"/>
        <xdr:cNvCxnSpPr/>
      </xdr:nvCxnSpPr>
      <xdr:spPr>
        <a:xfrm flipV="1">
          <a:off x="2169583" y="15525750"/>
          <a:ext cx="4" cy="4402583"/>
        </a:xfrm>
        <a:prstGeom prst="straightConnector1">
          <a:avLst/>
        </a:prstGeom>
        <a:ln>
          <a:solidFill>
            <a:srgbClr val="EF5BD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647700</xdr:colOff>
      <xdr:row>24</xdr:row>
      <xdr:rowOff>100012</xdr:rowOff>
    </xdr:from>
    <xdr:to>
      <xdr:col>20</xdr:col>
      <xdr:colOff>698502</xdr:colOff>
      <xdr:row>56</xdr:row>
      <xdr:rowOff>21167</xdr:rowOff>
    </xdr:to>
    <xdr:cxnSp macro="">
      <xdr:nvCxnSpPr>
        <xdr:cNvPr id="9" name="Conector angulado 8"/>
        <xdr:cNvCxnSpPr>
          <a:endCxn id="88" idx="3"/>
        </xdr:cNvCxnSpPr>
      </xdr:nvCxnSpPr>
      <xdr:spPr>
        <a:xfrm rot="16200000" flipV="1">
          <a:off x="13073856" y="5781939"/>
          <a:ext cx="6017155" cy="3797302"/>
        </a:xfrm>
        <a:prstGeom prst="bentConnector2">
          <a:avLst/>
        </a:prstGeom>
        <a:ln>
          <a:prstDash val="dashDot"/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612775</xdr:colOff>
      <xdr:row>43</xdr:row>
      <xdr:rowOff>189442</xdr:rowOff>
    </xdr:from>
    <xdr:to>
      <xdr:col>35</xdr:col>
      <xdr:colOff>603249</xdr:colOff>
      <xdr:row>46</xdr:row>
      <xdr:rowOff>181192</xdr:rowOff>
    </xdr:to>
    <xdr:sp macro="" textlink="">
      <xdr:nvSpPr>
        <xdr:cNvPr id="98" name="Retângulo 97"/>
        <xdr:cNvSpPr/>
      </xdr:nvSpPr>
      <xdr:spPr>
        <a:xfrm>
          <a:off x="26668942" y="8380942"/>
          <a:ext cx="1831974" cy="563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" panose="020B0604020202020204" pitchFamily="34" charset="0"/>
              <a:cs typeface="Arial" panose="020B0604020202020204" pitchFamily="34" charset="0"/>
            </a:rPr>
            <a:t>PÁTIO</a:t>
          </a:r>
          <a:r>
            <a:rPr lang="pt-BR" sz="900" baseline="0">
              <a:latin typeface="Arial" panose="020B0604020202020204" pitchFamily="34" charset="0"/>
              <a:cs typeface="Arial" panose="020B0604020202020204" pitchFamily="34" charset="0"/>
            </a:rPr>
            <a:t> DE EMERGÊNCIA DE COQUE - COQUERIA CONVENCIONAL</a:t>
          </a:r>
          <a:endParaRPr lang="pt-BR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27</xdr:col>
      <xdr:colOff>447675</xdr:colOff>
      <xdr:row>44</xdr:row>
      <xdr:rowOff>180979</xdr:rowOff>
    </xdr:from>
    <xdr:to>
      <xdr:col>32</xdr:col>
      <xdr:colOff>612775</xdr:colOff>
      <xdr:row>44</xdr:row>
      <xdr:rowOff>185320</xdr:rowOff>
    </xdr:to>
    <xdr:cxnSp macro="">
      <xdr:nvCxnSpPr>
        <xdr:cNvPr id="19" name="Conector de seta reta 18"/>
        <xdr:cNvCxnSpPr/>
      </xdr:nvCxnSpPr>
      <xdr:spPr>
        <a:xfrm>
          <a:off x="22746758" y="8562979"/>
          <a:ext cx="3922184" cy="4341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11</xdr:row>
      <xdr:rowOff>0</xdr:rowOff>
    </xdr:from>
    <xdr:to>
      <xdr:col>33</xdr:col>
      <xdr:colOff>604307</xdr:colOff>
      <xdr:row>13</xdr:row>
      <xdr:rowOff>182250</xdr:rowOff>
    </xdr:to>
    <xdr:sp macro="" textlink="">
      <xdr:nvSpPr>
        <xdr:cNvPr id="103" name="Retângulo 102"/>
        <xdr:cNvSpPr/>
      </xdr:nvSpPr>
      <xdr:spPr>
        <a:xfrm>
          <a:off x="25442333" y="2095500"/>
          <a:ext cx="1831974" cy="563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" panose="020B0604020202020204" pitchFamily="34" charset="0"/>
              <a:cs typeface="Arial" panose="020B0604020202020204" pitchFamily="34" charset="0"/>
            </a:rPr>
            <a:t>PÁTIO</a:t>
          </a:r>
          <a:r>
            <a:rPr lang="pt-BR" sz="900" baseline="0">
              <a:latin typeface="Arial" panose="020B0604020202020204" pitchFamily="34" charset="0"/>
              <a:cs typeface="Arial" panose="020B0604020202020204" pitchFamily="34" charset="0"/>
            </a:rPr>
            <a:t> DE EMERGÊNCIA DE COQUE - SINTERIZAÇÃO</a:t>
          </a:r>
          <a:endParaRPr lang="pt-BR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243416</xdr:colOff>
      <xdr:row>13</xdr:row>
      <xdr:rowOff>10583</xdr:rowOff>
    </xdr:from>
    <xdr:to>
      <xdr:col>30</xdr:col>
      <xdr:colOff>632666</xdr:colOff>
      <xdr:row>13</xdr:row>
      <xdr:rowOff>10584</xdr:rowOff>
    </xdr:to>
    <xdr:cxnSp macro="">
      <xdr:nvCxnSpPr>
        <xdr:cNvPr id="24" name="Conector de seta reta 23"/>
        <xdr:cNvCxnSpPr/>
      </xdr:nvCxnSpPr>
      <xdr:spPr>
        <a:xfrm>
          <a:off x="21314833" y="2487083"/>
          <a:ext cx="41040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1079500</xdr:colOff>
      <xdr:row>47</xdr:row>
      <xdr:rowOff>76201</xdr:rowOff>
    </xdr:from>
    <xdr:to>
      <xdr:col>25</xdr:col>
      <xdr:colOff>252941</xdr:colOff>
      <xdr:row>51</xdr:row>
      <xdr:rowOff>10583</xdr:rowOff>
    </xdr:to>
    <xdr:cxnSp macro="">
      <xdr:nvCxnSpPr>
        <xdr:cNvPr id="31" name="Conector angulado 30"/>
        <xdr:cNvCxnSpPr>
          <a:stCxn id="101" idx="2"/>
        </xdr:cNvCxnSpPr>
      </xdr:nvCxnSpPr>
      <xdr:spPr>
        <a:xfrm rot="5400000">
          <a:off x="13584238" y="1985963"/>
          <a:ext cx="696382" cy="14783858"/>
        </a:xfrm>
        <a:prstGeom prst="bentConnector2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433917</xdr:colOff>
      <xdr:row>28</xdr:row>
      <xdr:rowOff>179916</xdr:rowOff>
    </xdr:from>
    <xdr:to>
      <xdr:col>8</xdr:col>
      <xdr:colOff>539750</xdr:colOff>
      <xdr:row>29</xdr:row>
      <xdr:rowOff>0</xdr:rowOff>
    </xdr:to>
    <xdr:cxnSp macro="">
      <xdr:nvCxnSpPr>
        <xdr:cNvPr id="5" name="Conector de seta reta 4"/>
        <xdr:cNvCxnSpPr/>
      </xdr:nvCxnSpPr>
      <xdr:spPr>
        <a:xfrm>
          <a:off x="5175250" y="5513916"/>
          <a:ext cx="1915583" cy="10584"/>
        </a:xfrm>
        <a:prstGeom prst="straightConnector1">
          <a:avLst/>
        </a:prstGeom>
        <a:ln w="19050">
          <a:solidFill>
            <a:srgbClr val="3BF582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539461</xdr:colOff>
      <xdr:row>272</xdr:row>
      <xdr:rowOff>156296</xdr:rowOff>
    </xdr:from>
    <xdr:ext cx="3222914" cy="66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377786" y="52353296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0,0016</m:t>
                            </m:r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2,2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1,4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377786" y="52353296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𝑘(0,0016)  (𝑈/2,2)^1,3/(𝑀/2)^1,4 )</a:t>
              </a:r>
              <a:r>
                <a:rPr lang="pt-BR" sz="1100" b="0" i="0">
                  <a:latin typeface="Cambria Math" panose="02040503050406030204" pitchFamily="18" charset="0"/>
                </a:rPr>
                <a:t>. 𝑄 . (1−𝐸𝑅/100)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284</xdr:row>
      <xdr:rowOff>90487</xdr:rowOff>
    </xdr:from>
    <xdr:ext cx="1609725" cy="320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438400" y="17997487"/>
              <a:ext cx="1609725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𝐸𝑅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438400" y="17997487"/>
              <a:ext cx="1609725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𝑇𝐸=𝐴 . 𝐸𝐹 . (1−𝐸𝑅/100). 𝑄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es\Vale\PRJ1301096-Estudo%20QAr%20RGV\Invent&#225;rio\Memorial%20de%20C&#225;lculo\Coqueria%20Heat%20Recovery_OK\Memorial_Coqueria%20Heat%20Recov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Transferências"/>
      <sheetName val="FE-Maq e Equip"/>
      <sheetName val="FE-Vias"/>
      <sheetName val="Controles"/>
      <sheetName val="Dados"/>
      <sheetName val="Rotas - Transf"/>
      <sheetName val="Infos COV"/>
      <sheetName val="Monitoramento-Isocinético"/>
      <sheetName val="Monitoramento-Contínuo"/>
      <sheetName val="Vento"/>
      <sheetName val="Emissão Chaminés"/>
      <sheetName val="Emissões Fugitivas"/>
      <sheetName val="Emissão Transferências"/>
      <sheetName val="Emissão Máq-Equip"/>
      <sheetName val="Emissão Vias-Escap"/>
      <sheetName val="Emissão Vias-Ressusp"/>
      <sheetName val="Resumo-Vias"/>
      <sheetName val="Emissão Pilhas"/>
      <sheetName val="Resumo-Emissões"/>
    </sheetNames>
    <sheetDataSet>
      <sheetData sheetId="0"/>
      <sheetData sheetId="1"/>
      <sheetData sheetId="2"/>
      <sheetData sheetId="3"/>
      <sheetData sheetId="4"/>
      <sheetData sheetId="5">
        <row r="36">
          <cell r="H36">
            <v>8.85</v>
          </cell>
        </row>
        <row r="58">
          <cell r="B58">
            <v>12.83</v>
          </cell>
        </row>
        <row r="59">
          <cell r="B59">
            <v>10.68</v>
          </cell>
        </row>
      </sheetData>
      <sheetData sheetId="6"/>
      <sheetData sheetId="7"/>
      <sheetData sheetId="8"/>
      <sheetData sheetId="9"/>
      <sheetData sheetId="10">
        <row r="8650">
          <cell r="B8650">
            <v>4.1937865160171146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iaspub.epa.gov/sor_internet/registry/substreg/substance/details.do?displayPopup=&amp;id=83723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3" sqref="F23"/>
    </sheetView>
  </sheetViews>
  <sheetFormatPr defaultRowHeight="15" x14ac:dyDescent="0.25"/>
  <cols>
    <col min="1" max="1" width="25" customWidth="1"/>
    <col min="2" max="2" width="13.7109375" customWidth="1"/>
    <col min="3" max="3" width="14.5703125" customWidth="1"/>
    <col min="4" max="4" width="10.7109375" customWidth="1"/>
    <col min="5" max="5" width="13.140625" customWidth="1"/>
    <col min="6" max="6" width="10.7109375" customWidth="1"/>
    <col min="7" max="7" width="13.85546875" customWidth="1"/>
  </cols>
  <sheetData>
    <row r="1" spans="1:7" x14ac:dyDescent="0.25">
      <c r="A1" s="9" t="s">
        <v>432</v>
      </c>
    </row>
    <row r="2" spans="1:7" ht="27" customHeight="1" x14ac:dyDescent="0.25">
      <c r="A2" s="190" t="s">
        <v>257</v>
      </c>
      <c r="B2" s="191"/>
      <c r="C2" s="191"/>
      <c r="D2" s="191"/>
      <c r="E2" s="191"/>
    </row>
    <row r="3" spans="1:7" x14ac:dyDescent="0.25">
      <c r="A3" s="192" t="s">
        <v>258</v>
      </c>
      <c r="B3" s="192" t="s">
        <v>258</v>
      </c>
      <c r="C3" s="194" t="s">
        <v>259</v>
      </c>
      <c r="D3" s="195" t="s">
        <v>260</v>
      </c>
      <c r="E3" s="192" t="s">
        <v>248</v>
      </c>
    </row>
    <row r="4" spans="1:7" x14ac:dyDescent="0.25">
      <c r="A4" s="193"/>
      <c r="B4" s="193"/>
      <c r="C4" s="190"/>
      <c r="D4" s="191"/>
      <c r="E4" s="193"/>
    </row>
    <row r="5" spans="1:7" ht="15" customHeight="1" x14ac:dyDescent="0.25">
      <c r="A5" s="98" t="s">
        <v>261</v>
      </c>
      <c r="B5" s="99" t="s">
        <v>262</v>
      </c>
      <c r="C5" s="99">
        <v>5.5E-2</v>
      </c>
      <c r="D5" s="99">
        <v>0.11</v>
      </c>
      <c r="E5" s="99" t="s">
        <v>263</v>
      </c>
    </row>
    <row r="6" spans="1:7" x14ac:dyDescent="0.25">
      <c r="A6" s="98" t="s">
        <v>264</v>
      </c>
      <c r="B6" s="99" t="s">
        <v>262</v>
      </c>
      <c r="C6" s="99">
        <v>2.7E-2</v>
      </c>
      <c r="D6" s="99">
        <v>5.3999999999999999E-2</v>
      </c>
      <c r="E6" s="99" t="s">
        <v>252</v>
      </c>
    </row>
    <row r="7" spans="1:7" ht="22.5" x14ac:dyDescent="0.25">
      <c r="A7" s="98" t="s">
        <v>265</v>
      </c>
      <c r="B7" s="99" t="s">
        <v>266</v>
      </c>
      <c r="C7" s="99">
        <v>8.9999999999999998E-4</v>
      </c>
      <c r="D7" s="99">
        <v>1.8000000000000001E-4</v>
      </c>
      <c r="E7" s="99" t="s">
        <v>252</v>
      </c>
    </row>
    <row r="8" spans="1:7" ht="22.5" x14ac:dyDescent="0.25">
      <c r="A8" s="98" t="s">
        <v>267</v>
      </c>
      <c r="B8" s="99" t="s">
        <v>266</v>
      </c>
      <c r="C8" s="99">
        <v>4.3999999999999999E-5</v>
      </c>
      <c r="D8" s="99">
        <v>8.7000000000000001E-5</v>
      </c>
      <c r="E8" s="99" t="s">
        <v>252</v>
      </c>
    </row>
    <row r="9" spans="1:7" x14ac:dyDescent="0.25">
      <c r="A9" s="98" t="s">
        <v>268</v>
      </c>
      <c r="B9" s="99" t="s">
        <v>262</v>
      </c>
      <c r="C9" s="99">
        <v>3.0000000000000001E-3</v>
      </c>
      <c r="D9" s="99">
        <v>6.0000000000000001E-3</v>
      </c>
      <c r="E9" s="99" t="s">
        <v>263</v>
      </c>
    </row>
    <row r="10" spans="1:7" ht="15" customHeight="1" x14ac:dyDescent="0.25">
      <c r="A10" s="161" t="s">
        <v>269</v>
      </c>
      <c r="B10" s="124" t="s">
        <v>262</v>
      </c>
      <c r="C10" s="124">
        <v>1.0999999999999999E-2</v>
      </c>
      <c r="D10" s="99">
        <v>2.1999999999999999E-2</v>
      </c>
      <c r="E10" s="124" t="s">
        <v>252</v>
      </c>
    </row>
    <row r="13" spans="1:7" x14ac:dyDescent="0.25">
      <c r="A13" s="9" t="s">
        <v>245</v>
      </c>
      <c r="B13" s="88"/>
      <c r="C13" s="88"/>
      <c r="D13" s="88"/>
      <c r="E13" s="88"/>
      <c r="F13" s="88"/>
      <c r="G13" s="88"/>
    </row>
    <row r="14" spans="1:7" x14ac:dyDescent="0.25">
      <c r="A14" s="190" t="s">
        <v>246</v>
      </c>
      <c r="B14" s="191"/>
      <c r="C14" s="191"/>
      <c r="D14" s="191"/>
      <c r="E14" s="191"/>
      <c r="F14" s="191"/>
      <c r="G14" s="191"/>
    </row>
    <row r="15" spans="1:7" ht="22.5" x14ac:dyDescent="0.25">
      <c r="A15" s="95" t="s">
        <v>247</v>
      </c>
      <c r="B15" s="95" t="s">
        <v>139</v>
      </c>
      <c r="C15" s="95" t="s">
        <v>248</v>
      </c>
      <c r="D15" s="95" t="s">
        <v>249</v>
      </c>
      <c r="E15" s="95" t="s">
        <v>248</v>
      </c>
      <c r="F15" s="95" t="s">
        <v>250</v>
      </c>
      <c r="G15" s="95" t="s">
        <v>248</v>
      </c>
    </row>
    <row r="16" spans="1:7" x14ac:dyDescent="0.25">
      <c r="A16" s="96" t="s">
        <v>251</v>
      </c>
      <c r="B16" s="97">
        <v>2.7000000000000001E-3</v>
      </c>
      <c r="C16" s="32" t="s">
        <v>252</v>
      </c>
      <c r="D16" s="97">
        <v>1.1999999999999999E-3</v>
      </c>
      <c r="E16" s="32" t="s">
        <v>253</v>
      </c>
      <c r="F16" s="32" t="s">
        <v>200</v>
      </c>
      <c r="G16" s="32" t="s">
        <v>200</v>
      </c>
    </row>
    <row r="17" spans="1:7" x14ac:dyDescent="0.25">
      <c r="A17" s="96" t="s">
        <v>254</v>
      </c>
      <c r="B17" s="97">
        <v>5.9999999999999995E-4</v>
      </c>
      <c r="C17" s="32" t="s">
        <v>252</v>
      </c>
      <c r="D17" s="97">
        <v>2.7E-4</v>
      </c>
      <c r="E17" s="32" t="s">
        <v>253</v>
      </c>
      <c r="F17" s="97">
        <v>5.0000000000000002E-5</v>
      </c>
      <c r="G17" s="32" t="s">
        <v>252</v>
      </c>
    </row>
    <row r="18" spans="1:7" x14ac:dyDescent="0.25">
      <c r="A18" s="96" t="s">
        <v>255</v>
      </c>
      <c r="B18" s="97">
        <v>1.2500000000000001E-2</v>
      </c>
      <c r="C18" s="97" t="s">
        <v>252</v>
      </c>
      <c r="D18" s="97">
        <v>4.3E-3</v>
      </c>
      <c r="E18" s="97" t="s">
        <v>253</v>
      </c>
      <c r="F18" s="32" t="s">
        <v>200</v>
      </c>
      <c r="G18" s="32" t="s">
        <v>200</v>
      </c>
    </row>
    <row r="19" spans="1:7" x14ac:dyDescent="0.25">
      <c r="A19" s="9" t="s">
        <v>256</v>
      </c>
      <c r="B19" s="32">
        <v>1.1000000000000001E-3</v>
      </c>
      <c r="C19" s="32" t="s">
        <v>252</v>
      </c>
      <c r="D19" s="32">
        <v>3.6999999999999999E-4</v>
      </c>
      <c r="E19" s="32" t="s">
        <v>253</v>
      </c>
      <c r="F19" s="32">
        <v>2.5000000000000001E-5</v>
      </c>
      <c r="G19" s="32" t="s">
        <v>252</v>
      </c>
    </row>
  </sheetData>
  <sheetProtection algorithmName="SHA-512" hashValue="rKorcWpudM2dHrKKhmpWsau5eukgVsGv1IFH+6MLK4QdslEze7ltTWvTIl7L6yELOu6VHl2merMhSz+a2rfJwQ==" saltValue="+Me7wJzaig5z64MF+btYJA==" spinCount="100000" sheet="1" objects="1" scenarios="1"/>
  <mergeCells count="7">
    <mergeCell ref="A2:E2"/>
    <mergeCell ref="A14:G14"/>
    <mergeCell ref="A3:A4"/>
    <mergeCell ref="B3:B4"/>
    <mergeCell ref="C3:C4"/>
    <mergeCell ref="D3:D4"/>
    <mergeCell ref="E3:E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H18" sqref="H18"/>
    </sheetView>
  </sheetViews>
  <sheetFormatPr defaultRowHeight="15" x14ac:dyDescent="0.25"/>
  <cols>
    <col min="1" max="1" width="30" customWidth="1"/>
    <col min="2" max="2" width="15.28515625" customWidth="1"/>
    <col min="3" max="15" width="10.7109375" customWidth="1"/>
  </cols>
  <sheetData>
    <row r="1" spans="1:19" s="9" customFormat="1" ht="15" customHeight="1" x14ac:dyDescent="0.25">
      <c r="A1" s="1" t="s">
        <v>146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9" s="9" customFormat="1" ht="15" customHeight="1" x14ac:dyDescent="0.25">
      <c r="A2" s="250" t="s">
        <v>129</v>
      </c>
      <c r="B2" s="247" t="s">
        <v>133</v>
      </c>
      <c r="C2" s="249" t="s">
        <v>134</v>
      </c>
      <c r="D2" s="249" t="s">
        <v>135</v>
      </c>
      <c r="E2" s="249" t="s">
        <v>136</v>
      </c>
      <c r="F2" s="278" t="s">
        <v>137</v>
      </c>
      <c r="G2" s="279"/>
      <c r="H2" s="279"/>
      <c r="I2" s="279"/>
      <c r="J2" s="279"/>
      <c r="K2" s="279"/>
      <c r="L2" s="280"/>
      <c r="M2" s="278" t="s">
        <v>138</v>
      </c>
      <c r="N2" s="279"/>
      <c r="O2" s="279"/>
      <c r="P2" s="279"/>
      <c r="Q2" s="279"/>
      <c r="R2" s="279"/>
      <c r="S2" s="279"/>
    </row>
    <row r="3" spans="1:19" s="9" customFormat="1" ht="15" customHeight="1" x14ac:dyDescent="0.25">
      <c r="A3" s="255"/>
      <c r="B3" s="248"/>
      <c r="C3" s="249"/>
      <c r="D3" s="249"/>
      <c r="E3" s="249"/>
      <c r="F3" s="131" t="s">
        <v>139</v>
      </c>
      <c r="G3" s="131" t="s">
        <v>140</v>
      </c>
      <c r="H3" s="131" t="s">
        <v>141</v>
      </c>
      <c r="I3" s="131" t="s">
        <v>529</v>
      </c>
      <c r="J3" s="131" t="s">
        <v>530</v>
      </c>
      <c r="K3" s="131" t="s">
        <v>526</v>
      </c>
      <c r="L3" s="131" t="s">
        <v>531</v>
      </c>
      <c r="M3" s="131" t="s">
        <v>139</v>
      </c>
      <c r="N3" s="131" t="s">
        <v>140</v>
      </c>
      <c r="O3" s="131" t="s">
        <v>141</v>
      </c>
      <c r="P3" s="131" t="s">
        <v>529</v>
      </c>
      <c r="Q3" s="131" t="s">
        <v>530</v>
      </c>
      <c r="R3" s="131" t="s">
        <v>526</v>
      </c>
      <c r="S3" s="131" t="s">
        <v>531</v>
      </c>
    </row>
    <row r="4" spans="1:19" x14ac:dyDescent="0.25">
      <c r="A4" s="9" t="s">
        <v>602</v>
      </c>
      <c r="B4" s="135">
        <f>Dados!H3/(365*24)</f>
        <v>236.3709280821918</v>
      </c>
      <c r="C4" s="136">
        <v>-20.25282</v>
      </c>
      <c r="D4" s="136">
        <v>-40.231079000000001</v>
      </c>
      <c r="E4" s="129">
        <v>10</v>
      </c>
      <c r="F4" s="129">
        <f>'FE-Difusas'!B35</f>
        <v>5.2999999999999998E-4</v>
      </c>
      <c r="G4" s="78">
        <f>('FE-Difusas'!I27/100)*F4</f>
        <v>2.5916999999999997E-4</v>
      </c>
      <c r="H4" s="78">
        <f>('FE-Difusas'!K27/100)*Fugitivas!F4</f>
        <v>2.0723000000000001E-4</v>
      </c>
      <c r="I4" s="138" t="s">
        <v>191</v>
      </c>
      <c r="J4" s="138" t="s">
        <v>191</v>
      </c>
      <c r="K4" s="138" t="s">
        <v>191</v>
      </c>
      <c r="L4" s="78">
        <f>'FE-Difusas'!D35</f>
        <v>5.5000000000000003E-4</v>
      </c>
      <c r="M4" s="128">
        <f>B4*F4</f>
        <v>0.12527659188356166</v>
      </c>
      <c r="N4" s="128">
        <f>B4*G4</f>
        <v>6.1260253431061638E-2</v>
      </c>
      <c r="O4" s="128">
        <f>B4*H4</f>
        <v>4.8983147426472605E-2</v>
      </c>
      <c r="P4" s="138" t="s">
        <v>191</v>
      </c>
      <c r="Q4" s="138" t="s">
        <v>191</v>
      </c>
      <c r="R4" s="138" t="s">
        <v>191</v>
      </c>
      <c r="S4" s="128">
        <f>B4*L4</f>
        <v>0.13000401044520549</v>
      </c>
    </row>
    <row r="5" spans="1:19" x14ac:dyDescent="0.25">
      <c r="A5" s="178" t="s">
        <v>620</v>
      </c>
      <c r="B5" s="135">
        <f>Dados!H3/(365*24)</f>
        <v>236.3709280821918</v>
      </c>
      <c r="C5" s="136">
        <v>-20.252482000000001</v>
      </c>
      <c r="D5" s="136">
        <v>-40.231563999999999</v>
      </c>
      <c r="E5" s="129">
        <v>10</v>
      </c>
      <c r="F5" s="129">
        <f>'FE-Difusas'!B39+'FE-Difusas'!B43+'FE-Difusas'!B47</f>
        <v>8.2760000000000004E-3</v>
      </c>
      <c r="G5" s="78">
        <f>F5*0.5</f>
        <v>4.1380000000000002E-3</v>
      </c>
      <c r="H5" s="78">
        <f>F5*0.4</f>
        <v>3.3104000000000002E-3</v>
      </c>
      <c r="I5" s="137">
        <f>'FE-Difusas'!I20</f>
        <v>6.9999999999999999E-4</v>
      </c>
      <c r="J5" s="137">
        <f>'FE-Difusas'!H20</f>
        <v>0.02</v>
      </c>
      <c r="K5" s="137">
        <f>'FE-Difusas'!K20</f>
        <v>1.0999999999999999E-2</v>
      </c>
      <c r="L5" s="78">
        <f>'FE-Difusas'!D39+'FE-Difusas'!D43+'FE-Difusas'!D47</f>
        <v>1.6046800000000003E-2</v>
      </c>
      <c r="M5" s="128">
        <f>B5*F5</f>
        <v>1.9562058008082195</v>
      </c>
      <c r="N5" s="128">
        <f>B5*G5</f>
        <v>0.97810290040410974</v>
      </c>
      <c r="O5" s="128">
        <f>B5*H5</f>
        <v>0.78248232032328779</v>
      </c>
      <c r="P5" s="128">
        <f>B5*I5</f>
        <v>0.16545964965753426</v>
      </c>
      <c r="Q5" s="128">
        <f>B5*J5</f>
        <v>4.7274185616438364</v>
      </c>
      <c r="R5" s="128">
        <f>K5*B5</f>
        <v>2.6000802089041097</v>
      </c>
      <c r="S5" s="128">
        <f>L5*B5</f>
        <v>3.7929970087493161</v>
      </c>
    </row>
    <row r="6" spans="1:19" x14ac:dyDescent="0.25">
      <c r="A6" s="178" t="s">
        <v>656</v>
      </c>
      <c r="B6" s="135">
        <f>Dados!B4/(365*24)</f>
        <v>164.33116780821919</v>
      </c>
      <c r="C6" s="136">
        <v>-20.252015</v>
      </c>
      <c r="D6" s="136">
        <v>-40.230384999999998</v>
      </c>
      <c r="E6" s="181">
        <v>10</v>
      </c>
      <c r="F6" s="138" t="s">
        <v>191</v>
      </c>
      <c r="G6" s="138" t="s">
        <v>191</v>
      </c>
      <c r="H6" s="138" t="s">
        <v>191</v>
      </c>
      <c r="I6" s="138" t="s">
        <v>191</v>
      </c>
      <c r="J6" s="138" t="s">
        <v>191</v>
      </c>
      <c r="K6" s="138" t="s">
        <v>191</v>
      </c>
      <c r="L6" s="78">
        <f>'FE-Difusas'!B54+'FE-Difusas'!B56+'FE-Difusas'!B60+'FE-Difusas'!B63+'FE-Difusas'!B73+'FE-Difusas'!B75</f>
        <v>0.6110000000000001</v>
      </c>
      <c r="M6" s="138" t="s">
        <v>191</v>
      </c>
      <c r="N6" s="138" t="s">
        <v>191</v>
      </c>
      <c r="O6" s="138" t="s">
        <v>191</v>
      </c>
      <c r="P6" s="138" t="s">
        <v>191</v>
      </c>
      <c r="Q6" s="138" t="s">
        <v>191</v>
      </c>
      <c r="R6" s="138" t="s">
        <v>191</v>
      </c>
      <c r="S6" s="182">
        <f>L6*B6</f>
        <v>100.40634353082194</v>
      </c>
    </row>
    <row r="7" spans="1:19" x14ac:dyDescent="0.25">
      <c r="A7" s="261" t="s">
        <v>142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43">
        <f>SUM(M4:M6)</f>
        <v>2.0814823926917811</v>
      </c>
      <c r="N7" s="43">
        <f>SUM(N4:N6)</f>
        <v>1.0393631538351713</v>
      </c>
      <c r="O7" s="43">
        <f t="shared" ref="O7:S7" si="0">SUM(O4:O6)</f>
        <v>0.83146546774976038</v>
      </c>
      <c r="P7" s="43">
        <f t="shared" si="0"/>
        <v>0.16545964965753426</v>
      </c>
      <c r="Q7" s="43">
        <f t="shared" si="0"/>
        <v>4.7274185616438364</v>
      </c>
      <c r="R7" s="43">
        <f t="shared" si="0"/>
        <v>2.6000802089041097</v>
      </c>
      <c r="S7" s="43">
        <f t="shared" si="0"/>
        <v>104.32934455001646</v>
      </c>
    </row>
    <row r="8" spans="1:19" x14ac:dyDescent="0.25">
      <c r="A8" s="160" t="s">
        <v>599</v>
      </c>
    </row>
    <row r="9" spans="1:19" x14ac:dyDescent="0.25">
      <c r="A9" s="160" t="s">
        <v>600</v>
      </c>
    </row>
    <row r="10" spans="1:19" x14ac:dyDescent="0.25">
      <c r="A10" s="160" t="s">
        <v>609</v>
      </c>
      <c r="M10" s="189"/>
    </row>
    <row r="11" spans="1:19" x14ac:dyDescent="0.25">
      <c r="A11" s="179" t="s">
        <v>621</v>
      </c>
      <c r="M11" s="189"/>
    </row>
    <row r="12" spans="1:19" x14ac:dyDescent="0.25">
      <c r="A12" s="160"/>
    </row>
    <row r="13" spans="1:19" x14ac:dyDescent="0.25">
      <c r="I13" s="277"/>
      <c r="J13" s="277"/>
    </row>
    <row r="18" spans="5:10" x14ac:dyDescent="0.25">
      <c r="J18" s="84"/>
    </row>
    <row r="19" spans="5:10" x14ac:dyDescent="0.25">
      <c r="J19" s="84"/>
    </row>
    <row r="20" spans="5:10" x14ac:dyDescent="0.25">
      <c r="J20" s="84"/>
    </row>
    <row r="23" spans="5:10" x14ac:dyDescent="0.25">
      <c r="E23" s="188"/>
      <c r="F23" s="188"/>
      <c r="G23" s="188"/>
    </row>
    <row r="24" spans="5:10" x14ac:dyDescent="0.25">
      <c r="E24" s="188"/>
      <c r="F24" s="188"/>
      <c r="G24" s="188"/>
    </row>
    <row r="47" spans="5:7" x14ac:dyDescent="0.25">
      <c r="E47" s="166"/>
      <c r="F47" s="166"/>
      <c r="G47" s="166"/>
    </row>
  </sheetData>
  <sheetProtection algorithmName="SHA-512" hashValue="ZG9i5/1VEJsupEgGV88K5ZpBfZsf8u4ZYpZKthzI13a4mGK14jY3WgrHTAAW7twOzOfnnHjlgcloVY8WmV7aPA==" saltValue="pY6KoFhV9a5WTbcge6u+gw==" spinCount="100000" sheet="1" objects="1" scenarios="1"/>
  <mergeCells count="9">
    <mergeCell ref="I13:J13"/>
    <mergeCell ref="F2:L2"/>
    <mergeCell ref="M2:S2"/>
    <mergeCell ref="A7:L7"/>
    <mergeCell ref="B2:B3"/>
    <mergeCell ref="C2:C3"/>
    <mergeCell ref="D2:D3"/>
    <mergeCell ref="E2:E3"/>
    <mergeCell ref="A2:A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workbookViewId="0">
      <selection activeCell="G14" sqref="G14:G15"/>
    </sheetView>
  </sheetViews>
  <sheetFormatPr defaultRowHeight="15" x14ac:dyDescent="0.25"/>
  <cols>
    <col min="1" max="1" width="14.42578125" customWidth="1"/>
    <col min="7" max="7" width="26.42578125" bestFit="1" customWidth="1"/>
    <col min="8" max="8" width="23" customWidth="1"/>
  </cols>
  <sheetData>
    <row r="1" spans="1:12" x14ac:dyDescent="0.25">
      <c r="A1" s="9" t="s">
        <v>431</v>
      </c>
    </row>
    <row r="2" spans="1:12" x14ac:dyDescent="0.25">
      <c r="A2" s="196" t="s">
        <v>164</v>
      </c>
      <c r="B2" s="197"/>
      <c r="C2" s="197"/>
      <c r="D2" s="197"/>
      <c r="E2" s="198"/>
      <c r="G2" s="196" t="s">
        <v>165</v>
      </c>
      <c r="H2" s="197"/>
      <c r="I2" s="197"/>
      <c r="J2" s="197"/>
      <c r="K2" s="197"/>
      <c r="L2" s="198"/>
    </row>
    <row r="3" spans="1:12" x14ac:dyDescent="0.25">
      <c r="A3" s="79" t="s">
        <v>166</v>
      </c>
      <c r="B3" s="79" t="s">
        <v>167</v>
      </c>
      <c r="C3" s="79" t="s">
        <v>168</v>
      </c>
      <c r="D3" s="79" t="s">
        <v>169</v>
      </c>
      <c r="E3" s="79" t="s">
        <v>170</v>
      </c>
      <c r="G3" s="204" t="s">
        <v>171</v>
      </c>
      <c r="H3" s="204" t="s">
        <v>40</v>
      </c>
      <c r="I3" s="199" t="s">
        <v>172</v>
      </c>
      <c r="J3" s="199"/>
      <c r="K3" s="199" t="s">
        <v>173</v>
      </c>
      <c r="L3" s="199"/>
    </row>
    <row r="4" spans="1:12" x14ac:dyDescent="0.25">
      <c r="A4" s="80">
        <v>0.74</v>
      </c>
      <c r="B4" s="81">
        <v>0.48</v>
      </c>
      <c r="C4" s="80">
        <v>0.35</v>
      </c>
      <c r="D4" s="81">
        <v>0.2</v>
      </c>
      <c r="E4" s="80">
        <v>5.2999999999999999E-2</v>
      </c>
      <c r="G4" s="204"/>
      <c r="H4" s="204"/>
      <c r="I4" s="139" t="s">
        <v>174</v>
      </c>
      <c r="J4" s="139" t="s">
        <v>175</v>
      </c>
      <c r="K4" s="139" t="s">
        <v>174</v>
      </c>
      <c r="L4" s="139" t="s">
        <v>175</v>
      </c>
    </row>
    <row r="5" spans="1:12" x14ac:dyDescent="0.25">
      <c r="G5" s="200" t="s">
        <v>176</v>
      </c>
      <c r="H5" s="82" t="s">
        <v>177</v>
      </c>
      <c r="I5" s="83" t="s">
        <v>178</v>
      </c>
      <c r="J5" s="83">
        <v>4.3</v>
      </c>
      <c r="K5" s="83" t="s">
        <v>179</v>
      </c>
      <c r="L5" s="83">
        <v>2.2000000000000002</v>
      </c>
    </row>
    <row r="6" spans="1:12" ht="15" customHeight="1" x14ac:dyDescent="0.25">
      <c r="A6" s="201" t="s">
        <v>143</v>
      </c>
      <c r="B6" s="202"/>
      <c r="C6" s="202"/>
      <c r="D6" s="202"/>
      <c r="E6" s="202"/>
      <c r="G6" s="200"/>
      <c r="H6" s="82" t="s">
        <v>180</v>
      </c>
      <c r="I6" s="83" t="s">
        <v>181</v>
      </c>
      <c r="J6" s="83">
        <v>9.5</v>
      </c>
      <c r="K6" s="83" t="s">
        <v>182</v>
      </c>
      <c r="L6" s="83">
        <v>5.4</v>
      </c>
    </row>
    <row r="7" spans="1:12" x14ac:dyDescent="0.25">
      <c r="A7" s="201"/>
      <c r="B7" s="202"/>
      <c r="C7" s="202"/>
      <c r="D7" s="202"/>
      <c r="E7" s="202"/>
      <c r="G7" s="200"/>
      <c r="H7" s="82" t="s">
        <v>183</v>
      </c>
      <c r="I7" s="83" t="s">
        <v>184</v>
      </c>
      <c r="J7" s="83">
        <v>4.5999999999999996</v>
      </c>
      <c r="K7" s="83" t="s">
        <v>185</v>
      </c>
      <c r="L7" s="83">
        <v>4.8</v>
      </c>
    </row>
    <row r="8" spans="1:12" x14ac:dyDescent="0.25">
      <c r="A8" s="201"/>
      <c r="B8" s="202"/>
      <c r="C8" s="202"/>
      <c r="D8" s="202"/>
      <c r="E8" s="202"/>
      <c r="G8" s="200"/>
      <c r="H8" s="82" t="s">
        <v>186</v>
      </c>
      <c r="I8" s="83" t="s">
        <v>187</v>
      </c>
      <c r="J8" s="83">
        <v>5.3</v>
      </c>
      <c r="K8" s="83" t="s">
        <v>188</v>
      </c>
      <c r="L8" s="83">
        <v>0.92</v>
      </c>
    </row>
    <row r="9" spans="1:12" ht="15" customHeight="1" x14ac:dyDescent="0.25">
      <c r="A9" s="201"/>
      <c r="B9" s="202"/>
      <c r="C9" s="202"/>
      <c r="D9" s="202"/>
      <c r="E9" s="202"/>
      <c r="G9" s="200"/>
      <c r="H9" s="82" t="s">
        <v>189</v>
      </c>
      <c r="I9" s="83" t="s">
        <v>190</v>
      </c>
      <c r="J9" s="83">
        <v>13</v>
      </c>
      <c r="K9" s="83" t="s">
        <v>191</v>
      </c>
      <c r="L9" s="83">
        <v>7</v>
      </c>
    </row>
    <row r="10" spans="1:12" x14ac:dyDescent="0.25">
      <c r="A10" s="201"/>
      <c r="B10" s="202"/>
      <c r="C10" s="202"/>
      <c r="D10" s="202"/>
      <c r="E10" s="202"/>
      <c r="G10" s="200"/>
      <c r="H10" s="82" t="s">
        <v>192</v>
      </c>
      <c r="I10" s="83" t="s">
        <v>193</v>
      </c>
      <c r="J10" s="83">
        <v>4.9000000000000004</v>
      </c>
      <c r="K10" s="83" t="s">
        <v>194</v>
      </c>
      <c r="L10" s="83">
        <v>7.8</v>
      </c>
    </row>
    <row r="11" spans="1:12" ht="15" customHeight="1" x14ac:dyDescent="0.25">
      <c r="A11" s="201"/>
      <c r="B11" s="203" t="s">
        <v>195</v>
      </c>
      <c r="C11" s="203"/>
      <c r="D11" s="203"/>
      <c r="E11" s="203"/>
      <c r="G11" s="200"/>
      <c r="H11" s="115" t="s">
        <v>196</v>
      </c>
      <c r="I11" s="83" t="s">
        <v>191</v>
      </c>
      <c r="J11" s="83">
        <v>15</v>
      </c>
      <c r="K11" s="83" t="s">
        <v>191</v>
      </c>
      <c r="L11" s="116">
        <v>6.6</v>
      </c>
    </row>
    <row r="12" spans="1:12" x14ac:dyDescent="0.25">
      <c r="A12" s="201"/>
      <c r="B12" s="203"/>
      <c r="C12" s="203"/>
      <c r="D12" s="203"/>
      <c r="E12" s="203"/>
      <c r="G12" s="200"/>
      <c r="H12" s="82" t="s">
        <v>197</v>
      </c>
      <c r="I12" s="83" t="s">
        <v>191</v>
      </c>
      <c r="J12" s="83">
        <v>0.7</v>
      </c>
      <c r="K12" s="83" t="s">
        <v>191</v>
      </c>
      <c r="L12" s="83" t="s">
        <v>191</v>
      </c>
    </row>
    <row r="13" spans="1:12" x14ac:dyDescent="0.25">
      <c r="A13" s="201"/>
      <c r="B13" s="203"/>
      <c r="C13" s="203"/>
      <c r="D13" s="203"/>
      <c r="E13" s="203"/>
      <c r="G13" s="200"/>
      <c r="H13" s="82" t="s">
        <v>198</v>
      </c>
      <c r="I13" s="83" t="s">
        <v>199</v>
      </c>
      <c r="J13" s="83">
        <v>1</v>
      </c>
      <c r="K13" s="83" t="s">
        <v>200</v>
      </c>
      <c r="L13" s="83">
        <v>0.2</v>
      </c>
    </row>
    <row r="14" spans="1:12" x14ac:dyDescent="0.25">
      <c r="A14" s="201"/>
      <c r="B14" s="203"/>
      <c r="C14" s="203"/>
      <c r="D14" s="203"/>
      <c r="E14" s="203"/>
      <c r="G14" s="200" t="s">
        <v>201</v>
      </c>
      <c r="H14" s="82" t="s">
        <v>202</v>
      </c>
      <c r="I14" s="83" t="s">
        <v>203</v>
      </c>
      <c r="J14" s="83">
        <v>1.6</v>
      </c>
      <c r="K14" s="83" t="s">
        <v>204</v>
      </c>
      <c r="L14" s="83">
        <v>0.7</v>
      </c>
    </row>
    <row r="15" spans="1:12" x14ac:dyDescent="0.25">
      <c r="A15" s="201"/>
      <c r="B15" s="203"/>
      <c r="C15" s="203"/>
      <c r="D15" s="203"/>
      <c r="E15" s="203"/>
      <c r="G15" s="200"/>
      <c r="H15" s="115" t="s">
        <v>205</v>
      </c>
      <c r="I15" s="83" t="s">
        <v>206</v>
      </c>
      <c r="J15" s="83">
        <v>3.9</v>
      </c>
      <c r="K15" s="83" t="s">
        <v>207</v>
      </c>
      <c r="L15" s="116">
        <v>2.1</v>
      </c>
    </row>
    <row r="16" spans="1:12" x14ac:dyDescent="0.25">
      <c r="A16" s="9"/>
      <c r="G16" s="200" t="s">
        <v>208</v>
      </c>
      <c r="H16" s="82" t="s">
        <v>209</v>
      </c>
      <c r="I16" s="83" t="s">
        <v>210</v>
      </c>
      <c r="J16" s="83">
        <v>3.4</v>
      </c>
      <c r="K16" s="83" t="s">
        <v>211</v>
      </c>
      <c r="L16" s="83">
        <v>0.9</v>
      </c>
    </row>
    <row r="17" spans="4:12" x14ac:dyDescent="0.25">
      <c r="G17" s="200"/>
      <c r="H17" s="82" t="s">
        <v>212</v>
      </c>
      <c r="I17" s="83" t="s">
        <v>200</v>
      </c>
      <c r="J17" s="83">
        <v>11</v>
      </c>
      <c r="K17" s="83" t="s">
        <v>191</v>
      </c>
      <c r="L17" s="83">
        <v>0.4</v>
      </c>
    </row>
    <row r="18" spans="4:12" x14ac:dyDescent="0.25">
      <c r="G18" s="200" t="s">
        <v>213</v>
      </c>
      <c r="H18" s="82" t="s">
        <v>183</v>
      </c>
      <c r="I18" s="83" t="s">
        <v>214</v>
      </c>
      <c r="J18" s="83">
        <v>6.2</v>
      </c>
      <c r="K18" s="83" t="s">
        <v>215</v>
      </c>
      <c r="L18" s="83">
        <v>6.9</v>
      </c>
    </row>
    <row r="19" spans="4:12" x14ac:dyDescent="0.25">
      <c r="D19" s="84"/>
      <c r="G19" s="200"/>
      <c r="H19" s="82" t="s">
        <v>216</v>
      </c>
      <c r="I19" s="83" t="s">
        <v>217</v>
      </c>
      <c r="J19" s="83">
        <v>7.5</v>
      </c>
      <c r="K19" s="83" t="s">
        <v>191</v>
      </c>
      <c r="L19" s="83" t="s">
        <v>191</v>
      </c>
    </row>
    <row r="20" spans="4:12" x14ac:dyDescent="0.25">
      <c r="D20" s="84"/>
      <c r="G20" s="200"/>
      <c r="H20" s="82" t="s">
        <v>218</v>
      </c>
      <c r="I20" s="83" t="s">
        <v>219</v>
      </c>
      <c r="J20" s="83">
        <v>15</v>
      </c>
      <c r="K20" s="83" t="s">
        <v>220</v>
      </c>
      <c r="L20" s="83">
        <v>3.4</v>
      </c>
    </row>
    <row r="21" spans="4:12" x14ac:dyDescent="0.25">
      <c r="G21" s="82" t="s">
        <v>221</v>
      </c>
      <c r="H21" s="82" t="s">
        <v>222</v>
      </c>
      <c r="I21" s="83" t="s">
        <v>223</v>
      </c>
      <c r="J21" s="83">
        <v>2.2000000000000002</v>
      </c>
      <c r="K21" s="83" t="s">
        <v>224</v>
      </c>
      <c r="L21" s="83">
        <v>4.5</v>
      </c>
    </row>
    <row r="22" spans="4:12" x14ac:dyDescent="0.25">
      <c r="G22" s="200" t="s">
        <v>225</v>
      </c>
      <c r="H22" s="82" t="s">
        <v>226</v>
      </c>
      <c r="I22" s="83" t="s">
        <v>191</v>
      </c>
      <c r="J22" s="83">
        <v>2.6</v>
      </c>
      <c r="K22" s="83" t="s">
        <v>191</v>
      </c>
      <c r="L22" s="83">
        <v>7.4</v>
      </c>
    </row>
    <row r="23" spans="4:12" x14ac:dyDescent="0.25">
      <c r="G23" s="200"/>
      <c r="H23" s="82" t="s">
        <v>186</v>
      </c>
      <c r="I23" s="83" t="s">
        <v>227</v>
      </c>
      <c r="J23" s="83">
        <v>3.8</v>
      </c>
      <c r="K23" s="83" t="s">
        <v>228</v>
      </c>
      <c r="L23" s="83">
        <v>3.6</v>
      </c>
    </row>
    <row r="24" spans="4:12" x14ac:dyDescent="0.25">
      <c r="G24" s="200"/>
      <c r="H24" s="82" t="s">
        <v>229</v>
      </c>
      <c r="I24" s="83" t="s">
        <v>230</v>
      </c>
      <c r="J24" s="83">
        <v>9</v>
      </c>
      <c r="K24" s="83" t="s">
        <v>231</v>
      </c>
      <c r="L24" s="83">
        <v>12</v>
      </c>
    </row>
    <row r="25" spans="4:12" x14ac:dyDescent="0.25">
      <c r="G25" s="200"/>
      <c r="H25" s="82" t="s">
        <v>232</v>
      </c>
      <c r="I25" s="83" t="s">
        <v>191</v>
      </c>
      <c r="J25" s="83">
        <v>9.1999999999999993</v>
      </c>
      <c r="K25" s="83" t="s">
        <v>191</v>
      </c>
      <c r="L25" s="83">
        <v>14</v>
      </c>
    </row>
    <row r="26" spans="4:12" x14ac:dyDescent="0.25">
      <c r="G26" s="200"/>
      <c r="H26" s="82" t="s">
        <v>233</v>
      </c>
      <c r="I26" s="83" t="s">
        <v>234</v>
      </c>
      <c r="J26" s="83">
        <v>6</v>
      </c>
      <c r="K26" s="83" t="s">
        <v>235</v>
      </c>
      <c r="L26" s="83">
        <v>10</v>
      </c>
    </row>
    <row r="27" spans="4:12" x14ac:dyDescent="0.25">
      <c r="G27" s="200"/>
      <c r="H27" s="82" t="s">
        <v>236</v>
      </c>
      <c r="I27" s="83" t="s">
        <v>237</v>
      </c>
      <c r="J27" s="83">
        <v>80</v>
      </c>
      <c r="K27" s="83" t="s">
        <v>238</v>
      </c>
      <c r="L27" s="83">
        <v>27</v>
      </c>
    </row>
    <row r="28" spans="4:12" x14ac:dyDescent="0.25">
      <c r="G28" s="200"/>
      <c r="H28" s="82" t="s">
        <v>239</v>
      </c>
      <c r="I28" s="83" t="s">
        <v>191</v>
      </c>
      <c r="J28" s="83">
        <v>12</v>
      </c>
      <c r="K28" s="83" t="s">
        <v>191</v>
      </c>
      <c r="L28" s="83">
        <v>11</v>
      </c>
    </row>
    <row r="35" spans="8:8" x14ac:dyDescent="0.25">
      <c r="H35" s="87"/>
    </row>
  </sheetData>
  <sheetProtection algorithmName="SHA-512" hashValue="U2pbVsfONZn0QHTrKXVak8+ROFWGTfCBijMijZwpWoyopvbzg27Cx9K/tBkfKGC2iRq3YnKO7Wsl2tvIRAfaTQ==" saltValue="D3S2YPPUTRv1/qFnErLRDQ==" spinCount="100000" sheet="1" objects="1" scenarios="1"/>
  <mergeCells count="14">
    <mergeCell ref="G16:G17"/>
    <mergeCell ref="G18:G20"/>
    <mergeCell ref="G22:G28"/>
    <mergeCell ref="G3:G4"/>
    <mergeCell ref="H3:H4"/>
    <mergeCell ref="A2:E2"/>
    <mergeCell ref="G2:L2"/>
    <mergeCell ref="I3:J3"/>
    <mergeCell ref="K3:L3"/>
    <mergeCell ref="G5:G13"/>
    <mergeCell ref="A6:A15"/>
    <mergeCell ref="B6:E10"/>
    <mergeCell ref="B11:E15"/>
    <mergeCell ref="G14:G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2" sqref="E22"/>
    </sheetView>
  </sheetViews>
  <sheetFormatPr defaultRowHeight="15" customHeight="1" x14ac:dyDescent="0.25"/>
  <cols>
    <col min="1" max="1" width="18.85546875" customWidth="1"/>
    <col min="2" max="2" width="15" customWidth="1"/>
    <col min="3" max="3" width="16.5703125" customWidth="1"/>
    <col min="4" max="4" width="14.28515625" customWidth="1"/>
    <col min="5" max="5" width="19.7109375" customWidth="1"/>
    <col min="6" max="6" width="14.5703125" customWidth="1"/>
    <col min="7" max="7" width="14.140625" customWidth="1"/>
    <col min="8" max="8" width="13.28515625" customWidth="1"/>
  </cols>
  <sheetData>
    <row r="1" spans="1:8" ht="15" customHeight="1" x14ac:dyDescent="0.25">
      <c r="A1" s="9" t="s">
        <v>453</v>
      </c>
    </row>
    <row r="2" spans="1:8" ht="15" customHeight="1" x14ac:dyDescent="0.25">
      <c r="A2" s="190" t="s">
        <v>454</v>
      </c>
      <c r="B2" s="191"/>
      <c r="C2" s="191"/>
      <c r="D2" s="191"/>
      <c r="E2" s="191"/>
      <c r="F2" s="191"/>
    </row>
    <row r="3" spans="1:8" ht="33.75" x14ac:dyDescent="0.25">
      <c r="A3" s="140" t="s">
        <v>433</v>
      </c>
      <c r="B3" s="140" t="s">
        <v>434</v>
      </c>
      <c r="C3" s="140" t="s">
        <v>435</v>
      </c>
      <c r="D3" s="140" t="s">
        <v>436</v>
      </c>
      <c r="E3" s="140" t="s">
        <v>437</v>
      </c>
      <c r="F3" s="140" t="s">
        <v>452</v>
      </c>
    </row>
    <row r="4" spans="1:8" ht="15" customHeight="1" x14ac:dyDescent="0.25">
      <c r="A4" s="118" t="s">
        <v>438</v>
      </c>
      <c r="B4" s="118" t="s">
        <v>439</v>
      </c>
      <c r="C4" s="118" t="s">
        <v>440</v>
      </c>
      <c r="D4" s="119"/>
      <c r="E4" s="99">
        <v>1</v>
      </c>
      <c r="F4" s="99" t="s">
        <v>191</v>
      </c>
    </row>
    <row r="5" spans="1:8" ht="22.5" x14ac:dyDescent="0.25">
      <c r="A5" s="118" t="s">
        <v>441</v>
      </c>
      <c r="B5" s="118" t="s">
        <v>439</v>
      </c>
      <c r="C5" s="118" t="s">
        <v>442</v>
      </c>
      <c r="D5" s="119" t="s">
        <v>443</v>
      </c>
      <c r="E5" s="99">
        <v>1</v>
      </c>
      <c r="F5" s="99">
        <v>0.1</v>
      </c>
    </row>
    <row r="6" spans="1:8" ht="15" customHeight="1" x14ac:dyDescent="0.25">
      <c r="A6" s="118" t="s">
        <v>444</v>
      </c>
      <c r="B6" s="118" t="s">
        <v>445</v>
      </c>
      <c r="C6" s="118" t="s">
        <v>440</v>
      </c>
      <c r="D6" s="119"/>
      <c r="E6" s="99">
        <v>0.1</v>
      </c>
      <c r="F6" s="99" t="s">
        <v>191</v>
      </c>
    </row>
    <row r="7" spans="1:8" ht="33.75" x14ac:dyDescent="0.25">
      <c r="A7" s="123" t="s">
        <v>446</v>
      </c>
      <c r="B7" s="118" t="s">
        <v>445</v>
      </c>
      <c r="C7" s="118" t="s">
        <v>442</v>
      </c>
      <c r="D7" s="119" t="s">
        <v>447</v>
      </c>
      <c r="E7" s="124">
        <v>0.1</v>
      </c>
      <c r="F7" s="99">
        <v>0.01</v>
      </c>
    </row>
    <row r="8" spans="1:8" ht="15" customHeight="1" x14ac:dyDescent="0.25">
      <c r="A8" s="123" t="s">
        <v>448</v>
      </c>
      <c r="B8" s="118" t="s">
        <v>449</v>
      </c>
      <c r="C8" s="118" t="s">
        <v>440</v>
      </c>
      <c r="D8" s="119"/>
      <c r="E8" s="124">
        <v>0.01</v>
      </c>
      <c r="F8" s="99" t="s">
        <v>191</v>
      </c>
    </row>
    <row r="9" spans="1:8" ht="15" customHeight="1" x14ac:dyDescent="0.25">
      <c r="A9" s="9" t="s">
        <v>450</v>
      </c>
      <c r="B9" s="9"/>
      <c r="C9" s="9"/>
      <c r="D9" s="98"/>
      <c r="E9" s="98"/>
    </row>
    <row r="12" spans="1:8" ht="15" customHeight="1" x14ac:dyDescent="0.25">
      <c r="A12" s="9" t="s">
        <v>468</v>
      </c>
    </row>
    <row r="13" spans="1:8" ht="24" customHeight="1" x14ac:dyDescent="0.25">
      <c r="A13" s="190" t="s">
        <v>455</v>
      </c>
      <c r="B13" s="191"/>
      <c r="C13" s="191"/>
      <c r="D13" s="191"/>
      <c r="E13" s="191"/>
      <c r="F13" s="191"/>
      <c r="G13" s="191"/>
      <c r="H13" s="191"/>
    </row>
    <row r="14" spans="1:8" ht="24" customHeight="1" x14ac:dyDescent="0.25">
      <c r="A14" s="206" t="s">
        <v>456</v>
      </c>
      <c r="B14" s="208" t="s">
        <v>462</v>
      </c>
      <c r="C14" s="209"/>
      <c r="D14" s="209"/>
      <c r="E14" s="209"/>
      <c r="F14" s="209"/>
      <c r="G14" s="192" t="s">
        <v>463</v>
      </c>
      <c r="H14" s="192" t="s">
        <v>248</v>
      </c>
    </row>
    <row r="15" spans="1:8" x14ac:dyDescent="0.25">
      <c r="A15" s="207"/>
      <c r="B15" s="140" t="s">
        <v>457</v>
      </c>
      <c r="C15" s="140" t="s">
        <v>458</v>
      </c>
      <c r="D15" s="140" t="s">
        <v>459</v>
      </c>
      <c r="E15" s="140" t="s">
        <v>460</v>
      </c>
      <c r="F15" s="140" t="s">
        <v>461</v>
      </c>
      <c r="G15" s="193"/>
      <c r="H15" s="193"/>
    </row>
    <row r="16" spans="1:8" ht="22.5" customHeight="1" x14ac:dyDescent="0.25">
      <c r="A16" s="205" t="s">
        <v>464</v>
      </c>
      <c r="B16" s="205"/>
      <c r="C16" s="205"/>
      <c r="D16" s="205"/>
      <c r="E16" s="205"/>
      <c r="F16" s="205"/>
      <c r="G16" s="205"/>
      <c r="H16" s="205"/>
    </row>
    <row r="17" spans="1:8" x14ac:dyDescent="0.25">
      <c r="A17" s="120" t="s">
        <v>465</v>
      </c>
      <c r="B17" s="110">
        <v>13</v>
      </c>
      <c r="C17" s="110">
        <v>8.5</v>
      </c>
      <c r="D17" s="99">
        <v>6.5</v>
      </c>
      <c r="E17" s="99">
        <v>4</v>
      </c>
      <c r="F17" s="99">
        <v>2.2999999999999998</v>
      </c>
      <c r="G17" s="117" t="s">
        <v>467</v>
      </c>
      <c r="H17" s="117" t="s">
        <v>253</v>
      </c>
    </row>
    <row r="18" spans="1:8" ht="15" customHeight="1" x14ac:dyDescent="0.25">
      <c r="A18" s="121" t="s">
        <v>466</v>
      </c>
      <c r="B18" s="117">
        <v>4.4000000000000004</v>
      </c>
      <c r="C18" s="117">
        <v>2.9</v>
      </c>
      <c r="D18" s="122">
        <v>2.2000000000000002</v>
      </c>
      <c r="E18" s="117">
        <v>1.4</v>
      </c>
      <c r="F18" s="122">
        <v>0.8</v>
      </c>
      <c r="G18" s="117" t="s">
        <v>467</v>
      </c>
      <c r="H18" s="117" t="s">
        <v>253</v>
      </c>
    </row>
  </sheetData>
  <sheetProtection algorithmName="SHA-512" hashValue="zalAdTshVyW5qrLqzrExGzGReaATwou9lKQt1/RIUuYn2Vi42Iz2L+GLY98MnlfcplD5pT8DmYne/c4zPBI36Q==" saltValue="SMrO4MMg9YnhexOydruVmg==" spinCount="100000" sheet="1" objects="1" scenarios="1"/>
  <mergeCells count="7">
    <mergeCell ref="A13:H13"/>
    <mergeCell ref="A16:H16"/>
    <mergeCell ref="A2:F2"/>
    <mergeCell ref="A14:A15"/>
    <mergeCell ref="B14:F14"/>
    <mergeCell ref="G14:G15"/>
    <mergeCell ref="H14:H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25" workbookViewId="0">
      <selection activeCell="D46" sqref="D46"/>
    </sheetView>
  </sheetViews>
  <sheetFormatPr defaultRowHeight="15" x14ac:dyDescent="0.25"/>
  <cols>
    <col min="1" max="1" width="36.7109375" customWidth="1"/>
    <col min="2" max="2" width="17.28515625" bestFit="1" customWidth="1"/>
    <col min="3" max="4" width="15.7109375" customWidth="1"/>
    <col min="5" max="5" width="25.28515625" customWidth="1"/>
    <col min="6" max="6" width="11.28515625" customWidth="1"/>
    <col min="7" max="7" width="31" customWidth="1"/>
    <col min="8" max="8" width="27.28515625" customWidth="1"/>
    <col min="9" max="9" width="11.85546875" customWidth="1"/>
    <col min="10" max="10" width="11.28515625" customWidth="1"/>
    <col min="11" max="11" width="10.7109375" customWidth="1"/>
  </cols>
  <sheetData>
    <row r="1" spans="1:11" x14ac:dyDescent="0.25">
      <c r="A1" s="9" t="s">
        <v>498</v>
      </c>
      <c r="G1" s="9" t="s">
        <v>513</v>
      </c>
    </row>
    <row r="2" spans="1:11" ht="24.75" customHeight="1" x14ac:dyDescent="0.25">
      <c r="A2" s="190" t="s">
        <v>504</v>
      </c>
      <c r="B2" s="191"/>
      <c r="C2" s="191"/>
      <c r="D2" s="191"/>
      <c r="G2" s="190" t="s">
        <v>521</v>
      </c>
      <c r="H2" s="191"/>
    </row>
    <row r="3" spans="1:11" ht="15" customHeight="1" x14ac:dyDescent="0.25">
      <c r="A3" s="206" t="s">
        <v>247</v>
      </c>
      <c r="B3" s="192" t="s">
        <v>463</v>
      </c>
      <c r="C3" s="192" t="s">
        <v>499</v>
      </c>
      <c r="D3" s="192" t="s">
        <v>248</v>
      </c>
      <c r="G3" s="206" t="s">
        <v>247</v>
      </c>
      <c r="H3" s="125" t="s">
        <v>514</v>
      </c>
    </row>
    <row r="4" spans="1:11" x14ac:dyDescent="0.25">
      <c r="A4" s="207"/>
      <c r="B4" s="193"/>
      <c r="C4" s="193"/>
      <c r="D4" s="193"/>
      <c r="G4" s="207"/>
      <c r="H4" s="126" t="s">
        <v>515</v>
      </c>
    </row>
    <row r="5" spans="1:11" x14ac:dyDescent="0.25">
      <c r="A5" s="205" t="s">
        <v>500</v>
      </c>
      <c r="B5" s="205"/>
      <c r="C5" s="205"/>
      <c r="D5" s="205"/>
      <c r="G5" s="210" t="s">
        <v>546</v>
      </c>
      <c r="H5" s="210"/>
    </row>
    <row r="6" spans="1:11" x14ac:dyDescent="0.25">
      <c r="A6" s="118" t="s">
        <v>501</v>
      </c>
      <c r="B6" s="129" t="s">
        <v>503</v>
      </c>
      <c r="C6" s="129">
        <v>9.5000000000000001E-2</v>
      </c>
      <c r="D6" s="129" t="s">
        <v>502</v>
      </c>
      <c r="G6" s="9" t="s">
        <v>517</v>
      </c>
      <c r="H6" s="129">
        <v>0.6</v>
      </c>
    </row>
    <row r="7" spans="1:11" x14ac:dyDescent="0.25">
      <c r="A7" s="121"/>
      <c r="B7" s="117"/>
      <c r="C7" s="117"/>
      <c r="D7" s="117"/>
      <c r="G7" s="9" t="s">
        <v>520</v>
      </c>
      <c r="H7" s="129">
        <v>7.0000000000000001E-3</v>
      </c>
    </row>
    <row r="8" spans="1:11" x14ac:dyDescent="0.25">
      <c r="F8" s="9"/>
      <c r="G8" s="9" t="s">
        <v>518</v>
      </c>
      <c r="H8" s="129">
        <v>5.7999999999999996E-3</v>
      </c>
    </row>
    <row r="9" spans="1:11" ht="15" customHeight="1" x14ac:dyDescent="0.25">
      <c r="A9" s="213" t="s">
        <v>505</v>
      </c>
      <c r="B9" s="214"/>
      <c r="C9" s="214"/>
      <c r="D9" s="214"/>
      <c r="E9" s="214"/>
      <c r="F9" s="9"/>
      <c r="G9" s="96" t="s">
        <v>519</v>
      </c>
      <c r="H9" s="97">
        <v>5.2999999999999998E-4</v>
      </c>
    </row>
    <row r="10" spans="1:11" ht="15" customHeight="1" x14ac:dyDescent="0.25">
      <c r="A10" s="206" t="s">
        <v>247</v>
      </c>
      <c r="B10" s="192" t="s">
        <v>248</v>
      </c>
      <c r="C10" s="192" t="s">
        <v>507</v>
      </c>
      <c r="D10" s="192" t="s">
        <v>508</v>
      </c>
      <c r="E10" s="141" t="s">
        <v>509</v>
      </c>
      <c r="F10" s="9"/>
      <c r="G10" s="210" t="s">
        <v>516</v>
      </c>
      <c r="H10" s="210"/>
    </row>
    <row r="11" spans="1:11" x14ac:dyDescent="0.25">
      <c r="A11" s="207"/>
      <c r="B11" s="193"/>
      <c r="C11" s="193"/>
      <c r="D11" s="193"/>
      <c r="E11" s="126" t="s">
        <v>510</v>
      </c>
      <c r="F11" s="9"/>
      <c r="G11" s="88" t="s">
        <v>517</v>
      </c>
      <c r="H11" s="129">
        <v>0.26</v>
      </c>
    </row>
    <row r="12" spans="1:11" ht="15" customHeight="1" x14ac:dyDescent="0.25">
      <c r="A12" s="210" t="s">
        <v>506</v>
      </c>
      <c r="B12" s="210"/>
      <c r="C12" s="210"/>
      <c r="D12" s="210"/>
      <c r="E12" s="210"/>
      <c r="F12" s="9"/>
      <c r="G12" s="88" t="s">
        <v>518</v>
      </c>
      <c r="H12" s="129">
        <v>0.02</v>
      </c>
    </row>
    <row r="13" spans="1:11" x14ac:dyDescent="0.25">
      <c r="A13" s="217" t="s">
        <v>511</v>
      </c>
      <c r="B13" s="216" t="s">
        <v>253</v>
      </c>
      <c r="C13" s="129">
        <v>0.5</v>
      </c>
      <c r="D13" s="129">
        <v>4</v>
      </c>
      <c r="E13" s="129">
        <v>0.01</v>
      </c>
      <c r="F13" s="129"/>
      <c r="G13" s="147" t="s">
        <v>519</v>
      </c>
      <c r="H13" s="97">
        <v>7.9000000000000008E-3</v>
      </c>
    </row>
    <row r="14" spans="1:11" x14ac:dyDescent="0.25">
      <c r="A14" s="217"/>
      <c r="B14" s="216"/>
      <c r="C14" s="129">
        <v>1</v>
      </c>
      <c r="D14" s="129">
        <v>15</v>
      </c>
      <c r="E14" s="129">
        <v>0.05</v>
      </c>
      <c r="F14" s="117"/>
      <c r="G14" s="215" t="s">
        <v>522</v>
      </c>
      <c r="H14" s="215"/>
    </row>
    <row r="15" spans="1:11" x14ac:dyDescent="0.25">
      <c r="A15" s="217"/>
      <c r="B15" s="216"/>
      <c r="C15" s="97">
        <v>2.5</v>
      </c>
      <c r="D15" s="97">
        <v>23</v>
      </c>
      <c r="E15" s="129">
        <v>7.0000000000000007E-2</v>
      </c>
      <c r="F15" s="117"/>
    </row>
    <row r="16" spans="1:11" ht="23.25" customHeight="1" x14ac:dyDescent="0.25">
      <c r="A16" s="217"/>
      <c r="B16" s="216"/>
      <c r="C16" s="129">
        <v>5</v>
      </c>
      <c r="D16" s="129">
        <v>35</v>
      </c>
      <c r="E16" s="129">
        <v>0.11</v>
      </c>
      <c r="F16" s="117"/>
      <c r="G16" s="213" t="s">
        <v>527</v>
      </c>
      <c r="H16" s="214"/>
      <c r="I16" s="214"/>
      <c r="J16" s="214"/>
      <c r="K16" s="214"/>
    </row>
    <row r="17" spans="1:14" x14ac:dyDescent="0.25">
      <c r="A17" s="217"/>
      <c r="B17" s="216"/>
      <c r="C17" s="97">
        <v>10</v>
      </c>
      <c r="D17" s="97">
        <v>51</v>
      </c>
      <c r="E17" s="129">
        <v>0.15</v>
      </c>
      <c r="F17" s="117"/>
      <c r="G17" s="144" t="s">
        <v>247</v>
      </c>
      <c r="H17" s="125" t="s">
        <v>523</v>
      </c>
      <c r="I17" s="125" t="s">
        <v>524</v>
      </c>
      <c r="J17" s="125" t="s">
        <v>525</v>
      </c>
      <c r="K17" s="142" t="s">
        <v>526</v>
      </c>
    </row>
    <row r="18" spans="1:14" ht="15" customHeight="1" x14ac:dyDescent="0.25">
      <c r="A18" s="217"/>
      <c r="B18" s="216"/>
      <c r="C18" s="129">
        <v>15</v>
      </c>
      <c r="D18" s="129">
        <v>61</v>
      </c>
      <c r="E18" s="129">
        <v>0.18</v>
      </c>
      <c r="F18" s="117"/>
      <c r="G18" s="145"/>
      <c r="H18" s="126" t="s">
        <v>515</v>
      </c>
      <c r="I18" s="126" t="s">
        <v>515</v>
      </c>
      <c r="J18" s="126" t="s">
        <v>515</v>
      </c>
      <c r="K18" s="126" t="s">
        <v>515</v>
      </c>
    </row>
    <row r="19" spans="1:14" ht="15" customHeight="1" x14ac:dyDescent="0.25">
      <c r="A19" s="217"/>
      <c r="B19" s="216"/>
      <c r="C19" s="129" t="s">
        <v>191</v>
      </c>
      <c r="D19" s="129">
        <v>100</v>
      </c>
      <c r="E19" s="129">
        <v>0.3</v>
      </c>
      <c r="F19" s="117"/>
      <c r="G19" s="210" t="s">
        <v>516</v>
      </c>
      <c r="H19" s="210"/>
      <c r="I19" s="210"/>
      <c r="J19" s="210"/>
      <c r="K19" s="210"/>
    </row>
    <row r="20" spans="1:14" x14ac:dyDescent="0.25">
      <c r="A20" s="210" t="s">
        <v>512</v>
      </c>
      <c r="B20" s="216" t="s">
        <v>253</v>
      </c>
      <c r="C20" s="129">
        <v>0.5</v>
      </c>
      <c r="D20" s="129">
        <v>7</v>
      </c>
      <c r="E20" s="129">
        <v>0.04</v>
      </c>
      <c r="G20" s="96" t="s">
        <v>528</v>
      </c>
      <c r="H20" s="97">
        <v>0.02</v>
      </c>
      <c r="I20" s="97">
        <v>6.9999999999999999E-4</v>
      </c>
      <c r="J20" s="97">
        <v>2.8E-3</v>
      </c>
      <c r="K20" s="97">
        <v>1.0999999999999999E-2</v>
      </c>
    </row>
    <row r="21" spans="1:14" x14ac:dyDescent="0.25">
      <c r="A21" s="210"/>
      <c r="B21" s="216"/>
      <c r="C21" s="129">
        <v>1</v>
      </c>
      <c r="D21" s="129">
        <v>9</v>
      </c>
      <c r="E21" s="129">
        <v>0.06</v>
      </c>
    </row>
    <row r="22" spans="1:14" ht="22.5" customHeight="1" x14ac:dyDescent="0.25">
      <c r="A22" s="210"/>
      <c r="B22" s="216"/>
      <c r="C22" s="129">
        <v>2.5</v>
      </c>
      <c r="D22" s="129">
        <v>15</v>
      </c>
      <c r="E22" s="129">
        <v>0.1</v>
      </c>
      <c r="G22" s="190" t="s">
        <v>532</v>
      </c>
      <c r="H22" s="191"/>
      <c r="I22" s="191"/>
      <c r="J22" s="191"/>
      <c r="K22" s="191"/>
      <c r="L22" s="191"/>
      <c r="M22" s="191"/>
      <c r="N22" s="191"/>
    </row>
    <row r="23" spans="1:14" ht="22.5" customHeight="1" x14ac:dyDescent="0.25">
      <c r="A23" s="210"/>
      <c r="B23" s="216"/>
      <c r="C23" s="129">
        <v>5</v>
      </c>
      <c r="D23" s="129">
        <v>20</v>
      </c>
      <c r="E23" s="129">
        <v>0.13</v>
      </c>
      <c r="G23" s="125" t="s">
        <v>247</v>
      </c>
      <c r="H23" s="208" t="s">
        <v>533</v>
      </c>
      <c r="I23" s="209"/>
      <c r="J23" s="209"/>
      <c r="K23" s="209"/>
      <c r="L23" s="209"/>
      <c r="M23" s="209"/>
      <c r="N23" s="209"/>
    </row>
    <row r="24" spans="1:14" x14ac:dyDescent="0.25">
      <c r="A24" s="210"/>
      <c r="B24" s="216"/>
      <c r="C24" s="129">
        <v>10</v>
      </c>
      <c r="D24" s="129">
        <v>24</v>
      </c>
      <c r="E24" s="129">
        <v>0.16</v>
      </c>
      <c r="G24" s="126"/>
      <c r="H24" s="140">
        <v>15</v>
      </c>
      <c r="I24" s="140">
        <v>10</v>
      </c>
      <c r="J24" s="140">
        <v>5</v>
      </c>
      <c r="K24" s="140">
        <v>2.5</v>
      </c>
      <c r="L24" s="140">
        <v>2</v>
      </c>
      <c r="M24" s="140">
        <v>1</v>
      </c>
      <c r="N24" s="140">
        <v>0.5</v>
      </c>
    </row>
    <row r="25" spans="1:14" x14ac:dyDescent="0.25">
      <c r="A25" s="210"/>
      <c r="B25" s="216"/>
      <c r="C25" s="129">
        <v>15</v>
      </c>
      <c r="D25" s="129">
        <v>26</v>
      </c>
      <c r="E25" s="129">
        <v>0.17</v>
      </c>
      <c r="G25" s="127" t="s">
        <v>534</v>
      </c>
      <c r="H25" s="99">
        <v>99.9</v>
      </c>
      <c r="I25" s="99">
        <v>97.5</v>
      </c>
      <c r="J25" s="99">
        <v>79.5</v>
      </c>
      <c r="K25" s="129">
        <v>59.5</v>
      </c>
      <c r="L25" s="99">
        <v>55</v>
      </c>
      <c r="M25" s="99">
        <v>48.5</v>
      </c>
      <c r="N25" s="99">
        <v>44</v>
      </c>
    </row>
    <row r="26" spans="1:14" x14ac:dyDescent="0.25">
      <c r="A26" s="210"/>
      <c r="B26" s="216"/>
      <c r="C26" s="129" t="s">
        <v>191</v>
      </c>
      <c r="D26" s="129">
        <v>100</v>
      </c>
      <c r="E26" s="129">
        <v>0.65</v>
      </c>
      <c r="G26" s="127" t="s">
        <v>535</v>
      </c>
      <c r="H26" s="99">
        <v>96.5</v>
      </c>
      <c r="I26" s="99">
        <v>94</v>
      </c>
      <c r="J26" s="99">
        <v>88</v>
      </c>
      <c r="K26" s="129">
        <v>84</v>
      </c>
      <c r="L26" s="99">
        <v>83</v>
      </c>
      <c r="M26" s="99">
        <v>80</v>
      </c>
      <c r="N26" s="99">
        <v>78</v>
      </c>
    </row>
    <row r="27" spans="1:14" x14ac:dyDescent="0.25">
      <c r="G27" s="143" t="s">
        <v>536</v>
      </c>
      <c r="H27" s="99">
        <v>49</v>
      </c>
      <c r="I27" s="124">
        <v>48.9</v>
      </c>
      <c r="J27" s="99">
        <v>45.8</v>
      </c>
      <c r="K27" s="97">
        <v>39.1</v>
      </c>
      <c r="L27" s="99">
        <v>33.6</v>
      </c>
      <c r="M27" s="99">
        <v>25.2</v>
      </c>
      <c r="N27" s="99">
        <v>13.5</v>
      </c>
    </row>
    <row r="28" spans="1:14" ht="34.5" customHeight="1" x14ac:dyDescent="0.25">
      <c r="A28" s="190" t="s">
        <v>618</v>
      </c>
      <c r="B28" s="191"/>
      <c r="C28" s="191"/>
      <c r="D28" s="191"/>
      <c r="E28" s="93"/>
      <c r="G28" s="143" t="s">
        <v>537</v>
      </c>
      <c r="H28" s="99">
        <v>50</v>
      </c>
      <c r="I28" s="124">
        <v>43.3</v>
      </c>
      <c r="J28" s="99">
        <v>26.6</v>
      </c>
      <c r="K28" s="97">
        <v>16.7</v>
      </c>
      <c r="L28" s="99">
        <v>14.8</v>
      </c>
      <c r="M28" s="99">
        <v>7.7</v>
      </c>
      <c r="N28" s="99">
        <v>3.1</v>
      </c>
    </row>
    <row r="29" spans="1:14" ht="15" customHeight="1" x14ac:dyDescent="0.25">
      <c r="A29" s="206" t="s">
        <v>247</v>
      </c>
      <c r="B29" s="192" t="s">
        <v>613</v>
      </c>
      <c r="C29" s="192" t="s">
        <v>614</v>
      </c>
      <c r="D29" s="192" t="s">
        <v>619</v>
      </c>
      <c r="E29" s="169"/>
      <c r="G29" s="127" t="s">
        <v>538</v>
      </c>
      <c r="H29" s="99">
        <v>92</v>
      </c>
      <c r="I29" s="99">
        <v>87</v>
      </c>
      <c r="J29" s="99">
        <v>75</v>
      </c>
      <c r="K29" s="129">
        <v>73.5</v>
      </c>
      <c r="L29" s="99">
        <v>66.5</v>
      </c>
      <c r="M29" s="99">
        <v>47</v>
      </c>
      <c r="N29" s="99">
        <v>24</v>
      </c>
    </row>
    <row r="30" spans="1:14" x14ac:dyDescent="0.25">
      <c r="A30" s="207"/>
      <c r="B30" s="193"/>
      <c r="C30" s="193"/>
      <c r="D30" s="193"/>
      <c r="E30" s="170"/>
      <c r="G30" s="127" t="s">
        <v>539</v>
      </c>
      <c r="H30" s="99">
        <v>35</v>
      </c>
      <c r="I30" s="99">
        <v>32</v>
      </c>
      <c r="J30" s="99">
        <v>30</v>
      </c>
      <c r="K30" s="129">
        <v>30</v>
      </c>
      <c r="L30" s="99">
        <v>29.5</v>
      </c>
      <c r="M30" s="99">
        <v>28</v>
      </c>
      <c r="N30" s="99" t="s">
        <v>200</v>
      </c>
    </row>
    <row r="31" spans="1:14" x14ac:dyDescent="0.25">
      <c r="A31" s="210" t="s">
        <v>546</v>
      </c>
      <c r="B31" s="210"/>
      <c r="C31" s="210"/>
      <c r="D31" s="210"/>
      <c r="G31" s="127" t="s">
        <v>540</v>
      </c>
      <c r="H31" s="99">
        <v>26.4</v>
      </c>
      <c r="I31" s="99">
        <v>22.8</v>
      </c>
      <c r="J31" s="99">
        <v>21.4</v>
      </c>
      <c r="K31" s="129">
        <v>19.3</v>
      </c>
      <c r="L31" s="99" t="s">
        <v>200</v>
      </c>
      <c r="M31" s="99">
        <v>13.8</v>
      </c>
      <c r="N31" s="99" t="s">
        <v>200</v>
      </c>
    </row>
    <row r="32" spans="1:14" x14ac:dyDescent="0.25">
      <c r="A32" s="9" t="s">
        <v>517</v>
      </c>
      <c r="B32" s="167">
        <v>0.6</v>
      </c>
      <c r="C32" s="167">
        <v>0.44</v>
      </c>
      <c r="D32" s="168">
        <f>C32*2.2</f>
        <v>0.96800000000000008</v>
      </c>
      <c r="G32" s="127" t="s">
        <v>541</v>
      </c>
      <c r="H32" s="99">
        <v>37.4</v>
      </c>
      <c r="I32" s="99">
        <v>30.1</v>
      </c>
      <c r="J32" s="99">
        <v>19.100000000000001</v>
      </c>
      <c r="K32" s="129">
        <v>11.1</v>
      </c>
      <c r="L32" s="99" t="s">
        <v>200</v>
      </c>
      <c r="M32" s="99">
        <v>4</v>
      </c>
      <c r="N32" s="99" t="s">
        <v>200</v>
      </c>
    </row>
    <row r="33" spans="1:14" x14ac:dyDescent="0.25">
      <c r="A33" s="9" t="s">
        <v>520</v>
      </c>
      <c r="B33" s="167">
        <v>7.0000000000000001E-3</v>
      </c>
      <c r="C33" s="167" t="s">
        <v>200</v>
      </c>
      <c r="D33" s="167" t="s">
        <v>200</v>
      </c>
      <c r="G33" s="127" t="s">
        <v>542</v>
      </c>
      <c r="H33" s="99">
        <v>49.8</v>
      </c>
      <c r="I33" s="99">
        <v>32.299999999999997</v>
      </c>
      <c r="J33" s="99">
        <v>24.8</v>
      </c>
      <c r="K33" s="129">
        <v>20.399999999999999</v>
      </c>
      <c r="L33" s="99" t="s">
        <v>200</v>
      </c>
      <c r="M33" s="99">
        <v>8.5</v>
      </c>
      <c r="N33" s="99" t="s">
        <v>200</v>
      </c>
    </row>
    <row r="34" spans="1:14" x14ac:dyDescent="0.25">
      <c r="A34" s="9" t="s">
        <v>518</v>
      </c>
      <c r="B34" s="174">
        <v>5.7999999999999996E-3</v>
      </c>
      <c r="C34" s="174">
        <v>2.7000000000000001E-3</v>
      </c>
      <c r="D34" s="137">
        <f>C34*2.2</f>
        <v>5.9400000000000008E-3</v>
      </c>
      <c r="G34" s="127" t="s">
        <v>543</v>
      </c>
      <c r="H34" s="99">
        <v>15.1</v>
      </c>
      <c r="I34" s="99">
        <v>9.8000000000000007</v>
      </c>
      <c r="J34" s="99">
        <v>7</v>
      </c>
      <c r="K34" s="129">
        <v>6</v>
      </c>
      <c r="L34" s="99" t="s">
        <v>200</v>
      </c>
      <c r="M34" s="99">
        <v>1.2</v>
      </c>
      <c r="N34" s="99" t="s">
        <v>200</v>
      </c>
    </row>
    <row r="35" spans="1:14" x14ac:dyDescent="0.25">
      <c r="A35" s="96" t="s">
        <v>519</v>
      </c>
      <c r="B35" s="97">
        <v>5.2999999999999998E-4</v>
      </c>
      <c r="C35" s="174">
        <v>2.5000000000000001E-4</v>
      </c>
      <c r="D35" s="97">
        <f>C35*2.2</f>
        <v>5.5000000000000003E-4</v>
      </c>
      <c r="G35" s="127" t="s">
        <v>544</v>
      </c>
      <c r="H35" s="99">
        <v>96</v>
      </c>
      <c r="I35" s="99">
        <v>95.9</v>
      </c>
      <c r="J35" s="99">
        <v>95.8</v>
      </c>
      <c r="K35" s="129">
        <v>93.5</v>
      </c>
      <c r="L35" s="99">
        <v>85.7</v>
      </c>
      <c r="M35" s="99">
        <v>77.400000000000006</v>
      </c>
      <c r="N35" s="99" t="s">
        <v>200</v>
      </c>
    </row>
    <row r="36" spans="1:14" x14ac:dyDescent="0.25">
      <c r="A36" s="210" t="s">
        <v>615</v>
      </c>
      <c r="B36" s="210"/>
      <c r="C36" s="210"/>
      <c r="D36" s="210"/>
      <c r="G36" s="146" t="s">
        <v>545</v>
      </c>
      <c r="H36" s="146"/>
    </row>
    <row r="37" spans="1:14" x14ac:dyDescent="0.25">
      <c r="A37" s="9" t="s">
        <v>517</v>
      </c>
      <c r="B37" s="174">
        <v>0.26</v>
      </c>
      <c r="C37" s="174">
        <v>0.43</v>
      </c>
      <c r="D37" s="175">
        <f t="shared" ref="D37:D47" si="0">C37*2.2</f>
        <v>0.94600000000000006</v>
      </c>
    </row>
    <row r="38" spans="1:14" ht="23.25" customHeight="1" x14ac:dyDescent="0.25">
      <c r="A38" s="9" t="s">
        <v>518</v>
      </c>
      <c r="B38" s="174">
        <v>0.02</v>
      </c>
      <c r="C38" s="174">
        <v>1.7999999999999999E-2</v>
      </c>
      <c r="D38" s="138">
        <f t="shared" si="0"/>
        <v>3.9600000000000003E-2</v>
      </c>
      <c r="G38" s="208" t="s">
        <v>547</v>
      </c>
      <c r="H38" s="209"/>
      <c r="I38" s="209"/>
      <c r="J38" s="209"/>
      <c r="K38" s="212"/>
    </row>
    <row r="39" spans="1:14" x14ac:dyDescent="0.25">
      <c r="A39" s="96" t="s">
        <v>519</v>
      </c>
      <c r="B39" s="97">
        <v>7.9000000000000008E-3</v>
      </c>
      <c r="C39" s="174">
        <v>7.1000000000000004E-3</v>
      </c>
      <c r="D39" s="172">
        <f t="shared" si="0"/>
        <v>1.5620000000000002E-2</v>
      </c>
      <c r="G39" s="192" t="s">
        <v>258</v>
      </c>
      <c r="H39" s="208" t="s">
        <v>548</v>
      </c>
      <c r="I39" s="212"/>
      <c r="J39" s="208" t="s">
        <v>549</v>
      </c>
      <c r="K39" s="212"/>
      <c r="L39" s="146"/>
      <c r="M39" s="146"/>
      <c r="N39" s="146"/>
    </row>
    <row r="40" spans="1:14" ht="22.5" x14ac:dyDescent="0.25">
      <c r="A40" s="210" t="s">
        <v>616</v>
      </c>
      <c r="B40" s="210"/>
      <c r="C40" s="210"/>
      <c r="D40" s="210"/>
      <c r="G40" s="193"/>
      <c r="H40" s="140" t="s">
        <v>259</v>
      </c>
      <c r="I40" s="140" t="s">
        <v>260</v>
      </c>
      <c r="J40" s="140" t="s">
        <v>259</v>
      </c>
      <c r="K40" s="140" t="s">
        <v>260</v>
      </c>
    </row>
    <row r="41" spans="1:14" x14ac:dyDescent="0.25">
      <c r="A41" s="9" t="s">
        <v>517</v>
      </c>
      <c r="B41" s="171">
        <v>4.7E-2</v>
      </c>
      <c r="C41" s="171">
        <v>2.3E-2</v>
      </c>
      <c r="D41" s="138">
        <f t="shared" si="0"/>
        <v>5.0600000000000006E-2</v>
      </c>
      <c r="G41" s="149" t="s">
        <v>262</v>
      </c>
      <c r="H41" s="81">
        <v>1.2999999999999999E-2</v>
      </c>
      <c r="I41" s="81">
        <v>2.7E-2</v>
      </c>
      <c r="J41" s="81">
        <v>4.1000000000000003E-3</v>
      </c>
      <c r="K41" s="81">
        <v>8.0999999999999996E-3</v>
      </c>
    </row>
    <row r="42" spans="1:14" x14ac:dyDescent="0.25">
      <c r="A42" s="9" t="s">
        <v>518</v>
      </c>
      <c r="B42" s="171">
        <v>6.4999999999999997E-3</v>
      </c>
      <c r="C42" s="171">
        <v>3.2000000000000002E-3</v>
      </c>
      <c r="D42" s="137">
        <f t="shared" si="0"/>
        <v>7.0400000000000011E-3</v>
      </c>
      <c r="G42" s="149" t="s">
        <v>550</v>
      </c>
      <c r="H42" s="81">
        <v>1.2999999999999999E-3</v>
      </c>
      <c r="I42" s="81">
        <v>2.5999999999999999E-3</v>
      </c>
      <c r="J42" s="81">
        <v>1.1000000000000001E-3</v>
      </c>
      <c r="K42" s="81">
        <v>2.2000000000000001E-3</v>
      </c>
    </row>
    <row r="43" spans="1:14" x14ac:dyDescent="0.25">
      <c r="A43" s="96" t="s">
        <v>519</v>
      </c>
      <c r="B43" s="173">
        <v>8.6000000000000003E-5</v>
      </c>
      <c r="C43" s="171">
        <v>4.3999999999999999E-5</v>
      </c>
      <c r="D43" s="176">
        <f t="shared" si="0"/>
        <v>9.6800000000000008E-5</v>
      </c>
      <c r="G43" s="148" t="s">
        <v>551</v>
      </c>
      <c r="H43" s="81">
        <v>1.8E-5</v>
      </c>
      <c r="I43" s="81">
        <v>3.6000000000000001E-5</v>
      </c>
      <c r="J43" s="80">
        <v>1.8E-5</v>
      </c>
      <c r="K43" s="81">
        <v>3.6000000000000001E-5</v>
      </c>
    </row>
    <row r="44" spans="1:14" x14ac:dyDescent="0.25">
      <c r="A44" s="210" t="s">
        <v>617</v>
      </c>
      <c r="B44" s="210"/>
      <c r="C44" s="210"/>
      <c r="D44" s="210"/>
      <c r="G44" s="148" t="s">
        <v>552</v>
      </c>
      <c r="H44" s="81">
        <v>8.3999999999999992E-6</v>
      </c>
      <c r="I44" s="81">
        <v>1.7E-5</v>
      </c>
      <c r="J44" s="80">
        <v>8.3999999999999992E-6</v>
      </c>
      <c r="K44" s="81">
        <v>1.7E-5</v>
      </c>
    </row>
    <row r="45" spans="1:14" x14ac:dyDescent="0.25">
      <c r="A45" s="9" t="s">
        <v>517</v>
      </c>
      <c r="B45" s="171">
        <v>4.7E-2</v>
      </c>
      <c r="C45" s="171">
        <v>2.3E-2</v>
      </c>
      <c r="D45" s="138">
        <f t="shared" si="0"/>
        <v>5.0600000000000006E-2</v>
      </c>
      <c r="G45" s="148" t="s">
        <v>553</v>
      </c>
      <c r="H45" s="81">
        <v>3.5999999999999998E-6</v>
      </c>
      <c r="I45" s="81">
        <v>6.7000000000000002E-6</v>
      </c>
      <c r="J45" s="80">
        <v>3.5999999999999998E-6</v>
      </c>
      <c r="K45" s="81">
        <v>6.7000000000000002E-6</v>
      </c>
    </row>
    <row r="46" spans="1:14" x14ac:dyDescent="0.25">
      <c r="A46" s="9" t="s">
        <v>518</v>
      </c>
      <c r="B46" s="171">
        <v>5.8999999999999999E-3</v>
      </c>
      <c r="C46" s="171">
        <v>3.0000000000000001E-3</v>
      </c>
      <c r="D46" s="138">
        <f t="shared" si="0"/>
        <v>6.6000000000000008E-3</v>
      </c>
      <c r="G46" s="149" t="s">
        <v>554</v>
      </c>
      <c r="H46" s="81">
        <v>1.1000000000000001E-6</v>
      </c>
      <c r="I46" s="81">
        <v>2.0999999999999998E-6</v>
      </c>
      <c r="J46" s="81">
        <v>1.1000000000000001E-6</v>
      </c>
      <c r="K46" s="81">
        <v>2.0999999999999998E-6</v>
      </c>
    </row>
    <row r="47" spans="1:14" x14ac:dyDescent="0.25">
      <c r="A47" s="96" t="s">
        <v>519</v>
      </c>
      <c r="B47" s="173">
        <v>2.9E-4</v>
      </c>
      <c r="C47" s="171">
        <v>1.4999999999999999E-4</v>
      </c>
      <c r="D47" s="177">
        <f t="shared" si="0"/>
        <v>3.3E-4</v>
      </c>
      <c r="G47" s="150" t="s">
        <v>555</v>
      </c>
      <c r="H47" s="151">
        <v>9.9999999999999995E-7</v>
      </c>
      <c r="I47" s="151">
        <v>1.9999999999999999E-6</v>
      </c>
      <c r="J47" s="152">
        <v>9.9999999999999995E-7</v>
      </c>
      <c r="K47" s="81">
        <v>1.9999999999999999E-6</v>
      </c>
    </row>
    <row r="48" spans="1:14" x14ac:dyDescent="0.25">
      <c r="G48" s="148" t="s">
        <v>556</v>
      </c>
      <c r="H48" s="81">
        <v>3.5999999999999999E-7</v>
      </c>
      <c r="I48" s="81">
        <v>7.3E-7</v>
      </c>
      <c r="J48" s="80">
        <v>3.5999999999999999E-7</v>
      </c>
      <c r="K48" s="81">
        <v>7.3E-7</v>
      </c>
    </row>
    <row r="49" spans="1:11" x14ac:dyDescent="0.25">
      <c r="G49" s="96" t="s">
        <v>557</v>
      </c>
      <c r="H49" s="81">
        <v>1.2E-5</v>
      </c>
      <c r="I49" s="81">
        <v>2.3E-5</v>
      </c>
      <c r="J49" s="80">
        <v>1.2E-5</v>
      </c>
      <c r="K49" s="81">
        <v>2.3E-5</v>
      </c>
    </row>
    <row r="50" spans="1:11" ht="35.25" customHeight="1" x14ac:dyDescent="0.25">
      <c r="A50" s="190" t="s">
        <v>655</v>
      </c>
      <c r="B50" s="191"/>
      <c r="G50" s="149" t="s">
        <v>558</v>
      </c>
      <c r="H50" s="81">
        <v>1.4E-5</v>
      </c>
      <c r="I50" s="81">
        <v>2.6999999999999999E-5</v>
      </c>
      <c r="J50" s="81">
        <v>1.1E-5</v>
      </c>
      <c r="K50" s="81">
        <v>2.0999999999999999E-5</v>
      </c>
    </row>
    <row r="51" spans="1:11" x14ac:dyDescent="0.25">
      <c r="A51" s="180" t="s">
        <v>652</v>
      </c>
      <c r="B51" s="140" t="s">
        <v>622</v>
      </c>
      <c r="G51" s="149" t="s">
        <v>559</v>
      </c>
      <c r="H51" s="81">
        <v>7.5000000000000002E-7</v>
      </c>
      <c r="I51" s="81">
        <v>1.5E-6</v>
      </c>
      <c r="J51" s="81">
        <v>2.2999999999999999E-7</v>
      </c>
      <c r="K51" s="81">
        <v>4.5999999999999999E-7</v>
      </c>
    </row>
    <row r="52" spans="1:11" x14ac:dyDescent="0.25">
      <c r="A52" s="183" t="s">
        <v>623</v>
      </c>
      <c r="B52" s="181">
        <v>8.3000000000000001E-3</v>
      </c>
      <c r="G52" s="9" t="s">
        <v>560</v>
      </c>
      <c r="H52" s="81">
        <v>3.9999999999999998E-7</v>
      </c>
      <c r="I52" s="129">
        <v>7.8999999999999995E-7</v>
      </c>
      <c r="J52" s="81">
        <v>1.1999999999999999E-7</v>
      </c>
      <c r="K52" s="81">
        <v>2.3999999999999998E-7</v>
      </c>
    </row>
    <row r="53" spans="1:11" x14ac:dyDescent="0.25">
      <c r="A53" s="183" t="s">
        <v>624</v>
      </c>
      <c r="B53" s="181">
        <v>1.7000000000000001E-4</v>
      </c>
      <c r="G53" s="149" t="s">
        <v>561</v>
      </c>
      <c r="H53" s="81">
        <v>2.4999999999999999E-7</v>
      </c>
      <c r="I53" s="81">
        <v>4.9999999999999998E-7</v>
      </c>
      <c r="J53" s="153">
        <v>7.4999999999999997E-8</v>
      </c>
      <c r="K53" s="81">
        <v>1.4999999999999999E-7</v>
      </c>
    </row>
    <row r="54" spans="1:11" x14ac:dyDescent="0.25">
      <c r="A54" s="186" t="s">
        <v>625</v>
      </c>
      <c r="B54" s="187">
        <v>0.12</v>
      </c>
      <c r="G54" s="98" t="s">
        <v>562</v>
      </c>
      <c r="H54" s="81">
        <v>1.6999999999999999E-7</v>
      </c>
      <c r="I54" s="81">
        <v>3.3999999999999997E-7</v>
      </c>
      <c r="J54" s="153">
        <v>4.9999999999999998E-8</v>
      </c>
      <c r="K54" s="81">
        <v>9.9999999999999995E-8</v>
      </c>
    </row>
    <row r="55" spans="1:11" x14ac:dyDescent="0.25">
      <c r="A55" s="183" t="s">
        <v>626</v>
      </c>
      <c r="B55" s="181">
        <v>2.3E-3</v>
      </c>
      <c r="G55" s="98" t="s">
        <v>563</v>
      </c>
      <c r="H55" s="81">
        <v>1.6999999999999999E-7</v>
      </c>
      <c r="I55" s="81">
        <v>3.3999999999999997E-7</v>
      </c>
      <c r="J55" s="153">
        <v>4.9999999999999998E-8</v>
      </c>
      <c r="K55" s="81">
        <v>9.9999999999999995E-8</v>
      </c>
    </row>
    <row r="56" spans="1:11" x14ac:dyDescent="0.25">
      <c r="A56" s="186" t="s">
        <v>627</v>
      </c>
      <c r="B56" s="187">
        <v>0.17</v>
      </c>
      <c r="G56" s="9" t="s">
        <v>564</v>
      </c>
      <c r="H56" s="81">
        <v>1.1999999999999999E-7</v>
      </c>
      <c r="I56" s="81">
        <v>2.3999999999999998E-7</v>
      </c>
      <c r="J56" s="153">
        <v>3.5999999999999998E-8</v>
      </c>
      <c r="K56" s="81">
        <v>7.1E-8</v>
      </c>
    </row>
    <row r="57" spans="1:11" ht="22.5" x14ac:dyDescent="0.25">
      <c r="A57" s="185" t="s">
        <v>628</v>
      </c>
      <c r="B57" s="55">
        <v>5.5000000000000003E-4</v>
      </c>
      <c r="G57" s="9" t="s">
        <v>565</v>
      </c>
      <c r="H57" s="81">
        <v>1.4999999999999999E-8</v>
      </c>
      <c r="I57" s="153">
        <v>2.9000000000000002E-8</v>
      </c>
      <c r="J57" s="154">
        <v>4.3999999999999997E-9</v>
      </c>
      <c r="K57" s="154">
        <v>8.7000000000000001E-9</v>
      </c>
    </row>
    <row r="58" spans="1:11" x14ac:dyDescent="0.25">
      <c r="A58" s="185" t="s">
        <v>629</v>
      </c>
      <c r="B58" s="55">
        <v>4.2</v>
      </c>
      <c r="G58" s="9" t="s">
        <v>566</v>
      </c>
      <c r="H58" s="154">
        <v>1.3000000000000001E-9</v>
      </c>
      <c r="I58" s="154">
        <v>2.6000000000000001E-9</v>
      </c>
      <c r="J58" s="154">
        <v>4.0000000000000001E-10</v>
      </c>
      <c r="K58" s="155">
        <v>7.8999999999999996E-10</v>
      </c>
    </row>
    <row r="59" spans="1:11" x14ac:dyDescent="0.25">
      <c r="A59" s="185" t="s">
        <v>630</v>
      </c>
      <c r="B59" s="55">
        <v>1.1000000000000001</v>
      </c>
      <c r="G59" s="211" t="s">
        <v>567</v>
      </c>
      <c r="H59" s="211"/>
      <c r="I59" s="211"/>
      <c r="J59" s="211"/>
      <c r="K59" s="211"/>
    </row>
    <row r="60" spans="1:11" x14ac:dyDescent="0.25">
      <c r="A60" s="186" t="s">
        <v>631</v>
      </c>
      <c r="B60" s="187">
        <v>0.14000000000000001</v>
      </c>
      <c r="G60" s="211"/>
      <c r="H60" s="211"/>
      <c r="I60" s="211"/>
      <c r="J60" s="211"/>
      <c r="K60" s="211"/>
    </row>
    <row r="61" spans="1:11" x14ac:dyDescent="0.25">
      <c r="A61" s="185" t="s">
        <v>632</v>
      </c>
      <c r="B61" s="55">
        <v>0.03</v>
      </c>
    </row>
    <row r="62" spans="1:11" x14ac:dyDescent="0.25">
      <c r="A62" s="185" t="s">
        <v>633</v>
      </c>
      <c r="B62" s="55">
        <v>5.9999999999999995E-4</v>
      </c>
    </row>
    <row r="63" spans="1:11" x14ac:dyDescent="0.25">
      <c r="A63" s="186" t="s">
        <v>634</v>
      </c>
      <c r="B63" s="187">
        <v>0.16</v>
      </c>
    </row>
    <row r="64" spans="1:11" x14ac:dyDescent="0.25">
      <c r="A64" s="185" t="s">
        <v>635</v>
      </c>
      <c r="B64" s="55">
        <v>8.8999999999999999E-3</v>
      </c>
    </row>
    <row r="65" spans="1:2" x14ac:dyDescent="0.25">
      <c r="A65" s="185" t="s">
        <v>636</v>
      </c>
      <c r="B65" s="55">
        <v>0.13</v>
      </c>
    </row>
    <row r="66" spans="1:2" x14ac:dyDescent="0.25">
      <c r="A66" s="185" t="s">
        <v>637</v>
      </c>
      <c r="B66" s="55">
        <v>2.5999999999999999E-3</v>
      </c>
    </row>
    <row r="67" spans="1:2" x14ac:dyDescent="0.25">
      <c r="A67" s="185" t="s">
        <v>638</v>
      </c>
      <c r="B67" s="55">
        <v>2.1000000000000001E-2</v>
      </c>
    </row>
    <row r="68" spans="1:2" x14ac:dyDescent="0.25">
      <c r="A68" s="185" t="s">
        <v>639</v>
      </c>
      <c r="B68" s="55">
        <v>4.2999999999999999E-4</v>
      </c>
    </row>
    <row r="69" spans="1:2" x14ac:dyDescent="0.25">
      <c r="A69" s="185" t="s">
        <v>640</v>
      </c>
      <c r="B69" s="55">
        <v>8.3000000000000001E-3</v>
      </c>
    </row>
    <row r="70" spans="1:2" x14ac:dyDescent="0.25">
      <c r="A70" s="185" t="s">
        <v>641</v>
      </c>
      <c r="B70" s="55">
        <v>1.7000000000000001E-4</v>
      </c>
    </row>
    <row r="71" spans="1:2" x14ac:dyDescent="0.25">
      <c r="A71" s="185" t="s">
        <v>642</v>
      </c>
      <c r="B71" s="55">
        <v>5.7999999999999996E-3</v>
      </c>
    </row>
    <row r="72" spans="1:2" x14ac:dyDescent="0.25">
      <c r="A72" s="185" t="s">
        <v>643</v>
      </c>
      <c r="B72" s="55">
        <v>1.2E-4</v>
      </c>
    </row>
    <row r="73" spans="1:2" x14ac:dyDescent="0.25">
      <c r="A73" s="186" t="s">
        <v>644</v>
      </c>
      <c r="B73" s="187">
        <v>1.9E-2</v>
      </c>
    </row>
    <row r="74" spans="1:2" x14ac:dyDescent="0.25">
      <c r="A74" s="185" t="s">
        <v>645</v>
      </c>
      <c r="B74" s="55">
        <v>3.6999999999999999E-4</v>
      </c>
    </row>
    <row r="75" spans="1:2" x14ac:dyDescent="0.25">
      <c r="A75" s="186" t="s">
        <v>646</v>
      </c>
      <c r="B75" s="187">
        <v>2E-3</v>
      </c>
    </row>
    <row r="76" spans="1:2" x14ac:dyDescent="0.25">
      <c r="A76" s="183" t="s">
        <v>647</v>
      </c>
      <c r="B76" s="181">
        <v>4.0000000000000003E-5</v>
      </c>
    </row>
    <row r="77" spans="1:2" x14ac:dyDescent="0.25">
      <c r="A77" s="183" t="s">
        <v>648</v>
      </c>
      <c r="B77" s="181">
        <v>5.4000000000000003E-3</v>
      </c>
    </row>
    <row r="78" spans="1:2" x14ac:dyDescent="0.25">
      <c r="A78" s="183" t="s">
        <v>649</v>
      </c>
      <c r="B78" s="181">
        <v>1.1E-4</v>
      </c>
    </row>
    <row r="79" spans="1:2" x14ac:dyDescent="0.25">
      <c r="A79" s="183" t="s">
        <v>650</v>
      </c>
      <c r="B79" s="181">
        <v>5.4000000000000003E-3</v>
      </c>
    </row>
    <row r="80" spans="1:2" x14ac:dyDescent="0.25">
      <c r="A80" s="183" t="s">
        <v>651</v>
      </c>
      <c r="B80" s="181">
        <v>1.1E-4</v>
      </c>
    </row>
    <row r="81" spans="1:5" x14ac:dyDescent="0.25">
      <c r="A81" s="211" t="s">
        <v>653</v>
      </c>
      <c r="B81" s="211"/>
      <c r="C81" s="184"/>
      <c r="D81" s="184"/>
      <c r="E81" s="184"/>
    </row>
    <row r="82" spans="1:5" x14ac:dyDescent="0.25">
      <c r="A82" s="184"/>
      <c r="B82" s="184"/>
      <c r="C82" s="184"/>
      <c r="D82" s="184"/>
      <c r="E82" s="184"/>
    </row>
  </sheetData>
  <sheetProtection algorithmName="SHA-512" hashValue="3bY8rOvb6r+FKNBdBaMzHlOA4/5g0eO8rjXsLHavLy7tIBn6sBwH85fEiVb5TpyVb84Tzl7Z1q7f3/D1z2wmew==" saltValue="hV0aT6ahFm77Wodty1z8EA==" spinCount="100000" sheet="1" objects="1" scenarios="1"/>
  <mergeCells count="41">
    <mergeCell ref="A50:B50"/>
    <mergeCell ref="A81:B81"/>
    <mergeCell ref="A20:A26"/>
    <mergeCell ref="B20:B26"/>
    <mergeCell ref="A9:E9"/>
    <mergeCell ref="A12:E12"/>
    <mergeCell ref="A13:A19"/>
    <mergeCell ref="B13:B19"/>
    <mergeCell ref="A10:A11"/>
    <mergeCell ref="C10:C11"/>
    <mergeCell ref="D10:D11"/>
    <mergeCell ref="B10:B11"/>
    <mergeCell ref="A28:D28"/>
    <mergeCell ref="A31:D31"/>
    <mergeCell ref="A36:D36"/>
    <mergeCell ref="A44:D44"/>
    <mergeCell ref="A2:D2"/>
    <mergeCell ref="A3:A4"/>
    <mergeCell ref="B3:B4"/>
    <mergeCell ref="D3:D4"/>
    <mergeCell ref="A5:D5"/>
    <mergeCell ref="C3:C4"/>
    <mergeCell ref="G59:K60"/>
    <mergeCell ref="G22:N22"/>
    <mergeCell ref="H23:N23"/>
    <mergeCell ref="G38:K38"/>
    <mergeCell ref="G2:H2"/>
    <mergeCell ref="G3:G4"/>
    <mergeCell ref="G10:H10"/>
    <mergeCell ref="G39:G40"/>
    <mergeCell ref="H39:I39"/>
    <mergeCell ref="J39:K39"/>
    <mergeCell ref="G5:H5"/>
    <mergeCell ref="G16:K16"/>
    <mergeCell ref="G19:K19"/>
    <mergeCell ref="G14:H14"/>
    <mergeCell ref="A40:D40"/>
    <mergeCell ref="D29:D30"/>
    <mergeCell ref="C29:C30"/>
    <mergeCell ref="B29:B30"/>
    <mergeCell ref="A29:A3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1"/>
  <sheetViews>
    <sheetView workbookViewId="0">
      <selection activeCell="S16" sqref="S16"/>
    </sheetView>
  </sheetViews>
  <sheetFormatPr defaultRowHeight="15" x14ac:dyDescent="0.25"/>
  <sheetData>
    <row r="1" spans="1:12" s="156" customFormat="1" ht="12.75" x14ac:dyDescent="0.2">
      <c r="A1" s="219" t="s">
        <v>568</v>
      </c>
      <c r="B1" s="219"/>
      <c r="C1" s="219"/>
      <c r="D1" s="219"/>
      <c r="E1" s="219"/>
      <c r="F1" s="219"/>
      <c r="G1" s="219"/>
      <c r="H1" s="219"/>
      <c r="I1" s="219"/>
      <c r="J1" s="219"/>
    </row>
    <row r="2" spans="1:12" s="156" customFormat="1" x14ac:dyDescent="0.25">
      <c r="A2" s="220" t="s">
        <v>569</v>
      </c>
      <c r="B2" s="221"/>
      <c r="C2" s="221"/>
      <c r="D2" s="221"/>
      <c r="E2" s="221"/>
      <c r="F2" s="221"/>
      <c r="G2" s="221"/>
      <c r="H2" s="221"/>
      <c r="I2" s="221"/>
      <c r="J2" s="221"/>
    </row>
    <row r="3" spans="1:12" x14ac:dyDescent="0.25">
      <c r="A3" s="218"/>
      <c r="B3" s="218"/>
      <c r="C3" s="218"/>
      <c r="D3" s="218"/>
      <c r="E3" s="218"/>
      <c r="F3" s="218"/>
      <c r="G3" s="218"/>
      <c r="H3" s="218"/>
      <c r="I3" s="218"/>
      <c r="J3" s="218"/>
    </row>
    <row r="4" spans="1:12" ht="15" customHeight="1" x14ac:dyDescent="0.25">
      <c r="A4" s="205" t="s">
        <v>570</v>
      </c>
      <c r="B4" s="205"/>
      <c r="C4" s="205"/>
      <c r="D4" s="205"/>
      <c r="E4" s="205"/>
      <c r="F4" s="205"/>
      <c r="G4" s="205"/>
      <c r="H4" s="205"/>
      <c r="I4" s="205"/>
      <c r="J4" s="205"/>
    </row>
    <row r="5" spans="1:12" x14ac:dyDescent="0.25">
      <c r="A5" s="205"/>
      <c r="B5" s="205"/>
      <c r="C5" s="205"/>
      <c r="D5" s="205"/>
      <c r="E5" s="205"/>
      <c r="F5" s="205"/>
      <c r="G5" s="205"/>
      <c r="H5" s="205"/>
      <c r="I5" s="205"/>
      <c r="J5" s="205"/>
    </row>
    <row r="6" spans="1:12" x14ac:dyDescent="0.25">
      <c r="A6" s="218"/>
      <c r="B6" s="218"/>
      <c r="C6" s="218"/>
      <c r="D6" s="218"/>
      <c r="E6" s="218"/>
      <c r="F6" s="218"/>
      <c r="G6" s="218"/>
      <c r="H6" s="218"/>
      <c r="I6" s="218"/>
      <c r="J6" s="218"/>
    </row>
    <row r="7" spans="1:12" x14ac:dyDescent="0.25">
      <c r="A7" s="210" t="s">
        <v>571</v>
      </c>
      <c r="B7" s="210"/>
      <c r="C7" s="210"/>
      <c r="D7" s="210"/>
      <c r="E7" s="210"/>
      <c r="F7" s="210"/>
      <c r="G7" s="210"/>
      <c r="H7" s="210"/>
      <c r="I7" s="210"/>
      <c r="J7" s="210"/>
    </row>
    <row r="8" spans="1:12" x14ac:dyDescent="0.25">
      <c r="A8" s="218"/>
      <c r="B8" s="218"/>
      <c r="C8" s="218"/>
      <c r="D8" s="218"/>
      <c r="E8" s="218"/>
      <c r="F8" s="218"/>
      <c r="G8" s="218"/>
      <c r="H8" s="218"/>
      <c r="I8" s="218"/>
      <c r="J8" s="218"/>
    </row>
    <row r="9" spans="1:12" x14ac:dyDescent="0.25">
      <c r="A9" s="88"/>
      <c r="B9" s="88"/>
      <c r="C9" s="88"/>
      <c r="D9" s="88"/>
      <c r="E9" s="88"/>
      <c r="F9" s="157"/>
      <c r="G9" s="158"/>
    </row>
    <row r="10" spans="1:12" x14ac:dyDescent="0.25">
      <c r="A10" s="88"/>
      <c r="B10" s="88"/>
      <c r="C10" s="88"/>
      <c r="D10" s="88"/>
      <c r="E10" s="88"/>
      <c r="F10" s="157"/>
      <c r="G10" s="158"/>
    </row>
    <row r="11" spans="1:12" x14ac:dyDescent="0.25">
      <c r="A11" s="98"/>
      <c r="B11" s="98"/>
      <c r="C11" s="98"/>
      <c r="D11" s="98"/>
      <c r="E11" s="98"/>
    </row>
    <row r="12" spans="1:12" x14ac:dyDescent="0.25">
      <c r="A12" s="98"/>
      <c r="B12" s="98"/>
      <c r="C12" s="98"/>
      <c r="D12" s="98"/>
      <c r="E12" s="98"/>
      <c r="K12" s="157" t="s">
        <v>572</v>
      </c>
      <c r="L12" s="158" t="s">
        <v>573</v>
      </c>
    </row>
    <row r="13" spans="1:12" x14ac:dyDescent="0.25">
      <c r="A13" s="98"/>
      <c r="B13" s="98"/>
      <c r="C13" s="98"/>
      <c r="D13" s="98"/>
      <c r="E13" s="98"/>
      <c r="K13" s="157" t="s">
        <v>574</v>
      </c>
      <c r="L13" s="158" t="s">
        <v>575</v>
      </c>
    </row>
    <row r="14" spans="1:12" x14ac:dyDescent="0.25">
      <c r="A14" s="9"/>
      <c r="B14" s="9"/>
      <c r="C14" s="9"/>
      <c r="D14" s="129"/>
      <c r="E14" s="129"/>
      <c r="K14" s="157" t="s">
        <v>576</v>
      </c>
      <c r="L14" s="158" t="s">
        <v>577</v>
      </c>
    </row>
    <row r="15" spans="1:12" x14ac:dyDescent="0.25">
      <c r="A15" s="9"/>
      <c r="B15" s="9"/>
      <c r="C15" s="9"/>
      <c r="D15" s="129"/>
      <c r="E15" s="129"/>
      <c r="K15" s="157" t="s">
        <v>578</v>
      </c>
      <c r="L15" s="158" t="s">
        <v>579</v>
      </c>
    </row>
    <row r="16" spans="1:12" x14ac:dyDescent="0.25">
      <c r="A16" s="9"/>
      <c r="B16" s="9"/>
      <c r="C16" s="9"/>
      <c r="D16" s="129"/>
      <c r="E16" s="129"/>
      <c r="K16" s="157" t="s">
        <v>580</v>
      </c>
      <c r="L16" s="158" t="s">
        <v>581</v>
      </c>
    </row>
    <row r="17" spans="1:12" x14ac:dyDescent="0.25">
      <c r="A17" s="9"/>
      <c r="B17" s="9"/>
      <c r="C17" s="9"/>
      <c r="D17" s="129"/>
      <c r="E17" s="129"/>
      <c r="K17" s="157" t="s">
        <v>582</v>
      </c>
      <c r="L17" s="158" t="s">
        <v>583</v>
      </c>
    </row>
    <row r="18" spans="1:12" x14ac:dyDescent="0.25">
      <c r="A18" s="9"/>
      <c r="B18" s="9"/>
      <c r="C18" s="9"/>
      <c r="D18" s="129"/>
      <c r="E18" s="129"/>
      <c r="K18" s="157" t="s">
        <v>584</v>
      </c>
      <c r="L18" s="158" t="s">
        <v>585</v>
      </c>
    </row>
    <row r="19" spans="1:12" x14ac:dyDescent="0.25">
      <c r="A19" s="9"/>
      <c r="B19" s="9"/>
      <c r="C19" s="9"/>
      <c r="D19" s="129"/>
      <c r="E19" s="129"/>
      <c r="K19" s="157" t="s">
        <v>586</v>
      </c>
      <c r="L19" s="158" t="s">
        <v>587</v>
      </c>
    </row>
    <row r="20" spans="1:12" x14ac:dyDescent="0.25">
      <c r="A20" s="9"/>
      <c r="B20" s="9"/>
      <c r="C20" s="9"/>
      <c r="D20" s="129"/>
      <c r="E20" s="129"/>
      <c r="K20" s="157" t="s">
        <v>588</v>
      </c>
      <c r="L20" s="158" t="s">
        <v>589</v>
      </c>
    </row>
    <row r="21" spans="1:12" x14ac:dyDescent="0.25">
      <c r="A21" s="9"/>
      <c r="B21" s="9"/>
      <c r="C21" s="9"/>
      <c r="D21" s="129"/>
      <c r="E21" s="129"/>
      <c r="K21" s="157" t="s">
        <v>590</v>
      </c>
      <c r="L21" s="158" t="s">
        <v>591</v>
      </c>
    </row>
    <row r="22" spans="1:12" x14ac:dyDescent="0.25">
      <c r="A22" s="9"/>
      <c r="B22" s="9"/>
      <c r="C22" s="9"/>
      <c r="D22" s="129"/>
      <c r="E22" s="129"/>
      <c r="K22" s="157" t="s">
        <v>592</v>
      </c>
      <c r="L22" s="158" t="s">
        <v>593</v>
      </c>
    </row>
    <row r="23" spans="1:12" x14ac:dyDescent="0.25">
      <c r="A23" s="9"/>
      <c r="B23" s="9"/>
      <c r="C23" s="9"/>
      <c r="D23" s="129"/>
      <c r="E23" s="129"/>
      <c r="K23" s="157" t="s">
        <v>594</v>
      </c>
      <c r="L23" s="158" t="s">
        <v>577</v>
      </c>
    </row>
    <row r="24" spans="1:12" x14ac:dyDescent="0.25">
      <c r="A24" s="9"/>
      <c r="B24" s="9"/>
      <c r="C24" s="9"/>
      <c r="D24" s="129"/>
      <c r="E24" s="129"/>
      <c r="F24" s="157"/>
      <c r="G24" s="158"/>
      <c r="K24" s="157" t="s">
        <v>595</v>
      </c>
      <c r="L24" s="158" t="s">
        <v>596</v>
      </c>
    </row>
    <row r="25" spans="1:12" x14ac:dyDescent="0.25">
      <c r="A25" s="9"/>
      <c r="B25" s="9"/>
      <c r="C25" s="9"/>
      <c r="D25" s="129"/>
      <c r="E25" s="129"/>
      <c r="F25" s="157"/>
      <c r="G25" s="158"/>
    </row>
    <row r="26" spans="1:12" x14ac:dyDescent="0.25">
      <c r="A26" s="9"/>
      <c r="B26" s="9"/>
      <c r="C26" s="9"/>
      <c r="D26" s="129"/>
      <c r="E26" s="129"/>
      <c r="F26" s="157"/>
      <c r="G26" s="158"/>
    </row>
    <row r="27" spans="1:12" x14ac:dyDescent="0.25">
      <c r="A27" s="9"/>
      <c r="B27" s="9"/>
      <c r="C27" s="9"/>
      <c r="D27" s="129"/>
      <c r="E27" s="129"/>
      <c r="F27" s="157"/>
      <c r="G27" s="158"/>
    </row>
    <row r="28" spans="1:12" x14ac:dyDescent="0.25">
      <c r="A28" s="9" t="s">
        <v>597</v>
      </c>
      <c r="B28" s="9"/>
      <c r="C28" s="9"/>
      <c r="D28" s="129"/>
      <c r="E28" s="129"/>
      <c r="F28" s="157"/>
      <c r="G28" s="158"/>
    </row>
    <row r="29" spans="1:12" x14ac:dyDescent="0.25">
      <c r="A29" s="216"/>
      <c r="B29" s="216"/>
      <c r="C29" s="216"/>
      <c r="D29" s="216"/>
      <c r="E29" s="216"/>
      <c r="F29" s="216"/>
      <c r="G29" s="216"/>
      <c r="H29" s="216"/>
      <c r="I29" s="216"/>
      <c r="J29" s="216"/>
    </row>
    <row r="30" spans="1:12" x14ac:dyDescent="0.25">
      <c r="A30" s="9"/>
      <c r="B30" s="9"/>
      <c r="C30" s="9"/>
      <c r="D30" s="129"/>
      <c r="E30" s="129"/>
      <c r="F30" s="157"/>
      <c r="G30" s="158"/>
    </row>
    <row r="31" spans="1:12" x14ac:dyDescent="0.25">
      <c r="A31" s="88"/>
      <c r="B31" s="9"/>
      <c r="C31" s="9"/>
      <c r="D31" s="129"/>
      <c r="E31" s="129"/>
      <c r="F31" s="157"/>
      <c r="G31" s="158"/>
    </row>
    <row r="32" spans="1:12" x14ac:dyDescent="0.25">
      <c r="A32" s="9"/>
      <c r="B32" s="9"/>
      <c r="C32" s="9"/>
      <c r="D32" s="129"/>
      <c r="E32" s="129"/>
      <c r="F32" s="157"/>
      <c r="G32" s="158"/>
    </row>
    <row r="33" spans="1:7" x14ac:dyDescent="0.25">
      <c r="A33" s="9"/>
      <c r="B33" s="9"/>
      <c r="C33" s="9"/>
      <c r="D33" s="129"/>
      <c r="E33" s="129"/>
      <c r="F33" s="157"/>
      <c r="G33" s="158"/>
    </row>
    <row r="34" spans="1:7" x14ac:dyDescent="0.25">
      <c r="A34" s="9"/>
      <c r="B34" s="9"/>
      <c r="C34" s="9"/>
      <c r="D34" s="129"/>
      <c r="E34" s="129"/>
      <c r="F34" s="157"/>
      <c r="G34" s="158"/>
    </row>
    <row r="35" spans="1:7" x14ac:dyDescent="0.25">
      <c r="A35" s="9"/>
      <c r="B35" s="9"/>
      <c r="C35" s="9"/>
      <c r="D35" s="129"/>
      <c r="E35" s="129"/>
      <c r="F35" s="157"/>
      <c r="G35" s="158"/>
    </row>
    <row r="36" spans="1:7" x14ac:dyDescent="0.25">
      <c r="A36" s="9"/>
      <c r="B36" s="9"/>
      <c r="C36" s="9"/>
      <c r="D36" s="129"/>
      <c r="E36" s="129"/>
      <c r="F36" s="157"/>
      <c r="G36" s="158"/>
    </row>
    <row r="37" spans="1:7" x14ac:dyDescent="0.25">
      <c r="A37" s="9"/>
      <c r="B37" s="9"/>
      <c r="C37" s="9"/>
      <c r="D37" s="129"/>
      <c r="E37" s="129"/>
      <c r="F37" s="157"/>
      <c r="G37" s="158"/>
    </row>
    <row r="38" spans="1:7" x14ac:dyDescent="0.25">
      <c r="A38" s="98"/>
      <c r="B38" s="98"/>
      <c r="C38" s="98"/>
      <c r="D38" s="99"/>
      <c r="E38" s="129"/>
      <c r="F38" s="157"/>
      <c r="G38" s="158"/>
    </row>
    <row r="39" spans="1:7" x14ac:dyDescent="0.25">
      <c r="A39" s="211"/>
      <c r="B39" s="211"/>
      <c r="C39" s="211"/>
      <c r="D39" s="211"/>
      <c r="E39" s="211"/>
      <c r="F39" s="157"/>
      <c r="G39" s="158"/>
    </row>
    <row r="40" spans="1:7" x14ac:dyDescent="0.25">
      <c r="A40" s="146"/>
      <c r="B40" s="146"/>
      <c r="C40" s="146"/>
      <c r="D40" s="146"/>
      <c r="E40" s="146"/>
      <c r="F40" s="157"/>
      <c r="G40" s="158"/>
    </row>
    <row r="41" spans="1:7" x14ac:dyDescent="0.25">
      <c r="A41" s="146"/>
      <c r="B41" s="146"/>
      <c r="C41" s="146"/>
      <c r="D41" s="146"/>
      <c r="E41" s="146"/>
      <c r="F41" s="157"/>
      <c r="G41" s="158"/>
    </row>
    <row r="42" spans="1:7" x14ac:dyDescent="0.25">
      <c r="A42" s="88"/>
      <c r="B42" s="88"/>
      <c r="C42" s="88"/>
      <c r="D42" s="117"/>
      <c r="E42" s="88"/>
      <c r="F42" s="117"/>
      <c r="G42" s="159"/>
    </row>
    <row r="43" spans="1:7" x14ac:dyDescent="0.25">
      <c r="A43" s="88"/>
      <c r="B43" s="88"/>
      <c r="C43" s="88"/>
      <c r="D43" s="117"/>
      <c r="E43" s="88"/>
      <c r="F43" s="117"/>
      <c r="G43" s="159"/>
    </row>
    <row r="44" spans="1:7" x14ac:dyDescent="0.25">
      <c r="A44" s="88"/>
      <c r="B44" s="88"/>
      <c r="C44" s="88"/>
      <c r="D44" s="117"/>
      <c r="E44" s="88"/>
      <c r="F44" s="117"/>
      <c r="G44" s="159"/>
    </row>
    <row r="45" spans="1:7" x14ac:dyDescent="0.25">
      <c r="A45" s="88"/>
      <c r="B45" s="88"/>
      <c r="C45" s="88"/>
      <c r="D45" s="117"/>
      <c r="E45" s="88"/>
      <c r="F45" s="117"/>
      <c r="G45" s="159"/>
    </row>
    <row r="46" spans="1:7" x14ac:dyDescent="0.25">
      <c r="A46" s="88"/>
      <c r="B46" s="88"/>
      <c r="C46" s="88"/>
      <c r="D46" s="117"/>
      <c r="E46" s="88"/>
      <c r="F46" s="117"/>
      <c r="G46" s="159"/>
    </row>
    <row r="47" spans="1:7" x14ac:dyDescent="0.25">
      <c r="A47" s="88"/>
      <c r="B47" s="88"/>
      <c r="C47" s="88"/>
      <c r="D47" s="117"/>
      <c r="E47" s="88"/>
      <c r="F47" s="117"/>
      <c r="G47" s="159"/>
    </row>
    <row r="48" spans="1:7" x14ac:dyDescent="0.25">
      <c r="A48" s="88"/>
      <c r="B48" s="88"/>
      <c r="C48" s="88"/>
      <c r="D48" s="117"/>
      <c r="E48" s="88"/>
      <c r="F48" s="117"/>
      <c r="G48" s="159"/>
    </row>
    <row r="49" spans="1:7" x14ac:dyDescent="0.25">
      <c r="A49" s="88"/>
      <c r="B49" s="88"/>
      <c r="C49" s="88"/>
      <c r="D49" s="117"/>
      <c r="E49" s="88"/>
      <c r="F49" s="117"/>
      <c r="G49" s="159"/>
    </row>
    <row r="50" spans="1:7" x14ac:dyDescent="0.25">
      <c r="A50" s="88"/>
      <c r="B50" s="88"/>
      <c r="C50" s="88"/>
      <c r="D50" s="117"/>
      <c r="E50" s="88"/>
      <c r="F50" s="117"/>
      <c r="G50" s="159"/>
    </row>
    <row r="51" spans="1:7" x14ac:dyDescent="0.25">
      <c r="A51" s="88"/>
      <c r="B51" s="88"/>
      <c r="C51" s="88"/>
      <c r="D51" s="117"/>
      <c r="E51" s="88"/>
      <c r="F51" s="117"/>
      <c r="G51" s="159"/>
    </row>
    <row r="52" spans="1:7" x14ac:dyDescent="0.25">
      <c r="A52" s="88"/>
      <c r="B52" s="88"/>
      <c r="C52" s="88"/>
      <c r="D52" s="117"/>
      <c r="E52" s="88"/>
      <c r="F52" s="117"/>
      <c r="G52" s="159"/>
    </row>
    <row r="53" spans="1:7" x14ac:dyDescent="0.25">
      <c r="A53" s="88"/>
      <c r="B53" s="88"/>
      <c r="C53" s="88"/>
      <c r="D53" s="117"/>
      <c r="E53" s="88"/>
      <c r="F53" s="117"/>
      <c r="G53" s="159"/>
    </row>
    <row r="54" spans="1:7" x14ac:dyDescent="0.25">
      <c r="A54" s="88"/>
      <c r="B54" s="88"/>
      <c r="C54" s="88"/>
      <c r="D54" s="117"/>
      <c r="E54" s="88"/>
      <c r="F54" s="117"/>
      <c r="G54" s="159"/>
    </row>
    <row r="55" spans="1:7" x14ac:dyDescent="0.25">
      <c r="A55" s="88"/>
      <c r="B55" s="88"/>
      <c r="C55" s="88"/>
      <c r="D55" s="117"/>
      <c r="E55" s="88"/>
      <c r="F55" s="117"/>
      <c r="G55" s="159"/>
    </row>
    <row r="56" spans="1:7" x14ac:dyDescent="0.25">
      <c r="A56" s="88"/>
      <c r="B56" s="88"/>
      <c r="C56" s="88"/>
      <c r="D56" s="117"/>
      <c r="E56" s="88"/>
      <c r="F56" s="117"/>
      <c r="G56" s="159"/>
    </row>
    <row r="57" spans="1:7" x14ac:dyDescent="0.25">
      <c r="A57" s="210" t="s">
        <v>598</v>
      </c>
      <c r="B57" s="210"/>
      <c r="C57" s="210"/>
      <c r="D57" s="210"/>
      <c r="E57" s="210"/>
      <c r="F57" s="210"/>
      <c r="G57" s="159"/>
    </row>
    <row r="58" spans="1:7" x14ac:dyDescent="0.25">
      <c r="A58" s="88"/>
      <c r="B58" s="88"/>
      <c r="C58" s="88"/>
      <c r="D58" s="117"/>
      <c r="E58" s="88"/>
      <c r="F58" s="117"/>
      <c r="G58" s="159"/>
    </row>
    <row r="59" spans="1:7" x14ac:dyDescent="0.25">
      <c r="A59" s="88"/>
      <c r="B59" s="88"/>
      <c r="C59" s="88"/>
      <c r="D59" s="117"/>
      <c r="E59" s="88"/>
      <c r="F59" s="117"/>
      <c r="G59" s="159"/>
    </row>
    <row r="60" spans="1:7" x14ac:dyDescent="0.25">
      <c r="A60" s="88"/>
      <c r="B60" s="88"/>
      <c r="C60" s="88"/>
      <c r="D60" s="117"/>
      <c r="E60" s="88"/>
      <c r="F60" s="117"/>
      <c r="G60" s="159"/>
    </row>
    <row r="61" spans="1:7" x14ac:dyDescent="0.25">
      <c r="A61" s="88"/>
      <c r="B61" s="88"/>
      <c r="C61" s="88"/>
      <c r="D61" s="117"/>
      <c r="E61" s="88"/>
      <c r="F61" s="117"/>
      <c r="G61" s="159"/>
    </row>
  </sheetData>
  <sheetProtection algorithmName="SHA-512" hashValue="/N2WmQcNe4AfI8uwRFRUEZUN42H6WDpohL0kc0rrJJ9P08OVhm76gTQB8wKDs/EA0AAeCJKvgSVsLIrLnomoQQ==" saltValue="HawYPbWrvYgQbg7PBeilxQ==" spinCount="100000" sheet="1" objects="1" scenarios="1"/>
  <mergeCells count="10">
    <mergeCell ref="A8:J8"/>
    <mergeCell ref="A29:J29"/>
    <mergeCell ref="A39:E39"/>
    <mergeCell ref="A57:F57"/>
    <mergeCell ref="A1:J1"/>
    <mergeCell ref="A2:J2"/>
    <mergeCell ref="A3:J3"/>
    <mergeCell ref="A4:J5"/>
    <mergeCell ref="A6:J6"/>
    <mergeCell ref="A7:J7"/>
  </mergeCells>
  <hyperlinks>
    <hyperlink ref="A2" r:id="rId1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7:BM125"/>
  <sheetViews>
    <sheetView zoomScale="80" zoomScaleNormal="80" workbookViewId="0">
      <selection activeCell="U34" sqref="U34"/>
    </sheetView>
  </sheetViews>
  <sheetFormatPr defaultRowHeight="15" x14ac:dyDescent="0.25"/>
  <sheetData>
    <row r="17" spans="1:48" x14ac:dyDescent="0.25">
      <c r="AK17" t="s">
        <v>277</v>
      </c>
    </row>
    <row r="21" spans="1:48" x14ac:dyDescent="0.25">
      <c r="A21" t="s">
        <v>278</v>
      </c>
    </row>
    <row r="25" spans="1:48" x14ac:dyDescent="0.25">
      <c r="AV25" t="s">
        <v>279</v>
      </c>
    </row>
    <row r="34" spans="14:65" x14ac:dyDescent="0.25">
      <c r="N34" t="s">
        <v>278</v>
      </c>
    </row>
    <row r="36" spans="14:65" x14ac:dyDescent="0.25">
      <c r="AA36" t="s">
        <v>280</v>
      </c>
    </row>
    <row r="39" spans="14:65" x14ac:dyDescent="0.25">
      <c r="BM39" t="s">
        <v>278</v>
      </c>
    </row>
    <row r="49" spans="1:50" x14ac:dyDescent="0.25">
      <c r="AX49" t="s">
        <v>281</v>
      </c>
    </row>
    <row r="60" spans="1:50" x14ac:dyDescent="0.25">
      <c r="A60" t="s">
        <v>282</v>
      </c>
    </row>
    <row r="65" spans="14:37" x14ac:dyDescent="0.25">
      <c r="N65" t="s">
        <v>283</v>
      </c>
    </row>
    <row r="66" spans="14:37" x14ac:dyDescent="0.25">
      <c r="AK66" t="s">
        <v>284</v>
      </c>
    </row>
    <row r="84" spans="1:1" x14ac:dyDescent="0.25">
      <c r="A84" t="s">
        <v>282</v>
      </c>
    </row>
    <row r="125" spans="14:14" x14ac:dyDescent="0.25">
      <c r="N125" t="s">
        <v>285</v>
      </c>
    </row>
  </sheetData>
  <sheetProtection algorithmName="SHA-512" hashValue="bA1OhWbOqJcFudlviUFnkPpsephMaFPzkhiatWl3Mb5FT4vxAX3PCKZrEOZS19pf+YYLNmvCkYFrpkbKojP9XQ==" saltValue="zZCePQPrFX1nGY7CFD4hYw==" spinCount="100000" sheet="1" objects="1" scenarios="1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workbookViewId="0">
      <selection activeCell="A57" sqref="A57"/>
    </sheetView>
  </sheetViews>
  <sheetFormatPr defaultRowHeight="15" customHeight="1" x14ac:dyDescent="0.25"/>
  <cols>
    <col min="1" max="1" width="44" style="10" customWidth="1"/>
    <col min="2" max="2" width="23" style="10" customWidth="1"/>
    <col min="3" max="3" width="41.5703125" style="10" customWidth="1"/>
    <col min="4" max="4" width="30.28515625" style="10" customWidth="1"/>
    <col min="5" max="5" width="17" style="10" bestFit="1" customWidth="1"/>
    <col min="6" max="6" width="32.5703125" style="10" customWidth="1"/>
    <col min="7" max="7" width="23.7109375" style="10" customWidth="1"/>
    <col min="8" max="8" width="22.42578125" style="10" bestFit="1" customWidth="1"/>
    <col min="9" max="16384" width="9.140625" style="10"/>
  </cols>
  <sheetData>
    <row r="1" spans="1:8" s="9" customFormat="1" ht="15" customHeight="1" x14ac:dyDescent="0.25">
      <c r="A1" s="1" t="s">
        <v>0</v>
      </c>
    </row>
    <row r="2" spans="1:8" ht="15" customHeight="1" x14ac:dyDescent="0.25">
      <c r="A2" s="227" t="s">
        <v>1</v>
      </c>
      <c r="B2" s="227"/>
      <c r="C2" s="225" t="s">
        <v>2</v>
      </c>
      <c r="D2" s="226"/>
      <c r="F2" s="7" t="s">
        <v>64</v>
      </c>
      <c r="G2" s="7" t="s">
        <v>40</v>
      </c>
      <c r="H2" s="7" t="s">
        <v>3</v>
      </c>
    </row>
    <row r="3" spans="1:8" ht="15" customHeight="1" x14ac:dyDescent="0.25">
      <c r="A3" s="2" t="s">
        <v>4</v>
      </c>
      <c r="B3" s="2" t="s">
        <v>5</v>
      </c>
      <c r="C3" s="2" t="s">
        <v>4</v>
      </c>
      <c r="D3" s="2" t="s">
        <v>5</v>
      </c>
      <c r="F3" s="222" t="s">
        <v>57</v>
      </c>
      <c r="G3" s="47" t="s">
        <v>58</v>
      </c>
      <c r="H3" s="50">
        <v>2070609.33</v>
      </c>
    </row>
    <row r="4" spans="1:8" ht="15" customHeight="1" x14ac:dyDescent="0.25">
      <c r="A4" s="49" t="s">
        <v>6</v>
      </c>
      <c r="B4" s="50">
        <v>1439541.03</v>
      </c>
      <c r="C4" s="12" t="s">
        <v>7</v>
      </c>
      <c r="D4" s="13">
        <v>7060955</v>
      </c>
      <c r="F4" s="222"/>
      <c r="G4" s="2" t="s">
        <v>59</v>
      </c>
      <c r="H4" s="13">
        <v>1984607.53</v>
      </c>
    </row>
    <row r="5" spans="1:8" ht="15" customHeight="1" x14ac:dyDescent="0.25">
      <c r="A5" s="11" t="s">
        <v>8</v>
      </c>
      <c r="B5" s="13">
        <v>1984607.53</v>
      </c>
      <c r="C5" s="49" t="s">
        <v>9</v>
      </c>
      <c r="D5" s="50">
        <v>7260067.3700000001</v>
      </c>
      <c r="F5" s="222" t="s">
        <v>60</v>
      </c>
      <c r="G5" s="47" t="s">
        <v>58</v>
      </c>
      <c r="H5" s="50">
        <v>2410693</v>
      </c>
    </row>
    <row r="6" spans="1:8" ht="15" customHeight="1" x14ac:dyDescent="0.25">
      <c r="A6" s="225" t="s">
        <v>11</v>
      </c>
      <c r="B6" s="226"/>
      <c r="C6" s="49" t="s">
        <v>10</v>
      </c>
      <c r="D6" s="50">
        <v>22528.62</v>
      </c>
      <c r="F6" s="222"/>
      <c r="G6" s="2" t="s">
        <v>59</v>
      </c>
      <c r="H6" s="13">
        <v>2217643.9700000002</v>
      </c>
    </row>
    <row r="7" spans="1:8" ht="15" customHeight="1" x14ac:dyDescent="0.25">
      <c r="A7" s="2" t="s">
        <v>4</v>
      </c>
      <c r="B7" s="2" t="s">
        <v>5</v>
      </c>
      <c r="C7" s="49" t="s">
        <v>104</v>
      </c>
      <c r="D7" s="50">
        <v>1235.57</v>
      </c>
      <c r="E7" s="228" t="s">
        <v>601</v>
      </c>
      <c r="F7" s="2" t="s">
        <v>11</v>
      </c>
      <c r="G7" s="47" t="s">
        <v>37</v>
      </c>
      <c r="H7" s="50">
        <v>100653.88</v>
      </c>
    </row>
    <row r="8" spans="1:8" ht="15" customHeight="1" x14ac:dyDescent="0.25">
      <c r="A8" s="11" t="s">
        <v>12</v>
      </c>
      <c r="B8" s="13">
        <v>5559450</v>
      </c>
      <c r="C8" s="49" t="s">
        <v>105</v>
      </c>
      <c r="D8" s="50">
        <v>31301.73</v>
      </c>
      <c r="E8" s="228"/>
      <c r="F8" s="223" t="s">
        <v>48</v>
      </c>
      <c r="G8" s="47" t="s">
        <v>61</v>
      </c>
      <c r="H8" s="50">
        <v>1246520.19</v>
      </c>
    </row>
    <row r="9" spans="1:8" ht="15" customHeight="1" x14ac:dyDescent="0.25">
      <c r="A9" s="58" t="s">
        <v>113</v>
      </c>
      <c r="B9" s="59">
        <v>535203</v>
      </c>
      <c r="C9" s="49" t="s">
        <v>106</v>
      </c>
      <c r="D9" s="50">
        <v>245.23</v>
      </c>
      <c r="E9" s="228"/>
      <c r="F9" s="224"/>
      <c r="G9" s="47" t="s">
        <v>62</v>
      </c>
      <c r="H9" s="50">
        <v>75378.77</v>
      </c>
    </row>
    <row r="10" spans="1:8" ht="15" customHeight="1" x14ac:dyDescent="0.25">
      <c r="A10" s="49" t="s">
        <v>112</v>
      </c>
      <c r="B10" s="50">
        <v>204059.42</v>
      </c>
      <c r="C10" s="60" t="s">
        <v>107</v>
      </c>
      <c r="D10" s="61">
        <v>59213.9</v>
      </c>
      <c r="F10" s="222" t="s">
        <v>63</v>
      </c>
      <c r="G10" s="222"/>
      <c r="H10" s="13">
        <f>H3+H7+H5+H8</f>
        <v>5828476.4000000004</v>
      </c>
    </row>
    <row r="11" spans="1:8" ht="15" customHeight="1" x14ac:dyDescent="0.25">
      <c r="A11" s="49" t="s">
        <v>118</v>
      </c>
      <c r="B11" s="50">
        <v>1183218.446</v>
      </c>
      <c r="C11" s="60" t="s">
        <v>108</v>
      </c>
      <c r="D11" s="61">
        <v>233814</v>
      </c>
      <c r="F11" s="222" t="s">
        <v>13</v>
      </c>
      <c r="G11" s="222"/>
      <c r="H11" s="13">
        <f>H4+H6+H7+H8</f>
        <v>5549425.5700000003</v>
      </c>
    </row>
    <row r="12" spans="1:8" ht="15" customHeight="1" x14ac:dyDescent="0.25">
      <c r="A12" s="58" t="s">
        <v>114</v>
      </c>
      <c r="B12" s="59">
        <v>93194.62</v>
      </c>
      <c r="C12" s="60" t="s">
        <v>109</v>
      </c>
      <c r="D12" s="61">
        <v>91742.66</v>
      </c>
    </row>
    <row r="13" spans="1:8" ht="15" customHeight="1" thickBot="1" x14ac:dyDescent="0.3">
      <c r="A13" s="49" t="s">
        <v>117</v>
      </c>
      <c r="B13" s="50">
        <v>3972595.94</v>
      </c>
      <c r="C13" s="60" t="s">
        <v>110</v>
      </c>
      <c r="D13" s="61">
        <v>140298</v>
      </c>
    </row>
    <row r="14" spans="1:8" ht="15" customHeight="1" thickBot="1" x14ac:dyDescent="0.3">
      <c r="A14" s="58" t="s">
        <v>116</v>
      </c>
      <c r="B14" s="59">
        <v>21339</v>
      </c>
      <c r="C14" s="49" t="s">
        <v>111</v>
      </c>
      <c r="D14" s="50">
        <v>51101.38</v>
      </c>
      <c r="F14" s="231" t="s">
        <v>97</v>
      </c>
      <c r="G14" s="232"/>
    </row>
    <row r="15" spans="1:8" ht="15" customHeight="1" thickBot="1" x14ac:dyDescent="0.3">
      <c r="A15" s="49" t="s">
        <v>102</v>
      </c>
      <c r="B15" s="50">
        <v>22351</v>
      </c>
      <c r="C15" s="49" t="s">
        <v>100</v>
      </c>
      <c r="D15" s="50">
        <v>22351</v>
      </c>
      <c r="F15" s="64" t="s">
        <v>88</v>
      </c>
      <c r="G15" s="65">
        <v>18737.050999999999</v>
      </c>
    </row>
    <row r="16" spans="1:8" ht="15" customHeight="1" thickBot="1" x14ac:dyDescent="0.3">
      <c r="A16" s="49" t="s">
        <v>103</v>
      </c>
      <c r="B16" s="50">
        <v>94404</v>
      </c>
      <c r="C16" s="49" t="s">
        <v>101</v>
      </c>
      <c r="D16" s="50">
        <v>95898</v>
      </c>
      <c r="F16" s="64" t="s">
        <v>89</v>
      </c>
      <c r="G16" s="65">
        <v>37406.75</v>
      </c>
    </row>
    <row r="17" spans="1:7" ht="15" customHeight="1" thickBot="1" x14ac:dyDescent="0.3">
      <c r="A17" s="49" t="s">
        <v>115</v>
      </c>
      <c r="B17" s="50">
        <v>100653.88</v>
      </c>
      <c r="C17" s="60" t="s">
        <v>14</v>
      </c>
      <c r="D17" s="61">
        <v>193486</v>
      </c>
      <c r="F17" s="64" t="s">
        <v>90</v>
      </c>
      <c r="G17" s="65">
        <v>72511</v>
      </c>
    </row>
    <row r="18" spans="1:7" ht="15" customHeight="1" thickBot="1" x14ac:dyDescent="0.3">
      <c r="A18" s="11" t="s">
        <v>72</v>
      </c>
      <c r="B18" s="13">
        <v>175.14</v>
      </c>
      <c r="C18" s="60" t="s">
        <v>15</v>
      </c>
      <c r="D18" s="61">
        <v>506250</v>
      </c>
      <c r="F18" s="64" t="s">
        <v>91</v>
      </c>
      <c r="G18" s="65">
        <v>42567.97</v>
      </c>
    </row>
    <row r="19" spans="1:7" ht="15" customHeight="1" thickBot="1" x14ac:dyDescent="0.3">
      <c r="C19" s="11" t="s">
        <v>72</v>
      </c>
      <c r="D19" s="13">
        <v>253.36</v>
      </c>
      <c r="F19" s="64" t="s">
        <v>92</v>
      </c>
      <c r="G19" s="65">
        <v>18202.73</v>
      </c>
    </row>
    <row r="20" spans="1:7" ht="15" customHeight="1" thickBot="1" x14ac:dyDescent="0.3">
      <c r="A20" s="225" t="s">
        <v>16</v>
      </c>
      <c r="B20" s="226"/>
      <c r="C20" s="225" t="s">
        <v>17</v>
      </c>
      <c r="D20" s="226"/>
      <c r="F20" s="64" t="s">
        <v>93</v>
      </c>
      <c r="G20" s="65">
        <v>1276</v>
      </c>
    </row>
    <row r="21" spans="1:7" ht="15" customHeight="1" thickBot="1" x14ac:dyDescent="0.3">
      <c r="A21" s="2" t="s">
        <v>4</v>
      </c>
      <c r="B21" s="2" t="s">
        <v>5</v>
      </c>
      <c r="C21" s="2" t="s">
        <v>4</v>
      </c>
      <c r="D21" s="2" t="s">
        <v>5</v>
      </c>
      <c r="F21" s="64" t="s">
        <v>94</v>
      </c>
      <c r="G21" s="65">
        <v>5148.1000000000004</v>
      </c>
    </row>
    <row r="22" spans="1:7" ht="15" customHeight="1" thickBot="1" x14ac:dyDescent="0.3">
      <c r="A22" s="11" t="s">
        <v>18</v>
      </c>
      <c r="B22" s="13">
        <v>7403875.71</v>
      </c>
      <c r="C22" s="11" t="s">
        <v>19</v>
      </c>
      <c r="D22" s="13">
        <v>7060955</v>
      </c>
      <c r="F22" s="25" t="s">
        <v>95</v>
      </c>
      <c r="G22" s="26">
        <v>6681.6080000000002</v>
      </c>
    </row>
    <row r="23" spans="1:7" ht="15" customHeight="1" thickBot="1" x14ac:dyDescent="0.3">
      <c r="A23" s="49" t="s">
        <v>10</v>
      </c>
      <c r="B23" s="50">
        <v>1894607.53</v>
      </c>
      <c r="C23" s="11" t="s">
        <v>20</v>
      </c>
      <c r="D23" s="13">
        <v>6841531.04</v>
      </c>
      <c r="F23"/>
      <c r="G23" s="27">
        <v>202142.74900000001</v>
      </c>
    </row>
    <row r="24" spans="1:7" ht="15" customHeight="1" thickBot="1" x14ac:dyDescent="0.3">
      <c r="A24" s="49" t="s">
        <v>21</v>
      </c>
      <c r="B24" s="50">
        <v>4945443</v>
      </c>
      <c r="C24" s="11" t="s">
        <v>22</v>
      </c>
      <c r="D24" s="13">
        <v>3038456.85</v>
      </c>
    </row>
    <row r="25" spans="1:7" ht="15" customHeight="1" thickBot="1" x14ac:dyDescent="0.3">
      <c r="A25" s="49" t="s">
        <v>23</v>
      </c>
      <c r="B25" s="50">
        <v>1123891.2</v>
      </c>
      <c r="C25" s="11" t="s">
        <v>24</v>
      </c>
      <c r="D25" s="13">
        <v>40878</v>
      </c>
      <c r="F25" s="70" t="s">
        <v>96</v>
      </c>
      <c r="G25" s="71">
        <v>194852</v>
      </c>
    </row>
    <row r="26" spans="1:7" ht="15" customHeight="1" x14ac:dyDescent="0.25">
      <c r="A26" s="49" t="s">
        <v>25</v>
      </c>
      <c r="B26" s="50">
        <v>5602325.7000000002</v>
      </c>
      <c r="C26" s="60" t="s">
        <v>14</v>
      </c>
      <c r="D26" s="61">
        <v>56663</v>
      </c>
    </row>
    <row r="27" spans="1:7" ht="15" customHeight="1" thickBot="1" x14ac:dyDescent="0.3">
      <c r="A27" s="49" t="s">
        <v>26</v>
      </c>
      <c r="B27" s="50">
        <v>1246520.19</v>
      </c>
      <c r="C27" s="225" t="s">
        <v>27</v>
      </c>
      <c r="D27" s="226"/>
    </row>
    <row r="28" spans="1:7" ht="15" customHeight="1" thickBot="1" x14ac:dyDescent="0.3">
      <c r="A28" s="11" t="s">
        <v>72</v>
      </c>
      <c r="B28" s="13">
        <v>109.28</v>
      </c>
      <c r="C28" s="2" t="s">
        <v>4</v>
      </c>
      <c r="D28" s="2" t="s">
        <v>5</v>
      </c>
      <c r="F28" s="89" t="s">
        <v>152</v>
      </c>
      <c r="G28" s="90">
        <v>477810</v>
      </c>
    </row>
    <row r="29" spans="1:7" ht="15" customHeight="1" x14ac:dyDescent="0.25">
      <c r="A29" s="60" t="s">
        <v>28</v>
      </c>
      <c r="B29" s="61">
        <v>76928</v>
      </c>
      <c r="C29" s="11" t="s">
        <v>30</v>
      </c>
      <c r="D29" s="13">
        <v>3762196.09</v>
      </c>
      <c r="F29" s="20"/>
    </row>
    <row r="30" spans="1:7" ht="15" customHeight="1" x14ac:dyDescent="0.25">
      <c r="A30" s="60" t="s">
        <v>29</v>
      </c>
      <c r="B30" s="61">
        <v>21364</v>
      </c>
      <c r="C30" s="11" t="s">
        <v>32</v>
      </c>
      <c r="D30" s="13">
        <v>3660251.46</v>
      </c>
      <c r="F30" s="20"/>
    </row>
    <row r="31" spans="1:7" ht="15" customHeight="1" x14ac:dyDescent="0.25">
      <c r="A31" s="49" t="s">
        <v>31</v>
      </c>
      <c r="B31" s="50">
        <v>1743609</v>
      </c>
      <c r="C31" s="60" t="s">
        <v>14</v>
      </c>
      <c r="D31" s="61">
        <v>61964</v>
      </c>
    </row>
    <row r="34" spans="1:7" ht="15" customHeight="1" x14ac:dyDescent="0.25">
      <c r="A34" s="7" t="s">
        <v>39</v>
      </c>
      <c r="B34" s="7" t="s">
        <v>40</v>
      </c>
      <c r="C34" s="7" t="s">
        <v>41</v>
      </c>
      <c r="D34" s="7" t="s">
        <v>42</v>
      </c>
      <c r="E34" s="7" t="s">
        <v>43</v>
      </c>
      <c r="F34" s="7" t="s">
        <v>44</v>
      </c>
    </row>
    <row r="35" spans="1:7" ht="15" customHeight="1" x14ac:dyDescent="0.25">
      <c r="A35" s="234" t="s">
        <v>45</v>
      </c>
      <c r="B35" s="47" t="s">
        <v>46</v>
      </c>
      <c r="C35" s="48">
        <v>4010059</v>
      </c>
      <c r="D35" s="48">
        <v>3972595.94</v>
      </c>
      <c r="E35" s="48">
        <f>C35-D35</f>
        <v>37463.060000000056</v>
      </c>
      <c r="F35" s="47" t="s">
        <v>11</v>
      </c>
    </row>
    <row r="36" spans="1:7" ht="15" customHeight="1" x14ac:dyDescent="0.25">
      <c r="A36" s="234"/>
      <c r="B36" s="47" t="s">
        <v>47</v>
      </c>
      <c r="C36" s="48">
        <v>1307259</v>
      </c>
      <c r="D36" s="48">
        <f>1123891.2+D14</f>
        <v>1174992.5799999998</v>
      </c>
      <c r="E36" s="48">
        <f t="shared" ref="E36:E46" si="0">C36-D36</f>
        <v>132266.42000000016</v>
      </c>
      <c r="F36" s="47" t="s">
        <v>48</v>
      </c>
    </row>
    <row r="37" spans="1:7" ht="15" customHeight="1" x14ac:dyDescent="0.25">
      <c r="A37" s="234"/>
      <c r="B37" s="47" t="s">
        <v>33</v>
      </c>
      <c r="C37" s="48">
        <v>794115</v>
      </c>
      <c r="D37" s="48">
        <v>754560.73000000045</v>
      </c>
      <c r="E37" s="48">
        <f>C37-D37</f>
        <v>39554.269999999553</v>
      </c>
      <c r="F37" s="47" t="s">
        <v>48</v>
      </c>
    </row>
    <row r="38" spans="1:7" s="16" customFormat="1" ht="15" customHeight="1" x14ac:dyDescent="0.25">
      <c r="A38" s="234"/>
      <c r="B38" s="47" t="s">
        <v>37</v>
      </c>
      <c r="C38" s="48">
        <v>100654</v>
      </c>
      <c r="D38" s="48">
        <v>93194.62</v>
      </c>
      <c r="E38" s="48">
        <f t="shared" si="0"/>
        <v>7459.3800000000047</v>
      </c>
      <c r="F38" s="47" t="s">
        <v>11</v>
      </c>
    </row>
    <row r="39" spans="1:7" ht="15" customHeight="1" x14ac:dyDescent="0.25">
      <c r="A39" s="234"/>
      <c r="B39" s="47" t="s">
        <v>49</v>
      </c>
      <c r="C39" s="48">
        <v>180728</v>
      </c>
      <c r="D39" s="48">
        <v>180728</v>
      </c>
      <c r="E39" s="48">
        <f t="shared" si="0"/>
        <v>0</v>
      </c>
      <c r="F39" s="47" t="s">
        <v>11</v>
      </c>
    </row>
    <row r="40" spans="1:7" ht="15" customHeight="1" x14ac:dyDescent="0.25">
      <c r="A40" s="234"/>
      <c r="B40" s="47" t="s">
        <v>35</v>
      </c>
      <c r="C40" s="48">
        <v>1246565</v>
      </c>
      <c r="D40" s="48">
        <v>1183218.446</v>
      </c>
      <c r="E40" s="48">
        <f t="shared" si="0"/>
        <v>63346.554000000004</v>
      </c>
      <c r="F40" s="47" t="s">
        <v>11</v>
      </c>
    </row>
    <row r="41" spans="1:7" ht="15" customHeight="1" x14ac:dyDescent="0.25">
      <c r="A41" s="6" t="s">
        <v>48</v>
      </c>
      <c r="B41" s="74" t="s">
        <v>50</v>
      </c>
      <c r="C41" s="19">
        <f>Rotas!S31</f>
        <v>21339</v>
      </c>
      <c r="D41" s="19">
        <f>B14</f>
        <v>21339</v>
      </c>
      <c r="E41" s="19">
        <f>C41-D41</f>
        <v>0</v>
      </c>
      <c r="F41" s="18" t="s">
        <v>11</v>
      </c>
    </row>
    <row r="42" spans="1:7" ht="15" customHeight="1" x14ac:dyDescent="0.25">
      <c r="A42" s="233" t="s">
        <v>70</v>
      </c>
      <c r="B42" s="74" t="s">
        <v>51</v>
      </c>
      <c r="C42" s="19">
        <v>2550</v>
      </c>
      <c r="D42" s="19">
        <v>2550</v>
      </c>
      <c r="E42" s="19">
        <f t="shared" si="0"/>
        <v>0</v>
      </c>
      <c r="F42" s="18" t="s">
        <v>11</v>
      </c>
      <c r="G42" s="229" t="s">
        <v>400</v>
      </c>
    </row>
    <row r="43" spans="1:7" ht="15" customHeight="1" x14ac:dyDescent="0.25">
      <c r="A43" s="233"/>
      <c r="B43" s="74" t="s">
        <v>52</v>
      </c>
      <c r="C43" s="19">
        <v>267</v>
      </c>
      <c r="D43" s="19">
        <v>267</v>
      </c>
      <c r="E43" s="19">
        <f t="shared" si="0"/>
        <v>0</v>
      </c>
      <c r="F43" s="18" t="s">
        <v>11</v>
      </c>
      <c r="G43" s="229"/>
    </row>
    <row r="44" spans="1:7" ht="15" customHeight="1" x14ac:dyDescent="0.25">
      <c r="A44" s="234" t="s">
        <v>53</v>
      </c>
      <c r="B44" s="51" t="s">
        <v>54</v>
      </c>
      <c r="C44" s="62">
        <f>D16</f>
        <v>95898</v>
      </c>
      <c r="D44" s="62">
        <f>B16</f>
        <v>94404</v>
      </c>
      <c r="E44" s="62">
        <f t="shared" si="0"/>
        <v>1494</v>
      </c>
      <c r="F44" s="63" t="s">
        <v>11</v>
      </c>
    </row>
    <row r="45" spans="1:7" ht="15" customHeight="1" x14ac:dyDescent="0.25">
      <c r="A45" s="234"/>
      <c r="B45" s="51" t="s">
        <v>55</v>
      </c>
      <c r="C45" s="48">
        <v>1245</v>
      </c>
      <c r="D45" s="48">
        <v>1245</v>
      </c>
      <c r="E45" s="48">
        <f t="shared" si="0"/>
        <v>0</v>
      </c>
      <c r="F45" s="47" t="s">
        <v>11</v>
      </c>
    </row>
    <row r="46" spans="1:7" ht="23.25" customHeight="1" x14ac:dyDescent="0.25">
      <c r="A46" s="234"/>
      <c r="B46" s="77" t="s">
        <v>56</v>
      </c>
      <c r="C46" s="19">
        <v>19451</v>
      </c>
      <c r="D46" s="19">
        <v>19451</v>
      </c>
      <c r="E46" s="19">
        <f t="shared" si="0"/>
        <v>0</v>
      </c>
      <c r="F46" s="18" t="s">
        <v>11</v>
      </c>
    </row>
    <row r="49" spans="1:5" ht="15" customHeight="1" x14ac:dyDescent="0.25">
      <c r="A49" s="9" t="s">
        <v>243</v>
      </c>
      <c r="B49"/>
      <c r="C49"/>
    </row>
    <row r="50" spans="1:5" ht="15" customHeight="1" x14ac:dyDescent="0.25">
      <c r="A50" s="85" t="s">
        <v>40</v>
      </c>
      <c r="B50" s="86" t="s">
        <v>240</v>
      </c>
      <c r="C50"/>
    </row>
    <row r="51" spans="1:5" ht="15" customHeight="1" x14ac:dyDescent="0.25">
      <c r="A51" s="9" t="s">
        <v>36</v>
      </c>
      <c r="B51" s="32">
        <f>[1]Dados!H36</f>
        <v>8.85</v>
      </c>
      <c r="C51"/>
    </row>
    <row r="52" spans="1:5" ht="15" customHeight="1" x14ac:dyDescent="0.25">
      <c r="A52" s="9" t="s">
        <v>241</v>
      </c>
      <c r="B52" s="87">
        <f>[1]Dados!B58</f>
        <v>12.83</v>
      </c>
      <c r="C52" s="230">
        <f>AVERAGE(B52:B53)</f>
        <v>11.754999999999999</v>
      </c>
    </row>
    <row r="53" spans="1:5" ht="15" customHeight="1" x14ac:dyDescent="0.25">
      <c r="A53" s="9" t="s">
        <v>242</v>
      </c>
      <c r="B53" s="87">
        <f>[1]Dados!B59</f>
        <v>10.68</v>
      </c>
      <c r="C53" s="216"/>
    </row>
    <row r="56" spans="1:5" ht="15" customHeight="1" x14ac:dyDescent="0.25">
      <c r="A56" s="9" t="s">
        <v>496</v>
      </c>
    </row>
    <row r="57" spans="1:5" ht="15" customHeight="1" x14ac:dyDescent="0.25">
      <c r="A57" s="22" t="s">
        <v>78</v>
      </c>
      <c r="B57" s="22" t="s">
        <v>40</v>
      </c>
      <c r="C57" s="22" t="s">
        <v>80</v>
      </c>
      <c r="D57" s="22" t="s">
        <v>81</v>
      </c>
      <c r="E57" s="10" t="s">
        <v>157</v>
      </c>
    </row>
    <row r="58" spans="1:5" ht="15" customHeight="1" x14ac:dyDescent="0.25">
      <c r="A58" s="10" t="s">
        <v>79</v>
      </c>
      <c r="B58" s="3" t="s">
        <v>485</v>
      </c>
      <c r="C58" s="3" t="s">
        <v>82</v>
      </c>
      <c r="E58" s="10" t="s">
        <v>158</v>
      </c>
    </row>
    <row r="59" spans="1:5" ht="15" customHeight="1" x14ac:dyDescent="0.25">
      <c r="A59" s="10" t="s">
        <v>76</v>
      </c>
      <c r="B59" s="3" t="s">
        <v>83</v>
      </c>
      <c r="C59" s="3">
        <v>15</v>
      </c>
      <c r="D59" s="3" t="s">
        <v>77</v>
      </c>
      <c r="E59" s="10" t="s">
        <v>158</v>
      </c>
    </row>
    <row r="60" spans="1:5" ht="15" customHeight="1" x14ac:dyDescent="0.25">
      <c r="A60" s="10" t="s">
        <v>156</v>
      </c>
      <c r="B60" s="3" t="s">
        <v>473</v>
      </c>
      <c r="D60" s="3" t="s">
        <v>155</v>
      </c>
      <c r="E60" s="10" t="s">
        <v>158</v>
      </c>
    </row>
    <row r="61" spans="1:5" ht="15" customHeight="1" x14ac:dyDescent="0.25">
      <c r="A61" s="10" t="s">
        <v>35</v>
      </c>
      <c r="B61" s="3" t="s">
        <v>35</v>
      </c>
      <c r="C61" s="3">
        <v>1</v>
      </c>
      <c r="E61" s="10" t="s">
        <v>159</v>
      </c>
    </row>
    <row r="64" spans="1:5" ht="15" customHeight="1" x14ac:dyDescent="0.25">
      <c r="A64" s="9" t="s">
        <v>654</v>
      </c>
    </row>
  </sheetData>
  <sheetProtection algorithmName="SHA-512" hashValue="yRjb39/UmZOzOsHEKeL0E4q4vQB+IpMcA7qhLx9xCVro7PHODRj9gsbFHUom+NKORBy5Nzdw+YV6+ZUlOLyPQg==" saltValue="ZNCqlkndXoL69P3J8Ty8hw==" spinCount="100000" sheet="1" objects="1" scenarios="1"/>
  <mergeCells count="18">
    <mergeCell ref="E7:E9"/>
    <mergeCell ref="G42:G43"/>
    <mergeCell ref="C52:C53"/>
    <mergeCell ref="F14:G14"/>
    <mergeCell ref="A42:A43"/>
    <mergeCell ref="A44:A46"/>
    <mergeCell ref="A35:A40"/>
    <mergeCell ref="C2:D2"/>
    <mergeCell ref="C20:D20"/>
    <mergeCell ref="C27:D27"/>
    <mergeCell ref="A6:B6"/>
    <mergeCell ref="A20:B20"/>
    <mergeCell ref="A2:B2"/>
    <mergeCell ref="F3:F4"/>
    <mergeCell ref="F5:F6"/>
    <mergeCell ref="F8:F9"/>
    <mergeCell ref="F10:G10"/>
    <mergeCell ref="F11:G11"/>
  </mergeCells>
  <dataValidations disablePrompts="1" count="1">
    <dataValidation type="decimal" operator="greaterThanOrEqual" allowBlank="1" showErrorMessage="1" errorTitle="Positive values only" error="Material consumptions and generations must be positive (&gt;0)." sqref="D40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J108"/>
  <sheetViews>
    <sheetView zoomScale="80" zoomScaleNormal="80" workbookViewId="0">
      <selection activeCell="I41" sqref="I41"/>
    </sheetView>
  </sheetViews>
  <sheetFormatPr defaultRowHeight="15" customHeight="1" x14ac:dyDescent="0.25"/>
  <cols>
    <col min="1" max="2" width="9.140625" style="3"/>
    <col min="3" max="3" width="16.28515625" style="3" customWidth="1"/>
    <col min="4" max="5" width="10.7109375" style="3" customWidth="1"/>
    <col min="6" max="6" width="16.140625" style="3" customWidth="1"/>
    <col min="7" max="7" width="10.7109375" style="3" customWidth="1"/>
    <col min="8" max="8" width="16.28515625" style="3" customWidth="1"/>
    <col min="9" max="9" width="15.7109375" style="3" customWidth="1"/>
    <col min="10" max="10" width="15.42578125" style="3" customWidth="1"/>
    <col min="11" max="11" width="11.28515625" style="3" customWidth="1"/>
    <col min="12" max="12" width="11.85546875" style="3" customWidth="1"/>
    <col min="13" max="13" width="10.85546875" style="3" customWidth="1"/>
    <col min="14" max="14" width="11.42578125" style="3" customWidth="1"/>
    <col min="15" max="15" width="14.42578125" style="3" customWidth="1"/>
    <col min="16" max="16" width="13.85546875" style="3" customWidth="1"/>
    <col min="17" max="17" width="15.42578125" style="3" customWidth="1"/>
    <col min="18" max="19" width="12.85546875" style="3" customWidth="1"/>
    <col min="20" max="20" width="15.140625" style="3" customWidth="1"/>
    <col min="21" max="21" width="17.42578125" style="3" customWidth="1"/>
    <col min="22" max="23" width="9.85546875" style="3" bestFit="1" customWidth="1"/>
    <col min="24" max="24" width="9.140625" style="3"/>
    <col min="25" max="25" width="10.42578125" style="3" customWidth="1"/>
    <col min="26" max="27" width="9.140625" style="3"/>
    <col min="28" max="28" width="16.42578125" style="3" customWidth="1"/>
    <col min="29" max="29" width="11.5703125" style="3" customWidth="1"/>
    <col min="30" max="30" width="9.140625" style="3"/>
    <col min="31" max="31" width="9.85546875" style="3" bestFit="1" customWidth="1"/>
    <col min="32" max="16384" width="9.140625" style="3"/>
  </cols>
  <sheetData>
    <row r="2" spans="1:31" ht="15" customHeight="1" x14ac:dyDescent="0.25">
      <c r="O2" s="100" t="s">
        <v>46</v>
      </c>
      <c r="Q2" s="100" t="s">
        <v>34</v>
      </c>
    </row>
    <row r="3" spans="1:31" ht="15" customHeight="1" x14ac:dyDescent="0.25">
      <c r="O3" s="101">
        <f>Dados!C35</f>
        <v>4010059</v>
      </c>
      <c r="Q3" s="101">
        <f>Dados!C36</f>
        <v>1307259</v>
      </c>
      <c r="W3" s="4"/>
    </row>
    <row r="5" spans="1:31" ht="15" customHeight="1" x14ac:dyDescent="0.25">
      <c r="U5" s="100" t="s">
        <v>37</v>
      </c>
      <c r="W5" s="100" t="s">
        <v>36</v>
      </c>
      <c r="Y5" s="100" t="s">
        <v>38</v>
      </c>
      <c r="AA5" s="100" t="s">
        <v>62</v>
      </c>
    </row>
    <row r="6" spans="1:31" ht="15" customHeight="1" x14ac:dyDescent="0.25">
      <c r="L6" s="112" t="s">
        <v>33</v>
      </c>
      <c r="U6" s="101">
        <f>Dados!H7</f>
        <v>100653.88</v>
      </c>
      <c r="W6" s="101">
        <f>Dados!H3+Dados!H5</f>
        <v>4481302.33</v>
      </c>
      <c r="Y6" s="101">
        <f>Dados!H8</f>
        <v>1246520.19</v>
      </c>
      <c r="AA6" s="101">
        <f>Dados!H9</f>
        <v>75378.77</v>
      </c>
    </row>
    <row r="7" spans="1:31" ht="15" customHeight="1" x14ac:dyDescent="0.25">
      <c r="L7" s="113">
        <f>Dados!C37</f>
        <v>794115</v>
      </c>
    </row>
    <row r="9" spans="1:31" ht="15" customHeight="1" x14ac:dyDescent="0.25">
      <c r="I9" s="100" t="s">
        <v>35</v>
      </c>
    </row>
    <row r="10" spans="1:31" ht="15" customHeight="1" x14ac:dyDescent="0.25">
      <c r="I10" s="101">
        <f>H22+E47+C14</f>
        <v>1816117.66</v>
      </c>
    </row>
    <row r="13" spans="1:31" ht="15" customHeight="1" x14ac:dyDescent="0.25">
      <c r="A13" s="28"/>
      <c r="B13" s="28"/>
      <c r="C13" s="30" t="s">
        <v>610</v>
      </c>
      <c r="D13" s="28"/>
      <c r="E13" s="28"/>
    </row>
    <row r="14" spans="1:31" ht="15" customHeight="1" x14ac:dyDescent="0.25">
      <c r="A14" s="28"/>
      <c r="B14" s="28"/>
      <c r="C14" s="5">
        <v>477810</v>
      </c>
      <c r="D14" s="28"/>
      <c r="E14" s="28"/>
      <c r="AE14" s="100" t="s">
        <v>62</v>
      </c>
    </row>
    <row r="15" spans="1:31" ht="15" customHeight="1" x14ac:dyDescent="0.25">
      <c r="A15" s="28"/>
      <c r="B15" s="28"/>
      <c r="C15" s="28"/>
      <c r="D15" s="28"/>
      <c r="E15" s="28"/>
      <c r="F15" s="28"/>
      <c r="G15" s="28"/>
      <c r="H15" s="28"/>
      <c r="AE15" s="101">
        <f>AA6</f>
        <v>75378.77</v>
      </c>
    </row>
    <row r="16" spans="1:31" ht="15" customHeight="1" x14ac:dyDescent="0.25">
      <c r="A16" s="28"/>
      <c r="B16" s="28"/>
      <c r="C16" s="28"/>
      <c r="D16" s="28"/>
      <c r="E16" s="28"/>
      <c r="F16" s="28"/>
      <c r="G16" s="28"/>
      <c r="H16" s="28"/>
    </row>
    <row r="17" spans="1:36" ht="15" customHeight="1" x14ac:dyDescent="0.25">
      <c r="A17" s="28"/>
      <c r="B17" s="28"/>
      <c r="C17" s="28"/>
      <c r="D17" s="28"/>
      <c r="E17" s="28"/>
      <c r="F17" s="28"/>
      <c r="G17" s="28"/>
      <c r="H17" s="28"/>
    </row>
    <row r="18" spans="1:36" ht="15" customHeight="1" x14ac:dyDescent="0.25">
      <c r="A18" s="28"/>
      <c r="B18" s="28"/>
      <c r="C18" s="28"/>
      <c r="D18" s="28"/>
      <c r="E18" s="28"/>
      <c r="F18" s="28"/>
      <c r="G18" s="28"/>
      <c r="H18" s="28"/>
    </row>
    <row r="19" spans="1:36" ht="15" customHeight="1" x14ac:dyDescent="0.25">
      <c r="F19" s="28"/>
      <c r="G19" s="28"/>
      <c r="H19" s="28"/>
      <c r="R19" s="100" t="s">
        <v>37</v>
      </c>
    </row>
    <row r="20" spans="1:36" ht="15" customHeight="1" x14ac:dyDescent="0.25">
      <c r="F20" s="28"/>
      <c r="G20" s="28"/>
      <c r="H20" s="28"/>
      <c r="R20" s="101">
        <f>Dados!H7</f>
        <v>100653.88</v>
      </c>
    </row>
    <row r="21" spans="1:36" ht="15" customHeight="1" x14ac:dyDescent="0.25">
      <c r="F21" s="28"/>
      <c r="G21" s="28"/>
      <c r="H21" s="100" t="s">
        <v>35</v>
      </c>
      <c r="AC21" s="100" t="s">
        <v>36</v>
      </c>
    </row>
    <row r="22" spans="1:36" ht="15" customHeight="1" x14ac:dyDescent="0.25">
      <c r="F22" s="28"/>
      <c r="G22" s="28"/>
      <c r="H22" s="101">
        <f>Dados!C40</f>
        <v>1246565</v>
      </c>
      <c r="AC22" s="101">
        <f>Dados!H5</f>
        <v>2410693</v>
      </c>
    </row>
    <row r="23" spans="1:36" ht="15" customHeight="1" x14ac:dyDescent="0.25">
      <c r="R23" s="100" t="s">
        <v>75</v>
      </c>
    </row>
    <row r="24" spans="1:36" ht="15" customHeight="1" x14ac:dyDescent="0.25">
      <c r="R24" s="101">
        <f>Dados!C45</f>
        <v>1245</v>
      </c>
    </row>
    <row r="25" spans="1:36" ht="15" customHeight="1" x14ac:dyDescent="0.25">
      <c r="R25" s="24"/>
    </row>
    <row r="26" spans="1:36" ht="15" customHeight="1" x14ac:dyDescent="0.25">
      <c r="R26" s="100" t="s">
        <v>67</v>
      </c>
      <c r="S26" s="100" t="s">
        <v>74</v>
      </c>
    </row>
    <row r="27" spans="1:36" ht="15" customHeight="1" x14ac:dyDescent="0.25">
      <c r="R27" s="101">
        <f>Dados!C39</f>
        <v>180728</v>
      </c>
      <c r="S27" s="101">
        <f>Dados!C46</f>
        <v>19451</v>
      </c>
    </row>
    <row r="28" spans="1:36" ht="15" customHeight="1" x14ac:dyDescent="0.25">
      <c r="AI28" s="29" t="s">
        <v>62</v>
      </c>
      <c r="AJ28" s="14" t="s">
        <v>148</v>
      </c>
    </row>
    <row r="29" spans="1:36" ht="15" customHeight="1" x14ac:dyDescent="0.25">
      <c r="AI29" s="5">
        <f>Dados!H5-Rotas!AA62</f>
        <v>1873097.88</v>
      </c>
    </row>
    <row r="30" spans="1:36" ht="15" customHeight="1" x14ac:dyDescent="0.25">
      <c r="H30" s="100" t="s">
        <v>73</v>
      </c>
      <c r="R30" s="112" t="s">
        <v>68</v>
      </c>
      <c r="S30" s="100" t="s">
        <v>69</v>
      </c>
    </row>
    <row r="31" spans="1:36" ht="15" customHeight="1" x14ac:dyDescent="0.25">
      <c r="H31" s="101">
        <f>Dados!C42+Dados!C43</f>
        <v>2817</v>
      </c>
      <c r="R31" s="101">
        <f>Dados!D16</f>
        <v>95898</v>
      </c>
      <c r="S31" s="101">
        <f>U81-S91</f>
        <v>21339</v>
      </c>
    </row>
    <row r="32" spans="1:36" ht="15" customHeight="1" x14ac:dyDescent="0.25">
      <c r="J32" s="29" t="s">
        <v>34</v>
      </c>
      <c r="K32" s="29" t="s">
        <v>46</v>
      </c>
      <c r="L32" s="29" t="s">
        <v>35</v>
      </c>
      <c r="M32" s="52" t="s">
        <v>68</v>
      </c>
      <c r="O32" s="29" t="s">
        <v>37</v>
      </c>
      <c r="P32" s="29" t="s">
        <v>33</v>
      </c>
      <c r="S32" s="112" t="s">
        <v>71</v>
      </c>
    </row>
    <row r="33" spans="3:34" ht="15" customHeight="1" x14ac:dyDescent="0.25">
      <c r="J33" s="5">
        <f>Q3-T56-F51</f>
        <v>132266.42000000004</v>
      </c>
      <c r="K33" s="5">
        <f>O3-M41</f>
        <v>37463.060000000056</v>
      </c>
      <c r="L33" s="5">
        <f>H22-M43</f>
        <v>63346.554000000004</v>
      </c>
      <c r="M33" s="53">
        <f>R31-K43</f>
        <v>1494</v>
      </c>
      <c r="O33" s="5">
        <f>R20-L43</f>
        <v>7459.2600000000093</v>
      </c>
      <c r="P33" s="5">
        <f>L7-T54</f>
        <v>39554.269999999553</v>
      </c>
      <c r="S33" s="113">
        <f>O83</f>
        <v>22351</v>
      </c>
      <c r="AF33" s="24"/>
    </row>
    <row r="34" spans="3:34" ht="15" customHeight="1" x14ac:dyDescent="0.25">
      <c r="L34" s="67" t="s">
        <v>66</v>
      </c>
      <c r="M34" s="54" t="s">
        <v>69</v>
      </c>
      <c r="AF34" s="24"/>
    </row>
    <row r="35" spans="3:34" ht="15" customHeight="1" x14ac:dyDescent="0.25">
      <c r="L35" s="68">
        <f>Dados!B8-Dados!B24</f>
        <v>614007</v>
      </c>
      <c r="M35" s="5">
        <f>S31-P43</f>
        <v>0</v>
      </c>
      <c r="AF35" s="24"/>
    </row>
    <row r="37" spans="3:34" ht="15" customHeight="1" x14ac:dyDescent="0.25">
      <c r="W37" s="3" t="s">
        <v>65</v>
      </c>
    </row>
    <row r="39" spans="3:34" ht="15" customHeight="1" x14ac:dyDescent="0.25">
      <c r="D39" s="28"/>
      <c r="E39" s="28"/>
      <c r="F39" s="28"/>
      <c r="G39" s="28"/>
      <c r="H39" s="28"/>
    </row>
    <row r="40" spans="3:34" ht="15" customHeight="1" x14ac:dyDescent="0.25">
      <c r="D40" s="28"/>
      <c r="E40" s="28"/>
      <c r="F40" s="28"/>
      <c r="G40" s="28"/>
      <c r="H40" s="28"/>
      <c r="K40" s="100" t="s">
        <v>67</v>
      </c>
      <c r="L40" s="100" t="s">
        <v>75</v>
      </c>
      <c r="M40" s="100" t="s">
        <v>46</v>
      </c>
      <c r="O40" s="100" t="s">
        <v>73</v>
      </c>
      <c r="P40" s="100" t="s">
        <v>71</v>
      </c>
    </row>
    <row r="41" spans="3:34" ht="15" customHeight="1" x14ac:dyDescent="0.25">
      <c r="D41" s="28"/>
      <c r="E41" s="28"/>
      <c r="F41" s="28"/>
      <c r="G41" s="28"/>
      <c r="K41" s="101">
        <f>Dados!B10</f>
        <v>204059.42</v>
      </c>
      <c r="L41" s="101">
        <f>R24</f>
        <v>1245</v>
      </c>
      <c r="M41" s="101">
        <f>Dados!D35</f>
        <v>3972595.94</v>
      </c>
      <c r="O41" s="101">
        <f>H31</f>
        <v>2817</v>
      </c>
      <c r="P41" s="101">
        <f>Dados!B15</f>
        <v>22351</v>
      </c>
      <c r="T41" s="4"/>
    </row>
    <row r="42" spans="3:34" ht="15" customHeight="1" x14ac:dyDescent="0.25">
      <c r="D42" s="28"/>
      <c r="E42" s="28"/>
      <c r="F42" s="28"/>
      <c r="G42" s="28"/>
      <c r="K42" s="112" t="s">
        <v>68</v>
      </c>
      <c r="L42" s="100" t="s">
        <v>37</v>
      </c>
      <c r="M42" s="100" t="s">
        <v>35</v>
      </c>
      <c r="O42" s="100" t="s">
        <v>74</v>
      </c>
      <c r="P42" s="100" t="s">
        <v>69</v>
      </c>
      <c r="AA42" s="100" t="s">
        <v>36</v>
      </c>
    </row>
    <row r="43" spans="3:34" ht="15" customHeight="1" x14ac:dyDescent="0.25">
      <c r="D43" s="28"/>
      <c r="E43" s="28"/>
      <c r="F43" s="28"/>
      <c r="G43" s="28"/>
      <c r="H43" s="28"/>
      <c r="K43" s="101">
        <f>Dados!B16</f>
        <v>94404</v>
      </c>
      <c r="L43" s="101">
        <f>Dados!D38</f>
        <v>93194.62</v>
      </c>
      <c r="M43" s="101">
        <f>Dados!D40</f>
        <v>1183218.446</v>
      </c>
      <c r="O43" s="101">
        <f>Dados!B9</f>
        <v>535203</v>
      </c>
      <c r="P43" s="101">
        <f>Dados!B14</f>
        <v>21339</v>
      </c>
      <c r="AA43" s="101">
        <f>Dados!H3</f>
        <v>2070609.33</v>
      </c>
    </row>
    <row r="44" spans="3:34" ht="15" customHeight="1" x14ac:dyDescent="0.25">
      <c r="D44" s="28"/>
      <c r="E44" s="28"/>
      <c r="F44" s="28"/>
      <c r="G44" s="28"/>
      <c r="H44" s="28"/>
    </row>
    <row r="45" spans="3:34" ht="15" customHeight="1" x14ac:dyDescent="0.25">
      <c r="C45" s="112" t="s">
        <v>153</v>
      </c>
      <c r="I45" s="75"/>
    </row>
    <row r="46" spans="3:34" ht="15" customHeight="1" x14ac:dyDescent="0.25">
      <c r="C46" s="113">
        <f>Dados!D13</f>
        <v>140298</v>
      </c>
      <c r="E46" s="100" t="s">
        <v>35</v>
      </c>
      <c r="I46" s="76"/>
      <c r="Q46" s="236" t="s">
        <v>126</v>
      </c>
      <c r="R46" s="237"/>
      <c r="S46" s="237"/>
      <c r="T46" s="4"/>
      <c r="AG46" s="100" t="s">
        <v>62</v>
      </c>
    </row>
    <row r="47" spans="3:34" ht="15" customHeight="1" x14ac:dyDescent="0.25">
      <c r="C47" s="112" t="s">
        <v>73</v>
      </c>
      <c r="E47" s="101">
        <f>Dados!D12</f>
        <v>91742.66</v>
      </c>
      <c r="I47" s="100" t="s">
        <v>73</v>
      </c>
      <c r="Q47" s="236"/>
      <c r="R47" s="237"/>
      <c r="S47" s="237"/>
      <c r="AD47" s="28"/>
      <c r="AE47" s="28"/>
      <c r="AF47" s="28"/>
      <c r="AG47" s="101">
        <v>60000</v>
      </c>
      <c r="AH47" s="28"/>
    </row>
    <row r="48" spans="3:34" ht="15" customHeight="1" x14ac:dyDescent="0.25">
      <c r="C48" s="113">
        <f>Dados!D11</f>
        <v>233814</v>
      </c>
      <c r="I48" s="101">
        <f>Dados!B12-H31</f>
        <v>90377.62</v>
      </c>
      <c r="AD48" s="28"/>
      <c r="AE48" s="28"/>
      <c r="AF48" s="28"/>
      <c r="AG48" s="28"/>
      <c r="AH48" s="28"/>
    </row>
    <row r="49" spans="3:33" ht="15" customHeight="1" x14ac:dyDescent="0.25">
      <c r="AD49" s="20"/>
      <c r="AE49" s="14"/>
    </row>
    <row r="50" spans="3:33" ht="15" customHeight="1" x14ac:dyDescent="0.25">
      <c r="F50" s="100" t="s">
        <v>119</v>
      </c>
      <c r="L50" s="75"/>
      <c r="AD50" s="20"/>
      <c r="AE50" s="14"/>
    </row>
    <row r="51" spans="3:33" ht="15" customHeight="1" x14ac:dyDescent="0.25">
      <c r="F51" s="101">
        <f>Dados!D14</f>
        <v>51101.38</v>
      </c>
      <c r="I51" s="112" t="s">
        <v>62</v>
      </c>
      <c r="L51" s="76"/>
    </row>
    <row r="52" spans="3:33" ht="15" customHeight="1" x14ac:dyDescent="0.25">
      <c r="I52" s="113">
        <f>Dados!D6</f>
        <v>22528.62</v>
      </c>
      <c r="AA52" s="100" t="s">
        <v>62</v>
      </c>
      <c r="AD52" s="21"/>
      <c r="AE52" s="15"/>
    </row>
    <row r="53" spans="3:33" ht="15" customHeight="1" x14ac:dyDescent="0.25">
      <c r="K53" s="23"/>
      <c r="T53" s="112" t="s">
        <v>33</v>
      </c>
      <c r="AA53" s="101">
        <f>Dados!B4-AG47-I52</f>
        <v>1357012.41</v>
      </c>
      <c r="AF53" s="17"/>
      <c r="AG53" s="17"/>
    </row>
    <row r="54" spans="3:33" ht="15" customHeight="1" x14ac:dyDescent="0.25">
      <c r="I54" s="100" t="s">
        <v>98</v>
      </c>
      <c r="L54" s="23"/>
      <c r="T54" s="113">
        <f>Dados!D37</f>
        <v>754560.73000000045</v>
      </c>
    </row>
    <row r="55" spans="3:33" ht="15" customHeight="1" x14ac:dyDescent="0.25">
      <c r="C55" s="100" t="s">
        <v>99</v>
      </c>
      <c r="I55" s="101">
        <f>Dados!D18+Dados!D10</f>
        <v>565463.9</v>
      </c>
      <c r="L55" s="23"/>
      <c r="Q55" s="100" t="s">
        <v>66</v>
      </c>
      <c r="T55" s="100" t="s">
        <v>34</v>
      </c>
      <c r="W55" s="100" t="s">
        <v>38</v>
      </c>
    </row>
    <row r="56" spans="3:33" ht="15" customHeight="1" x14ac:dyDescent="0.25">
      <c r="C56" s="101">
        <f>Dados!G25</f>
        <v>194852</v>
      </c>
      <c r="Q56" s="101">
        <f>Dados!B24</f>
        <v>4945443</v>
      </c>
      <c r="T56" s="101">
        <f>Dados!B25</f>
        <v>1123891.2</v>
      </c>
      <c r="W56" s="101">
        <f>Y6</f>
        <v>1246520.19</v>
      </c>
    </row>
    <row r="57" spans="3:33" ht="15" customHeight="1" x14ac:dyDescent="0.25">
      <c r="F57" s="28"/>
      <c r="G57" s="28"/>
      <c r="H57" s="28"/>
    </row>
    <row r="58" spans="3:33" ht="15" customHeight="1" x14ac:dyDescent="0.25">
      <c r="F58" s="28"/>
      <c r="G58" s="28"/>
      <c r="H58" s="28"/>
      <c r="AB58" s="4"/>
      <c r="AC58" s="4"/>
    </row>
    <row r="59" spans="3:33" ht="15" customHeight="1" x14ac:dyDescent="0.25">
      <c r="H59" s="15"/>
      <c r="Q59" s="100" t="s">
        <v>33</v>
      </c>
      <c r="W59" s="100" t="s">
        <v>62</v>
      </c>
      <c r="AB59" s="4"/>
    </row>
    <row r="60" spans="3:33" ht="15" customHeight="1" x14ac:dyDescent="0.25">
      <c r="D60" s="23"/>
      <c r="E60" s="23"/>
      <c r="I60" s="30" t="s">
        <v>151</v>
      </c>
      <c r="Q60" s="101">
        <f>Dados!B26-T54</f>
        <v>4847764.97</v>
      </c>
      <c r="W60" s="101">
        <f>Dados!B23</f>
        <v>1894607.53</v>
      </c>
    </row>
    <row r="61" spans="3:33" ht="15" customHeight="1" x14ac:dyDescent="0.25">
      <c r="D61" s="23"/>
      <c r="E61" s="23"/>
      <c r="I61" s="5">
        <f>Dados!D5</f>
        <v>7260067.3700000001</v>
      </c>
      <c r="Q61" s="24"/>
      <c r="X61" s="24"/>
      <c r="AA61" s="100" t="s">
        <v>62</v>
      </c>
    </row>
    <row r="62" spans="3:33" ht="15" customHeight="1" x14ac:dyDescent="0.25">
      <c r="D62" s="23"/>
      <c r="E62" s="23"/>
      <c r="Q62" s="24"/>
      <c r="V62" s="100" t="s">
        <v>98</v>
      </c>
      <c r="X62" s="24"/>
      <c r="AA62" s="101">
        <f>W60-AA53</f>
        <v>537595.12000000011</v>
      </c>
    </row>
    <row r="63" spans="3:33" ht="15" customHeight="1" x14ac:dyDescent="0.25">
      <c r="D63" s="23"/>
      <c r="E63" s="23"/>
      <c r="Q63" s="24"/>
      <c r="V63" s="101">
        <f>Dados!B30</f>
        <v>21364</v>
      </c>
      <c r="X63" s="24"/>
    </row>
    <row r="64" spans="3:33" ht="15" customHeight="1" x14ac:dyDescent="0.25">
      <c r="D64" s="23"/>
      <c r="E64" s="23"/>
      <c r="Q64" s="24"/>
      <c r="X64" s="24"/>
    </row>
    <row r="65" spans="4:30" ht="15" customHeight="1" x14ac:dyDescent="0.25">
      <c r="D65" s="23"/>
      <c r="E65" s="23"/>
      <c r="Q65" s="24"/>
      <c r="X65" s="24"/>
    </row>
    <row r="66" spans="4:30" ht="15" customHeight="1" x14ac:dyDescent="0.25">
      <c r="D66" s="23"/>
      <c r="E66" s="23"/>
      <c r="Q66" s="24"/>
      <c r="X66" s="24"/>
    </row>
    <row r="67" spans="4:30" ht="15" customHeight="1" x14ac:dyDescent="0.25">
      <c r="D67" s="23"/>
      <c r="E67" s="23"/>
      <c r="Q67" s="24"/>
      <c r="X67" s="24"/>
    </row>
    <row r="68" spans="4:30" ht="15" customHeight="1" x14ac:dyDescent="0.25">
      <c r="D68" s="23"/>
      <c r="E68" s="23"/>
      <c r="Q68" s="24"/>
      <c r="X68" s="24"/>
    </row>
    <row r="69" spans="4:30" ht="15" customHeight="1" x14ac:dyDescent="0.25">
      <c r="D69" s="23"/>
      <c r="E69" s="23"/>
      <c r="Q69" s="24"/>
      <c r="X69" s="24"/>
      <c r="AB69" s="100" t="s">
        <v>150</v>
      </c>
    </row>
    <row r="70" spans="4:30" ht="15" customHeight="1" x14ac:dyDescent="0.25">
      <c r="D70" s="23"/>
      <c r="E70" s="23"/>
      <c r="Q70" s="24"/>
      <c r="X70" s="24"/>
      <c r="AB70" s="101">
        <f>Dados!B31</f>
        <v>1743609</v>
      </c>
    </row>
    <row r="71" spans="4:30" ht="15" customHeight="1" x14ac:dyDescent="0.25">
      <c r="D71" s="24"/>
      <c r="E71" s="24"/>
    </row>
    <row r="72" spans="4:30" ht="15" customHeight="1" x14ac:dyDescent="0.25">
      <c r="D72" s="24"/>
      <c r="E72" s="24"/>
      <c r="AA72" s="24"/>
    </row>
    <row r="73" spans="4:30" ht="15" customHeight="1" x14ac:dyDescent="0.25">
      <c r="O73" s="28"/>
      <c r="P73" s="28"/>
      <c r="Q73" s="28"/>
    </row>
    <row r="74" spans="4:30" ht="15" customHeight="1" x14ac:dyDescent="0.25">
      <c r="O74" s="28"/>
      <c r="P74" s="28"/>
      <c r="Q74" s="28"/>
      <c r="Z74" s="100" t="s">
        <v>85</v>
      </c>
      <c r="AA74" s="100" t="s">
        <v>98</v>
      </c>
      <c r="AD74" s="100" t="s">
        <v>98</v>
      </c>
    </row>
    <row r="75" spans="4:30" ht="15" customHeight="1" x14ac:dyDescent="0.25">
      <c r="O75" s="28"/>
      <c r="P75" s="28"/>
      <c r="Q75" s="28"/>
      <c r="Z75" s="101">
        <f>5731.48+634830</f>
        <v>640561.48</v>
      </c>
      <c r="AA75" s="101">
        <f>Dados!D17</f>
        <v>193486</v>
      </c>
      <c r="AD75" s="101">
        <f>Dados!D26</f>
        <v>56663</v>
      </c>
    </row>
    <row r="76" spans="4:30" ht="15" customHeight="1" x14ac:dyDescent="0.25">
      <c r="D76" s="100" t="s">
        <v>84</v>
      </c>
    </row>
    <row r="77" spans="4:30" ht="15" customHeight="1" x14ac:dyDescent="0.25">
      <c r="D77" s="101">
        <f>36679.36+52116.74+85861.75</f>
        <v>174657.85</v>
      </c>
      <c r="V77" s="15"/>
    </row>
    <row r="78" spans="4:30" ht="15" customHeight="1" x14ac:dyDescent="0.25">
      <c r="D78" s="69"/>
      <c r="I78" s="100" t="s">
        <v>149</v>
      </c>
    </row>
    <row r="79" spans="4:30" ht="15" customHeight="1" x14ac:dyDescent="0.25">
      <c r="I79" s="101">
        <v>17411.55</v>
      </c>
      <c r="AA79" s="100" t="s">
        <v>98</v>
      </c>
      <c r="AD79" s="100" t="s">
        <v>98</v>
      </c>
    </row>
    <row r="80" spans="4:30" ht="15" customHeight="1" x14ac:dyDescent="0.25">
      <c r="U80" s="100" t="s">
        <v>87</v>
      </c>
      <c r="AA80" s="101">
        <f>Dados!B29</f>
        <v>76928</v>
      </c>
      <c r="AD80" s="101">
        <f>Dados!D31</f>
        <v>61964</v>
      </c>
    </row>
    <row r="81" spans="4:23" ht="15" customHeight="1" x14ac:dyDescent="0.25">
      <c r="U81" s="101">
        <v>37803</v>
      </c>
    </row>
    <row r="82" spans="4:23" ht="15" customHeight="1" x14ac:dyDescent="0.25">
      <c r="O82" s="112" t="s">
        <v>71</v>
      </c>
      <c r="P82" s="112" t="s">
        <v>68</v>
      </c>
    </row>
    <row r="83" spans="4:23" ht="15" customHeight="1" x14ac:dyDescent="0.25">
      <c r="D83" s="100" t="s">
        <v>85</v>
      </c>
      <c r="O83" s="113">
        <f>Dados!D15</f>
        <v>22351</v>
      </c>
      <c r="P83" s="113">
        <f>N97+Dados!D16</f>
        <v>168409</v>
      </c>
    </row>
    <row r="84" spans="4:23" ht="15" customHeight="1" x14ac:dyDescent="0.25">
      <c r="D84" s="101">
        <f>Z75</f>
        <v>640561.48</v>
      </c>
      <c r="O84" s="15"/>
    </row>
    <row r="85" spans="4:23" ht="15" customHeight="1" x14ac:dyDescent="0.25">
      <c r="O85" s="72"/>
      <c r="P85" s="72"/>
    </row>
    <row r="86" spans="4:23" ht="15" customHeight="1" x14ac:dyDescent="0.25">
      <c r="O86" s="73"/>
      <c r="P86" s="73"/>
      <c r="W86" s="100" t="s">
        <v>86</v>
      </c>
    </row>
    <row r="87" spans="4:23" ht="15" customHeight="1" x14ac:dyDescent="0.25">
      <c r="W87" s="101">
        <v>3329</v>
      </c>
    </row>
    <row r="89" spans="4:23" ht="15" customHeight="1" x14ac:dyDescent="0.25">
      <c r="P89" s="4"/>
      <c r="V89" s="15"/>
    </row>
    <row r="90" spans="4:23" ht="15" customHeight="1" x14ac:dyDescent="0.25">
      <c r="S90" s="67" t="s">
        <v>87</v>
      </c>
    </row>
    <row r="91" spans="4:23" ht="15" customHeight="1" x14ac:dyDescent="0.25">
      <c r="S91" s="68">
        <f>U81-P43</f>
        <v>16464</v>
      </c>
    </row>
    <row r="92" spans="4:23" ht="15" customHeight="1" x14ac:dyDescent="0.25">
      <c r="G92" s="15"/>
    </row>
    <row r="93" spans="4:23" ht="15" customHeight="1" x14ac:dyDescent="0.25">
      <c r="G93" s="15"/>
      <c r="M93" s="100" t="s">
        <v>98</v>
      </c>
      <c r="U93" s="235" t="s">
        <v>125</v>
      </c>
      <c r="V93" s="14" t="s">
        <v>120</v>
      </c>
    </row>
    <row r="94" spans="4:23" ht="15" customHeight="1" x14ac:dyDescent="0.25">
      <c r="H94" s="100" t="s">
        <v>74</v>
      </c>
      <c r="M94" s="101">
        <f>Dados!G16</f>
        <v>37406.75</v>
      </c>
      <c r="U94" s="235"/>
      <c r="V94" s="14" t="s">
        <v>121</v>
      </c>
    </row>
    <row r="95" spans="4:23" ht="15" customHeight="1" x14ac:dyDescent="0.25">
      <c r="H95" s="101">
        <f>Dados!G19</f>
        <v>18202.73</v>
      </c>
      <c r="U95" s="235"/>
      <c r="V95" s="14" t="s">
        <v>122</v>
      </c>
    </row>
    <row r="96" spans="4:23" ht="15" customHeight="1" x14ac:dyDescent="0.25">
      <c r="M96" s="100" t="s">
        <v>86</v>
      </c>
      <c r="N96" s="100" t="s">
        <v>68</v>
      </c>
      <c r="U96" s="235"/>
      <c r="V96" s="14" t="s">
        <v>123</v>
      </c>
    </row>
    <row r="97" spans="3:28" ht="15" customHeight="1" x14ac:dyDescent="0.25">
      <c r="M97" s="101">
        <f>Dados!G18</f>
        <v>42567.97</v>
      </c>
      <c r="N97" s="101">
        <f>Dados!G17</f>
        <v>72511</v>
      </c>
      <c r="U97" s="235"/>
      <c r="V97" s="15" t="s">
        <v>154</v>
      </c>
      <c r="W97" s="17"/>
      <c r="X97" s="17"/>
      <c r="Y97" s="17"/>
      <c r="Z97" s="17"/>
      <c r="AA97" s="17"/>
      <c r="AB97" s="17"/>
    </row>
    <row r="98" spans="3:28" ht="15" customHeight="1" x14ac:dyDescent="0.25">
      <c r="H98" s="100" t="s">
        <v>73</v>
      </c>
      <c r="N98" s="15"/>
      <c r="U98" s="235"/>
      <c r="V98" s="14" t="s">
        <v>124</v>
      </c>
    </row>
    <row r="99" spans="3:28" ht="15" customHeight="1" x14ac:dyDescent="0.25">
      <c r="H99" s="101">
        <f>Dados!G21</f>
        <v>5148.1000000000004</v>
      </c>
      <c r="M99" s="100" t="s">
        <v>86</v>
      </c>
    </row>
    <row r="100" spans="3:28" ht="15" customHeight="1" x14ac:dyDescent="0.25">
      <c r="J100" s="8" t="s">
        <v>93</v>
      </c>
      <c r="M100" s="101">
        <f>Dados!G15</f>
        <v>18737.050999999999</v>
      </c>
    </row>
    <row r="101" spans="3:28" ht="15" customHeight="1" x14ac:dyDescent="0.25">
      <c r="J101" s="5">
        <f>Dados!G20</f>
        <v>1276</v>
      </c>
      <c r="Q101" s="4"/>
    </row>
    <row r="104" spans="3:28" ht="15" customHeight="1" x14ac:dyDescent="0.25">
      <c r="E104" s="66"/>
    </row>
    <row r="105" spans="3:28" ht="15" customHeight="1" x14ac:dyDescent="0.25">
      <c r="E105" s="66"/>
    </row>
    <row r="106" spans="3:28" ht="15" customHeight="1" x14ac:dyDescent="0.25">
      <c r="E106" s="66"/>
    </row>
    <row r="107" spans="3:28" ht="15" customHeight="1" x14ac:dyDescent="0.25">
      <c r="C107" s="100" t="s">
        <v>85</v>
      </c>
      <c r="D107" s="100" t="s">
        <v>84</v>
      </c>
      <c r="F107" s="100" t="s">
        <v>149</v>
      </c>
    </row>
    <row r="108" spans="3:28" ht="15" customHeight="1" x14ac:dyDescent="0.25">
      <c r="C108" s="101">
        <f>5731.48+1694610+634830</f>
        <v>2335171.48</v>
      </c>
      <c r="D108" s="101">
        <f>33745.0112+218913.6+85861.75</f>
        <v>338520.36120000004</v>
      </c>
      <c r="F108" s="101">
        <v>154502</v>
      </c>
    </row>
  </sheetData>
  <sheetProtection algorithmName="SHA-512" hashValue="Gat7aF5lNJw6Ta4BXg8GHpg/OoRcGeEp5LLTj7H8/wR9gfWOKBEBF+8iwAJhxgjX0DxmfoV6vO2S7YQP4Nk0zQ==" saltValue="CPdEx0767J3U2XcQ5GjGqg==" spinCount="100000" sheet="1" objects="1" scenarios="1"/>
  <mergeCells count="2">
    <mergeCell ref="U93:U98"/>
    <mergeCell ref="Q46:S4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1"/>
  <sheetViews>
    <sheetView zoomScale="110" zoomScaleNormal="110" workbookViewId="0">
      <selection activeCell="C237" sqref="C237"/>
    </sheetView>
  </sheetViews>
  <sheetFormatPr defaultRowHeight="15" customHeight="1" x14ac:dyDescent="0.25"/>
  <cols>
    <col min="1" max="1" width="27.5703125" style="9" customWidth="1"/>
    <col min="2" max="2" width="29.7109375" style="9" customWidth="1"/>
    <col min="3" max="3" width="32.85546875" style="9" customWidth="1"/>
    <col min="4" max="5" width="18.28515625" style="9" customWidth="1"/>
    <col min="6" max="6" width="29.140625" style="9" customWidth="1"/>
    <col min="7" max="7" width="14.5703125" style="9" customWidth="1"/>
    <col min="8" max="8" width="17.7109375" style="32" customWidth="1"/>
    <col min="9" max="10" width="10.7109375" style="32" customWidth="1"/>
    <col min="11" max="14" width="9.140625" style="32"/>
    <col min="15" max="17" width="10" style="9" bestFit="1" customWidth="1"/>
    <col min="18" max="16384" width="9.140625" style="9"/>
  </cols>
  <sheetData>
    <row r="1" spans="1:17" ht="15" customHeight="1" x14ac:dyDescent="0.25">
      <c r="A1" s="1" t="s">
        <v>127</v>
      </c>
      <c r="B1" s="31">
        <v>24</v>
      </c>
      <c r="E1" s="31"/>
    </row>
    <row r="2" spans="1:17" ht="15" customHeight="1" x14ac:dyDescent="0.25">
      <c r="A2" s="9" t="s">
        <v>128</v>
      </c>
      <c r="B2" s="33">
        <f>[1]Vento!B8650</f>
        <v>4.1937865160171146</v>
      </c>
      <c r="E2" s="33"/>
      <c r="H2" s="134"/>
      <c r="I2" s="134"/>
    </row>
    <row r="4" spans="1:17" ht="15" customHeight="1" x14ac:dyDescent="0.25">
      <c r="A4" s="1" t="s">
        <v>146</v>
      </c>
      <c r="B4" s="1"/>
      <c r="C4" s="1"/>
    </row>
    <row r="5" spans="1:17" ht="15" customHeight="1" x14ac:dyDescent="0.25">
      <c r="A5" s="250" t="s">
        <v>160</v>
      </c>
      <c r="B5" s="250" t="s">
        <v>161</v>
      </c>
      <c r="C5" s="250" t="s">
        <v>129</v>
      </c>
      <c r="D5" s="252" t="s">
        <v>40</v>
      </c>
      <c r="E5" s="253" t="s">
        <v>130</v>
      </c>
      <c r="F5" s="247" t="s">
        <v>131</v>
      </c>
      <c r="G5" s="247" t="s">
        <v>132</v>
      </c>
      <c r="H5" s="247" t="s">
        <v>133</v>
      </c>
      <c r="I5" s="249" t="s">
        <v>134</v>
      </c>
      <c r="J5" s="249" t="s">
        <v>135</v>
      </c>
      <c r="K5" s="249" t="s">
        <v>136</v>
      </c>
      <c r="L5" s="245" t="s">
        <v>137</v>
      </c>
      <c r="M5" s="246"/>
      <c r="N5" s="246"/>
      <c r="O5" s="245" t="s">
        <v>138</v>
      </c>
      <c r="P5" s="246"/>
      <c r="Q5" s="246"/>
    </row>
    <row r="6" spans="1:17" ht="15" customHeight="1" x14ac:dyDescent="0.25">
      <c r="A6" s="251"/>
      <c r="B6" s="251"/>
      <c r="C6" s="255"/>
      <c r="D6" s="252"/>
      <c r="E6" s="253"/>
      <c r="F6" s="254"/>
      <c r="G6" s="254"/>
      <c r="H6" s="248"/>
      <c r="I6" s="249"/>
      <c r="J6" s="249"/>
      <c r="K6" s="249"/>
      <c r="L6" s="34" t="s">
        <v>139</v>
      </c>
      <c r="M6" s="34" t="s">
        <v>140</v>
      </c>
      <c r="N6" s="34" t="s">
        <v>141</v>
      </c>
      <c r="O6" s="34" t="s">
        <v>139</v>
      </c>
      <c r="P6" s="34" t="s">
        <v>140</v>
      </c>
      <c r="Q6" s="34" t="s">
        <v>141</v>
      </c>
    </row>
    <row r="7" spans="1:17" s="35" customFormat="1" ht="15" customHeight="1" x14ac:dyDescent="0.25">
      <c r="A7" s="258" t="s">
        <v>162</v>
      </c>
      <c r="B7" s="258" t="s">
        <v>163</v>
      </c>
      <c r="C7" s="9" t="s">
        <v>244</v>
      </c>
      <c r="D7" s="36" t="s">
        <v>364</v>
      </c>
      <c r="E7" s="41">
        <f>Dados!B51</f>
        <v>8.85</v>
      </c>
      <c r="F7" s="55" t="s">
        <v>276</v>
      </c>
      <c r="G7" s="55">
        <v>70</v>
      </c>
      <c r="H7" s="37">
        <f>(Rotas!U6+Rotas!W6+Rotas!Y6)/(365*24)</f>
        <v>665.35118721461197</v>
      </c>
      <c r="I7" s="136">
        <v>-20.262974</v>
      </c>
      <c r="J7" s="136">
        <v>-40.228726999999999</v>
      </c>
      <c r="K7" s="91"/>
      <c r="L7" s="39">
        <f>'FE-Britagem e Peneiramento'!B18</f>
        <v>1.2500000000000001E-2</v>
      </c>
      <c r="M7" s="39">
        <f>'FE-Britagem e Peneiramento'!D18</f>
        <v>4.3E-3</v>
      </c>
      <c r="N7" s="39">
        <f>('FE-Transferências'!E4/'FE-Transferências'!A4)*L7</f>
        <v>8.9527027027027034E-4</v>
      </c>
      <c r="O7" s="40">
        <f>(H7*L7)*(1-G7/100)</f>
        <v>2.4950669520547955</v>
      </c>
      <c r="P7" s="40">
        <f>(H7*M7)*(1-G7/100)</f>
        <v>0.85830303150684961</v>
      </c>
      <c r="Q7" s="40">
        <f>(H7*N7)*(1-G7/100)</f>
        <v>0.1787007411606813</v>
      </c>
    </row>
    <row r="8" spans="1:17" s="35" customFormat="1" ht="15" customHeight="1" x14ac:dyDescent="0.25">
      <c r="A8" s="259"/>
      <c r="B8" s="259"/>
      <c r="C8" s="9" t="s">
        <v>147</v>
      </c>
      <c r="D8" s="55" t="s">
        <v>364</v>
      </c>
      <c r="E8" s="41">
        <f>Dados!B51</f>
        <v>8.85</v>
      </c>
      <c r="F8" s="36" t="s">
        <v>191</v>
      </c>
      <c r="G8" s="36">
        <v>0</v>
      </c>
      <c r="H8" s="37">
        <f>(Rotas!U6+Rotas!W6+Rotas!Y6)/(365*24)</f>
        <v>665.35118721461197</v>
      </c>
      <c r="I8" s="136">
        <v>-20.261852000000001</v>
      </c>
      <c r="J8" s="136">
        <v>-40.230164000000002</v>
      </c>
      <c r="K8" s="91"/>
      <c r="L8" s="39">
        <f>'FE-Transferências'!$A$4*0.0016*((($B$2/2.2)^1.3)/(E8/2)^1.4)</f>
        <v>3.4143799460728313E-4</v>
      </c>
      <c r="M8" s="39">
        <f>'FE-Transferências'!$C$4*0.0016*((($B$2/2.2)^1.3)/(E8/2)^1.4)</f>
        <v>1.6149094339533662E-4</v>
      </c>
      <c r="N8" s="39">
        <f>'FE-Transferências'!$E$4*0.0016*((($B$2/2.2)^1.3)/(E8/2)^1.4)</f>
        <v>2.4454342857008118E-5</v>
      </c>
      <c r="O8" s="40">
        <f t="shared" ref="O8:O71" si="0">(H8*L8)*(1-G8/100)</f>
        <v>0.22717617507213211</v>
      </c>
      <c r="P8" s="40">
        <f t="shared" ref="P8:P71" si="1">(H8*M8)*(1-G8/100)</f>
        <v>0.10744819091249493</v>
      </c>
      <c r="Q8" s="40">
        <f t="shared" ref="Q8:Q71" si="2">(H8*N8)*(1-G8/100)</f>
        <v>1.6270726052463515E-2</v>
      </c>
    </row>
    <row r="9" spans="1:17" s="35" customFormat="1" ht="15" customHeight="1" x14ac:dyDescent="0.25">
      <c r="A9" s="260"/>
      <c r="B9" s="260"/>
      <c r="C9" s="9" t="s">
        <v>366</v>
      </c>
      <c r="D9" s="55" t="s">
        <v>364</v>
      </c>
      <c r="E9" s="41">
        <f>Dados!B51</f>
        <v>8.85</v>
      </c>
      <c r="F9" s="36" t="s">
        <v>191</v>
      </c>
      <c r="G9" s="36">
        <v>0</v>
      </c>
      <c r="H9" s="37">
        <f>(Rotas!W6+Rotas!Y6)/(365*24)</f>
        <v>653.86101826484014</v>
      </c>
      <c r="I9" s="136">
        <v>-20.260234000000001</v>
      </c>
      <c r="J9" s="136">
        <v>-40.228982999999999</v>
      </c>
      <c r="K9" s="91"/>
      <c r="L9" s="39">
        <f>'FE-Transferências'!$A$4*0.0016*((($B$2/2.2)^1.3)/(E9/2)^1.4)</f>
        <v>3.4143799460728313E-4</v>
      </c>
      <c r="M9" s="39">
        <f>'FE-Transferências'!$C$4*0.0016*((($B$2/2.2)^1.3)/(E9/2)^1.4)</f>
        <v>1.6149094339533662E-4</v>
      </c>
      <c r="N9" s="39">
        <f>'FE-Transferências'!$E$4*0.0016*((($B$2/2.2)^1.3)/(E9/2)^1.4)</f>
        <v>2.4454342857008118E-5</v>
      </c>
      <c r="O9" s="40">
        <f t="shared" si="0"/>
        <v>0.22325299482822314</v>
      </c>
      <c r="P9" s="40">
        <f t="shared" si="1"/>
        <v>0.10559263268902447</v>
      </c>
      <c r="Q9" s="40">
        <f t="shared" si="2"/>
        <v>1.5989741521480846E-2</v>
      </c>
    </row>
    <row r="10" spans="1:17" s="35" customFormat="1" ht="15" customHeight="1" x14ac:dyDescent="0.25">
      <c r="A10" s="275" t="s">
        <v>162</v>
      </c>
      <c r="B10" s="275" t="s">
        <v>163</v>
      </c>
      <c r="C10" s="9" t="s">
        <v>244</v>
      </c>
      <c r="D10" s="55" t="s">
        <v>62</v>
      </c>
      <c r="E10" s="41">
        <f>Dados!C52</f>
        <v>11.754999999999999</v>
      </c>
      <c r="F10" s="55" t="s">
        <v>276</v>
      </c>
      <c r="G10" s="55">
        <v>70</v>
      </c>
      <c r="H10" s="37">
        <f>Rotas!AA6/(365*24)</f>
        <v>8.6048824200913252</v>
      </c>
      <c r="I10" s="136">
        <v>-20.262974</v>
      </c>
      <c r="J10" s="136">
        <v>-40.228726999999999</v>
      </c>
      <c r="K10" s="91"/>
      <c r="L10" s="39">
        <f>'FE-Britagem e Peneiramento'!C10</f>
        <v>1.0999999999999999E-2</v>
      </c>
      <c r="M10" s="39">
        <f>'FE-Britagem e Peneiramento'!D18</f>
        <v>4.3E-3</v>
      </c>
      <c r="N10" s="39">
        <f>('FE-Transferências'!E4/'FE-Transferências'!A4)*L10</f>
        <v>7.8783783783783784E-4</v>
      </c>
      <c r="O10" s="40">
        <f t="shared" ref="O10:O12" si="3">(H10*L10)*(1-G10/100)</f>
        <v>2.8396111986301376E-2</v>
      </c>
      <c r="P10" s="40">
        <f t="shared" ref="P10:P12" si="4">(H10*M10)*(1-G10/100)</f>
        <v>1.1100298321917812E-2</v>
      </c>
      <c r="Q10" s="40">
        <f t="shared" ref="Q10:Q12" si="5">(H10*N10)*(1-G10/100)</f>
        <v>2.0337755882080715E-3</v>
      </c>
    </row>
    <row r="11" spans="1:17" s="35" customFormat="1" ht="15" customHeight="1" x14ac:dyDescent="0.25">
      <c r="A11" s="238"/>
      <c r="B11" s="238"/>
      <c r="C11" s="9" t="s">
        <v>147</v>
      </c>
      <c r="D11" s="55" t="s">
        <v>62</v>
      </c>
      <c r="E11" s="41">
        <f>Dados!C52</f>
        <v>11.754999999999999</v>
      </c>
      <c r="F11" s="55" t="s">
        <v>191</v>
      </c>
      <c r="G11" s="55">
        <v>0</v>
      </c>
      <c r="H11" s="37">
        <f>Rotas!AA6/(365*24)</f>
        <v>8.6048824200913252</v>
      </c>
      <c r="I11" s="136">
        <v>-20.261852000000001</v>
      </c>
      <c r="J11" s="136">
        <v>-40.230164000000002</v>
      </c>
      <c r="K11" s="91"/>
      <c r="L11" s="39">
        <f>'FE-Transferências'!$A$4*0.0016*((($B$2/2.2)^1.3)/(E11/2)^1.4)</f>
        <v>2.2946726487034963E-4</v>
      </c>
      <c r="M11" s="39">
        <f>'FE-Transferências'!$C$4*0.0016*((($B$2/2.2)^1.3)/(E11/2)^1.4)</f>
        <v>1.0853181446570589E-4</v>
      </c>
      <c r="N11" s="39">
        <f>'FE-Transferências'!$E$4*0.0016*((($B$2/2.2)^1.3)/(E11/2)^1.4)</f>
        <v>1.6434817619092607E-5</v>
      </c>
      <c r="O11" s="40">
        <f t="shared" si="3"/>
        <v>1.9745388334693114E-3</v>
      </c>
      <c r="P11" s="40">
        <f t="shared" si="4"/>
        <v>9.3390350231656598E-4</v>
      </c>
      <c r="Q11" s="40">
        <f t="shared" si="5"/>
        <v>1.4141967320793715E-4</v>
      </c>
    </row>
    <row r="12" spans="1:17" s="35" customFormat="1" ht="15" customHeight="1" x14ac:dyDescent="0.25">
      <c r="A12" s="238"/>
      <c r="B12" s="238"/>
      <c r="C12" s="9" t="s">
        <v>365</v>
      </c>
      <c r="D12" s="55" t="s">
        <v>62</v>
      </c>
      <c r="E12" s="41">
        <f>Dados!C52</f>
        <v>11.754999999999999</v>
      </c>
      <c r="F12" s="55" t="s">
        <v>191</v>
      </c>
      <c r="G12" s="55">
        <v>0</v>
      </c>
      <c r="H12" s="37">
        <f>Rotas!AA6/(365*24)</f>
        <v>8.6048824200913252</v>
      </c>
      <c r="I12" s="136">
        <v>-20.259302999999999</v>
      </c>
      <c r="J12" s="136">
        <v>-40.227148999999997</v>
      </c>
      <c r="K12" s="91"/>
      <c r="L12" s="39">
        <f>'FE-Transferências'!$A$4*0.0016*((($B$2/2.2)^1.3)/(E12/2)^1.4)</f>
        <v>2.2946726487034963E-4</v>
      </c>
      <c r="M12" s="39">
        <f>'FE-Transferências'!$C$4*0.0016*((($B$2/2.2)^1.3)/(E12/2)^1.4)</f>
        <v>1.0853181446570589E-4</v>
      </c>
      <c r="N12" s="39">
        <f>'FE-Transferências'!$E$4*0.0016*((($B$2/2.2)^1.3)/(E12/2)^1.4)</f>
        <v>1.6434817619092607E-5</v>
      </c>
      <c r="O12" s="40">
        <f t="shared" si="3"/>
        <v>1.9745388334693114E-3</v>
      </c>
      <c r="P12" s="40">
        <f t="shared" si="4"/>
        <v>9.3390350231656598E-4</v>
      </c>
      <c r="Q12" s="40">
        <f t="shared" si="5"/>
        <v>1.4141967320793715E-4</v>
      </c>
    </row>
    <row r="13" spans="1:17" s="35" customFormat="1" ht="15" customHeight="1" x14ac:dyDescent="0.25">
      <c r="A13" s="238" t="s">
        <v>163</v>
      </c>
      <c r="B13" s="238" t="s">
        <v>60</v>
      </c>
      <c r="C13" s="9" t="s">
        <v>270</v>
      </c>
      <c r="D13" s="36" t="s">
        <v>36</v>
      </c>
      <c r="E13" s="41">
        <f>Dados!B51</f>
        <v>8.85</v>
      </c>
      <c r="F13" s="55" t="s">
        <v>603</v>
      </c>
      <c r="G13" s="55">
        <f>(1-(1-0.25)*(1-0.84))*100</f>
        <v>88</v>
      </c>
      <c r="H13" s="37">
        <f>(Rotas!AC22)/(365*24)</f>
        <v>275.19326484018262</v>
      </c>
      <c r="I13" s="136">
        <v>-20.257390000000001</v>
      </c>
      <c r="J13" s="136">
        <v>-40.227457999999999</v>
      </c>
      <c r="K13" s="91"/>
      <c r="L13" s="39">
        <f>'FE-Transferências'!$A$4*0.0016*((($B$2/2.2)^1.3)/(E13/2)^1.4)</f>
        <v>3.4143799460728313E-4</v>
      </c>
      <c r="M13" s="39">
        <f>'FE-Transferências'!$C$4*0.0016*((($B$2/2.2)^1.3)/(E13/2)^1.4)</f>
        <v>1.6149094339533662E-4</v>
      </c>
      <c r="N13" s="39">
        <f>'FE-Transferências'!$E$4*0.0016*((($B$2/2.2)^1.3)/(E13/2)^1.4)</f>
        <v>2.4454342857008118E-5</v>
      </c>
      <c r="O13" s="40">
        <f t="shared" si="0"/>
        <v>1.127537237717555E-2</v>
      </c>
      <c r="P13" s="40">
        <f t="shared" si="1"/>
        <v>5.3329463946100572E-3</v>
      </c>
      <c r="Q13" s="40">
        <f t="shared" si="2"/>
        <v>8.0756045404095146E-4</v>
      </c>
    </row>
    <row r="14" spans="1:17" s="35" customFormat="1" ht="15" customHeight="1" x14ac:dyDescent="0.25">
      <c r="A14" s="238"/>
      <c r="B14" s="238"/>
      <c r="C14" s="9" t="s">
        <v>271</v>
      </c>
      <c r="D14" s="55" t="s">
        <v>36</v>
      </c>
      <c r="E14" s="41">
        <f>Dados!B51</f>
        <v>8.85</v>
      </c>
      <c r="F14" s="55" t="s">
        <v>191</v>
      </c>
      <c r="G14" s="55">
        <v>0</v>
      </c>
      <c r="H14" s="37">
        <f>(Rotas!AC22)/(365*24)</f>
        <v>275.19326484018262</v>
      </c>
      <c r="I14" s="136">
        <v>-20.254190000000001</v>
      </c>
      <c r="J14" s="136">
        <v>-40.225057999999997</v>
      </c>
      <c r="K14" s="91"/>
      <c r="L14" s="39">
        <f>'FE-Transferências'!$A$4*0.0016*((($B$2/2.2)^1.3)/(E14/2)^1.4)</f>
        <v>3.4143799460728313E-4</v>
      </c>
      <c r="M14" s="39">
        <f>'FE-Transferências'!$C$4*0.0016*((($B$2/2.2)^1.3)/(E14/2)^1.4)</f>
        <v>1.6149094339533662E-4</v>
      </c>
      <c r="N14" s="39">
        <f>'FE-Transferências'!$E$4*0.0016*((($B$2/2.2)^1.3)/(E14/2)^1.4)</f>
        <v>2.4454342857008118E-5</v>
      </c>
      <c r="O14" s="40">
        <f t="shared" si="0"/>
        <v>9.396143647646292E-2</v>
      </c>
      <c r="P14" s="40">
        <f t="shared" si="1"/>
        <v>4.4441219955083815E-2</v>
      </c>
      <c r="Q14" s="40">
        <f t="shared" si="2"/>
        <v>6.7296704503412626E-3</v>
      </c>
    </row>
    <row r="15" spans="1:17" s="35" customFormat="1" ht="15" customHeight="1" x14ac:dyDescent="0.25">
      <c r="A15" s="238"/>
      <c r="B15" s="238"/>
      <c r="C15" s="9" t="s">
        <v>272</v>
      </c>
      <c r="D15" s="55" t="s">
        <v>36</v>
      </c>
      <c r="E15" s="41">
        <f>Dados!B51</f>
        <v>8.85</v>
      </c>
      <c r="F15" s="55" t="s">
        <v>191</v>
      </c>
      <c r="G15" s="55">
        <v>0</v>
      </c>
      <c r="H15" s="37">
        <f>(Rotas!AC22)/(365*24)</f>
        <v>275.19326484018262</v>
      </c>
      <c r="I15" s="136">
        <v>-20.25337</v>
      </c>
      <c r="J15" s="136">
        <v>-40.226162000000002</v>
      </c>
      <c r="K15" s="91"/>
      <c r="L15" s="39">
        <f>'FE-Transferências'!$A$4*0.0016*((($B$2/2.2)^1.3)/(E15/2)^1.4)</f>
        <v>3.4143799460728313E-4</v>
      </c>
      <c r="M15" s="39">
        <f>'FE-Transferências'!$C$4*0.0016*((($B$2/2.2)^1.3)/(E15/2)^1.4)</f>
        <v>1.6149094339533662E-4</v>
      </c>
      <c r="N15" s="39">
        <f>'FE-Transferências'!$E$4*0.0016*((($B$2/2.2)^1.3)/(E15/2)^1.4)</f>
        <v>2.4454342857008118E-5</v>
      </c>
      <c r="O15" s="40">
        <f t="shared" si="0"/>
        <v>9.396143647646292E-2</v>
      </c>
      <c r="P15" s="40">
        <f t="shared" si="1"/>
        <v>4.4441219955083815E-2</v>
      </c>
      <c r="Q15" s="40">
        <f t="shared" si="2"/>
        <v>6.7296704503412626E-3</v>
      </c>
    </row>
    <row r="16" spans="1:17" s="35" customFormat="1" ht="15" customHeight="1" x14ac:dyDescent="0.25">
      <c r="A16" s="238"/>
      <c r="B16" s="238"/>
      <c r="C16" s="9" t="s">
        <v>273</v>
      </c>
      <c r="D16" s="55" t="s">
        <v>36</v>
      </c>
      <c r="E16" s="41">
        <f>Dados!B51</f>
        <v>8.85</v>
      </c>
      <c r="F16" s="55" t="s">
        <v>191</v>
      </c>
      <c r="G16" s="55">
        <v>0</v>
      </c>
      <c r="H16" s="37">
        <f>(Rotas!AC22)/(365*24)</f>
        <v>275.19326484018262</v>
      </c>
      <c r="I16" s="136">
        <v>-20.252075999999999</v>
      </c>
      <c r="J16" s="136">
        <v>-40.223778000000003</v>
      </c>
      <c r="K16" s="91"/>
      <c r="L16" s="39">
        <f>'FE-Transferências'!$A$4*0.0016*((($B$2/2.2)^1.3)/(E16/2)^1.4)</f>
        <v>3.4143799460728313E-4</v>
      </c>
      <c r="M16" s="39">
        <f>'FE-Transferências'!$C$4*0.0016*((($B$2/2.2)^1.3)/(E16/2)^1.4)</f>
        <v>1.6149094339533662E-4</v>
      </c>
      <c r="N16" s="39">
        <f>'FE-Transferências'!$E$4*0.0016*((($B$2/2.2)^1.3)/(E16/2)^1.4)</f>
        <v>2.4454342857008118E-5</v>
      </c>
      <c r="O16" s="40">
        <f t="shared" si="0"/>
        <v>9.396143647646292E-2</v>
      </c>
      <c r="P16" s="40">
        <f t="shared" si="1"/>
        <v>4.4441219955083815E-2</v>
      </c>
      <c r="Q16" s="40">
        <f t="shared" si="2"/>
        <v>6.7296704503412626E-3</v>
      </c>
    </row>
    <row r="17" spans="1:17" s="35" customFormat="1" ht="15" customHeight="1" x14ac:dyDescent="0.25">
      <c r="A17" s="238"/>
      <c r="B17" s="238"/>
      <c r="C17" s="9" t="s">
        <v>274</v>
      </c>
      <c r="D17" s="55" t="s">
        <v>36</v>
      </c>
      <c r="E17" s="41">
        <f>Dados!B51</f>
        <v>8.85</v>
      </c>
      <c r="F17" s="55" t="s">
        <v>191</v>
      </c>
      <c r="G17" s="55">
        <v>0</v>
      </c>
      <c r="H17" s="37">
        <f>(Rotas!AC22)/(365*24)</f>
        <v>275.19326484018262</v>
      </c>
      <c r="I17" s="136">
        <v>-20.249936999999999</v>
      </c>
      <c r="J17" s="136">
        <v>-40.223464</v>
      </c>
      <c r="K17" s="91"/>
      <c r="L17" s="39">
        <f>'FE-Transferências'!$A$4*0.0016*((($B$2/2.2)^1.3)/(E17/2)^1.4)</f>
        <v>3.4143799460728313E-4</v>
      </c>
      <c r="M17" s="39">
        <f>'FE-Transferências'!$C$4*0.0016*((($B$2/2.2)^1.3)/(E17/2)^1.4)</f>
        <v>1.6149094339533662E-4</v>
      </c>
      <c r="N17" s="39">
        <f>'FE-Transferências'!$E$4*0.0016*((($B$2/2.2)^1.3)/(E17/2)^1.4)</f>
        <v>2.4454342857008118E-5</v>
      </c>
      <c r="O17" s="40">
        <f t="shared" si="0"/>
        <v>9.396143647646292E-2</v>
      </c>
      <c r="P17" s="40">
        <f t="shared" si="1"/>
        <v>4.4441219955083815E-2</v>
      </c>
      <c r="Q17" s="40">
        <f t="shared" si="2"/>
        <v>6.7296704503412626E-3</v>
      </c>
    </row>
    <row r="18" spans="1:17" s="35" customFormat="1" ht="15" customHeight="1" x14ac:dyDescent="0.25">
      <c r="A18" s="238"/>
      <c r="B18" s="238"/>
      <c r="C18" s="9" t="s">
        <v>275</v>
      </c>
      <c r="D18" s="55" t="s">
        <v>36</v>
      </c>
      <c r="E18" s="41">
        <f>Dados!B51</f>
        <v>8.85</v>
      </c>
      <c r="F18" s="55" t="s">
        <v>276</v>
      </c>
      <c r="G18" s="55">
        <v>70</v>
      </c>
      <c r="H18" s="37">
        <f>(Rotas!AC22)/(365*24)</f>
        <v>275.19326484018262</v>
      </c>
      <c r="I18" s="136">
        <v>-20.237832000000001</v>
      </c>
      <c r="J18" s="136">
        <v>-40.228414000000001</v>
      </c>
      <c r="K18" s="55">
        <v>5.6</v>
      </c>
      <c r="L18" s="39">
        <f>'FE-Transferências'!$A$4*0.0016*((($B$2/2.2)^1.3)/(E18/2)^1.4)</f>
        <v>3.4143799460728313E-4</v>
      </c>
      <c r="M18" s="39">
        <f>'FE-Transferências'!$C$4*0.0016*((($B$2/2.2)^1.3)/(E18/2)^1.4)</f>
        <v>1.6149094339533662E-4</v>
      </c>
      <c r="N18" s="39">
        <f>'FE-Transferências'!$E$4*0.0016*((($B$2/2.2)^1.3)/(E18/2)^1.4)</f>
        <v>2.4454342857008118E-5</v>
      </c>
      <c r="O18" s="40">
        <f t="shared" si="0"/>
        <v>2.818843094293888E-2</v>
      </c>
      <c r="P18" s="40">
        <f t="shared" si="1"/>
        <v>1.3332365986525147E-2</v>
      </c>
      <c r="Q18" s="40">
        <f t="shared" si="2"/>
        <v>2.018901135102379E-3</v>
      </c>
    </row>
    <row r="19" spans="1:17" s="35" customFormat="1" ht="15" customHeight="1" x14ac:dyDescent="0.25">
      <c r="A19" s="238" t="s">
        <v>163</v>
      </c>
      <c r="B19" s="238" t="s">
        <v>286</v>
      </c>
      <c r="C19" s="9" t="s">
        <v>270</v>
      </c>
      <c r="D19" s="55" t="s">
        <v>36</v>
      </c>
      <c r="E19" s="41">
        <f>Dados!B51</f>
        <v>8.85</v>
      </c>
      <c r="F19" s="55" t="s">
        <v>603</v>
      </c>
      <c r="G19" s="55">
        <f>(1-(1-0.25)*(1-0.84))*100</f>
        <v>88</v>
      </c>
      <c r="H19" s="37">
        <f>(Rotas!AA43)/(365*24)</f>
        <v>236.3709280821918</v>
      </c>
      <c r="I19" s="136">
        <v>-20.257390000000001</v>
      </c>
      <c r="J19" s="136">
        <v>-40.227457999999999</v>
      </c>
      <c r="K19" s="91"/>
      <c r="L19" s="39">
        <f>'FE-Transferências'!$A$4*0.0016*((($B$2/2.2)^1.3)/(E19/2)^1.4)</f>
        <v>3.4143799460728313E-4</v>
      </c>
      <c r="M19" s="39">
        <f>'FE-Transferências'!$C$4*0.0016*((($B$2/2.2)^1.3)/(E19/2)^1.4)</f>
        <v>1.6149094339533662E-4</v>
      </c>
      <c r="N19" s="39">
        <f>'FE-Transferências'!$E$4*0.0016*((($B$2/2.2)^1.3)/(E19/2)^1.4)</f>
        <v>2.4454342857008118E-5</v>
      </c>
      <c r="O19" s="40">
        <f t="shared" si="0"/>
        <v>9.6847218801415086E-3</v>
      </c>
      <c r="P19" s="40">
        <f t="shared" si="1"/>
        <v>4.5806117000669298E-3</v>
      </c>
      <c r="Q19" s="40">
        <f t="shared" si="2"/>
        <v>6.9363548601013519E-4</v>
      </c>
    </row>
    <row r="20" spans="1:17" s="35" customFormat="1" ht="15" customHeight="1" x14ac:dyDescent="0.25">
      <c r="A20" s="238"/>
      <c r="B20" s="238"/>
      <c r="C20" s="9" t="s">
        <v>287</v>
      </c>
      <c r="D20" s="55" t="s">
        <v>36</v>
      </c>
      <c r="E20" s="41">
        <f>Dados!B51</f>
        <v>8.85</v>
      </c>
      <c r="F20" s="55" t="s">
        <v>191</v>
      </c>
      <c r="G20" s="55">
        <v>0</v>
      </c>
      <c r="H20" s="37">
        <f>(Rotas!AA43)/(365*24)</f>
        <v>236.3709280821918</v>
      </c>
      <c r="I20" s="136">
        <v>-20.254190000000001</v>
      </c>
      <c r="J20" s="136">
        <v>-40.225057999999997</v>
      </c>
      <c r="K20" s="91"/>
      <c r="L20" s="39">
        <f>'FE-Transferências'!$A$4*0.0016*((($B$2/2.2)^1.3)/(E20/2)^1.4)</f>
        <v>3.4143799460728313E-4</v>
      </c>
      <c r="M20" s="39">
        <f>'FE-Transferências'!$C$4*0.0016*((($B$2/2.2)^1.3)/(E20/2)^1.4)</f>
        <v>1.6149094339533662E-4</v>
      </c>
      <c r="N20" s="39">
        <f>'FE-Transferências'!$E$4*0.0016*((($B$2/2.2)^1.3)/(E20/2)^1.4)</f>
        <v>2.4454342857008118E-5</v>
      </c>
      <c r="O20" s="40">
        <f t="shared" si="0"/>
        <v>8.070601566784591E-2</v>
      </c>
      <c r="P20" s="40">
        <f t="shared" si="1"/>
        <v>3.8171764167224419E-2</v>
      </c>
      <c r="Q20" s="40">
        <f t="shared" si="2"/>
        <v>5.7802957167511267E-3</v>
      </c>
    </row>
    <row r="21" spans="1:17" s="35" customFormat="1" ht="15" customHeight="1" x14ac:dyDescent="0.25">
      <c r="A21" s="238"/>
      <c r="B21" s="238"/>
      <c r="C21" s="9" t="s">
        <v>288</v>
      </c>
      <c r="D21" s="55" t="s">
        <v>36</v>
      </c>
      <c r="E21" s="41">
        <f>Dados!B51</f>
        <v>8.85</v>
      </c>
      <c r="F21" s="55" t="s">
        <v>191</v>
      </c>
      <c r="G21" s="55">
        <v>0</v>
      </c>
      <c r="H21" s="37">
        <f>(Rotas!AA43)/(365*24)</f>
        <v>236.3709280821918</v>
      </c>
      <c r="I21" s="136">
        <v>-20.253204</v>
      </c>
      <c r="J21" s="136">
        <v>-40.226562999999999</v>
      </c>
      <c r="K21" s="91"/>
      <c r="L21" s="39">
        <f>'FE-Transferências'!$A$4*0.0016*((($B$2/2.2)^1.3)/(E21/2)^1.4)</f>
        <v>3.4143799460728313E-4</v>
      </c>
      <c r="M21" s="39">
        <f>'FE-Transferências'!$C$4*0.0016*((($B$2/2.2)^1.3)/(E21/2)^1.4)</f>
        <v>1.6149094339533662E-4</v>
      </c>
      <c r="N21" s="39">
        <f>'FE-Transferências'!$E$4*0.0016*((($B$2/2.2)^1.3)/(E21/2)^1.4)</f>
        <v>2.4454342857008118E-5</v>
      </c>
      <c r="O21" s="40">
        <f t="shared" si="0"/>
        <v>8.070601566784591E-2</v>
      </c>
      <c r="P21" s="40">
        <f t="shared" si="1"/>
        <v>3.8171764167224419E-2</v>
      </c>
      <c r="Q21" s="40">
        <f t="shared" si="2"/>
        <v>5.7802957167511267E-3</v>
      </c>
    </row>
    <row r="22" spans="1:17" s="35" customFormat="1" ht="15" customHeight="1" x14ac:dyDescent="0.25">
      <c r="A22" s="238"/>
      <c r="B22" s="238"/>
      <c r="C22" s="9" t="s">
        <v>289</v>
      </c>
      <c r="D22" s="55" t="s">
        <v>36</v>
      </c>
      <c r="E22" s="41">
        <f>Dados!B51</f>
        <v>8.85</v>
      </c>
      <c r="F22" s="55" t="s">
        <v>191</v>
      </c>
      <c r="G22" s="55">
        <v>0</v>
      </c>
      <c r="H22" s="37">
        <f>(Rotas!AA43)/(365*24)</f>
        <v>236.3709280821918</v>
      </c>
      <c r="I22" s="136">
        <v>-20.252154000000001</v>
      </c>
      <c r="J22" s="136">
        <v>-40.228087000000002</v>
      </c>
      <c r="K22" s="91"/>
      <c r="L22" s="39">
        <f>'FE-Transferências'!$A$4*0.0016*((($B$2/2.2)^1.3)/(E22/2)^1.4)</f>
        <v>3.4143799460728313E-4</v>
      </c>
      <c r="M22" s="39">
        <f>'FE-Transferências'!$C$4*0.0016*((($B$2/2.2)^1.3)/(E22/2)^1.4)</f>
        <v>1.6149094339533662E-4</v>
      </c>
      <c r="N22" s="39">
        <f>'FE-Transferências'!$E$4*0.0016*((($B$2/2.2)^1.3)/(E22/2)^1.4)</f>
        <v>2.4454342857008118E-5</v>
      </c>
      <c r="O22" s="40">
        <f t="shared" si="0"/>
        <v>8.070601566784591E-2</v>
      </c>
      <c r="P22" s="40">
        <f t="shared" si="1"/>
        <v>3.8171764167224419E-2</v>
      </c>
      <c r="Q22" s="40">
        <f t="shared" si="2"/>
        <v>5.7802957167511267E-3</v>
      </c>
    </row>
    <row r="23" spans="1:17" s="35" customFormat="1" ht="15" customHeight="1" x14ac:dyDescent="0.25">
      <c r="A23" s="238"/>
      <c r="B23" s="238"/>
      <c r="C23" s="9" t="s">
        <v>290</v>
      </c>
      <c r="D23" s="55" t="s">
        <v>36</v>
      </c>
      <c r="E23" s="41">
        <f>Dados!B51</f>
        <v>8.85</v>
      </c>
      <c r="F23" s="55" t="s">
        <v>276</v>
      </c>
      <c r="G23" s="55">
        <v>70</v>
      </c>
      <c r="H23" s="37">
        <f>(Rotas!AA43)/(365*24)</f>
        <v>236.3709280821918</v>
      </c>
      <c r="I23" s="136">
        <v>-20.251237</v>
      </c>
      <c r="J23" s="136">
        <v>-40.227514999999997</v>
      </c>
      <c r="K23" s="91"/>
      <c r="L23" s="39">
        <f>'FE-Transferências'!$A$4*0.0016*((($B$2/2.2)^1.3)/(E23/2)^1.4)</f>
        <v>3.4143799460728313E-4</v>
      </c>
      <c r="M23" s="39">
        <f>'FE-Transferências'!$C$4*0.0016*((($B$2/2.2)^1.3)/(E23/2)^1.4)</f>
        <v>1.6149094339533662E-4</v>
      </c>
      <c r="N23" s="39">
        <f>'FE-Transferências'!$E$4*0.0016*((($B$2/2.2)^1.3)/(E23/2)^1.4)</f>
        <v>2.4454342857008118E-5</v>
      </c>
      <c r="O23" s="40">
        <f t="shared" si="0"/>
        <v>2.4211804700353775E-2</v>
      </c>
      <c r="P23" s="40">
        <f t="shared" si="1"/>
        <v>1.1451529250167328E-2</v>
      </c>
      <c r="Q23" s="40">
        <f t="shared" si="2"/>
        <v>1.7340887150253384E-3</v>
      </c>
    </row>
    <row r="24" spans="1:17" s="35" customFormat="1" ht="15" customHeight="1" x14ac:dyDescent="0.25">
      <c r="A24" s="238"/>
      <c r="B24" s="238"/>
      <c r="C24" s="35" t="s">
        <v>291</v>
      </c>
      <c r="D24" s="55" t="s">
        <v>36</v>
      </c>
      <c r="E24" s="41">
        <f>Dados!B51</f>
        <v>8.85</v>
      </c>
      <c r="F24" s="55" t="s">
        <v>276</v>
      </c>
      <c r="G24" s="55">
        <v>70</v>
      </c>
      <c r="H24" s="37">
        <f>(Rotas!AA43)/(365*24)</f>
        <v>236.3709280821918</v>
      </c>
      <c r="I24" s="38">
        <v>-20.25057</v>
      </c>
      <c r="J24" s="38">
        <v>-40.228534000000003</v>
      </c>
      <c r="K24" s="91"/>
      <c r="L24" s="39">
        <f>'FE-Britagem e Peneiramento'!B16</f>
        <v>2.7000000000000001E-3</v>
      </c>
      <c r="M24" s="39">
        <f>'FE-Britagem e Peneiramento'!D16</f>
        <v>1.1999999999999999E-3</v>
      </c>
      <c r="N24" s="39">
        <f>('FE-Transferências'!E4/'FE-Transferências'!A4)*L24</f>
        <v>1.933783783783784E-4</v>
      </c>
      <c r="O24" s="40">
        <f t="shared" si="0"/>
        <v>0.19146045174657542</v>
      </c>
      <c r="P24" s="40">
        <f t="shared" si="1"/>
        <v>8.5093534109589045E-2</v>
      </c>
      <c r="Q24" s="40">
        <f>(H24*N24)*(1-G24/100)</f>
        <v>1.3712708030497969E-2</v>
      </c>
    </row>
    <row r="25" spans="1:17" s="35" customFormat="1" ht="15" customHeight="1" x14ac:dyDescent="0.25">
      <c r="A25" s="238"/>
      <c r="B25" s="238"/>
      <c r="C25" s="9" t="s">
        <v>292</v>
      </c>
      <c r="D25" s="55" t="s">
        <v>36</v>
      </c>
      <c r="E25" s="41">
        <f>Dados!B51</f>
        <v>8.85</v>
      </c>
      <c r="F25" s="55" t="s">
        <v>276</v>
      </c>
      <c r="G25" s="55">
        <v>70</v>
      </c>
      <c r="H25" s="37">
        <f>(Rotas!AA43)/(365*24)</f>
        <v>236.3709280821918</v>
      </c>
      <c r="I25" s="136">
        <v>-20.251360999999999</v>
      </c>
      <c r="J25" s="136">
        <v>-40.229075999999999</v>
      </c>
      <c r="K25" s="91"/>
      <c r="L25" s="39">
        <f>'FE-Transferências'!$A$4*0.0016*((($B$2/2.2)^1.3)/(E25/2)^1.4)</f>
        <v>3.4143799460728313E-4</v>
      </c>
      <c r="M25" s="39">
        <f>'FE-Transferências'!$C$4*0.0016*((($B$2/2.2)^1.3)/(E25/2)^1.4)</f>
        <v>1.6149094339533662E-4</v>
      </c>
      <c r="N25" s="39">
        <f>'FE-Transferências'!$E$4*0.0016*((($B$2/2.2)^1.3)/(E25/2)^1.4)</f>
        <v>2.4454342857008118E-5</v>
      </c>
      <c r="O25" s="40">
        <f t="shared" si="0"/>
        <v>2.4211804700353775E-2</v>
      </c>
      <c r="P25" s="40">
        <f t="shared" si="1"/>
        <v>1.1451529250167328E-2</v>
      </c>
      <c r="Q25" s="40">
        <f>(H25*N25)*(1-G25/100)</f>
        <v>1.7340887150253384E-3</v>
      </c>
    </row>
    <row r="26" spans="1:17" s="35" customFormat="1" ht="15" customHeight="1" x14ac:dyDescent="0.25">
      <c r="A26" s="238"/>
      <c r="B26" s="238"/>
      <c r="C26" s="9" t="s">
        <v>293</v>
      </c>
      <c r="D26" s="55" t="s">
        <v>36</v>
      </c>
      <c r="E26" s="41">
        <f>Dados!B51</f>
        <v>8.85</v>
      </c>
      <c r="F26" s="55" t="s">
        <v>276</v>
      </c>
      <c r="G26" s="55">
        <v>70</v>
      </c>
      <c r="H26" s="37">
        <f>(Rotas!AA43)/(365*24)</f>
        <v>236.3709280821918</v>
      </c>
      <c r="I26" s="136">
        <v>-20.251676</v>
      </c>
      <c r="J26" s="136">
        <v>-40.229337000000001</v>
      </c>
      <c r="K26" s="91"/>
      <c r="L26" s="39">
        <f>'FE-Transferências'!$A$4*0.0016*((($B$2/2.2)^1.3)/(E26/2)^1.4)</f>
        <v>3.4143799460728313E-4</v>
      </c>
      <c r="M26" s="39">
        <f>'FE-Transferências'!$C$4*0.0016*((($B$2/2.2)^1.3)/(E26/2)^1.4)</f>
        <v>1.6149094339533662E-4</v>
      </c>
      <c r="N26" s="39">
        <f>'FE-Transferências'!$E$4*0.0016*((($B$2/2.2)^1.3)/(E26/2)^1.4)</f>
        <v>2.4454342857008118E-5</v>
      </c>
      <c r="O26" s="40">
        <f t="shared" si="0"/>
        <v>2.4211804700353775E-2</v>
      </c>
      <c r="P26" s="40">
        <f t="shared" si="1"/>
        <v>1.1451529250167328E-2</v>
      </c>
      <c r="Q26" s="40">
        <f t="shared" si="2"/>
        <v>1.7340887150253384E-3</v>
      </c>
    </row>
    <row r="27" spans="1:17" s="35" customFormat="1" ht="15" customHeight="1" x14ac:dyDescent="0.25">
      <c r="A27" s="238"/>
      <c r="B27" s="238"/>
      <c r="C27" s="9" t="s">
        <v>294</v>
      </c>
      <c r="D27" s="55" t="s">
        <v>36</v>
      </c>
      <c r="E27" s="41">
        <f>Dados!B51</f>
        <v>8.85</v>
      </c>
      <c r="F27" s="55" t="s">
        <v>276</v>
      </c>
      <c r="G27" s="55">
        <v>70</v>
      </c>
      <c r="H27" s="37">
        <f>(Rotas!AA43)/(365*24)</f>
        <v>236.3709280821918</v>
      </c>
      <c r="I27" s="136">
        <v>-20.253166</v>
      </c>
      <c r="J27" s="136">
        <v>-40.230679000000002</v>
      </c>
      <c r="K27" s="91"/>
      <c r="L27" s="39">
        <f>'FE-Transferências'!$A$4*0.0016*((($B$2/2.2)^1.3)/(E27/2)^1.4)</f>
        <v>3.4143799460728313E-4</v>
      </c>
      <c r="M27" s="39">
        <f>'FE-Transferências'!$C$4*0.0016*((($B$2/2.2)^1.3)/(E27/2)^1.4)</f>
        <v>1.6149094339533662E-4</v>
      </c>
      <c r="N27" s="39">
        <f>'FE-Transferências'!$E$4*0.0016*((($B$2/2.2)^1.3)/(E27/2)^1.4)</f>
        <v>2.4454342857008118E-5</v>
      </c>
      <c r="O27" s="40">
        <f t="shared" si="0"/>
        <v>2.4211804700353775E-2</v>
      </c>
      <c r="P27" s="40">
        <f t="shared" si="1"/>
        <v>1.1451529250167328E-2</v>
      </c>
      <c r="Q27" s="40">
        <f t="shared" si="2"/>
        <v>1.7340887150253384E-3</v>
      </c>
    </row>
    <row r="28" spans="1:17" s="35" customFormat="1" ht="15" customHeight="1" x14ac:dyDescent="0.25">
      <c r="A28" s="238"/>
      <c r="B28" s="238"/>
      <c r="C28" s="9" t="s">
        <v>295</v>
      </c>
      <c r="D28" s="55" t="s">
        <v>36</v>
      </c>
      <c r="E28" s="41">
        <f>Dados!B51</f>
        <v>8.85</v>
      </c>
      <c r="F28" s="55" t="s">
        <v>276</v>
      </c>
      <c r="G28" s="55">
        <v>70</v>
      </c>
      <c r="H28" s="37">
        <f>(Rotas!AA43)/(365*24)</f>
        <v>236.3709280821918</v>
      </c>
      <c r="I28" s="136">
        <v>-20.250616999999998</v>
      </c>
      <c r="J28" s="136">
        <v>-40.230870000000003</v>
      </c>
      <c r="K28" s="91"/>
      <c r="L28" s="39">
        <f>'FE-Transferências'!$A$4*0.0016*((($B$2/2.2)^1.3)/(E28/2)^1.4)</f>
        <v>3.4143799460728313E-4</v>
      </c>
      <c r="M28" s="39">
        <f>'FE-Transferências'!$C$4*0.0016*((($B$2/2.2)^1.3)/(E28/2)^1.4)</f>
        <v>1.6149094339533662E-4</v>
      </c>
      <c r="N28" s="39">
        <f>'FE-Transferências'!$E$4*0.0016*((($B$2/2.2)^1.3)/(E28/2)^1.4)</f>
        <v>2.4454342857008118E-5</v>
      </c>
      <c r="O28" s="40">
        <f t="shared" si="0"/>
        <v>2.4211804700353775E-2</v>
      </c>
      <c r="P28" s="40">
        <f t="shared" si="1"/>
        <v>1.1451529250167328E-2</v>
      </c>
      <c r="Q28" s="40">
        <f t="shared" si="2"/>
        <v>1.7340887150253384E-3</v>
      </c>
    </row>
    <row r="29" spans="1:17" s="35" customFormat="1" ht="15" customHeight="1" x14ac:dyDescent="0.25">
      <c r="A29" s="238"/>
      <c r="B29" s="238"/>
      <c r="C29" s="9" t="s">
        <v>296</v>
      </c>
      <c r="D29" s="55" t="s">
        <v>36</v>
      </c>
      <c r="E29" s="41">
        <f>Dados!B51</f>
        <v>8.85</v>
      </c>
      <c r="F29" s="55" t="s">
        <v>276</v>
      </c>
      <c r="G29" s="55">
        <v>70</v>
      </c>
      <c r="H29" s="37">
        <f>(Rotas!AA43)/(365*24)</f>
        <v>236.3709280821918</v>
      </c>
      <c r="I29" s="136">
        <v>-20.252098</v>
      </c>
      <c r="J29" s="136">
        <v>-40.232230999999999</v>
      </c>
      <c r="K29" s="91"/>
      <c r="L29" s="39">
        <f>'FE-Transferências'!$A$4*0.0016*((($B$2/2.2)^1.3)/(E29/2)^1.4)</f>
        <v>3.4143799460728313E-4</v>
      </c>
      <c r="M29" s="39">
        <f>'FE-Transferências'!$C$4*0.0016*((($B$2/2.2)^1.3)/(E29/2)^1.4)</f>
        <v>1.6149094339533662E-4</v>
      </c>
      <c r="N29" s="39">
        <f>'FE-Transferências'!$E$4*0.0016*((($B$2/2.2)^1.3)/(E29/2)^1.4)</f>
        <v>2.4454342857008118E-5</v>
      </c>
      <c r="O29" s="40">
        <f t="shared" si="0"/>
        <v>2.4211804700353775E-2</v>
      </c>
      <c r="P29" s="40">
        <f t="shared" si="1"/>
        <v>1.1451529250167328E-2</v>
      </c>
      <c r="Q29" s="40">
        <f t="shared" si="2"/>
        <v>1.7340887150253384E-3</v>
      </c>
    </row>
    <row r="30" spans="1:17" s="35" customFormat="1" ht="15" customHeight="1" x14ac:dyDescent="0.25">
      <c r="A30" s="238" t="s">
        <v>163</v>
      </c>
      <c r="B30" s="238" t="s">
        <v>302</v>
      </c>
      <c r="C30" s="9" t="s">
        <v>270</v>
      </c>
      <c r="D30" s="36" t="s">
        <v>38</v>
      </c>
      <c r="E30" s="41">
        <f>Dados!B51</f>
        <v>8.85</v>
      </c>
      <c r="F30" s="55" t="s">
        <v>603</v>
      </c>
      <c r="G30" s="55">
        <f>(1-(1-0.25)*(1-0.84))*100</f>
        <v>88</v>
      </c>
      <c r="H30" s="37">
        <f>(Rotas!W56)/(365*24)</f>
        <v>142.29682534246575</v>
      </c>
      <c r="I30" s="136">
        <v>-20.257390000000001</v>
      </c>
      <c r="J30" s="136">
        <v>-40.227457999999999</v>
      </c>
      <c r="K30" s="91"/>
      <c r="L30" s="39">
        <f>'FE-Transferências'!$A$4*0.0016*((($B$2/2.2)^1.3)/(E30/2)^1.4)</f>
        <v>3.4143799460728313E-4</v>
      </c>
      <c r="M30" s="39">
        <f>'FE-Transferências'!$C$4*0.0016*((($B$2/2.2)^1.3)/(E30/2)^1.4)</f>
        <v>1.6149094339533662E-4</v>
      </c>
      <c r="N30" s="39">
        <f>'FE-Transferências'!$E$4*0.0016*((($B$2/2.2)^1.3)/(E30/2)^1.4)</f>
        <v>2.4454342857008118E-5</v>
      </c>
      <c r="O30" s="40">
        <f t="shared" si="0"/>
        <v>5.8302651220697192E-3</v>
      </c>
      <c r="P30" s="40">
        <f t="shared" si="1"/>
        <v>2.7575578280059484E-3</v>
      </c>
      <c r="Q30" s="40">
        <f t="shared" si="2"/>
        <v>4.1757304252661506E-4</v>
      </c>
    </row>
    <row r="31" spans="1:17" s="35" customFormat="1" ht="15" customHeight="1" x14ac:dyDescent="0.25">
      <c r="A31" s="238"/>
      <c r="B31" s="238"/>
      <c r="C31" s="9" t="s">
        <v>297</v>
      </c>
      <c r="D31" s="55" t="s">
        <v>38</v>
      </c>
      <c r="E31" s="41">
        <f>Dados!B51</f>
        <v>8.85</v>
      </c>
      <c r="F31" s="55" t="s">
        <v>191</v>
      </c>
      <c r="G31" s="55">
        <v>0</v>
      </c>
      <c r="H31" s="37">
        <f>(Rotas!W56)/(365*24)</f>
        <v>142.29682534246575</v>
      </c>
      <c r="I31" s="136">
        <v>-20.254190000000001</v>
      </c>
      <c r="J31" s="136">
        <v>-40.225057999999997</v>
      </c>
      <c r="K31" s="91"/>
      <c r="L31" s="39">
        <f>'FE-Transferências'!$A$4*0.0016*((($B$2/2.2)^1.3)/(E31/2)^1.4)</f>
        <v>3.4143799460728313E-4</v>
      </c>
      <c r="M31" s="39">
        <f>'FE-Transferências'!$C$4*0.0016*((($B$2/2.2)^1.3)/(E31/2)^1.4)</f>
        <v>1.6149094339533662E-4</v>
      </c>
      <c r="N31" s="39">
        <f>'FE-Transferências'!$E$4*0.0016*((($B$2/2.2)^1.3)/(E31/2)^1.4)</f>
        <v>2.4454342857008118E-5</v>
      </c>
      <c r="O31" s="40">
        <f t="shared" si="0"/>
        <v>4.858554268391433E-2</v>
      </c>
      <c r="P31" s="40">
        <f t="shared" si="1"/>
        <v>2.2979648566716238E-2</v>
      </c>
      <c r="Q31" s="40">
        <f t="shared" si="2"/>
        <v>3.4797753543884592E-3</v>
      </c>
    </row>
    <row r="32" spans="1:17" s="35" customFormat="1" ht="15" customHeight="1" x14ac:dyDescent="0.25">
      <c r="A32" s="238"/>
      <c r="B32" s="238"/>
      <c r="C32" s="9" t="s">
        <v>298</v>
      </c>
      <c r="D32" s="55" t="s">
        <v>38</v>
      </c>
      <c r="E32" s="41">
        <f>Dados!B51</f>
        <v>8.85</v>
      </c>
      <c r="F32" s="55" t="s">
        <v>191</v>
      </c>
      <c r="G32" s="55">
        <v>0</v>
      </c>
      <c r="H32" s="37">
        <f>(Rotas!W56)/(365*24)</f>
        <v>142.29682534246575</v>
      </c>
      <c r="I32" s="136">
        <v>-20.253204</v>
      </c>
      <c r="J32" s="136">
        <v>-40.226562999999999</v>
      </c>
      <c r="K32" s="91"/>
      <c r="L32" s="39">
        <f>'FE-Transferências'!$A$4*0.0016*((($B$2/2.2)^1.3)/(E32/2)^1.4)</f>
        <v>3.4143799460728313E-4</v>
      </c>
      <c r="M32" s="39">
        <f>'FE-Transferências'!$C$4*0.0016*((($B$2/2.2)^1.3)/(E32/2)^1.4)</f>
        <v>1.6149094339533662E-4</v>
      </c>
      <c r="N32" s="39">
        <f>'FE-Transferências'!$E$4*0.0016*((($B$2/2.2)^1.3)/(E32/2)^1.4)</f>
        <v>2.4454342857008118E-5</v>
      </c>
      <c r="O32" s="40">
        <f t="shared" si="0"/>
        <v>4.858554268391433E-2</v>
      </c>
      <c r="P32" s="40">
        <f t="shared" si="1"/>
        <v>2.2979648566716238E-2</v>
      </c>
      <c r="Q32" s="40">
        <f t="shared" si="2"/>
        <v>3.4797753543884592E-3</v>
      </c>
    </row>
    <row r="33" spans="1:17" s="35" customFormat="1" ht="15" customHeight="1" x14ac:dyDescent="0.25">
      <c r="A33" s="238"/>
      <c r="B33" s="238"/>
      <c r="C33" s="9" t="s">
        <v>299</v>
      </c>
      <c r="D33" s="55" t="s">
        <v>38</v>
      </c>
      <c r="E33" s="41">
        <f>Dados!B51</f>
        <v>8.85</v>
      </c>
      <c r="F33" s="55" t="s">
        <v>276</v>
      </c>
      <c r="G33" s="55">
        <v>75</v>
      </c>
      <c r="H33" s="37">
        <f>(Rotas!W56)/(365*24)</f>
        <v>142.29682534246575</v>
      </c>
      <c r="I33" s="136">
        <v>-20.254085</v>
      </c>
      <c r="J33" s="136">
        <v>-40.227164000000002</v>
      </c>
      <c r="K33" s="91"/>
      <c r="L33" s="39">
        <f>'FE-Transferências'!$A$4*0.0016*((($B$2/2.2)^1.3)/(E33/2)^1.4)</f>
        <v>3.4143799460728313E-4</v>
      </c>
      <c r="M33" s="39">
        <f>'FE-Transferências'!$C$4*0.0016*((($B$2/2.2)^1.3)/(E33/2)^1.4)</f>
        <v>1.6149094339533662E-4</v>
      </c>
      <c r="N33" s="39">
        <f>'FE-Transferências'!$E$4*0.0016*((($B$2/2.2)^1.3)/(E33/2)^1.4)</f>
        <v>2.4454342857008118E-5</v>
      </c>
      <c r="O33" s="40">
        <f t="shared" si="0"/>
        <v>1.2146385670978583E-2</v>
      </c>
      <c r="P33" s="40">
        <f t="shared" si="1"/>
        <v>5.7449121416790596E-3</v>
      </c>
      <c r="Q33" s="40">
        <f t="shared" si="2"/>
        <v>8.6994383859711479E-4</v>
      </c>
    </row>
    <row r="34" spans="1:17" s="35" customFormat="1" ht="15" customHeight="1" x14ac:dyDescent="0.25">
      <c r="A34" s="238"/>
      <c r="B34" s="238"/>
      <c r="C34" s="9" t="s">
        <v>300</v>
      </c>
      <c r="D34" s="55" t="s">
        <v>38</v>
      </c>
      <c r="E34" s="41">
        <f>Dados!B51</f>
        <v>8.85</v>
      </c>
      <c r="F34" s="55" t="s">
        <v>191</v>
      </c>
      <c r="G34" s="55">
        <v>0</v>
      </c>
      <c r="H34" s="37">
        <f>(Rotas!W56)/(365*24)</f>
        <v>142.29682534246575</v>
      </c>
      <c r="I34" s="136">
        <v>-20.257671999999999</v>
      </c>
      <c r="J34" s="136">
        <v>-40.229691000000003</v>
      </c>
      <c r="K34" s="91"/>
      <c r="L34" s="39">
        <f>'FE-Transferências'!$A$4*0.0016*((($B$2/2.2)^1.3)/(E34/2)^1.4)</f>
        <v>3.4143799460728313E-4</v>
      </c>
      <c r="M34" s="39">
        <f>'FE-Transferências'!$C$4*0.0016*((($B$2/2.2)^1.3)/(E34/2)^1.4)</f>
        <v>1.6149094339533662E-4</v>
      </c>
      <c r="N34" s="39">
        <f>'FE-Transferências'!$E$4*0.0016*((($B$2/2.2)^1.3)/(E34/2)^1.4)</f>
        <v>2.4454342857008118E-5</v>
      </c>
      <c r="O34" s="40">
        <f t="shared" si="0"/>
        <v>4.858554268391433E-2</v>
      </c>
      <c r="P34" s="40">
        <f t="shared" si="1"/>
        <v>2.2979648566716238E-2</v>
      </c>
      <c r="Q34" s="40">
        <f t="shared" si="2"/>
        <v>3.4797753543884592E-3</v>
      </c>
    </row>
    <row r="35" spans="1:17" s="35" customFormat="1" ht="15" customHeight="1" x14ac:dyDescent="0.25">
      <c r="A35" s="238"/>
      <c r="B35" s="238"/>
      <c r="C35" s="102" t="s">
        <v>301</v>
      </c>
      <c r="D35" s="103" t="s">
        <v>38</v>
      </c>
      <c r="E35" s="104"/>
      <c r="F35" s="103"/>
      <c r="G35" s="103"/>
      <c r="H35" s="105"/>
      <c r="I35" s="109">
        <v>-20.253674</v>
      </c>
      <c r="J35" s="109">
        <v>-40.235622999999997</v>
      </c>
      <c r="K35" s="103"/>
      <c r="L35" s="106"/>
      <c r="M35" s="106"/>
      <c r="N35" s="106"/>
      <c r="O35" s="107"/>
      <c r="P35" s="107"/>
      <c r="Q35" s="107"/>
    </row>
    <row r="36" spans="1:17" s="35" customFormat="1" ht="15" customHeight="1" x14ac:dyDescent="0.25">
      <c r="A36" s="238"/>
      <c r="B36" s="238"/>
      <c r="C36" s="102" t="s">
        <v>330</v>
      </c>
      <c r="D36" s="103" t="s">
        <v>38</v>
      </c>
      <c r="E36" s="104"/>
      <c r="F36" s="103"/>
      <c r="G36" s="103"/>
      <c r="H36" s="105"/>
      <c r="I36" s="109">
        <v>-20.251079000000001</v>
      </c>
      <c r="J36" s="109">
        <v>-40.239652</v>
      </c>
      <c r="K36" s="103"/>
      <c r="L36" s="106"/>
      <c r="M36" s="106"/>
      <c r="N36" s="106"/>
      <c r="O36" s="107"/>
      <c r="P36" s="107"/>
      <c r="Q36" s="107"/>
    </row>
    <row r="37" spans="1:17" s="35" customFormat="1" ht="15" customHeight="1" x14ac:dyDescent="0.25">
      <c r="A37" s="238" t="s">
        <v>163</v>
      </c>
      <c r="B37" s="238" t="s">
        <v>306</v>
      </c>
      <c r="C37" s="9" t="s">
        <v>303</v>
      </c>
      <c r="D37" s="36" t="s">
        <v>37</v>
      </c>
      <c r="E37" s="41">
        <f>Dados!B51</f>
        <v>8.85</v>
      </c>
      <c r="F37" s="55" t="s">
        <v>603</v>
      </c>
      <c r="G37" s="55">
        <v>84</v>
      </c>
      <c r="H37" s="37">
        <f>Rotas!R20/(365*24)</f>
        <v>11.490168949771689</v>
      </c>
      <c r="I37" s="136">
        <v>-20.257425999999999</v>
      </c>
      <c r="J37" s="136">
        <v>-40.22495</v>
      </c>
      <c r="K37" s="55">
        <v>2</v>
      </c>
      <c r="L37" s="39">
        <f>'FE-Transferências'!$A$4*0.0016*((($B$2/2.2)^1.3)/(E37/2)^1.4)</f>
        <v>3.4143799460728313E-4</v>
      </c>
      <c r="M37" s="39">
        <f>'FE-Transferências'!$C$4*0.0016*((($B$2/2.2)^1.3)/(E37/2)^1.4)</f>
        <v>1.6149094339533662E-4</v>
      </c>
      <c r="N37" s="39">
        <f>'FE-Transferências'!$E$4*0.0016*((($B$2/2.2)^1.3)/(E37/2)^1.4)</f>
        <v>2.4454342857008118E-5</v>
      </c>
      <c r="O37" s="40">
        <f t="shared" si="0"/>
        <v>6.2770883902542709E-4</v>
      </c>
      <c r="P37" s="40">
        <f t="shared" si="1"/>
        <v>2.9688931575526958E-4</v>
      </c>
      <c r="Q37" s="40">
        <f t="shared" si="2"/>
        <v>4.4957524957226536E-5</v>
      </c>
    </row>
    <row r="38" spans="1:17" s="35" customFormat="1" ht="15" customHeight="1" x14ac:dyDescent="0.25">
      <c r="A38" s="238"/>
      <c r="B38" s="238"/>
      <c r="C38" s="9" t="s">
        <v>304</v>
      </c>
      <c r="D38" s="55" t="s">
        <v>37</v>
      </c>
      <c r="E38" s="41">
        <f>Dados!B51</f>
        <v>8.85</v>
      </c>
      <c r="F38" s="55" t="s">
        <v>191</v>
      </c>
      <c r="G38" s="55">
        <v>0</v>
      </c>
      <c r="H38" s="37">
        <f>Rotas!R20/(365*24)</f>
        <v>11.490168949771689</v>
      </c>
      <c r="I38" s="136">
        <v>-20.254825</v>
      </c>
      <c r="J38" s="136">
        <v>-40.235028999999997</v>
      </c>
      <c r="K38" s="55">
        <v>2</v>
      </c>
      <c r="L38" s="39">
        <f>'FE-Transferências'!$A$4*0.0016*((($B$2/2.2)^1.3)/(E38/2)^1.4)</f>
        <v>3.4143799460728313E-4</v>
      </c>
      <c r="M38" s="39">
        <f>'FE-Transferências'!$C$4*0.0016*((($B$2/2.2)^1.3)/(E38/2)^1.4)</f>
        <v>1.6149094339533662E-4</v>
      </c>
      <c r="N38" s="39">
        <f>'FE-Transferências'!$E$4*0.0016*((($B$2/2.2)^1.3)/(E38/2)^1.4)</f>
        <v>2.4454342857008118E-5</v>
      </c>
      <c r="O38" s="40">
        <f t="shared" si="0"/>
        <v>3.9231802439089183E-3</v>
      </c>
      <c r="P38" s="40">
        <f t="shared" si="1"/>
        <v>1.8555582234704344E-3</v>
      </c>
      <c r="Q38" s="40">
        <f t="shared" si="2"/>
        <v>2.8098453098266579E-4</v>
      </c>
    </row>
    <row r="39" spans="1:17" s="35" customFormat="1" ht="15" customHeight="1" x14ac:dyDescent="0.25">
      <c r="A39" s="238" t="s">
        <v>405</v>
      </c>
      <c r="B39" s="238" t="s">
        <v>313</v>
      </c>
      <c r="C39" s="9" t="s">
        <v>307</v>
      </c>
      <c r="D39" s="55" t="s">
        <v>37</v>
      </c>
      <c r="E39" s="41">
        <f>Dados!B51</f>
        <v>8.85</v>
      </c>
      <c r="F39" s="55" t="s">
        <v>340</v>
      </c>
      <c r="G39" s="55">
        <v>50</v>
      </c>
      <c r="H39" s="37">
        <f>Rotas!L43/(365*24)</f>
        <v>10.638655251141552</v>
      </c>
      <c r="I39" s="136">
        <v>-20.254975000000002</v>
      </c>
      <c r="J39" s="136">
        <v>-40.235605</v>
      </c>
      <c r="K39" s="55">
        <v>2</v>
      </c>
      <c r="L39" s="39">
        <f>'FE-Transferências'!$A$4*0.0016*((($B$2/2.2)^1.3)/(E39/2)^1.4)</f>
        <v>3.4143799460728313E-4</v>
      </c>
      <c r="M39" s="39">
        <f>'FE-Transferências'!$C$4*0.0016*((($B$2/2.2)^1.3)/(E39/2)^1.4)</f>
        <v>1.6149094339533662E-4</v>
      </c>
      <c r="N39" s="39">
        <f>'FE-Transferências'!$E$4*0.0016*((($B$2/2.2)^1.3)/(E39/2)^1.4)</f>
        <v>2.4454342857008118E-5</v>
      </c>
      <c r="O39" s="40">
        <f t="shared" si="0"/>
        <v>1.8162205571340068E-3</v>
      </c>
      <c r="P39" s="40">
        <f t="shared" si="1"/>
        <v>8.5902323648230053E-4</v>
      </c>
      <c r="Q39" s="40">
        <f t="shared" si="2"/>
        <v>1.3008066152446265E-4</v>
      </c>
    </row>
    <row r="40" spans="1:17" s="35" customFormat="1" ht="15" customHeight="1" x14ac:dyDescent="0.25">
      <c r="A40" s="238"/>
      <c r="B40" s="238"/>
      <c r="C40" s="9" t="s">
        <v>308</v>
      </c>
      <c r="D40" s="55" t="s">
        <v>37</v>
      </c>
      <c r="E40" s="41">
        <f>Dados!B51</f>
        <v>8.85</v>
      </c>
      <c r="F40" s="55" t="s">
        <v>191</v>
      </c>
      <c r="G40" s="55">
        <v>0</v>
      </c>
      <c r="H40" s="37">
        <f>Rotas!L43/(365*24)</f>
        <v>10.638655251141552</v>
      </c>
      <c r="I40" s="136">
        <v>-20.256271000000002</v>
      </c>
      <c r="J40" s="136">
        <v>-40.233747999999999</v>
      </c>
      <c r="K40" s="91"/>
      <c r="L40" s="39">
        <f>'FE-Transferências'!$A$4*0.0016*((($B$2/2.2)^1.3)/(E40/2)^1.4)</f>
        <v>3.4143799460728313E-4</v>
      </c>
      <c r="M40" s="39">
        <f>'FE-Transferências'!$C$4*0.0016*((($B$2/2.2)^1.3)/(E40/2)^1.4)</f>
        <v>1.6149094339533662E-4</v>
      </c>
      <c r="N40" s="39">
        <f>'FE-Transferências'!$E$4*0.0016*((($B$2/2.2)^1.3)/(E40/2)^1.4)</f>
        <v>2.4454342857008118E-5</v>
      </c>
      <c r="O40" s="40">
        <f t="shared" si="0"/>
        <v>3.6324411142680136E-3</v>
      </c>
      <c r="P40" s="40">
        <f t="shared" si="1"/>
        <v>1.7180464729646011E-3</v>
      </c>
      <c r="Q40" s="40">
        <f t="shared" si="2"/>
        <v>2.601613230489253E-4</v>
      </c>
    </row>
    <row r="41" spans="1:17" s="35" customFormat="1" ht="15" customHeight="1" x14ac:dyDescent="0.25">
      <c r="A41" s="238"/>
      <c r="B41" s="238"/>
      <c r="C41" s="9" t="s">
        <v>309</v>
      </c>
      <c r="D41" s="55" t="s">
        <v>37</v>
      </c>
      <c r="E41" s="41">
        <f>Dados!B51</f>
        <v>8.85</v>
      </c>
      <c r="F41" s="55" t="s">
        <v>191</v>
      </c>
      <c r="G41" s="55">
        <v>0</v>
      </c>
      <c r="H41" s="37">
        <f>Rotas!L43/(365*24)</f>
        <v>10.638655251141552</v>
      </c>
      <c r="I41" s="136">
        <v>-20.255362999999999</v>
      </c>
      <c r="J41" s="136">
        <v>-40.233089999999997</v>
      </c>
      <c r="K41" s="91"/>
      <c r="L41" s="39">
        <f>'FE-Transferências'!$A$4*0.0016*((($B$2/2.2)^1.3)/(E41/2)^1.4)</f>
        <v>3.4143799460728313E-4</v>
      </c>
      <c r="M41" s="39">
        <f>'FE-Transferências'!$C$4*0.0016*((($B$2/2.2)^1.3)/(E41/2)^1.4)</f>
        <v>1.6149094339533662E-4</v>
      </c>
      <c r="N41" s="39">
        <f>'FE-Transferências'!$E$4*0.0016*((($B$2/2.2)^1.3)/(E41/2)^1.4)</f>
        <v>2.4454342857008118E-5</v>
      </c>
      <c r="O41" s="40">
        <f t="shared" si="0"/>
        <v>3.6324411142680136E-3</v>
      </c>
      <c r="P41" s="40">
        <f t="shared" si="1"/>
        <v>1.7180464729646011E-3</v>
      </c>
      <c r="Q41" s="40">
        <f t="shared" si="2"/>
        <v>2.601613230489253E-4</v>
      </c>
    </row>
    <row r="42" spans="1:17" s="35" customFormat="1" ht="15" customHeight="1" x14ac:dyDescent="0.25">
      <c r="A42" s="238"/>
      <c r="B42" s="238"/>
      <c r="C42" s="102" t="s">
        <v>310</v>
      </c>
      <c r="D42" s="103" t="s">
        <v>37</v>
      </c>
      <c r="E42" s="104"/>
      <c r="F42" s="103"/>
      <c r="G42" s="103"/>
      <c r="H42" s="105"/>
      <c r="I42" s="109">
        <v>-20.253755000000002</v>
      </c>
      <c r="J42" s="109">
        <v>-40.235633999999997</v>
      </c>
      <c r="K42" s="103"/>
      <c r="L42" s="106"/>
      <c r="M42" s="106"/>
      <c r="N42" s="106"/>
      <c r="O42" s="107"/>
      <c r="P42" s="107"/>
      <c r="Q42" s="107"/>
    </row>
    <row r="43" spans="1:17" s="35" customFormat="1" ht="15" customHeight="1" x14ac:dyDescent="0.25">
      <c r="A43" s="238"/>
      <c r="B43" s="238"/>
      <c r="C43" s="102" t="s">
        <v>311</v>
      </c>
      <c r="D43" s="103" t="s">
        <v>37</v>
      </c>
      <c r="E43" s="104"/>
      <c r="F43" s="103"/>
      <c r="G43" s="103"/>
      <c r="H43" s="105"/>
      <c r="I43" s="109">
        <v>-20.253423000000002</v>
      </c>
      <c r="J43" s="109">
        <v>-40.235315</v>
      </c>
      <c r="K43" s="103"/>
      <c r="L43" s="106"/>
      <c r="M43" s="106"/>
      <c r="N43" s="106"/>
      <c r="O43" s="107"/>
      <c r="P43" s="107"/>
      <c r="Q43" s="107"/>
    </row>
    <row r="44" spans="1:17" s="35" customFormat="1" ht="15" customHeight="1" x14ac:dyDescent="0.25">
      <c r="A44" s="238"/>
      <c r="B44" s="238"/>
      <c r="C44" s="102" t="s">
        <v>312</v>
      </c>
      <c r="D44" s="103" t="s">
        <v>37</v>
      </c>
      <c r="E44" s="104"/>
      <c r="F44" s="103"/>
      <c r="G44" s="103"/>
      <c r="H44" s="105"/>
      <c r="I44" s="109">
        <v>-20.254327</v>
      </c>
      <c r="J44" s="109">
        <v>-40.233963000000003</v>
      </c>
      <c r="K44" s="103"/>
      <c r="L44" s="106"/>
      <c r="M44" s="106"/>
      <c r="N44" s="106"/>
      <c r="O44" s="107"/>
      <c r="P44" s="107"/>
      <c r="Q44" s="107"/>
    </row>
    <row r="45" spans="1:17" s="35" customFormat="1" ht="15" customHeight="1" x14ac:dyDescent="0.25">
      <c r="A45" s="238" t="s">
        <v>60</v>
      </c>
      <c r="B45" s="238" t="s">
        <v>314</v>
      </c>
      <c r="C45" s="9" t="s">
        <v>315</v>
      </c>
      <c r="D45" s="36" t="s">
        <v>62</v>
      </c>
      <c r="E45" s="41">
        <f>Dados!C52</f>
        <v>11.754999999999999</v>
      </c>
      <c r="F45" s="55" t="s">
        <v>191</v>
      </c>
      <c r="G45" s="55">
        <v>0</v>
      </c>
      <c r="H45" s="37">
        <f>Rotas!AA62/(365*24)</f>
        <v>61.369305936073069</v>
      </c>
      <c r="I45" s="136">
        <v>-20.237822999999999</v>
      </c>
      <c r="J45" s="136">
        <v>-40.228414000000001</v>
      </c>
      <c r="K45" s="91"/>
      <c r="L45" s="39">
        <f>'FE-Transferências'!$A$4*0.0016*((($B$2/2.2)^1.3)/(E45/2)^1.4)</f>
        <v>2.2946726487034963E-4</v>
      </c>
      <c r="M45" s="39">
        <f>'FE-Transferências'!$C$4*0.0016*((($B$2/2.2)^1.3)/(E45/2)^1.4)</f>
        <v>1.0853181446570589E-4</v>
      </c>
      <c r="N45" s="39">
        <f>'FE-Transferências'!$E$4*0.0016*((($B$2/2.2)^1.3)/(E45/2)^1.4)</f>
        <v>1.6434817619092607E-5</v>
      </c>
      <c r="O45" s="40">
        <f t="shared" si="0"/>
        <v>1.4082246780142398E-2</v>
      </c>
      <c r="P45" s="40">
        <f t="shared" si="1"/>
        <v>6.6605221257430257E-3</v>
      </c>
      <c r="Q45" s="40">
        <f t="shared" si="2"/>
        <v>1.0085933504696582E-3</v>
      </c>
    </row>
    <row r="46" spans="1:17" s="35" customFormat="1" ht="15" customHeight="1" x14ac:dyDescent="0.25">
      <c r="A46" s="238"/>
      <c r="B46" s="238"/>
      <c r="C46" s="9" t="s">
        <v>316</v>
      </c>
      <c r="D46" s="55" t="s">
        <v>62</v>
      </c>
      <c r="E46" s="41">
        <f>Dados!C52</f>
        <v>11.754999999999999</v>
      </c>
      <c r="F46" s="55" t="s">
        <v>191</v>
      </c>
      <c r="G46" s="55">
        <v>0</v>
      </c>
      <c r="H46" s="37">
        <f>Rotas!AA62/(365*24)</f>
        <v>61.369305936073069</v>
      </c>
      <c r="I46" s="136">
        <v>-20.249936999999999</v>
      </c>
      <c r="J46" s="136">
        <v>-40.223464</v>
      </c>
      <c r="K46" s="91"/>
      <c r="L46" s="39">
        <f>'FE-Transferências'!$A$4*0.0016*((($B$2/2.2)^1.3)/(E46/2)^1.4)</f>
        <v>2.2946726487034963E-4</v>
      </c>
      <c r="M46" s="39">
        <f>'FE-Transferências'!$C$4*0.0016*((($B$2/2.2)^1.3)/(E46/2)^1.4)</f>
        <v>1.0853181446570589E-4</v>
      </c>
      <c r="N46" s="39">
        <f>'FE-Transferências'!$E$4*0.0016*((($B$2/2.2)^1.3)/(E46/2)^1.4)</f>
        <v>1.6434817619092607E-5</v>
      </c>
      <c r="O46" s="40">
        <f t="shared" si="0"/>
        <v>1.4082246780142398E-2</v>
      </c>
      <c r="P46" s="40">
        <f t="shared" si="1"/>
        <v>6.6605221257430257E-3</v>
      </c>
      <c r="Q46" s="40">
        <f t="shared" si="2"/>
        <v>1.0085933504696582E-3</v>
      </c>
    </row>
    <row r="47" spans="1:17" s="35" customFormat="1" ht="15" customHeight="1" x14ac:dyDescent="0.25">
      <c r="A47" s="238"/>
      <c r="B47" s="238"/>
      <c r="C47" s="9" t="s">
        <v>317</v>
      </c>
      <c r="D47" s="55" t="s">
        <v>62</v>
      </c>
      <c r="E47" s="41">
        <f>Dados!C52</f>
        <v>11.754999999999999</v>
      </c>
      <c r="F47" s="55" t="s">
        <v>191</v>
      </c>
      <c r="G47" s="55">
        <v>0</v>
      </c>
      <c r="H47" s="37">
        <f>Rotas!AA62/(365*24)</f>
        <v>61.369305936073069</v>
      </c>
      <c r="I47" s="136">
        <v>-20.252075999999999</v>
      </c>
      <c r="J47" s="136">
        <v>-40.223778000000003</v>
      </c>
      <c r="K47" s="91"/>
      <c r="L47" s="39">
        <f>'FE-Transferências'!$A$4*0.0016*((($B$2/2.2)^1.3)/(E47/2)^1.4)</f>
        <v>2.2946726487034963E-4</v>
      </c>
      <c r="M47" s="39">
        <f>'FE-Transferências'!$C$4*0.0016*((($B$2/2.2)^1.3)/(E47/2)^1.4)</f>
        <v>1.0853181446570589E-4</v>
      </c>
      <c r="N47" s="39">
        <f>'FE-Transferências'!$E$4*0.0016*((($B$2/2.2)^1.3)/(E47/2)^1.4)</f>
        <v>1.6434817619092607E-5</v>
      </c>
      <c r="O47" s="40">
        <f t="shared" si="0"/>
        <v>1.4082246780142398E-2</v>
      </c>
      <c r="P47" s="40">
        <f t="shared" si="1"/>
        <v>6.6605221257430257E-3</v>
      </c>
      <c r="Q47" s="40">
        <f t="shared" si="2"/>
        <v>1.0085933504696582E-3</v>
      </c>
    </row>
    <row r="48" spans="1:17" s="35" customFormat="1" ht="15" customHeight="1" x14ac:dyDescent="0.25">
      <c r="A48" s="238"/>
      <c r="B48" s="238"/>
      <c r="C48" s="9" t="s">
        <v>318</v>
      </c>
      <c r="D48" s="55" t="s">
        <v>62</v>
      </c>
      <c r="E48" s="41">
        <f>Dados!C52</f>
        <v>11.754999999999999</v>
      </c>
      <c r="F48" s="55" t="s">
        <v>191</v>
      </c>
      <c r="G48" s="55">
        <v>0</v>
      </c>
      <c r="H48" s="37">
        <f>Rotas!AA62/(365*24)</f>
        <v>61.369305936073069</v>
      </c>
      <c r="I48" s="136">
        <v>-20.253388000000001</v>
      </c>
      <c r="J48" s="136">
        <v>-40.226162000000002</v>
      </c>
      <c r="K48" s="91"/>
      <c r="L48" s="39">
        <f>'FE-Transferências'!$A$4*0.0016*((($B$2/2.2)^1.3)/(E48/2)^1.4)</f>
        <v>2.2946726487034963E-4</v>
      </c>
      <c r="M48" s="39">
        <f>'FE-Transferências'!$C$4*0.0016*((($B$2/2.2)^1.3)/(E48/2)^1.4)</f>
        <v>1.0853181446570589E-4</v>
      </c>
      <c r="N48" s="39">
        <f>'FE-Transferências'!$E$4*0.0016*((($B$2/2.2)^1.3)/(E48/2)^1.4)</f>
        <v>1.6434817619092607E-5</v>
      </c>
      <c r="O48" s="40">
        <f t="shared" si="0"/>
        <v>1.4082246780142398E-2</v>
      </c>
      <c r="P48" s="40">
        <f t="shared" si="1"/>
        <v>6.6605221257430257E-3</v>
      </c>
      <c r="Q48" s="40">
        <f t="shared" si="2"/>
        <v>1.0085933504696582E-3</v>
      </c>
    </row>
    <row r="49" spans="1:17" s="1" customFormat="1" ht="15" customHeight="1" x14ac:dyDescent="0.25">
      <c r="A49" s="238"/>
      <c r="B49" s="238"/>
      <c r="C49" s="9" t="s">
        <v>319</v>
      </c>
      <c r="D49" s="55" t="s">
        <v>62</v>
      </c>
      <c r="E49" s="41">
        <f>Dados!C52</f>
        <v>11.754999999999999</v>
      </c>
      <c r="F49" s="55" t="s">
        <v>191</v>
      </c>
      <c r="G49" s="55">
        <v>0</v>
      </c>
      <c r="H49" s="42">
        <f>Rotas!AA62/(365*24)</f>
        <v>61.369305936073069</v>
      </c>
      <c r="I49" s="136">
        <v>-20.253755999999999</v>
      </c>
      <c r="J49" s="136">
        <v>-40.226433</v>
      </c>
      <c r="K49" s="91"/>
      <c r="L49" s="39">
        <f>'FE-Transferências'!$A$4*0.0016*((($B$2/2.2)^1.3)/(E49/2)^1.4)</f>
        <v>2.2946726487034963E-4</v>
      </c>
      <c r="M49" s="39">
        <f>'FE-Transferências'!$C$4*0.0016*((($B$2/2.2)^1.3)/(E49/2)^1.4)</f>
        <v>1.0853181446570589E-4</v>
      </c>
      <c r="N49" s="39">
        <f>'FE-Transferências'!$E$4*0.0016*((($B$2/2.2)^1.3)/(E49/2)^1.4)</f>
        <v>1.6434817619092607E-5</v>
      </c>
      <c r="O49" s="40">
        <f t="shared" si="0"/>
        <v>1.4082246780142398E-2</v>
      </c>
      <c r="P49" s="40">
        <f t="shared" si="1"/>
        <v>6.6605221257430257E-3</v>
      </c>
      <c r="Q49" s="40">
        <f t="shared" si="2"/>
        <v>1.0085933504696582E-3</v>
      </c>
    </row>
    <row r="50" spans="1:17" s="1" customFormat="1" ht="15" customHeight="1" x14ac:dyDescent="0.25">
      <c r="A50" s="238"/>
      <c r="B50" s="238"/>
      <c r="C50" s="9" t="s">
        <v>320</v>
      </c>
      <c r="D50" s="55" t="s">
        <v>62</v>
      </c>
      <c r="E50" s="41">
        <f>Dados!C52</f>
        <v>11.754999999999999</v>
      </c>
      <c r="F50" s="55" t="s">
        <v>191</v>
      </c>
      <c r="G50" s="55">
        <v>0</v>
      </c>
      <c r="H50" s="42">
        <f>Rotas!AA62/(365*24)</f>
        <v>61.369305936073069</v>
      </c>
      <c r="I50" s="136">
        <v>-20.249593000000001</v>
      </c>
      <c r="J50" s="136">
        <v>-40.232565999999998</v>
      </c>
      <c r="K50" s="91"/>
      <c r="L50" s="39">
        <f>'FE-Transferências'!$A$4*0.0016*((($B$2/2.2)^1.3)/(E50/2)^1.4)</f>
        <v>2.2946726487034963E-4</v>
      </c>
      <c r="M50" s="39">
        <f>'FE-Transferências'!$C$4*0.0016*((($B$2/2.2)^1.3)/(E50/2)^1.4)</f>
        <v>1.0853181446570589E-4</v>
      </c>
      <c r="N50" s="39">
        <f>'FE-Transferências'!$E$4*0.0016*((($B$2/2.2)^1.3)/(E50/2)^1.4)</f>
        <v>1.6434817619092607E-5</v>
      </c>
      <c r="O50" s="40">
        <f t="shared" si="0"/>
        <v>1.4082246780142398E-2</v>
      </c>
      <c r="P50" s="40">
        <f t="shared" si="1"/>
        <v>6.6605221257430257E-3</v>
      </c>
      <c r="Q50" s="40">
        <f t="shared" si="2"/>
        <v>1.0085933504696582E-3</v>
      </c>
    </row>
    <row r="51" spans="1:17" s="35" customFormat="1" ht="15" customHeight="1" x14ac:dyDescent="0.25">
      <c r="A51" s="238"/>
      <c r="B51" s="238"/>
      <c r="C51" s="102" t="s">
        <v>321</v>
      </c>
      <c r="D51" s="103" t="s">
        <v>62</v>
      </c>
      <c r="E51" s="104"/>
      <c r="F51" s="103"/>
      <c r="G51" s="103"/>
      <c r="H51" s="105"/>
      <c r="I51" s="109">
        <v>-20.253367000000001</v>
      </c>
      <c r="J51" s="109">
        <v>-40.235602</v>
      </c>
      <c r="K51" s="103"/>
      <c r="L51" s="106"/>
      <c r="M51" s="106"/>
      <c r="N51" s="106"/>
      <c r="O51" s="107"/>
      <c r="P51" s="107"/>
      <c r="Q51" s="107"/>
    </row>
    <row r="52" spans="1:17" s="35" customFormat="1" ht="15" customHeight="1" x14ac:dyDescent="0.25">
      <c r="A52" s="238"/>
      <c r="B52" s="238"/>
      <c r="C52" s="102" t="s">
        <v>322</v>
      </c>
      <c r="D52" s="103" t="s">
        <v>62</v>
      </c>
      <c r="E52" s="104"/>
      <c r="F52" s="103"/>
      <c r="G52" s="103"/>
      <c r="H52" s="105"/>
      <c r="I52" s="109">
        <v>-20.253467000000001</v>
      </c>
      <c r="J52" s="109">
        <v>-40.235478000000001</v>
      </c>
      <c r="K52" s="103"/>
      <c r="L52" s="106"/>
      <c r="M52" s="106"/>
      <c r="N52" s="106"/>
      <c r="O52" s="107"/>
      <c r="P52" s="107"/>
      <c r="Q52" s="107"/>
    </row>
    <row r="53" spans="1:17" s="35" customFormat="1" ht="15" customHeight="1" x14ac:dyDescent="0.25">
      <c r="A53" s="238"/>
      <c r="B53" s="238"/>
      <c r="C53" s="102" t="s">
        <v>323</v>
      </c>
      <c r="D53" s="103" t="s">
        <v>62</v>
      </c>
      <c r="E53" s="104"/>
      <c r="F53" s="103"/>
      <c r="G53" s="103"/>
      <c r="H53" s="105"/>
      <c r="I53" s="109">
        <v>-20.254527</v>
      </c>
      <c r="J53" s="109">
        <v>-40.236319000000002</v>
      </c>
      <c r="K53" s="103"/>
      <c r="L53" s="106"/>
      <c r="M53" s="106"/>
      <c r="N53" s="106"/>
      <c r="O53" s="107"/>
      <c r="P53" s="107"/>
      <c r="Q53" s="107"/>
    </row>
    <row r="54" spans="1:17" s="35" customFormat="1" ht="15" customHeight="1" x14ac:dyDescent="0.25">
      <c r="A54" s="238"/>
      <c r="B54" s="238"/>
      <c r="C54" s="102" t="s">
        <v>324</v>
      </c>
      <c r="D54" s="103" t="s">
        <v>62</v>
      </c>
      <c r="E54" s="104"/>
      <c r="F54" s="103"/>
      <c r="G54" s="103"/>
      <c r="H54" s="105"/>
      <c r="I54" s="109">
        <v>-20.254325999999999</v>
      </c>
      <c r="J54" s="109">
        <v>-40.236615</v>
      </c>
      <c r="K54" s="103"/>
      <c r="L54" s="106"/>
      <c r="M54" s="106"/>
      <c r="N54" s="106"/>
      <c r="O54" s="107"/>
      <c r="P54" s="107"/>
      <c r="Q54" s="107"/>
    </row>
    <row r="55" spans="1:17" s="35" customFormat="1" ht="15" customHeight="1" x14ac:dyDescent="0.25">
      <c r="A55" s="238" t="s">
        <v>286</v>
      </c>
      <c r="B55" s="238" t="s">
        <v>329</v>
      </c>
      <c r="C55" s="102" t="s">
        <v>331</v>
      </c>
      <c r="D55" s="103" t="s">
        <v>62</v>
      </c>
      <c r="E55" s="108"/>
      <c r="F55" s="103"/>
      <c r="G55" s="103"/>
      <c r="H55" s="105"/>
      <c r="I55" s="109">
        <v>-20.251245999999998</v>
      </c>
      <c r="J55" s="109">
        <v>-40.233899999999998</v>
      </c>
      <c r="K55" s="103"/>
      <c r="L55" s="106"/>
      <c r="M55" s="106"/>
      <c r="N55" s="106"/>
      <c r="O55" s="107"/>
      <c r="P55" s="107"/>
      <c r="Q55" s="107"/>
    </row>
    <row r="56" spans="1:17" s="35" customFormat="1" ht="15" customHeight="1" x14ac:dyDescent="0.25">
      <c r="A56" s="238"/>
      <c r="B56" s="238"/>
      <c r="C56" s="102" t="s">
        <v>325</v>
      </c>
      <c r="D56" s="103" t="s">
        <v>62</v>
      </c>
      <c r="E56" s="108"/>
      <c r="F56" s="103"/>
      <c r="G56" s="103"/>
      <c r="H56" s="105"/>
      <c r="I56" s="109">
        <v>-20.252945</v>
      </c>
      <c r="J56" s="109">
        <v>-40.235157999999998</v>
      </c>
      <c r="K56" s="103"/>
      <c r="L56" s="106"/>
      <c r="M56" s="106"/>
      <c r="N56" s="106"/>
      <c r="O56" s="107"/>
      <c r="P56" s="107"/>
      <c r="Q56" s="107"/>
    </row>
    <row r="57" spans="1:17" s="35" customFormat="1" ht="15" customHeight="1" x14ac:dyDescent="0.25">
      <c r="A57" s="238"/>
      <c r="B57" s="238"/>
      <c r="C57" s="102" t="s">
        <v>326</v>
      </c>
      <c r="D57" s="103" t="s">
        <v>62</v>
      </c>
      <c r="E57" s="108"/>
      <c r="F57" s="103"/>
      <c r="G57" s="103"/>
      <c r="H57" s="105"/>
      <c r="I57" s="109">
        <v>-20.252386999999999</v>
      </c>
      <c r="J57" s="109">
        <v>-40.236148999999997</v>
      </c>
      <c r="K57" s="103"/>
      <c r="L57" s="106"/>
      <c r="M57" s="106"/>
      <c r="N57" s="106"/>
      <c r="O57" s="107"/>
      <c r="P57" s="107"/>
      <c r="Q57" s="107"/>
    </row>
    <row r="58" spans="1:17" s="35" customFormat="1" ht="15" customHeight="1" x14ac:dyDescent="0.25">
      <c r="A58" s="238"/>
      <c r="B58" s="238"/>
      <c r="C58" s="102" t="s">
        <v>327</v>
      </c>
      <c r="D58" s="103" t="s">
        <v>62</v>
      </c>
      <c r="E58" s="108"/>
      <c r="F58" s="103"/>
      <c r="G58" s="103"/>
      <c r="H58" s="105"/>
      <c r="I58" s="109">
        <v>-20.252030999999999</v>
      </c>
      <c r="J58" s="109">
        <v>-40.236624999999997</v>
      </c>
      <c r="K58" s="103"/>
      <c r="L58" s="106"/>
      <c r="M58" s="106"/>
      <c r="N58" s="106"/>
      <c r="O58" s="107"/>
      <c r="P58" s="107"/>
      <c r="Q58" s="107"/>
    </row>
    <row r="59" spans="1:17" s="35" customFormat="1" ht="15" customHeight="1" x14ac:dyDescent="0.25">
      <c r="A59" s="238"/>
      <c r="B59" s="238"/>
      <c r="C59" s="102" t="s">
        <v>328</v>
      </c>
      <c r="D59" s="103" t="s">
        <v>62</v>
      </c>
      <c r="E59" s="108"/>
      <c r="F59" s="103"/>
      <c r="G59" s="103"/>
      <c r="H59" s="105"/>
      <c r="I59" s="109">
        <v>-20.251266000000001</v>
      </c>
      <c r="J59" s="109">
        <v>-40.236179</v>
      </c>
      <c r="K59" s="103"/>
      <c r="L59" s="106"/>
      <c r="M59" s="106"/>
      <c r="N59" s="106"/>
      <c r="O59" s="107"/>
      <c r="P59" s="107"/>
      <c r="Q59" s="107"/>
    </row>
    <row r="60" spans="1:17" s="35" customFormat="1" ht="15" customHeight="1" x14ac:dyDescent="0.25">
      <c r="A60" s="238" t="s">
        <v>286</v>
      </c>
      <c r="B60" s="238" t="s">
        <v>407</v>
      </c>
      <c r="C60" s="102" t="s">
        <v>331</v>
      </c>
      <c r="D60" s="103" t="s">
        <v>62</v>
      </c>
      <c r="E60" s="108"/>
      <c r="F60" s="103"/>
      <c r="G60" s="103"/>
      <c r="H60" s="105"/>
      <c r="I60" s="109">
        <v>-20.251245999999998</v>
      </c>
      <c r="J60" s="109">
        <v>-40.233899999999998</v>
      </c>
      <c r="K60" s="103"/>
      <c r="L60" s="106"/>
      <c r="M60" s="106"/>
      <c r="N60" s="106"/>
      <c r="O60" s="107"/>
      <c r="P60" s="107"/>
      <c r="Q60" s="107"/>
    </row>
    <row r="61" spans="1:17" s="35" customFormat="1" ht="15" customHeight="1" x14ac:dyDescent="0.25">
      <c r="A61" s="238"/>
      <c r="B61" s="238"/>
      <c r="C61" s="102" t="s">
        <v>325</v>
      </c>
      <c r="D61" s="103" t="s">
        <v>62</v>
      </c>
      <c r="E61" s="108"/>
      <c r="F61" s="103"/>
      <c r="G61" s="103"/>
      <c r="H61" s="105"/>
      <c r="I61" s="109">
        <v>-20.252945</v>
      </c>
      <c r="J61" s="109">
        <v>-40.235157999999998</v>
      </c>
      <c r="K61" s="103"/>
      <c r="L61" s="106"/>
      <c r="M61" s="106"/>
      <c r="N61" s="106"/>
      <c r="O61" s="107"/>
      <c r="P61" s="107"/>
      <c r="Q61" s="107"/>
    </row>
    <row r="62" spans="1:17" s="35" customFormat="1" ht="15" customHeight="1" x14ac:dyDescent="0.25">
      <c r="A62" s="238"/>
      <c r="B62" s="238"/>
      <c r="C62" s="102" t="s">
        <v>332</v>
      </c>
      <c r="D62" s="103" t="s">
        <v>62</v>
      </c>
      <c r="E62" s="108"/>
      <c r="F62" s="103"/>
      <c r="G62" s="103"/>
      <c r="H62" s="105"/>
      <c r="I62" s="109">
        <v>-20.252524000000001</v>
      </c>
      <c r="J62" s="109">
        <v>-40.235939999999999</v>
      </c>
      <c r="K62" s="103"/>
      <c r="L62" s="106"/>
      <c r="M62" s="104"/>
      <c r="N62" s="104"/>
      <c r="O62" s="107"/>
      <c r="P62" s="107"/>
      <c r="Q62" s="107"/>
    </row>
    <row r="63" spans="1:17" s="35" customFormat="1" ht="15" customHeight="1" x14ac:dyDescent="0.25">
      <c r="A63" s="238" t="s">
        <v>286</v>
      </c>
      <c r="B63" s="238" t="s">
        <v>360</v>
      </c>
      <c r="C63" s="35" t="s">
        <v>412</v>
      </c>
      <c r="D63" s="55" t="s">
        <v>62</v>
      </c>
      <c r="E63" s="41">
        <f>Dados!C52</f>
        <v>11.754999999999999</v>
      </c>
      <c r="F63" s="55" t="s">
        <v>191</v>
      </c>
      <c r="G63" s="55">
        <v>0</v>
      </c>
      <c r="H63" s="37">
        <f>Rotas!AG47/(365*24)</f>
        <v>6.8493150684931505</v>
      </c>
      <c r="I63" s="38">
        <v>-20.252167</v>
      </c>
      <c r="J63" s="38">
        <v>-40.233431000000003</v>
      </c>
      <c r="K63" s="55">
        <v>2</v>
      </c>
      <c r="L63" s="39">
        <f>'FE-Transferências'!$A$4*0.0016*((($B$2/2.2)^1.3)/(E63/2)^1.4)</f>
        <v>2.2946726487034963E-4</v>
      </c>
      <c r="M63" s="39">
        <f>'FE-Transferências'!$C$4*0.0016*((($B$2/2.2)^1.3)/(E63/2)^1.4)</f>
        <v>1.0853181446570589E-4</v>
      </c>
      <c r="N63" s="39">
        <f>'FE-Transferências'!$E$4*0.0016*((($B$2/2.2)^1.3)/(E63/2)^1.4)</f>
        <v>1.6434817619092607E-5</v>
      </c>
      <c r="O63" s="40">
        <f>(H63*L63)*(1-G63/100)</f>
        <v>1.5716935950023947E-3</v>
      </c>
      <c r="P63" s="40">
        <f>(H63*M63)*(1-G63/100)</f>
        <v>7.4336859223086223E-4</v>
      </c>
      <c r="Q63" s="40">
        <f>(H63*N63)*(1-G63/100)</f>
        <v>1.1256724396638772E-4</v>
      </c>
    </row>
    <row r="64" spans="1:17" s="35" customFormat="1" ht="15" customHeight="1" x14ac:dyDescent="0.25">
      <c r="A64" s="238"/>
      <c r="B64" s="238"/>
      <c r="C64" s="35" t="s">
        <v>416</v>
      </c>
      <c r="D64" s="36" t="s">
        <v>62</v>
      </c>
      <c r="E64" s="41">
        <f>Dados!C52</f>
        <v>11.754999999999999</v>
      </c>
      <c r="F64" s="55" t="s">
        <v>191</v>
      </c>
      <c r="G64" s="55">
        <v>0</v>
      </c>
      <c r="H64" s="37">
        <f>Rotas!AG47/(365*24)</f>
        <v>6.8493150684931505</v>
      </c>
      <c r="I64" s="38">
        <v>-20.254363000000001</v>
      </c>
      <c r="J64" s="38">
        <v>-40.230066999999998</v>
      </c>
      <c r="K64" s="55">
        <v>2</v>
      </c>
      <c r="L64" s="39">
        <f>'FE-Transferências'!$A$4*0.0016*((($B$2/2.2)^1.3)/(E64/2)^1.4)</f>
        <v>2.2946726487034963E-4</v>
      </c>
      <c r="M64" s="39">
        <f>'FE-Transferências'!$C$4*0.0016*((($B$2/2.2)^1.3)/(E64/2)^1.4)</f>
        <v>1.0853181446570589E-4</v>
      </c>
      <c r="N64" s="39">
        <f>'FE-Transferências'!$E$4*0.0016*((($B$2/2.2)^1.3)/(E64/2)^1.4)</f>
        <v>1.6434817619092607E-5</v>
      </c>
      <c r="O64" s="40">
        <f>(H64*L64)*(1-G64/100)</f>
        <v>1.5716935950023947E-3</v>
      </c>
      <c r="P64" s="40">
        <f>(H64*M64)*(1-G64/100)</f>
        <v>7.4336859223086223E-4</v>
      </c>
      <c r="Q64" s="40">
        <f>(H64*N64)*(1-G64/100)</f>
        <v>1.1256724396638772E-4</v>
      </c>
    </row>
    <row r="65" spans="1:17" s="35" customFormat="1" ht="15" customHeight="1" x14ac:dyDescent="0.25">
      <c r="A65" s="238" t="s">
        <v>1</v>
      </c>
      <c r="B65" s="238" t="s">
        <v>358</v>
      </c>
      <c r="C65" s="35" t="s">
        <v>412</v>
      </c>
      <c r="D65" s="55" t="s">
        <v>75</v>
      </c>
      <c r="E65" s="41">
        <v>7.1</v>
      </c>
      <c r="F65" s="55" t="s">
        <v>191</v>
      </c>
      <c r="G65" s="55">
        <v>0</v>
      </c>
      <c r="H65" s="114">
        <f>Rotas!R24/(365*24)</f>
        <v>0.14212328767123289</v>
      </c>
      <c r="I65" s="38">
        <v>-20.25225</v>
      </c>
      <c r="J65" s="38">
        <v>-40.233494</v>
      </c>
      <c r="K65" s="55">
        <v>2</v>
      </c>
      <c r="L65" s="39">
        <f>'FE-Transferências'!$A$4*0.0016*((($B$2/2.2)^1.3)/(E65/2)^1.4)</f>
        <v>4.6480494279383229E-4</v>
      </c>
      <c r="M65" s="39">
        <f>'FE-Transferências'!$C$4*0.0016*((($B$2/2.2)^1.3)/(E65/2)^1.4)</f>
        <v>2.1984017564573148E-4</v>
      </c>
      <c r="N65" s="39">
        <f>'FE-Transferências'!$E$4*0.0016*((($B$2/2.2)^1.3)/(E65/2)^1.4)</f>
        <v>3.3290083740639343E-5</v>
      </c>
      <c r="O65" s="40">
        <f t="shared" ref="O65:O66" si="6">(H65*L65)*(1-G65/100)</f>
        <v>6.6059606595698773E-5</v>
      </c>
      <c r="P65" s="40">
        <f t="shared" ref="P65:P66" si="7">(H65*M65)*(1-G65/100)</f>
        <v>3.1244408524992664E-5</v>
      </c>
      <c r="Q65" s="40">
        <f t="shared" ref="Q65:Q66" si="8">(H65*N65)*(1-G65/100)</f>
        <v>4.7312961480703181E-6</v>
      </c>
    </row>
    <row r="66" spans="1:17" s="35" customFormat="1" ht="15" customHeight="1" x14ac:dyDescent="0.25">
      <c r="A66" s="238"/>
      <c r="B66" s="238"/>
      <c r="C66" s="35" t="s">
        <v>404</v>
      </c>
      <c r="D66" s="55" t="s">
        <v>75</v>
      </c>
      <c r="E66" s="41">
        <v>7.1</v>
      </c>
      <c r="F66" s="55" t="s">
        <v>191</v>
      </c>
      <c r="G66" s="55">
        <v>0</v>
      </c>
      <c r="H66" s="114">
        <f>Rotas!R24/(365*24)</f>
        <v>0.14212328767123289</v>
      </c>
      <c r="I66" s="38">
        <v>-20.25788</v>
      </c>
      <c r="J66" s="38">
        <v>-40.232138999999997</v>
      </c>
      <c r="K66" s="55">
        <v>2</v>
      </c>
      <c r="L66" s="39">
        <f>'FE-Transferências'!$A$4*0.0016*((($B$2/2.2)^1.3)/(E66/2)^1.4)</f>
        <v>4.6480494279383229E-4</v>
      </c>
      <c r="M66" s="39">
        <f>'FE-Transferências'!$C$4*0.0016*((($B$2/2.2)^1.3)/(E66/2)^1.4)</f>
        <v>2.1984017564573148E-4</v>
      </c>
      <c r="N66" s="39">
        <f>'FE-Transferências'!$E$4*0.0016*((($B$2/2.2)^1.3)/(E66/2)^1.4)</f>
        <v>3.3290083740639343E-5</v>
      </c>
      <c r="O66" s="40">
        <f t="shared" si="6"/>
        <v>6.6059606595698773E-5</v>
      </c>
      <c r="P66" s="40">
        <f t="shared" si="7"/>
        <v>3.1244408524992664E-5</v>
      </c>
      <c r="Q66" s="40">
        <f t="shared" si="8"/>
        <v>4.7312961480703181E-6</v>
      </c>
    </row>
    <row r="67" spans="1:17" s="35" customFormat="1" ht="15" customHeight="1" x14ac:dyDescent="0.25">
      <c r="A67" s="238" t="s">
        <v>333</v>
      </c>
      <c r="B67" s="238" t="s">
        <v>334</v>
      </c>
      <c r="C67" s="35" t="s">
        <v>335</v>
      </c>
      <c r="D67" s="36" t="s">
        <v>46</v>
      </c>
      <c r="E67" s="41">
        <v>7.6</v>
      </c>
      <c r="F67" s="36" t="s">
        <v>340</v>
      </c>
      <c r="G67" s="36">
        <v>50</v>
      </c>
      <c r="H67" s="37">
        <f>Rotas!O3/(365*24)</f>
        <v>457.76929223744293</v>
      </c>
      <c r="I67" s="38">
        <v>-20.258500000000002</v>
      </c>
      <c r="J67" s="38">
        <v>-40.243051999999999</v>
      </c>
      <c r="K67" s="91"/>
      <c r="L67" s="39">
        <f>'FE-Transferências'!$A$4*0.0016*((($B$2/2.2)^1.3)/(E67/2)^1.4)</f>
        <v>4.225648774807563E-4</v>
      </c>
      <c r="M67" s="39">
        <f>'FE-Transferências'!$C$4*0.0016*((($B$2/2.2)^1.3)/(E67/2)^1.4)</f>
        <v>1.9986176637603337E-4</v>
      </c>
      <c r="N67" s="39">
        <f>'FE-Transferências'!$E$4*0.0016*((($B$2/2.2)^1.3)/(E67/2)^1.4)</f>
        <v>3.0264781765513629E-5</v>
      </c>
      <c r="O67" s="40">
        <f t="shared" si="0"/>
        <v>9.6718612444383803E-2</v>
      </c>
      <c r="P67" s="40">
        <f t="shared" si="1"/>
        <v>4.5745289669640983E-2</v>
      </c>
      <c r="Q67" s="40">
        <f t="shared" si="2"/>
        <v>6.9271438642599208E-3</v>
      </c>
    </row>
    <row r="68" spans="1:17" s="35" customFormat="1" ht="15" customHeight="1" x14ac:dyDescent="0.25">
      <c r="A68" s="238"/>
      <c r="B68" s="238"/>
      <c r="C68" s="35" t="s">
        <v>308</v>
      </c>
      <c r="D68" s="55" t="s">
        <v>46</v>
      </c>
      <c r="E68" s="41">
        <v>7.6</v>
      </c>
      <c r="F68" s="55" t="s">
        <v>276</v>
      </c>
      <c r="G68" s="55">
        <v>70</v>
      </c>
      <c r="H68" s="37">
        <f>Rotas!O3/(365*24)</f>
        <v>457.76929223744293</v>
      </c>
      <c r="I68" s="38">
        <v>-20.258548000000001</v>
      </c>
      <c r="J68" s="38">
        <v>-40.242679000000003</v>
      </c>
      <c r="K68" s="91"/>
      <c r="L68" s="39">
        <f>'FE-Transferências'!$A$4*0.0016*((($B$2/2.2)^1.3)/(E68/2)^1.4)</f>
        <v>4.225648774807563E-4</v>
      </c>
      <c r="M68" s="39">
        <f>'FE-Transferências'!$C$4*0.0016*((($B$2/2.2)^1.3)/(E68/2)^1.4)</f>
        <v>1.9986176637603337E-4</v>
      </c>
      <c r="N68" s="39">
        <f>'FE-Transferências'!$E$4*0.0016*((($B$2/2.2)^1.3)/(E68/2)^1.4)</f>
        <v>3.0264781765513629E-5</v>
      </c>
      <c r="O68" s="40">
        <f t="shared" si="0"/>
        <v>5.8031167466630292E-2</v>
      </c>
      <c r="P68" s="40">
        <f t="shared" si="1"/>
        <v>2.7447173801784595E-2</v>
      </c>
      <c r="Q68" s="40">
        <f t="shared" si="2"/>
        <v>4.1562863185559528E-3</v>
      </c>
    </row>
    <row r="69" spans="1:17" s="35" customFormat="1" ht="15" customHeight="1" x14ac:dyDescent="0.25">
      <c r="A69" s="238"/>
      <c r="B69" s="238"/>
      <c r="C69" s="35" t="s">
        <v>336</v>
      </c>
      <c r="D69" s="55" t="s">
        <v>46</v>
      </c>
      <c r="E69" s="41">
        <v>7.6</v>
      </c>
      <c r="F69" s="55" t="s">
        <v>276</v>
      </c>
      <c r="G69" s="55">
        <v>70</v>
      </c>
      <c r="H69" s="37">
        <f>Rotas!O3/(365*24)</f>
        <v>457.76929223744293</v>
      </c>
      <c r="I69" s="38">
        <v>-20.257928</v>
      </c>
      <c r="J69" s="38">
        <v>-40.242109999999997</v>
      </c>
      <c r="K69" s="91"/>
      <c r="L69" s="39">
        <f>'FE-Transferências'!$A$4*0.0016*((($B$2/2.2)^1.3)/(E69/2)^1.4)</f>
        <v>4.225648774807563E-4</v>
      </c>
      <c r="M69" s="39">
        <f>'FE-Transferências'!$C$4*0.0016*((($B$2/2.2)^1.3)/(E69/2)^1.4)</f>
        <v>1.9986176637603337E-4</v>
      </c>
      <c r="N69" s="39">
        <f>'FE-Transferências'!$E$4*0.0016*((($B$2/2.2)^1.3)/(E69/2)^1.4)</f>
        <v>3.0264781765513629E-5</v>
      </c>
      <c r="O69" s="40">
        <f t="shared" si="0"/>
        <v>5.8031167466630292E-2</v>
      </c>
      <c r="P69" s="40">
        <f t="shared" si="1"/>
        <v>2.7447173801784595E-2</v>
      </c>
      <c r="Q69" s="40">
        <f t="shared" si="2"/>
        <v>4.1562863185559528E-3</v>
      </c>
    </row>
    <row r="70" spans="1:17" s="35" customFormat="1" ht="15" customHeight="1" x14ac:dyDescent="0.25">
      <c r="A70" s="238"/>
      <c r="B70" s="238"/>
      <c r="C70" s="35" t="s">
        <v>337</v>
      </c>
      <c r="D70" s="55" t="s">
        <v>46</v>
      </c>
      <c r="E70" s="41">
        <v>7.6</v>
      </c>
      <c r="F70" s="55" t="s">
        <v>191</v>
      </c>
      <c r="G70" s="55">
        <v>0</v>
      </c>
      <c r="H70" s="37">
        <f>Rotas!O3/(365*24)</f>
        <v>457.76929223744293</v>
      </c>
      <c r="I70" s="38">
        <v>-20.255856000000001</v>
      </c>
      <c r="J70" s="38">
        <v>-40.237402000000003</v>
      </c>
      <c r="K70" s="91"/>
      <c r="L70" s="39">
        <f>'FE-Transferências'!$A$4*0.0016*((($B$2/2.2)^1.3)/(E70/2)^1.4)</f>
        <v>4.225648774807563E-4</v>
      </c>
      <c r="M70" s="39">
        <f>'FE-Transferências'!$C$4*0.0016*((($B$2/2.2)^1.3)/(E70/2)^1.4)</f>
        <v>1.9986176637603337E-4</v>
      </c>
      <c r="N70" s="39">
        <f>'FE-Transferências'!$E$4*0.0016*((($B$2/2.2)^1.3)/(E70/2)^1.4)</f>
        <v>3.0264781765513629E-5</v>
      </c>
      <c r="O70" s="40">
        <f t="shared" si="0"/>
        <v>0.19343722488876761</v>
      </c>
      <c r="P70" s="40">
        <f t="shared" si="1"/>
        <v>9.1490579339281966E-2</v>
      </c>
      <c r="Q70" s="40">
        <f t="shared" si="2"/>
        <v>1.3854287728519842E-2</v>
      </c>
    </row>
    <row r="71" spans="1:17" s="35" customFormat="1" ht="15" customHeight="1" x14ac:dyDescent="0.25">
      <c r="A71" s="238"/>
      <c r="B71" s="238"/>
      <c r="C71" s="35" t="s">
        <v>339</v>
      </c>
      <c r="D71" s="55" t="s">
        <v>46</v>
      </c>
      <c r="E71" s="41">
        <v>7.6</v>
      </c>
      <c r="F71" s="55" t="s">
        <v>191</v>
      </c>
      <c r="G71" s="55">
        <v>0</v>
      </c>
      <c r="H71" s="37">
        <f>Rotas!O3/(365*24)</f>
        <v>457.76929223744293</v>
      </c>
      <c r="I71" s="38">
        <v>-20.258315</v>
      </c>
      <c r="J71" s="38">
        <v>-40.233449</v>
      </c>
      <c r="K71" s="91"/>
      <c r="L71" s="39">
        <f>'FE-Transferências'!$A$4*0.0016*((($B$2/2.2)^1.3)/(E71/2)^1.4)</f>
        <v>4.225648774807563E-4</v>
      </c>
      <c r="M71" s="39">
        <f>'FE-Transferências'!$C$4*0.0016*((($B$2/2.2)^1.3)/(E71/2)^1.4)</f>
        <v>1.9986176637603337E-4</v>
      </c>
      <c r="N71" s="39">
        <f>'FE-Transferências'!$E$4*0.0016*((($B$2/2.2)^1.3)/(E71/2)^1.4)</f>
        <v>3.0264781765513629E-5</v>
      </c>
      <c r="O71" s="40">
        <f t="shared" si="0"/>
        <v>0.19343722488876761</v>
      </c>
      <c r="P71" s="40">
        <f t="shared" si="1"/>
        <v>9.1490579339281966E-2</v>
      </c>
      <c r="Q71" s="40">
        <f t="shared" si="2"/>
        <v>1.3854287728519842E-2</v>
      </c>
    </row>
    <row r="72" spans="1:17" s="35" customFormat="1" ht="15" customHeight="1" x14ac:dyDescent="0.25">
      <c r="A72" s="238" t="s">
        <v>333</v>
      </c>
      <c r="B72" s="238" t="s">
        <v>334</v>
      </c>
      <c r="C72" s="35" t="s">
        <v>341</v>
      </c>
      <c r="D72" s="55" t="s">
        <v>34</v>
      </c>
      <c r="E72" s="41">
        <v>5.6</v>
      </c>
      <c r="F72" s="55" t="s">
        <v>340</v>
      </c>
      <c r="G72" s="55">
        <v>50</v>
      </c>
      <c r="H72" s="37">
        <f>Rotas!Q3/(365*24)</f>
        <v>149.23047945205479</v>
      </c>
      <c r="I72" s="38">
        <v>-20.258500000000002</v>
      </c>
      <c r="J72" s="38">
        <v>-40.243051999999999</v>
      </c>
      <c r="K72" s="91"/>
      <c r="L72" s="39">
        <f>'FE-Transferências'!$A$4*0.0016*((($B$2/2.2)^1.3)/(E72/2)^1.4)</f>
        <v>6.4799131957684914E-4</v>
      </c>
      <c r="M72" s="39">
        <f>'FE-Transferências'!$C$4*0.0016*((($B$2/2.2)^1.3)/(E72/2)^1.4)</f>
        <v>3.0648238088094214E-4</v>
      </c>
      <c r="N72" s="39">
        <f>'FE-Transferências'!$E$4*0.0016*((($B$2/2.2)^1.3)/(E72/2)^1.4)</f>
        <v>4.6410189104828386E-5</v>
      </c>
      <c r="O72" s="40">
        <f t="shared" ref="O72:O77" si="9">(H72*L72)*(1-G72/100)</f>
        <v>4.835002765061143E-2</v>
      </c>
      <c r="P72" s="40">
        <f t="shared" ref="P72:P77" si="10">(H72*M72)*(1-G72/100)</f>
        <v>2.2868256321235132E-2</v>
      </c>
      <c r="Q72" s="40">
        <f t="shared" ref="Q72:Q77" si="11">(H72*N72)*(1-G72/100)</f>
        <v>3.462907385787035E-3</v>
      </c>
    </row>
    <row r="73" spans="1:17" s="35" customFormat="1" ht="15" customHeight="1" x14ac:dyDescent="0.25">
      <c r="A73" s="238"/>
      <c r="B73" s="238"/>
      <c r="C73" s="35" t="s">
        <v>308</v>
      </c>
      <c r="D73" s="55" t="s">
        <v>34</v>
      </c>
      <c r="E73" s="41">
        <v>5.6</v>
      </c>
      <c r="F73" s="55" t="s">
        <v>276</v>
      </c>
      <c r="G73" s="55">
        <v>70</v>
      </c>
      <c r="H73" s="37">
        <f>Rotas!Q3/(365*24)</f>
        <v>149.23047945205479</v>
      </c>
      <c r="I73" s="38">
        <v>-20.258548000000001</v>
      </c>
      <c r="J73" s="38">
        <v>-40.242679000000003</v>
      </c>
      <c r="K73" s="91"/>
      <c r="L73" s="39">
        <f>'FE-Transferências'!$A$4*0.0016*((($B$2/2.2)^1.3)/(E73/2)^1.4)</f>
        <v>6.4799131957684914E-4</v>
      </c>
      <c r="M73" s="39">
        <f>'FE-Transferências'!$C$4*0.0016*((($B$2/2.2)^1.3)/(E73/2)^1.4)</f>
        <v>3.0648238088094214E-4</v>
      </c>
      <c r="N73" s="39">
        <f>'FE-Transferências'!$E$4*0.0016*((($B$2/2.2)^1.3)/(E73/2)^1.4)</f>
        <v>4.6410189104828386E-5</v>
      </c>
      <c r="O73" s="40">
        <f t="shared" si="9"/>
        <v>2.9010016590366863E-2</v>
      </c>
      <c r="P73" s="40">
        <f t="shared" si="10"/>
        <v>1.3720953792741082E-2</v>
      </c>
      <c r="Q73" s="40">
        <f t="shared" si="11"/>
        <v>2.0777444314722215E-3</v>
      </c>
    </row>
    <row r="74" spans="1:17" s="35" customFormat="1" ht="15" customHeight="1" x14ac:dyDescent="0.25">
      <c r="A74" s="238"/>
      <c r="B74" s="238"/>
      <c r="C74" s="35" t="s">
        <v>336</v>
      </c>
      <c r="D74" s="55" t="s">
        <v>34</v>
      </c>
      <c r="E74" s="41">
        <v>5.6</v>
      </c>
      <c r="F74" s="55" t="s">
        <v>276</v>
      </c>
      <c r="G74" s="55">
        <v>70</v>
      </c>
      <c r="H74" s="37">
        <f>Rotas!Q3/(365*24)</f>
        <v>149.23047945205479</v>
      </c>
      <c r="I74" s="38">
        <v>-20.257928</v>
      </c>
      <c r="J74" s="38">
        <v>-40.242109999999997</v>
      </c>
      <c r="K74" s="91"/>
      <c r="L74" s="39">
        <f>'FE-Transferências'!$A$4*0.0016*((($B$2/2.2)^1.3)/(E74/2)^1.4)</f>
        <v>6.4799131957684914E-4</v>
      </c>
      <c r="M74" s="39">
        <f>'FE-Transferências'!$C$4*0.0016*((($B$2/2.2)^1.3)/(E74/2)^1.4)</f>
        <v>3.0648238088094214E-4</v>
      </c>
      <c r="N74" s="39">
        <f>'FE-Transferências'!$E$4*0.0016*((($B$2/2.2)^1.3)/(E74/2)^1.4)</f>
        <v>4.6410189104828386E-5</v>
      </c>
      <c r="O74" s="40">
        <f t="shared" si="9"/>
        <v>2.9010016590366863E-2</v>
      </c>
      <c r="P74" s="40">
        <f t="shared" si="10"/>
        <v>1.3720953792741082E-2</v>
      </c>
      <c r="Q74" s="40">
        <f t="shared" si="11"/>
        <v>2.0777444314722215E-3</v>
      </c>
    </row>
    <row r="75" spans="1:17" s="35" customFormat="1" ht="15" customHeight="1" x14ac:dyDescent="0.25">
      <c r="A75" s="238"/>
      <c r="B75" s="238"/>
      <c r="C75" s="35" t="s">
        <v>337</v>
      </c>
      <c r="D75" s="55" t="s">
        <v>34</v>
      </c>
      <c r="E75" s="41">
        <v>5.6</v>
      </c>
      <c r="F75" s="55" t="s">
        <v>191</v>
      </c>
      <c r="G75" s="55">
        <v>0</v>
      </c>
      <c r="H75" s="37">
        <f>Rotas!Q3/(365*24)</f>
        <v>149.23047945205479</v>
      </c>
      <c r="I75" s="38">
        <v>-20.255856000000001</v>
      </c>
      <c r="J75" s="38">
        <v>-40.237402000000003</v>
      </c>
      <c r="K75" s="91"/>
      <c r="L75" s="39">
        <f>'FE-Transferências'!$A$4*0.0016*((($B$2/2.2)^1.3)/(E75/2)^1.4)</f>
        <v>6.4799131957684914E-4</v>
      </c>
      <c r="M75" s="39">
        <f>'FE-Transferências'!$C$4*0.0016*((($B$2/2.2)^1.3)/(E75/2)^1.4)</f>
        <v>3.0648238088094214E-4</v>
      </c>
      <c r="N75" s="39">
        <f>'FE-Transferências'!$E$4*0.0016*((($B$2/2.2)^1.3)/(E75/2)^1.4)</f>
        <v>4.6410189104828386E-5</v>
      </c>
      <c r="O75" s="40">
        <f t="shared" si="9"/>
        <v>9.6700055301222859E-2</v>
      </c>
      <c r="P75" s="40">
        <f t="shared" si="10"/>
        <v>4.5736512642470264E-2</v>
      </c>
      <c r="Q75" s="40">
        <f t="shared" si="11"/>
        <v>6.92581477157407E-3</v>
      </c>
    </row>
    <row r="76" spans="1:17" s="35" customFormat="1" ht="15" customHeight="1" x14ac:dyDescent="0.25">
      <c r="A76" s="238"/>
      <c r="B76" s="238"/>
      <c r="C76" s="35" t="s">
        <v>338</v>
      </c>
      <c r="D76" s="55" t="s">
        <v>34</v>
      </c>
      <c r="E76" s="41">
        <v>5.6</v>
      </c>
      <c r="F76" s="55" t="s">
        <v>191</v>
      </c>
      <c r="G76" s="55">
        <v>0</v>
      </c>
      <c r="H76" s="37">
        <f>Rotas!Q3/(365*24)</f>
        <v>149.23047945205479</v>
      </c>
      <c r="I76" s="38">
        <v>-20.255489000000001</v>
      </c>
      <c r="J76" s="38">
        <v>-40.237045000000002</v>
      </c>
      <c r="K76" s="91"/>
      <c r="L76" s="39">
        <f>'FE-Transferências'!$A$4*0.0016*((($B$2/2.2)^1.3)/(E76/2)^1.4)</f>
        <v>6.4799131957684914E-4</v>
      </c>
      <c r="M76" s="39">
        <f>'FE-Transferências'!$C$4*0.0016*((($B$2/2.2)^1.3)/(E76/2)^1.4)</f>
        <v>3.0648238088094214E-4</v>
      </c>
      <c r="N76" s="39">
        <f>'FE-Transferências'!$E$4*0.0016*((($B$2/2.2)^1.3)/(E76/2)^1.4)</f>
        <v>4.6410189104828386E-5</v>
      </c>
      <c r="O76" s="40">
        <f t="shared" si="9"/>
        <v>9.6700055301222859E-2</v>
      </c>
      <c r="P76" s="40">
        <f t="shared" si="10"/>
        <v>4.5736512642470264E-2</v>
      </c>
      <c r="Q76" s="40">
        <f t="shared" si="11"/>
        <v>6.92581477157407E-3</v>
      </c>
    </row>
    <row r="77" spans="1:17" s="35" customFormat="1" ht="15" customHeight="1" x14ac:dyDescent="0.25">
      <c r="A77" s="238"/>
      <c r="B77" s="238"/>
      <c r="C77" s="35" t="s">
        <v>342</v>
      </c>
      <c r="D77" s="55" t="s">
        <v>34</v>
      </c>
      <c r="E77" s="41">
        <v>5.6</v>
      </c>
      <c r="F77" s="55" t="s">
        <v>191</v>
      </c>
      <c r="G77" s="55">
        <v>0</v>
      </c>
      <c r="H77" s="37">
        <f>Rotas!Q3/(365*24)</f>
        <v>149.23047945205479</v>
      </c>
      <c r="I77" s="38">
        <v>-20.25666</v>
      </c>
      <c r="J77" s="38">
        <v>-40.234836000000001</v>
      </c>
      <c r="K77" s="91"/>
      <c r="L77" s="39">
        <f>'FE-Transferências'!$A$4*0.0016*((($B$2/2.2)^1.3)/(E77/2)^1.4)</f>
        <v>6.4799131957684914E-4</v>
      </c>
      <c r="M77" s="39">
        <f>'FE-Transferências'!$C$4*0.0016*((($B$2/2.2)^1.3)/(E77/2)^1.4)</f>
        <v>3.0648238088094214E-4</v>
      </c>
      <c r="N77" s="39">
        <f>'FE-Transferências'!$E$4*0.0016*((($B$2/2.2)^1.3)/(E77/2)^1.4)</f>
        <v>4.6410189104828386E-5</v>
      </c>
      <c r="O77" s="40">
        <f t="shared" si="9"/>
        <v>9.6700055301222859E-2</v>
      </c>
      <c r="P77" s="40">
        <f t="shared" si="10"/>
        <v>4.5736512642470264E-2</v>
      </c>
      <c r="Q77" s="40">
        <f t="shared" si="11"/>
        <v>6.92581477157407E-3</v>
      </c>
    </row>
    <row r="78" spans="1:17" s="35" customFormat="1" ht="15" customHeight="1" x14ac:dyDescent="0.25">
      <c r="A78" s="238" t="s">
        <v>352</v>
      </c>
      <c r="B78" s="238" t="s">
        <v>334</v>
      </c>
      <c r="C78" s="102" t="s">
        <v>343</v>
      </c>
      <c r="D78" s="103" t="s">
        <v>349</v>
      </c>
      <c r="E78" s="108"/>
      <c r="F78" s="103"/>
      <c r="G78" s="103"/>
      <c r="H78" s="105"/>
      <c r="I78" s="109">
        <v>-20.251982000000002</v>
      </c>
      <c r="J78" s="109">
        <v>-40.235964000000003</v>
      </c>
      <c r="K78" s="103"/>
      <c r="L78" s="106"/>
      <c r="M78" s="106"/>
      <c r="N78" s="104"/>
      <c r="O78" s="107"/>
      <c r="P78" s="107"/>
      <c r="Q78" s="107"/>
    </row>
    <row r="79" spans="1:17" s="35" customFormat="1" ht="15" customHeight="1" x14ac:dyDescent="0.25">
      <c r="A79" s="238"/>
      <c r="B79" s="238"/>
      <c r="C79" s="102" t="s">
        <v>344</v>
      </c>
      <c r="D79" s="103" t="s">
        <v>349</v>
      </c>
      <c r="E79" s="108"/>
      <c r="F79" s="103"/>
      <c r="G79" s="103"/>
      <c r="H79" s="105"/>
      <c r="I79" s="109">
        <v>-20.252044000000001</v>
      </c>
      <c r="J79" s="109">
        <v>-40.236032000000002</v>
      </c>
      <c r="K79" s="103"/>
      <c r="L79" s="106"/>
      <c r="M79" s="106"/>
      <c r="N79" s="104"/>
      <c r="O79" s="107"/>
      <c r="P79" s="107"/>
      <c r="Q79" s="107"/>
    </row>
    <row r="80" spans="1:17" s="35" customFormat="1" ht="15" customHeight="1" x14ac:dyDescent="0.25">
      <c r="A80" s="238"/>
      <c r="B80" s="238"/>
      <c r="C80" s="102" t="s">
        <v>345</v>
      </c>
      <c r="D80" s="103" t="s">
        <v>349</v>
      </c>
      <c r="E80" s="108"/>
      <c r="F80" s="103"/>
      <c r="G80" s="103"/>
      <c r="H80" s="105"/>
      <c r="I80" s="109">
        <v>-20.252071999999998</v>
      </c>
      <c r="J80" s="109">
        <v>-40.235993999999998</v>
      </c>
      <c r="K80" s="103"/>
      <c r="L80" s="106"/>
      <c r="M80" s="106"/>
      <c r="N80" s="104"/>
      <c r="O80" s="107"/>
      <c r="P80" s="107"/>
      <c r="Q80" s="107"/>
    </row>
    <row r="81" spans="1:17" s="35" customFormat="1" ht="15" customHeight="1" x14ac:dyDescent="0.25">
      <c r="A81" s="238"/>
      <c r="B81" s="238"/>
      <c r="C81" s="102" t="s">
        <v>346</v>
      </c>
      <c r="D81" s="103" t="s">
        <v>349</v>
      </c>
      <c r="E81" s="108"/>
      <c r="F81" s="103"/>
      <c r="G81" s="103"/>
      <c r="H81" s="105"/>
      <c r="I81" s="109">
        <v>-20.25226</v>
      </c>
      <c r="J81" s="109">
        <v>-40.236148</v>
      </c>
      <c r="K81" s="103"/>
      <c r="L81" s="106"/>
      <c r="M81" s="106"/>
      <c r="N81" s="106"/>
      <c r="O81" s="107"/>
      <c r="P81" s="107"/>
      <c r="Q81" s="107"/>
    </row>
    <row r="82" spans="1:17" s="35" customFormat="1" ht="15" customHeight="1" x14ac:dyDescent="0.25">
      <c r="A82" s="238"/>
      <c r="B82" s="238"/>
      <c r="C82" s="102" t="s">
        <v>347</v>
      </c>
      <c r="D82" s="103" t="s">
        <v>349</v>
      </c>
      <c r="E82" s="108"/>
      <c r="F82" s="103"/>
      <c r="G82" s="103"/>
      <c r="H82" s="105"/>
      <c r="I82" s="109">
        <v>-20.252991000000002</v>
      </c>
      <c r="J82" s="109">
        <v>-40.234996000000002</v>
      </c>
      <c r="K82" s="103"/>
      <c r="L82" s="106"/>
      <c r="M82" s="104"/>
      <c r="N82" s="104"/>
      <c r="O82" s="107"/>
      <c r="P82" s="107"/>
      <c r="Q82" s="107"/>
    </row>
    <row r="83" spans="1:17" s="35" customFormat="1" ht="15" customHeight="1" x14ac:dyDescent="0.25">
      <c r="A83" s="238"/>
      <c r="B83" s="238"/>
      <c r="C83" s="102" t="s">
        <v>308</v>
      </c>
      <c r="D83" s="103" t="s">
        <v>349</v>
      </c>
      <c r="E83" s="108"/>
      <c r="F83" s="103"/>
      <c r="G83" s="103"/>
      <c r="H83" s="105"/>
      <c r="I83" s="109">
        <v>-20.254636999999999</v>
      </c>
      <c r="J83" s="109">
        <v>-40.236137999999997</v>
      </c>
      <c r="K83" s="103"/>
      <c r="L83" s="106"/>
      <c r="M83" s="104"/>
      <c r="N83" s="104"/>
      <c r="O83" s="107"/>
      <c r="P83" s="107"/>
      <c r="Q83" s="107"/>
    </row>
    <row r="84" spans="1:17" s="35" customFormat="1" ht="15" customHeight="1" x14ac:dyDescent="0.25">
      <c r="A84" s="238"/>
      <c r="B84" s="238"/>
      <c r="C84" s="102" t="s">
        <v>309</v>
      </c>
      <c r="D84" s="103" t="s">
        <v>349</v>
      </c>
      <c r="E84" s="108"/>
      <c r="F84" s="103"/>
      <c r="G84" s="103"/>
      <c r="H84" s="105"/>
      <c r="I84" s="109">
        <v>-20.255490000000002</v>
      </c>
      <c r="J84" s="109">
        <v>-40.236776999999996</v>
      </c>
      <c r="K84" s="103"/>
      <c r="L84" s="106"/>
      <c r="M84" s="104"/>
      <c r="N84" s="104"/>
      <c r="O84" s="107"/>
      <c r="P84" s="107"/>
      <c r="Q84" s="107"/>
    </row>
    <row r="85" spans="1:17" s="35" customFormat="1" ht="15" customHeight="1" x14ac:dyDescent="0.25">
      <c r="A85" s="238"/>
      <c r="B85" s="238"/>
      <c r="C85" s="102" t="s">
        <v>310</v>
      </c>
      <c r="D85" s="103" t="s">
        <v>349</v>
      </c>
      <c r="E85" s="108"/>
      <c r="F85" s="103"/>
      <c r="G85" s="103"/>
      <c r="H85" s="105"/>
      <c r="I85" s="109">
        <v>-20.255634000000001</v>
      </c>
      <c r="J85" s="109">
        <v>-40.236902999999998</v>
      </c>
      <c r="K85" s="103"/>
      <c r="L85" s="106"/>
      <c r="M85" s="104"/>
      <c r="N85" s="104"/>
      <c r="O85" s="107"/>
      <c r="P85" s="107"/>
      <c r="Q85" s="107"/>
    </row>
    <row r="86" spans="1:17" s="35" customFormat="1" ht="15" customHeight="1" x14ac:dyDescent="0.25">
      <c r="A86" s="238"/>
      <c r="B86" s="238"/>
      <c r="C86" s="102" t="s">
        <v>311</v>
      </c>
      <c r="D86" s="103" t="s">
        <v>349</v>
      </c>
      <c r="E86" s="108"/>
      <c r="F86" s="103"/>
      <c r="G86" s="103"/>
      <c r="H86" s="105"/>
      <c r="I86" s="109">
        <v>-20.254362</v>
      </c>
      <c r="J86" s="109">
        <v>-40.236700999999996</v>
      </c>
      <c r="K86" s="103"/>
      <c r="L86" s="106"/>
      <c r="M86" s="104"/>
      <c r="N86" s="104"/>
      <c r="O86" s="107"/>
      <c r="P86" s="107"/>
      <c r="Q86" s="107"/>
    </row>
    <row r="87" spans="1:17" s="35" customFormat="1" ht="15" customHeight="1" x14ac:dyDescent="0.25">
      <c r="A87" s="238"/>
      <c r="B87" s="238"/>
      <c r="C87" s="35" t="s">
        <v>348</v>
      </c>
      <c r="D87" s="55" t="s">
        <v>349</v>
      </c>
      <c r="E87" s="41">
        <f>Dados!C52</f>
        <v>11.754999999999999</v>
      </c>
      <c r="F87" s="55" t="s">
        <v>191</v>
      </c>
      <c r="G87" s="55">
        <v>0</v>
      </c>
      <c r="H87" s="37">
        <f>Rotas!R27/(365*24)</f>
        <v>20.631050228310503</v>
      </c>
      <c r="I87" s="38">
        <v>-20.256630000000001</v>
      </c>
      <c r="J87" s="38">
        <v>-40.235398000000004</v>
      </c>
      <c r="K87" s="91"/>
      <c r="L87" s="39">
        <f>'FE-Transferências'!$A$4*0.0016*((($B$2/2.2)^1.3)/(E87/2)^1.4)</f>
        <v>2.2946726487034963E-4</v>
      </c>
      <c r="M87" s="39">
        <f>'FE-Transferências'!$C$4*0.0016*((($B$2/2.2)^1.3)/(E87/2)^1.4)</f>
        <v>1.0853181446570589E-4</v>
      </c>
      <c r="N87" s="39">
        <f>'FE-Transferências'!$E$4*0.0016*((($B$2/2.2)^1.3)/(E87/2)^1.4)</f>
        <v>1.6434817619092607E-5</v>
      </c>
      <c r="O87" s="40">
        <f t="shared" ref="O87" si="12">(H87*L87)*(1-G87/100)</f>
        <v>4.7341506672932132E-3</v>
      </c>
      <c r="P87" s="40">
        <f t="shared" ref="P87" si="13">(H87*M87)*(1-G87/100)</f>
        <v>2.2391253156116547E-3</v>
      </c>
      <c r="Q87" s="40">
        <f t="shared" ref="Q87" si="14">(H87*N87)*(1-G87/100)</f>
        <v>3.39067547792622E-4</v>
      </c>
    </row>
    <row r="88" spans="1:17" s="35" customFormat="1" ht="15" customHeight="1" x14ac:dyDescent="0.25">
      <c r="A88" s="238" t="s">
        <v>352</v>
      </c>
      <c r="B88" s="238" t="s">
        <v>334</v>
      </c>
      <c r="C88" s="102" t="s">
        <v>350</v>
      </c>
      <c r="D88" s="103" t="s">
        <v>92</v>
      </c>
      <c r="E88" s="108"/>
      <c r="F88" s="103"/>
      <c r="G88" s="103"/>
      <c r="H88" s="105"/>
      <c r="I88" s="109">
        <v>-20.251982000000002</v>
      </c>
      <c r="J88" s="109">
        <v>-40.235964000000003</v>
      </c>
      <c r="K88" s="103"/>
      <c r="L88" s="106"/>
      <c r="M88" s="104"/>
      <c r="N88" s="104"/>
      <c r="O88" s="107"/>
      <c r="P88" s="107"/>
      <c r="Q88" s="107"/>
    </row>
    <row r="89" spans="1:17" s="35" customFormat="1" ht="15" customHeight="1" x14ac:dyDescent="0.25">
      <c r="A89" s="238"/>
      <c r="B89" s="238"/>
      <c r="C89" s="102" t="s">
        <v>344</v>
      </c>
      <c r="D89" s="103" t="s">
        <v>92</v>
      </c>
      <c r="E89" s="108"/>
      <c r="F89" s="103"/>
      <c r="G89" s="103"/>
      <c r="H89" s="105"/>
      <c r="I89" s="109">
        <v>-20.252044000000001</v>
      </c>
      <c r="J89" s="109">
        <v>-40.236032000000002</v>
      </c>
      <c r="K89" s="103"/>
      <c r="L89" s="106"/>
      <c r="M89" s="104"/>
      <c r="N89" s="104"/>
      <c r="O89" s="107"/>
      <c r="P89" s="107"/>
      <c r="Q89" s="107"/>
    </row>
    <row r="90" spans="1:17" s="35" customFormat="1" ht="15" customHeight="1" x14ac:dyDescent="0.25">
      <c r="A90" s="238"/>
      <c r="B90" s="238"/>
      <c r="C90" s="102" t="s">
        <v>345</v>
      </c>
      <c r="D90" s="103" t="s">
        <v>92</v>
      </c>
      <c r="E90" s="108"/>
      <c r="F90" s="103"/>
      <c r="G90" s="103"/>
      <c r="H90" s="105"/>
      <c r="I90" s="109">
        <v>-20.252071999999998</v>
      </c>
      <c r="J90" s="109">
        <v>-40.235993999999998</v>
      </c>
      <c r="K90" s="103"/>
      <c r="L90" s="106"/>
      <c r="M90" s="106"/>
      <c r="N90" s="106"/>
      <c r="O90" s="107"/>
      <c r="P90" s="107"/>
      <c r="Q90" s="107"/>
    </row>
    <row r="91" spans="1:17" s="35" customFormat="1" ht="15" customHeight="1" x14ac:dyDescent="0.25">
      <c r="A91" s="238"/>
      <c r="B91" s="238"/>
      <c r="C91" s="102" t="s">
        <v>346</v>
      </c>
      <c r="D91" s="103" t="s">
        <v>92</v>
      </c>
      <c r="E91" s="108"/>
      <c r="F91" s="103"/>
      <c r="G91" s="103"/>
      <c r="H91" s="105"/>
      <c r="I91" s="109">
        <v>-20.25226</v>
      </c>
      <c r="J91" s="109">
        <v>-40.236148</v>
      </c>
      <c r="K91" s="103"/>
      <c r="L91" s="106"/>
      <c r="M91" s="106"/>
      <c r="N91" s="106"/>
      <c r="O91" s="107"/>
      <c r="P91" s="107"/>
      <c r="Q91" s="107"/>
    </row>
    <row r="92" spans="1:17" s="35" customFormat="1" ht="15" customHeight="1" x14ac:dyDescent="0.25">
      <c r="A92" s="238"/>
      <c r="B92" s="238"/>
      <c r="C92" s="102" t="s">
        <v>347</v>
      </c>
      <c r="D92" s="103" t="s">
        <v>92</v>
      </c>
      <c r="E92" s="108"/>
      <c r="F92" s="103"/>
      <c r="G92" s="103"/>
      <c r="H92" s="105"/>
      <c r="I92" s="109">
        <v>-20.252991000000002</v>
      </c>
      <c r="J92" s="109">
        <v>-40.234996000000002</v>
      </c>
      <c r="K92" s="103"/>
      <c r="L92" s="106"/>
      <c r="M92" s="106"/>
      <c r="N92" s="106"/>
      <c r="O92" s="107"/>
      <c r="P92" s="107"/>
      <c r="Q92" s="107"/>
    </row>
    <row r="93" spans="1:17" s="35" customFormat="1" ht="15" customHeight="1" x14ac:dyDescent="0.25">
      <c r="A93" s="238"/>
      <c r="B93" s="238"/>
      <c r="C93" s="102" t="s">
        <v>308</v>
      </c>
      <c r="D93" s="103" t="s">
        <v>92</v>
      </c>
      <c r="E93" s="108"/>
      <c r="F93" s="103"/>
      <c r="G93" s="103"/>
      <c r="H93" s="105"/>
      <c r="I93" s="109">
        <v>-20.254636999999999</v>
      </c>
      <c r="J93" s="109">
        <v>-40.236137999999997</v>
      </c>
      <c r="K93" s="103"/>
      <c r="L93" s="106"/>
      <c r="M93" s="106"/>
      <c r="N93" s="106"/>
      <c r="O93" s="107"/>
      <c r="P93" s="107"/>
      <c r="Q93" s="107"/>
    </row>
    <row r="94" spans="1:17" s="35" customFormat="1" ht="15" customHeight="1" x14ac:dyDescent="0.25">
      <c r="A94" s="238"/>
      <c r="B94" s="238"/>
      <c r="C94" s="102" t="s">
        <v>309</v>
      </c>
      <c r="D94" s="103" t="s">
        <v>92</v>
      </c>
      <c r="E94" s="108"/>
      <c r="F94" s="103"/>
      <c r="G94" s="103"/>
      <c r="H94" s="105"/>
      <c r="I94" s="109">
        <v>-20.255490000000002</v>
      </c>
      <c r="J94" s="109">
        <v>-40.236776999999996</v>
      </c>
      <c r="K94" s="103"/>
      <c r="L94" s="106"/>
      <c r="M94" s="106"/>
      <c r="N94" s="106"/>
      <c r="O94" s="107"/>
      <c r="P94" s="107"/>
      <c r="Q94" s="107"/>
    </row>
    <row r="95" spans="1:17" s="35" customFormat="1" ht="15" customHeight="1" x14ac:dyDescent="0.25">
      <c r="A95" s="238"/>
      <c r="B95" s="238"/>
      <c r="C95" s="102" t="s">
        <v>310</v>
      </c>
      <c r="D95" s="103" t="s">
        <v>92</v>
      </c>
      <c r="E95" s="108"/>
      <c r="F95" s="103"/>
      <c r="G95" s="103"/>
      <c r="H95" s="105"/>
      <c r="I95" s="109">
        <v>-20.255634000000001</v>
      </c>
      <c r="J95" s="109">
        <v>-40.236902999999998</v>
      </c>
      <c r="K95" s="103"/>
      <c r="L95" s="106"/>
      <c r="M95" s="106"/>
      <c r="N95" s="106"/>
      <c r="O95" s="107"/>
      <c r="P95" s="107"/>
      <c r="Q95" s="107"/>
    </row>
    <row r="96" spans="1:17" s="35" customFormat="1" ht="15" customHeight="1" x14ac:dyDescent="0.25">
      <c r="A96" s="238"/>
      <c r="B96" s="238"/>
      <c r="C96" s="102" t="s">
        <v>311</v>
      </c>
      <c r="D96" s="103" t="s">
        <v>92</v>
      </c>
      <c r="E96" s="108"/>
      <c r="F96" s="103"/>
      <c r="G96" s="103"/>
      <c r="H96" s="105"/>
      <c r="I96" s="109">
        <v>-20.254362</v>
      </c>
      <c r="J96" s="109">
        <v>-40.236700999999996</v>
      </c>
      <c r="K96" s="103"/>
      <c r="L96" s="106"/>
      <c r="M96" s="106"/>
      <c r="N96" s="106"/>
      <c r="O96" s="107"/>
      <c r="P96" s="107"/>
      <c r="Q96" s="107"/>
    </row>
    <row r="97" spans="1:17" s="35" customFormat="1" ht="15" customHeight="1" x14ac:dyDescent="0.25">
      <c r="A97" s="238"/>
      <c r="B97" s="238"/>
      <c r="C97" s="35" t="s">
        <v>351</v>
      </c>
      <c r="D97" s="55" t="s">
        <v>92</v>
      </c>
      <c r="E97" s="41">
        <v>7.6</v>
      </c>
      <c r="F97" s="55" t="s">
        <v>191</v>
      </c>
      <c r="G97" s="55">
        <v>0</v>
      </c>
      <c r="H97" s="37">
        <f>Rotas!S27/(365*24)</f>
        <v>2.2204337899543378</v>
      </c>
      <c r="I97" s="38">
        <v>-20.256630000000001</v>
      </c>
      <c r="J97" s="38">
        <v>-40.235398000000004</v>
      </c>
      <c r="K97" s="91"/>
      <c r="L97" s="39">
        <f>'FE-Transferências'!$A$4*0.0016*((($B$2/2.2)^1.3)/(E97/2)^1.4)</f>
        <v>4.225648774807563E-4</v>
      </c>
      <c r="M97" s="39">
        <f>'FE-Transferências'!$C$4*0.0016*((($B$2/2.2)^1.3)/(E97/2)^1.4)</f>
        <v>1.9986176637603337E-4</v>
      </c>
      <c r="N97" s="39">
        <f>'FE-Transferências'!$E$4*0.0016*((($B$2/2.2)^1.3)/(E97/2)^1.4)</f>
        <v>3.0264781765513629E-5</v>
      </c>
      <c r="O97" s="40">
        <f t="shared" ref="O97:O100" si="15">(H97*L97)*(1-G97/100)</f>
        <v>9.3827733240618607E-4</v>
      </c>
      <c r="P97" s="40">
        <f t="shared" ref="P97:P100" si="16">(H97*M97)*(1-G97/100)</f>
        <v>4.4377981938130423E-4</v>
      </c>
      <c r="Q97" s="40">
        <f t="shared" ref="Q97:Q100" si="17">(H97*N97)*(1-G97/100)</f>
        <v>6.7200944077740361E-5</v>
      </c>
    </row>
    <row r="98" spans="1:17" s="35" customFormat="1" ht="15" customHeight="1" x14ac:dyDescent="0.25">
      <c r="A98" s="238" t="s">
        <v>357</v>
      </c>
      <c r="B98" s="238" t="s">
        <v>358</v>
      </c>
      <c r="C98" s="35" t="s">
        <v>353</v>
      </c>
      <c r="D98" s="55" t="s">
        <v>35</v>
      </c>
      <c r="E98" s="41">
        <v>1</v>
      </c>
      <c r="F98" s="55" t="s">
        <v>276</v>
      </c>
      <c r="G98" s="55">
        <v>70</v>
      </c>
      <c r="H98" s="37">
        <f>Rotas!I10/(365*24)</f>
        <v>207.31936757990866</v>
      </c>
      <c r="I98" s="38">
        <v>-20.257559000000001</v>
      </c>
      <c r="J98" s="38">
        <v>-40.243079999999999</v>
      </c>
      <c r="K98" s="55">
        <v>2</v>
      </c>
      <c r="L98" s="39">
        <f>'FE-Transferências'!$A$4*0.0016*((($B$2/2.2)^1.3)/(E98/2)^1.4)</f>
        <v>7.2282377015546288E-3</v>
      </c>
      <c r="M98" s="39">
        <f>'FE-Transferências'!$C$4*0.0016*((($B$2/2.2)^1.3)/(E98/2)^1.4)</f>
        <v>3.4187610750596215E-3</v>
      </c>
      <c r="N98" s="39">
        <f>'FE-Transferências'!$E$4*0.0016*((($B$2/2.2)^1.3)/(E98/2)^1.4)</f>
        <v>5.176981056518856E-4</v>
      </c>
      <c r="O98" s="40">
        <f t="shared" si="15"/>
        <v>0.44956610070106751</v>
      </c>
      <c r="P98" s="40">
        <f t="shared" si="16"/>
        <v>0.21263261519645082</v>
      </c>
      <c r="Q98" s="40">
        <f t="shared" si="17"/>
        <v>3.2198653158319698E-2</v>
      </c>
    </row>
    <row r="99" spans="1:17" s="35" customFormat="1" ht="15" customHeight="1" x14ac:dyDescent="0.25">
      <c r="A99" s="238"/>
      <c r="B99" s="238"/>
      <c r="C99" s="35" t="s">
        <v>359</v>
      </c>
      <c r="D99" s="55" t="s">
        <v>35</v>
      </c>
      <c r="E99" s="41">
        <v>1</v>
      </c>
      <c r="F99" s="55" t="s">
        <v>276</v>
      </c>
      <c r="G99" s="55">
        <v>70</v>
      </c>
      <c r="H99" s="37">
        <f>Rotas!I10/(365*24)</f>
        <v>207.31936757990866</v>
      </c>
      <c r="I99" s="38">
        <v>-20.257493</v>
      </c>
      <c r="J99" s="38">
        <v>-40.243211000000002</v>
      </c>
      <c r="K99" s="55">
        <v>2</v>
      </c>
      <c r="L99" s="39">
        <f>'FE-Transferências'!$A$4*0.0016*((($B$2/2.2)^1.3)/(E99/2)^1.4)</f>
        <v>7.2282377015546288E-3</v>
      </c>
      <c r="M99" s="39">
        <f>'FE-Transferências'!$C$4*0.0016*((($B$2/2.2)^1.3)/(E99/2)^1.4)</f>
        <v>3.4187610750596215E-3</v>
      </c>
      <c r="N99" s="39">
        <f>'FE-Transferências'!$E$4*0.0016*((($B$2/2.2)^1.3)/(E99/2)^1.4)</f>
        <v>5.176981056518856E-4</v>
      </c>
      <c r="O99" s="40">
        <f t="shared" ref="O99" si="18">(H99*L99)*(1-G99/100)</f>
        <v>0.44956610070106751</v>
      </c>
      <c r="P99" s="40">
        <f t="shared" ref="P99" si="19">(H99*M99)*(1-G99/100)</f>
        <v>0.21263261519645082</v>
      </c>
      <c r="Q99" s="40">
        <f t="shared" ref="Q99" si="20">(H99*N99)*(1-G99/100)</f>
        <v>3.2198653158319698E-2</v>
      </c>
    </row>
    <row r="100" spans="1:17" s="35" customFormat="1" ht="15" customHeight="1" x14ac:dyDescent="0.25">
      <c r="A100" s="238"/>
      <c r="B100" s="238"/>
      <c r="C100" s="35" t="s">
        <v>308</v>
      </c>
      <c r="D100" s="55" t="s">
        <v>35</v>
      </c>
      <c r="E100" s="41">
        <v>1</v>
      </c>
      <c r="F100" s="55" t="s">
        <v>191</v>
      </c>
      <c r="G100" s="55">
        <v>0</v>
      </c>
      <c r="H100" s="37">
        <f>Rotas!H22/(365*24)</f>
        <v>142.30194063926942</v>
      </c>
      <c r="I100" s="38">
        <v>-20.257853000000001</v>
      </c>
      <c r="J100" s="38">
        <v>-40.242587999999998</v>
      </c>
      <c r="K100" s="91"/>
      <c r="L100" s="39">
        <f>'FE-Transferências'!$A$4*0.0016*((($B$2/2.2)^1.3)/(E100/2)^1.4)</f>
        <v>7.2282377015546288E-3</v>
      </c>
      <c r="M100" s="39">
        <f>'FE-Transferências'!$C$4*0.0016*((($B$2/2.2)^1.3)/(E100/2)^1.4)</f>
        <v>3.4187610750596215E-3</v>
      </c>
      <c r="N100" s="39">
        <f>'FE-Transferências'!$E$4*0.0016*((($B$2/2.2)^1.3)/(E100/2)^1.4)</f>
        <v>5.176981056518856E-4</v>
      </c>
      <c r="O100" s="40">
        <f t="shared" si="15"/>
        <v>1.0285922523331561</v>
      </c>
      <c r="P100" s="40">
        <f t="shared" si="16"/>
        <v>0.48649633556297917</v>
      </c>
      <c r="Q100" s="40">
        <f t="shared" si="17"/>
        <v>7.3669445099536851E-2</v>
      </c>
    </row>
    <row r="101" spans="1:17" s="35" customFormat="1" ht="15" customHeight="1" x14ac:dyDescent="0.25">
      <c r="A101" s="238"/>
      <c r="B101" s="238"/>
      <c r="C101" s="35" t="s">
        <v>354</v>
      </c>
      <c r="D101" s="55" t="s">
        <v>35</v>
      </c>
      <c r="E101" s="41">
        <v>1</v>
      </c>
      <c r="F101" s="55" t="s">
        <v>191</v>
      </c>
      <c r="G101" s="55">
        <v>0</v>
      </c>
      <c r="H101" s="37">
        <f>Rotas!H22/(365*24)</f>
        <v>142.30194063926942</v>
      </c>
      <c r="I101" s="38">
        <v>-20.257884000000001</v>
      </c>
      <c r="J101" s="38">
        <v>-40.241965999999998</v>
      </c>
      <c r="K101" s="91"/>
      <c r="L101" s="39">
        <f>'FE-Transferências'!$A$4*0.0016*((($B$2/2.2)^1.3)/(E101/2)^1.4)</f>
        <v>7.2282377015546288E-3</v>
      </c>
      <c r="M101" s="39">
        <f>'FE-Transferências'!$C$4*0.0016*((($B$2/2.2)^1.3)/(E101/2)^1.4)</f>
        <v>3.4187610750596215E-3</v>
      </c>
      <c r="N101" s="39">
        <f>'FE-Transferências'!$E$4*0.0016*((($B$2/2.2)^1.3)/(E101/2)^1.4)</f>
        <v>5.176981056518856E-4</v>
      </c>
      <c r="O101" s="40">
        <f t="shared" ref="O101:O112" si="21">(H101*L101)*(1-G101/100)</f>
        <v>1.0285922523331561</v>
      </c>
      <c r="P101" s="40">
        <f t="shared" ref="P101:P112" si="22">(H101*M101)*(1-G101/100)</f>
        <v>0.48649633556297917</v>
      </c>
      <c r="Q101" s="40">
        <f t="shared" ref="Q101:Q112" si="23">(H101*N101)*(1-G101/100)</f>
        <v>7.3669445099536851E-2</v>
      </c>
    </row>
    <row r="102" spans="1:17" s="35" customFormat="1" ht="15" customHeight="1" x14ac:dyDescent="0.25">
      <c r="A102" s="238"/>
      <c r="B102" s="238"/>
      <c r="C102" s="35" t="s">
        <v>355</v>
      </c>
      <c r="D102" s="55" t="s">
        <v>35</v>
      </c>
      <c r="E102" s="41">
        <v>1</v>
      </c>
      <c r="F102" s="55" t="s">
        <v>191</v>
      </c>
      <c r="G102" s="55">
        <v>0</v>
      </c>
      <c r="H102" s="37">
        <f>Rotas!H22/(365*24)</f>
        <v>142.30194063926942</v>
      </c>
      <c r="I102" s="38">
        <v>-20.255839000000002</v>
      </c>
      <c r="J102" s="38">
        <v>-40.237383000000001</v>
      </c>
      <c r="K102" s="91"/>
      <c r="L102" s="39">
        <f>'FE-Transferências'!$A$4*0.0016*((($B$2/2.2)^1.3)/(E102/2)^1.4)</f>
        <v>7.2282377015546288E-3</v>
      </c>
      <c r="M102" s="39">
        <f>'FE-Transferências'!$C$4*0.0016*((($B$2/2.2)^1.3)/(E102/2)^1.4)</f>
        <v>3.4187610750596215E-3</v>
      </c>
      <c r="N102" s="39">
        <f>'FE-Transferências'!$E$4*0.0016*((($B$2/2.2)^1.3)/(E102/2)^1.4)</f>
        <v>5.176981056518856E-4</v>
      </c>
      <c r="O102" s="40">
        <f t="shared" si="21"/>
        <v>1.0285922523331561</v>
      </c>
      <c r="P102" s="40">
        <f t="shared" si="22"/>
        <v>0.48649633556297917</v>
      </c>
      <c r="Q102" s="40">
        <f t="shared" si="23"/>
        <v>7.3669445099536851E-2</v>
      </c>
    </row>
    <row r="103" spans="1:17" s="35" customFormat="1" ht="15" customHeight="1" x14ac:dyDescent="0.25">
      <c r="A103" s="238"/>
      <c r="B103" s="238"/>
      <c r="C103" s="35" t="s">
        <v>356</v>
      </c>
      <c r="D103" s="55" t="s">
        <v>35</v>
      </c>
      <c r="E103" s="41">
        <v>1</v>
      </c>
      <c r="F103" s="55" t="s">
        <v>191</v>
      </c>
      <c r="G103" s="55">
        <v>0</v>
      </c>
      <c r="H103" s="37">
        <f>Rotas!H22/(365*24)</f>
        <v>142.30194063926942</v>
      </c>
      <c r="I103" s="38">
        <v>-20.256868999999998</v>
      </c>
      <c r="J103" s="38">
        <v>-40.236032000000002</v>
      </c>
      <c r="K103" s="91"/>
      <c r="L103" s="39">
        <f>'FE-Transferências'!$A$4*0.0016*((($B$2/2.2)^1.3)/(E103/2)^1.4)</f>
        <v>7.2282377015546288E-3</v>
      </c>
      <c r="M103" s="39">
        <f>'FE-Transferências'!$C$4*0.0016*((($B$2/2.2)^1.3)/(E103/2)^1.4)</f>
        <v>3.4187610750596215E-3</v>
      </c>
      <c r="N103" s="39">
        <f>'FE-Transferências'!$E$4*0.0016*((($B$2/2.2)^1.3)/(E103/2)^1.4)</f>
        <v>5.176981056518856E-4</v>
      </c>
      <c r="O103" s="40">
        <f t="shared" si="21"/>
        <v>1.0285922523331561</v>
      </c>
      <c r="P103" s="40">
        <f t="shared" si="22"/>
        <v>0.48649633556297917</v>
      </c>
      <c r="Q103" s="40">
        <f t="shared" si="23"/>
        <v>7.3669445099536851E-2</v>
      </c>
    </row>
    <row r="104" spans="1:17" s="35" customFormat="1" ht="15" customHeight="1" x14ac:dyDescent="0.25">
      <c r="A104" s="238" t="s">
        <v>605</v>
      </c>
      <c r="B104" s="238" t="s">
        <v>358</v>
      </c>
      <c r="C104" s="35" t="s">
        <v>303</v>
      </c>
      <c r="D104" s="55" t="s">
        <v>388</v>
      </c>
      <c r="E104" s="41">
        <v>7.1</v>
      </c>
      <c r="F104" s="55" t="s">
        <v>403</v>
      </c>
      <c r="G104" s="55">
        <v>50</v>
      </c>
      <c r="H104" s="37">
        <f>(Rotas!R31+Rotas!S31+Rotas!S33)/(365*24)</f>
        <v>15.934703196347032</v>
      </c>
      <c r="I104" s="38">
        <v>-20.245296</v>
      </c>
      <c r="J104" s="38">
        <v>-40.224801999999997</v>
      </c>
      <c r="K104" s="55">
        <v>2</v>
      </c>
      <c r="L104" s="39">
        <f>'FE-Transferências'!$A$4*0.0016*((($B$2/2.2)^1.3)/(E104/2)^1.4)</f>
        <v>4.6480494279383229E-4</v>
      </c>
      <c r="M104" s="39">
        <f>'FE-Transferências'!$C$4*0.0016*((($B$2/2.2)^1.3)/(E104/2)^1.4)</f>
        <v>2.1984017564573148E-4</v>
      </c>
      <c r="N104" s="39">
        <f>'FE-Transferências'!$E$4*0.0016*((($B$2/2.2)^1.3)/(E104/2)^1.4)</f>
        <v>3.3290083740639343E-5</v>
      </c>
      <c r="O104" s="40">
        <f t="shared" ref="O104:O105" si="24">(H104*L104)*(1-G104/100)</f>
        <v>3.7032644038073894E-3</v>
      </c>
      <c r="P104" s="40">
        <f t="shared" ref="P104:P105" si="25">(H104*M104)*(1-G104/100)</f>
        <v>1.7515439747737651E-3</v>
      </c>
      <c r="Q104" s="40">
        <f t="shared" ref="Q104:Q105" si="26">(H104*N104)*(1-G104/100)</f>
        <v>2.6523380189431302E-4</v>
      </c>
    </row>
    <row r="105" spans="1:17" s="35" customFormat="1" ht="15" customHeight="1" x14ac:dyDescent="0.25">
      <c r="A105" s="238"/>
      <c r="B105" s="238"/>
      <c r="C105" s="35" t="s">
        <v>491</v>
      </c>
      <c r="D105" s="55" t="s">
        <v>388</v>
      </c>
      <c r="E105" s="41">
        <v>7.1</v>
      </c>
      <c r="F105" s="55" t="s">
        <v>191</v>
      </c>
      <c r="G105" s="55">
        <v>0</v>
      </c>
      <c r="H105" s="37">
        <f>(Rotas!R31+Rotas!S31+Rotas!S33)/(365*24)</f>
        <v>15.934703196347032</v>
      </c>
      <c r="I105" s="38">
        <v>-20.256682999999999</v>
      </c>
      <c r="J105" s="38">
        <v>-40.233969000000002</v>
      </c>
      <c r="K105" s="55">
        <v>2</v>
      </c>
      <c r="L105" s="39">
        <f>'FE-Transferências'!$A$4*0.0016*((($B$2/2.2)^1.3)/(E105/2)^1.4)</f>
        <v>4.6480494279383229E-4</v>
      </c>
      <c r="M105" s="39">
        <f>'FE-Transferências'!$C$4*0.0016*((($B$2/2.2)^1.3)/(E105/2)^1.4)</f>
        <v>2.1984017564573148E-4</v>
      </c>
      <c r="N105" s="39">
        <f>'FE-Transferências'!$E$4*0.0016*((($B$2/2.2)^1.3)/(E105/2)^1.4)</f>
        <v>3.3290083740639343E-5</v>
      </c>
      <c r="O105" s="40">
        <f t="shared" si="24"/>
        <v>7.4065288076147788E-3</v>
      </c>
      <c r="P105" s="40">
        <f t="shared" si="25"/>
        <v>3.5030879495475302E-3</v>
      </c>
      <c r="Q105" s="40">
        <f t="shared" si="26"/>
        <v>5.3046760378862605E-4</v>
      </c>
    </row>
    <row r="106" spans="1:17" s="35" customFormat="1" ht="15" customHeight="1" x14ac:dyDescent="0.25">
      <c r="A106" s="238" t="s">
        <v>361</v>
      </c>
      <c r="B106" s="274" t="s">
        <v>362</v>
      </c>
      <c r="C106" s="35" t="s">
        <v>303</v>
      </c>
      <c r="D106" s="55" t="s">
        <v>62</v>
      </c>
      <c r="E106" s="41">
        <f>Dados!C52</f>
        <v>11.754999999999999</v>
      </c>
      <c r="F106" s="55" t="s">
        <v>340</v>
      </c>
      <c r="G106" s="55">
        <v>50</v>
      </c>
      <c r="H106" s="37">
        <f>Rotas!AE15/(365*24)</f>
        <v>8.6048824200913252</v>
      </c>
      <c r="I106" s="38">
        <v>-20.259302999999999</v>
      </c>
      <c r="J106" s="38">
        <v>-40.227148999999997</v>
      </c>
      <c r="K106" s="55">
        <v>2</v>
      </c>
      <c r="L106" s="39">
        <f>'FE-Transferências'!$A$4*0.0016*((($B$2/2.2)^1.3)/(E106/2)^1.4)</f>
        <v>2.2946726487034963E-4</v>
      </c>
      <c r="M106" s="39">
        <f>'FE-Transferências'!$C$4*0.0016*((($B$2/2.2)^1.3)/(E106/2)^1.4)</f>
        <v>1.0853181446570589E-4</v>
      </c>
      <c r="N106" s="39">
        <f>'FE-Transferências'!$E$4*0.0016*((($B$2/2.2)^1.3)/(E106/2)^1.4)</f>
        <v>1.6434817619092607E-5</v>
      </c>
      <c r="O106" s="40">
        <f t="shared" ref="O106" si="27">(H106*L106)*(1-G106/100)</f>
        <v>9.8726941673465572E-4</v>
      </c>
      <c r="P106" s="40">
        <f t="shared" ref="P106" si="28">(H106*M106)*(1-G106/100)</f>
        <v>4.6695175115828299E-4</v>
      </c>
      <c r="Q106" s="40">
        <f t="shared" ref="Q106" si="29">(H106*N106)*(1-G106/100)</f>
        <v>7.0709836603968573E-5</v>
      </c>
    </row>
    <row r="107" spans="1:17" s="35" customFormat="1" ht="15" customHeight="1" x14ac:dyDescent="0.25">
      <c r="A107" s="238"/>
      <c r="B107" s="274"/>
      <c r="C107" s="35" t="s">
        <v>492</v>
      </c>
      <c r="D107" s="55" t="s">
        <v>62</v>
      </c>
      <c r="E107" s="41">
        <f>Dados!C52</f>
        <v>11.754999999999999</v>
      </c>
      <c r="F107" s="55" t="s">
        <v>191</v>
      </c>
      <c r="G107" s="55">
        <v>0</v>
      </c>
      <c r="H107" s="37">
        <f>Rotas!AE15/(365*24)</f>
        <v>8.6048824200913252</v>
      </c>
      <c r="I107" s="38">
        <v>-20.253610999999999</v>
      </c>
      <c r="J107" s="38">
        <v>-40.232778000000003</v>
      </c>
      <c r="K107" s="55">
        <v>2</v>
      </c>
      <c r="L107" s="39">
        <f>'FE-Transferências'!$A$4*0.0016*((($B$2/2.2)^1.3)/(E107/2)^1.4)</f>
        <v>2.2946726487034963E-4</v>
      </c>
      <c r="M107" s="39">
        <f>'FE-Transferências'!$C$4*0.0016*((($B$2/2.2)^1.3)/(E107/2)^1.4)</f>
        <v>1.0853181446570589E-4</v>
      </c>
      <c r="N107" s="39">
        <f>'FE-Transferências'!$E$4*0.0016*((($B$2/2.2)^1.3)/(E107/2)^1.4)</f>
        <v>1.6434817619092607E-5</v>
      </c>
      <c r="O107" s="40">
        <f t="shared" si="21"/>
        <v>1.9745388334693114E-3</v>
      </c>
      <c r="P107" s="40">
        <f t="shared" si="22"/>
        <v>9.3390350231656598E-4</v>
      </c>
      <c r="Q107" s="40">
        <f t="shared" si="23"/>
        <v>1.4141967320793715E-4</v>
      </c>
    </row>
    <row r="108" spans="1:17" s="35" customFormat="1" ht="15" customHeight="1" x14ac:dyDescent="0.25">
      <c r="A108" s="274" t="s">
        <v>362</v>
      </c>
      <c r="B108" s="274" t="s">
        <v>313</v>
      </c>
      <c r="C108" s="35" t="s">
        <v>367</v>
      </c>
      <c r="D108" s="55" t="s">
        <v>62</v>
      </c>
      <c r="E108" s="41">
        <f>Dados!C52</f>
        <v>11.754999999999999</v>
      </c>
      <c r="F108" s="55" t="s">
        <v>363</v>
      </c>
      <c r="G108" s="55">
        <v>50</v>
      </c>
      <c r="H108" s="37">
        <f>Rotas!AE15/(365*24)</f>
        <v>8.6048824200913252</v>
      </c>
      <c r="I108" s="38">
        <v>-20.253813999999998</v>
      </c>
      <c r="J108" s="38">
        <v>-40.232675999999998</v>
      </c>
      <c r="K108" s="55">
        <v>2</v>
      </c>
      <c r="L108" s="39">
        <f>'FE-Transferências'!$A$4*0.0016*((($B$2/2.2)^1.3)/(E108/2)^1.4)</f>
        <v>2.2946726487034963E-4</v>
      </c>
      <c r="M108" s="39">
        <f>'FE-Transferências'!$C$4*0.0016*((($B$2/2.2)^1.3)/(E108/2)^1.4)</f>
        <v>1.0853181446570589E-4</v>
      </c>
      <c r="N108" s="39">
        <f>'FE-Transferências'!$E$4*0.0016*((($B$2/2.2)^1.3)/(E108/2)^1.4)</f>
        <v>1.6434817619092607E-5</v>
      </c>
      <c r="O108" s="40">
        <f>(H108*L108)*(1-G108/100)</f>
        <v>9.8726941673465572E-4</v>
      </c>
      <c r="P108" s="40">
        <f>(H108*M108)*(1-G108/100)</f>
        <v>4.6695175115828299E-4</v>
      </c>
      <c r="Q108" s="40">
        <f>(H108*N108)*(1-G108/100)</f>
        <v>7.0709836603968573E-5</v>
      </c>
    </row>
    <row r="109" spans="1:17" s="35" customFormat="1" ht="15" customHeight="1" x14ac:dyDescent="0.25">
      <c r="A109" s="274"/>
      <c r="B109" s="274"/>
      <c r="C109" s="35" t="s">
        <v>493</v>
      </c>
      <c r="D109" s="55" t="s">
        <v>62</v>
      </c>
      <c r="E109" s="41">
        <f>Dados!C52</f>
        <v>11.754999999999999</v>
      </c>
      <c r="F109" s="55" t="s">
        <v>276</v>
      </c>
      <c r="G109" s="55">
        <v>75</v>
      </c>
      <c r="H109" s="37">
        <f>Rotas!AE15/(365*24)</f>
        <v>8.6048824200913252</v>
      </c>
      <c r="I109" s="38">
        <v>-20.253291000000001</v>
      </c>
      <c r="J109" s="38">
        <v>-40.233915000000003</v>
      </c>
      <c r="K109" s="55">
        <v>2</v>
      </c>
      <c r="L109" s="39">
        <f>'FE-Transferências'!$A$4*0.0016*((($B$2/2.2)^1.3)/(E109/2)^1.4)</f>
        <v>2.2946726487034963E-4</v>
      </c>
      <c r="M109" s="39">
        <f>'FE-Transferências'!$C$4*0.0016*((($B$2/2.2)^1.3)/(E109/2)^1.4)</f>
        <v>1.0853181446570589E-4</v>
      </c>
      <c r="N109" s="39">
        <f>'FE-Transferências'!$E$4*0.0016*((($B$2/2.2)^1.3)/(E109/2)^1.4)</f>
        <v>1.6434817619092607E-5</v>
      </c>
      <c r="O109" s="40">
        <f>(H109*L109)*(1-G109/100)</f>
        <v>4.9363470836732786E-4</v>
      </c>
      <c r="P109" s="40">
        <f>(H109*M109)*(1-G109/100)</f>
        <v>2.3347587557914149E-4</v>
      </c>
      <c r="Q109" s="40">
        <f>(H109*N109)*(1-G109/100)</f>
        <v>3.5354918301984286E-5</v>
      </c>
    </row>
    <row r="110" spans="1:17" s="35" customFormat="1" ht="15" customHeight="1" x14ac:dyDescent="0.25">
      <c r="A110" s="238" t="s">
        <v>375</v>
      </c>
      <c r="B110" s="238" t="s">
        <v>376</v>
      </c>
      <c r="C110" s="35" t="s">
        <v>308</v>
      </c>
      <c r="D110" s="55" t="s">
        <v>33</v>
      </c>
      <c r="E110" s="41">
        <v>3.0550000000000002</v>
      </c>
      <c r="F110" s="55" t="s">
        <v>276</v>
      </c>
      <c r="G110" s="55">
        <v>70</v>
      </c>
      <c r="H110" s="37">
        <f>Rotas!Q60/(365*24)</f>
        <v>553.3978276255707</v>
      </c>
      <c r="I110" s="38">
        <v>-20.261624999999999</v>
      </c>
      <c r="J110" s="38">
        <v>-40.240617</v>
      </c>
      <c r="K110" s="91"/>
      <c r="L110" s="39">
        <f>'FE-Transferências'!$A$4*0.0016*((($B$2/2.2)^1.3)/(E110/2)^1.4)</f>
        <v>1.5136195398163055E-3</v>
      </c>
      <c r="M110" s="39">
        <f>'FE-Transferências'!$C$4*0.0016*((($B$2/2.2)^1.3)/(E110/2)^1.4)</f>
        <v>7.1590113369690122E-4</v>
      </c>
      <c r="N110" s="39">
        <f>'FE-Transferências'!$E$4*0.0016*((($B$2/2.2)^1.3)/(E110/2)^1.4)</f>
        <v>1.0840788595981649E-4</v>
      </c>
      <c r="O110" s="40">
        <f>(H110*L110)*(1-G110/100)</f>
        <v>0.25129012955578789</v>
      </c>
      <c r="P110" s="40">
        <f>(H110*M110)*(1-G110/100)</f>
        <v>0.11885343965476453</v>
      </c>
      <c r="Q110" s="40">
        <f>(H110*N110)*(1-G110/100)</f>
        <v>1.7997806576292918E-2</v>
      </c>
    </row>
    <row r="111" spans="1:17" s="35" customFormat="1" ht="15" customHeight="1" x14ac:dyDescent="0.25">
      <c r="A111" s="238"/>
      <c r="B111" s="238"/>
      <c r="C111" s="35" t="s">
        <v>309</v>
      </c>
      <c r="D111" s="55" t="s">
        <v>33</v>
      </c>
      <c r="E111" s="41">
        <v>3.0550000000000002</v>
      </c>
      <c r="F111" s="55" t="s">
        <v>276</v>
      </c>
      <c r="G111" s="55">
        <v>70</v>
      </c>
      <c r="H111" s="37">
        <f>Rotas!Q60/(365*24)</f>
        <v>553.3978276255707</v>
      </c>
      <c r="I111" s="38">
        <v>-20.25853</v>
      </c>
      <c r="J111" s="38">
        <v>-40.242640999999999</v>
      </c>
      <c r="K111" s="91"/>
      <c r="L111" s="39">
        <f>'FE-Transferências'!$A$4*0.0016*((($B$2/2.2)^1.3)/(E111/2)^1.4)</f>
        <v>1.5136195398163055E-3</v>
      </c>
      <c r="M111" s="39">
        <f>'FE-Transferências'!$C$4*0.0016*((($B$2/2.2)^1.3)/(E111/2)^1.4)</f>
        <v>7.1590113369690122E-4</v>
      </c>
      <c r="N111" s="39">
        <f>'FE-Transferências'!$E$4*0.0016*((($B$2/2.2)^1.3)/(E111/2)^1.4)</f>
        <v>1.0840788595981649E-4</v>
      </c>
      <c r="O111" s="40">
        <f>(H111*L111)*(1-G111/100)</f>
        <v>0.25129012955578789</v>
      </c>
      <c r="P111" s="40">
        <f>(H111*M111)*(1-G111/100)</f>
        <v>0.11885343965476453</v>
      </c>
      <c r="Q111" s="40">
        <f>(H111*N111)*(1-G111/100)</f>
        <v>1.7997806576292918E-2</v>
      </c>
    </row>
    <row r="112" spans="1:17" s="35" customFormat="1" ht="15" customHeight="1" x14ac:dyDescent="0.25">
      <c r="A112" s="238"/>
      <c r="B112" s="238"/>
      <c r="C112" s="35" t="s">
        <v>310</v>
      </c>
      <c r="D112" s="55" t="s">
        <v>33</v>
      </c>
      <c r="E112" s="41">
        <v>3.0550000000000002</v>
      </c>
      <c r="F112" s="55" t="s">
        <v>276</v>
      </c>
      <c r="G112" s="55">
        <v>70</v>
      </c>
      <c r="H112" s="37">
        <f>Rotas!Q60/(365*24)</f>
        <v>553.3978276255707</v>
      </c>
      <c r="I112" s="38">
        <v>-20.257884000000001</v>
      </c>
      <c r="J112" s="38">
        <v>-40.241965999999998</v>
      </c>
      <c r="K112" s="91"/>
      <c r="L112" s="39">
        <f>'FE-Transferências'!$A$4*0.0016*((($B$2/2.2)^1.3)/(E112/2)^1.4)</f>
        <v>1.5136195398163055E-3</v>
      </c>
      <c r="M112" s="39">
        <f>'FE-Transferências'!$C$4*0.0016*((($B$2/2.2)^1.3)/(E112/2)^1.4)</f>
        <v>7.1590113369690122E-4</v>
      </c>
      <c r="N112" s="39">
        <f>'FE-Transferências'!$E$4*0.0016*((($B$2/2.2)^1.3)/(E112/2)^1.4)</f>
        <v>1.0840788595981649E-4</v>
      </c>
      <c r="O112" s="40">
        <f t="shared" si="21"/>
        <v>0.25129012955578789</v>
      </c>
      <c r="P112" s="40">
        <f t="shared" si="22"/>
        <v>0.11885343965476453</v>
      </c>
      <c r="Q112" s="40">
        <f t="shared" si="23"/>
        <v>1.7997806576292918E-2</v>
      </c>
    </row>
    <row r="113" spans="1:17" s="35" customFormat="1" ht="15" customHeight="1" x14ac:dyDescent="0.25">
      <c r="A113" s="238"/>
      <c r="B113" s="238"/>
      <c r="C113" s="35" t="s">
        <v>311</v>
      </c>
      <c r="D113" s="55" t="s">
        <v>33</v>
      </c>
      <c r="E113" s="41">
        <v>3.0550000000000002</v>
      </c>
      <c r="F113" s="55" t="s">
        <v>276</v>
      </c>
      <c r="G113" s="55">
        <v>75</v>
      </c>
      <c r="H113" s="37">
        <f>Rotas!Q60/(365*24)</f>
        <v>553.3978276255707</v>
      </c>
      <c r="I113" s="38">
        <v>-20.255593999999999</v>
      </c>
      <c r="J113" s="38">
        <v>-40.237515000000002</v>
      </c>
      <c r="K113" s="91"/>
      <c r="L113" s="39">
        <f>'FE-Transferências'!$A$4*0.0016*((($B$2/2.2)^1.3)/(E113/2)^1.4)</f>
        <v>1.5136195398163055E-3</v>
      </c>
      <c r="M113" s="39">
        <f>'FE-Transferências'!$C$4*0.0016*((($B$2/2.2)^1.3)/(E113/2)^1.4)</f>
        <v>7.1590113369690122E-4</v>
      </c>
      <c r="N113" s="39">
        <f>'FE-Transferências'!$E$4*0.0016*((($B$2/2.2)^1.3)/(E113/2)^1.4)</f>
        <v>1.0840788595981649E-4</v>
      </c>
      <c r="O113" s="40">
        <f t="shared" ref="O113:O125" si="30">(H113*L113)*(1-G113/100)</f>
        <v>0.20940844129648986</v>
      </c>
      <c r="P113" s="40">
        <f t="shared" ref="P113:P125" si="31">(H113*M113)*(1-G113/100)</f>
        <v>9.9044533045637095E-2</v>
      </c>
      <c r="Q113" s="40">
        <f t="shared" ref="Q113:Q125" si="32">(H113*N113)*(1-G113/100)</f>
        <v>1.4998172146910764E-2</v>
      </c>
    </row>
    <row r="114" spans="1:17" s="35" customFormat="1" ht="15" customHeight="1" x14ac:dyDescent="0.25">
      <c r="A114" s="238"/>
      <c r="B114" s="238"/>
      <c r="C114" s="102" t="s">
        <v>368</v>
      </c>
      <c r="D114" s="103" t="s">
        <v>33</v>
      </c>
      <c r="E114" s="104"/>
      <c r="F114" s="103"/>
      <c r="G114" s="103"/>
      <c r="H114" s="105"/>
      <c r="I114" s="109">
        <v>-20.255236</v>
      </c>
      <c r="J114" s="109">
        <v>-40.237043</v>
      </c>
      <c r="K114" s="103"/>
      <c r="L114" s="106"/>
      <c r="M114" s="106"/>
      <c r="N114" s="106"/>
      <c r="O114" s="107"/>
      <c r="P114" s="107"/>
      <c r="Q114" s="107"/>
    </row>
    <row r="115" spans="1:17" s="35" customFormat="1" ht="15" customHeight="1" x14ac:dyDescent="0.25">
      <c r="A115" s="238"/>
      <c r="B115" s="238"/>
      <c r="C115" s="102" t="s">
        <v>369</v>
      </c>
      <c r="D115" s="103" t="s">
        <v>33</v>
      </c>
      <c r="E115" s="104"/>
      <c r="F115" s="103"/>
      <c r="G115" s="103"/>
      <c r="H115" s="105"/>
      <c r="I115" s="109">
        <v>-20.254534</v>
      </c>
      <c r="J115" s="109">
        <v>-40.236559</v>
      </c>
      <c r="K115" s="103"/>
      <c r="L115" s="106"/>
      <c r="M115" s="106"/>
      <c r="N115" s="106"/>
      <c r="O115" s="107"/>
      <c r="P115" s="107"/>
      <c r="Q115" s="107"/>
    </row>
    <row r="116" spans="1:17" s="35" customFormat="1" ht="15" customHeight="1" x14ac:dyDescent="0.25">
      <c r="A116" s="238"/>
      <c r="B116" s="238"/>
      <c r="C116" s="102" t="s">
        <v>370</v>
      </c>
      <c r="D116" s="103" t="s">
        <v>33</v>
      </c>
      <c r="E116" s="104"/>
      <c r="F116" s="103"/>
      <c r="G116" s="103"/>
      <c r="H116" s="105"/>
      <c r="I116" s="109">
        <v>-20.253751000000001</v>
      </c>
      <c r="J116" s="109">
        <v>-40.236159999999998</v>
      </c>
      <c r="K116" s="103"/>
      <c r="L116" s="106"/>
      <c r="M116" s="106"/>
      <c r="N116" s="106"/>
      <c r="O116" s="107"/>
      <c r="P116" s="107"/>
      <c r="Q116" s="107"/>
    </row>
    <row r="117" spans="1:17" s="35" customFormat="1" ht="15" customHeight="1" x14ac:dyDescent="0.25">
      <c r="A117" s="238"/>
      <c r="B117" s="238"/>
      <c r="C117" s="102" t="s">
        <v>371</v>
      </c>
      <c r="D117" s="103" t="s">
        <v>33</v>
      </c>
      <c r="E117" s="104"/>
      <c r="F117" s="103"/>
      <c r="G117" s="103"/>
      <c r="H117" s="105"/>
      <c r="I117" s="109">
        <v>-20.254325999999999</v>
      </c>
      <c r="J117" s="109">
        <v>-40.236615</v>
      </c>
      <c r="K117" s="103"/>
      <c r="L117" s="106"/>
      <c r="M117" s="106"/>
      <c r="N117" s="106"/>
      <c r="O117" s="107"/>
      <c r="P117" s="107"/>
      <c r="Q117" s="107"/>
    </row>
    <row r="118" spans="1:17" s="35" customFormat="1" ht="15" customHeight="1" x14ac:dyDescent="0.25">
      <c r="A118" s="238"/>
      <c r="B118" s="238"/>
      <c r="C118" s="102" t="s">
        <v>372</v>
      </c>
      <c r="D118" s="103" t="s">
        <v>33</v>
      </c>
      <c r="E118" s="104"/>
      <c r="F118" s="103"/>
      <c r="G118" s="103"/>
      <c r="H118" s="105"/>
      <c r="I118" s="109">
        <v>-20.252945</v>
      </c>
      <c r="J118" s="109">
        <v>-40.235157999999998</v>
      </c>
      <c r="K118" s="103"/>
      <c r="L118" s="106"/>
      <c r="M118" s="106"/>
      <c r="N118" s="106"/>
      <c r="O118" s="107"/>
      <c r="P118" s="107"/>
      <c r="Q118" s="107"/>
    </row>
    <row r="119" spans="1:17" s="35" customFormat="1" ht="15" customHeight="1" x14ac:dyDescent="0.25">
      <c r="A119" s="238"/>
      <c r="B119" s="238"/>
      <c r="C119" s="102" t="s">
        <v>373</v>
      </c>
      <c r="D119" s="103" t="s">
        <v>33</v>
      </c>
      <c r="E119" s="104"/>
      <c r="F119" s="103"/>
      <c r="G119" s="103"/>
      <c r="H119" s="105"/>
      <c r="I119" s="109">
        <v>-20.252023999999999</v>
      </c>
      <c r="J119" s="109">
        <v>-40.236356999999998</v>
      </c>
      <c r="K119" s="103"/>
      <c r="L119" s="106"/>
      <c r="M119" s="106"/>
      <c r="N119" s="106"/>
      <c r="O119" s="107"/>
      <c r="P119" s="107"/>
      <c r="Q119" s="107"/>
    </row>
    <row r="120" spans="1:17" s="35" customFormat="1" ht="15" customHeight="1" x14ac:dyDescent="0.25">
      <c r="A120" s="238"/>
      <c r="B120" s="238"/>
      <c r="C120" s="102" t="s">
        <v>374</v>
      </c>
      <c r="D120" s="103" t="s">
        <v>33</v>
      </c>
      <c r="E120" s="104"/>
      <c r="F120" s="103"/>
      <c r="G120" s="103"/>
      <c r="H120" s="105"/>
      <c r="I120" s="109">
        <v>-20.252524000000001</v>
      </c>
      <c r="J120" s="109">
        <v>-40.235939999999999</v>
      </c>
      <c r="K120" s="103"/>
      <c r="L120" s="106"/>
      <c r="M120" s="106"/>
      <c r="N120" s="106"/>
      <c r="O120" s="107"/>
      <c r="P120" s="107"/>
      <c r="Q120" s="107"/>
    </row>
    <row r="121" spans="1:17" s="35" customFormat="1" ht="15" customHeight="1" x14ac:dyDescent="0.25">
      <c r="A121" s="238" t="s">
        <v>375</v>
      </c>
      <c r="B121" s="238" t="s">
        <v>358</v>
      </c>
      <c r="C121" s="35" t="s">
        <v>308</v>
      </c>
      <c r="D121" s="55" t="s">
        <v>33</v>
      </c>
      <c r="E121" s="41">
        <v>3.0550000000000002</v>
      </c>
      <c r="F121" s="55" t="s">
        <v>276</v>
      </c>
      <c r="G121" s="55">
        <v>70</v>
      </c>
      <c r="H121" s="37">
        <f>Rotas!L7/(365*24)</f>
        <v>90.652397260273972</v>
      </c>
      <c r="I121" s="38">
        <v>-20.261624999999999</v>
      </c>
      <c r="J121" s="38">
        <v>-40.240617</v>
      </c>
      <c r="K121" s="91"/>
      <c r="L121" s="39">
        <f>'FE-Transferências'!$A$4*0.0016*((($B$2/2.2)^1.3)/(E121/2)^1.4)</f>
        <v>1.5136195398163055E-3</v>
      </c>
      <c r="M121" s="39">
        <f>'FE-Transferências'!$C$4*0.0016*((($B$2/2.2)^1.3)/(E121/2)^1.4)</f>
        <v>7.1590113369690122E-4</v>
      </c>
      <c r="N121" s="39">
        <f>'FE-Transferências'!$E$4*0.0016*((($B$2/2.2)^1.3)/(E121/2)^1.4)</f>
        <v>1.0840788595981649E-4</v>
      </c>
      <c r="O121" s="40">
        <f t="shared" si="30"/>
        <v>4.1163971947302244E-2</v>
      </c>
      <c r="P121" s="40">
        <f t="shared" si="31"/>
        <v>1.9469446191291602E-2</v>
      </c>
      <c r="Q121" s="40">
        <f t="shared" si="32"/>
        <v>2.9482304232527289E-3</v>
      </c>
    </row>
    <row r="122" spans="1:17" s="35" customFormat="1" ht="15" customHeight="1" x14ac:dyDescent="0.25">
      <c r="A122" s="238"/>
      <c r="B122" s="238"/>
      <c r="C122" s="35" t="s">
        <v>309</v>
      </c>
      <c r="D122" s="55" t="s">
        <v>33</v>
      </c>
      <c r="E122" s="41">
        <v>3.0550000000000002</v>
      </c>
      <c r="F122" s="55" t="s">
        <v>276</v>
      </c>
      <c r="G122" s="55">
        <v>70</v>
      </c>
      <c r="H122" s="37">
        <f>Rotas!L7/(365*24)</f>
        <v>90.652397260273972</v>
      </c>
      <c r="I122" s="38">
        <v>-20.25853</v>
      </c>
      <c r="J122" s="38">
        <v>-40.242640999999999</v>
      </c>
      <c r="K122" s="91"/>
      <c r="L122" s="39">
        <f>'FE-Transferências'!$A$4*0.0016*((($B$2/2.2)^1.3)/(E122/2)^1.4)</f>
        <v>1.5136195398163055E-3</v>
      </c>
      <c r="M122" s="39">
        <f>'FE-Transferências'!$C$4*0.0016*((($B$2/2.2)^1.3)/(E122/2)^1.4)</f>
        <v>7.1590113369690122E-4</v>
      </c>
      <c r="N122" s="39">
        <f>'FE-Transferências'!$E$4*0.0016*((($B$2/2.2)^1.3)/(E122/2)^1.4)</f>
        <v>1.0840788595981649E-4</v>
      </c>
      <c r="O122" s="40">
        <f t="shared" si="30"/>
        <v>4.1163971947302244E-2</v>
      </c>
      <c r="P122" s="40">
        <f t="shared" si="31"/>
        <v>1.9469446191291602E-2</v>
      </c>
      <c r="Q122" s="40">
        <f t="shared" si="32"/>
        <v>2.9482304232527289E-3</v>
      </c>
    </row>
    <row r="123" spans="1:17" s="35" customFormat="1" ht="15" customHeight="1" x14ac:dyDescent="0.25">
      <c r="A123" s="238"/>
      <c r="B123" s="238"/>
      <c r="C123" s="35" t="s">
        <v>310</v>
      </c>
      <c r="D123" s="55" t="s">
        <v>33</v>
      </c>
      <c r="E123" s="41">
        <v>3.0550000000000002</v>
      </c>
      <c r="F123" s="55" t="s">
        <v>276</v>
      </c>
      <c r="G123" s="55">
        <v>70</v>
      </c>
      <c r="H123" s="37">
        <f>Rotas!L7/(365*24)</f>
        <v>90.652397260273972</v>
      </c>
      <c r="I123" s="38">
        <v>-20.257884000000001</v>
      </c>
      <c r="J123" s="38">
        <v>-40.241965999999998</v>
      </c>
      <c r="K123" s="91"/>
      <c r="L123" s="39">
        <f>'FE-Transferências'!$A$4*0.0016*((($B$2/2.2)^1.3)/(E123/2)^1.4)</f>
        <v>1.5136195398163055E-3</v>
      </c>
      <c r="M123" s="39">
        <f>'FE-Transferências'!$C$4*0.0016*((($B$2/2.2)^1.3)/(E123/2)^1.4)</f>
        <v>7.1590113369690122E-4</v>
      </c>
      <c r="N123" s="39">
        <f>'FE-Transferências'!$E$4*0.0016*((($B$2/2.2)^1.3)/(E123/2)^1.4)</f>
        <v>1.0840788595981649E-4</v>
      </c>
      <c r="O123" s="40">
        <f t="shared" si="30"/>
        <v>4.1163971947302244E-2</v>
      </c>
      <c r="P123" s="40">
        <f t="shared" si="31"/>
        <v>1.9469446191291602E-2</v>
      </c>
      <c r="Q123" s="40">
        <f t="shared" si="32"/>
        <v>2.9482304232527289E-3</v>
      </c>
    </row>
    <row r="124" spans="1:17" s="35" customFormat="1" ht="15" customHeight="1" x14ac:dyDescent="0.25">
      <c r="A124" s="238"/>
      <c r="B124" s="238"/>
      <c r="C124" s="164" t="s">
        <v>311</v>
      </c>
      <c r="D124" s="55" t="s">
        <v>33</v>
      </c>
      <c r="E124" s="41">
        <v>3.0550000000000002</v>
      </c>
      <c r="F124" s="55" t="s">
        <v>276</v>
      </c>
      <c r="G124" s="55">
        <v>75</v>
      </c>
      <c r="H124" s="37">
        <f>Rotas!L7/(365*24)</f>
        <v>90.652397260273972</v>
      </c>
      <c r="I124" s="38">
        <v>-20.255593999999999</v>
      </c>
      <c r="J124" s="38">
        <v>-40.237515000000002</v>
      </c>
      <c r="K124" s="91"/>
      <c r="L124" s="39">
        <f>'FE-Transferências'!$A$4*0.0016*((($B$2/2.2)^1.3)/(E124/2)^1.4)</f>
        <v>1.5136195398163055E-3</v>
      </c>
      <c r="M124" s="39">
        <f>'FE-Transferências'!$C$4*0.0016*((($B$2/2.2)^1.3)/(E124/2)^1.4)</f>
        <v>7.1590113369690122E-4</v>
      </c>
      <c r="N124" s="39">
        <f>'FE-Transferências'!$E$4*0.0016*((($B$2/2.2)^1.3)/(E124/2)^1.4)</f>
        <v>1.0840788595981649E-4</v>
      </c>
      <c r="O124" s="40">
        <f t="shared" si="30"/>
        <v>3.4303309956085201E-2</v>
      </c>
      <c r="P124" s="40">
        <f t="shared" si="31"/>
        <v>1.6224538492742999E-2</v>
      </c>
      <c r="Q124" s="40">
        <f t="shared" si="32"/>
        <v>2.4568586860439405E-3</v>
      </c>
    </row>
    <row r="125" spans="1:17" s="35" customFormat="1" ht="15" customHeight="1" x14ac:dyDescent="0.25">
      <c r="A125" s="238"/>
      <c r="B125" s="238"/>
      <c r="C125" s="35" t="s">
        <v>368</v>
      </c>
      <c r="D125" s="55" t="s">
        <v>33</v>
      </c>
      <c r="E125" s="41">
        <v>3.0550000000000002</v>
      </c>
      <c r="F125" s="55" t="s">
        <v>191</v>
      </c>
      <c r="G125" s="55">
        <v>0</v>
      </c>
      <c r="H125" s="37">
        <f>Rotas!L7/(365*24)</f>
        <v>90.652397260273972</v>
      </c>
      <c r="I125" s="38">
        <v>-20.2559</v>
      </c>
      <c r="J125" s="38">
        <v>-40.237468999999997</v>
      </c>
      <c r="K125" s="91"/>
      <c r="L125" s="39">
        <f>'FE-Transferências'!$A$4*0.0016*((($B$2/2.2)^1.3)/(E125/2)^1.4)</f>
        <v>1.5136195398163055E-3</v>
      </c>
      <c r="M125" s="39">
        <f>'FE-Transferências'!$C$4*0.0016*((($B$2/2.2)^1.3)/(E125/2)^1.4)</f>
        <v>7.1590113369690122E-4</v>
      </c>
      <c r="N125" s="39">
        <f>'FE-Transferências'!$E$4*0.0016*((($B$2/2.2)^1.3)/(E125/2)^1.4)</f>
        <v>1.0840788595981649E-4</v>
      </c>
      <c r="O125" s="40">
        <f t="shared" si="30"/>
        <v>0.1372132398243408</v>
      </c>
      <c r="P125" s="40">
        <f t="shared" si="31"/>
        <v>6.4898153970971997E-2</v>
      </c>
      <c r="Q125" s="40">
        <f t="shared" si="32"/>
        <v>9.8274347441757622E-3</v>
      </c>
    </row>
    <row r="126" spans="1:17" s="35" customFormat="1" ht="15" customHeight="1" x14ac:dyDescent="0.25">
      <c r="A126" s="238"/>
      <c r="B126" s="238"/>
      <c r="C126" s="35" t="s">
        <v>377</v>
      </c>
      <c r="D126" s="55" t="s">
        <v>33</v>
      </c>
      <c r="E126" s="41">
        <v>3.0550000000000002</v>
      </c>
      <c r="F126" s="55" t="s">
        <v>191</v>
      </c>
      <c r="G126" s="55">
        <v>0</v>
      </c>
      <c r="H126" s="37">
        <f>Rotas!L7/(365*24)</f>
        <v>90.652397260273972</v>
      </c>
      <c r="I126" s="38">
        <v>-20.258001</v>
      </c>
      <c r="J126" s="38">
        <v>-40.234431999999998</v>
      </c>
      <c r="K126" s="91"/>
      <c r="L126" s="39">
        <f>'FE-Transferências'!$A$4*0.0016*((($B$2/2.2)^1.3)/(E126/2)^1.4)</f>
        <v>1.5136195398163055E-3</v>
      </c>
      <c r="M126" s="39">
        <f>'FE-Transferências'!$C$4*0.0016*((($B$2/2.2)^1.3)/(E126/2)^1.4)</f>
        <v>7.1590113369690122E-4</v>
      </c>
      <c r="N126" s="39">
        <f>'FE-Transferências'!$E$4*0.0016*((($B$2/2.2)^1.3)/(E126/2)^1.4)</f>
        <v>1.0840788595981649E-4</v>
      </c>
      <c r="O126" s="40">
        <f t="shared" ref="O126:O129" si="33">(H126*L126)*(1-G126/100)</f>
        <v>0.1372132398243408</v>
      </c>
      <c r="P126" s="40">
        <f t="shared" ref="P126:P129" si="34">(H126*M126)*(1-G126/100)</f>
        <v>6.4898153970971997E-2</v>
      </c>
      <c r="Q126" s="40">
        <f t="shared" ref="Q126:Q129" si="35">(H126*N126)*(1-G126/100)</f>
        <v>9.8274347441757622E-3</v>
      </c>
    </row>
    <row r="127" spans="1:17" s="35" customFormat="1" ht="15" customHeight="1" x14ac:dyDescent="0.25">
      <c r="A127" s="162" t="s">
        <v>399</v>
      </c>
      <c r="B127" s="162" t="s">
        <v>358</v>
      </c>
      <c r="C127" s="35" t="s">
        <v>402</v>
      </c>
      <c r="D127" s="55" t="s">
        <v>73</v>
      </c>
      <c r="E127" s="41">
        <v>0.46</v>
      </c>
      <c r="F127" s="55" t="s">
        <v>191</v>
      </c>
      <c r="G127" s="55">
        <v>0</v>
      </c>
      <c r="H127" s="114">
        <f>Rotas!H31/(365*24)</f>
        <v>0.32157534246575342</v>
      </c>
      <c r="I127" s="38">
        <v>-20.256837000000001</v>
      </c>
      <c r="J127" s="38">
        <v>-40.234625999999999</v>
      </c>
      <c r="K127" s="91"/>
      <c r="L127" s="39">
        <f>'FE-Transferências'!$A$4*0.0016*((($B$2/2.2)^1.3)/(E127/2)^1.4)</f>
        <v>2.1437367919160014E-2</v>
      </c>
      <c r="M127" s="39">
        <f>'FE-Transferências'!$C$4*0.0016*((($B$2/2.2)^1.3)/(E127/2)^1.4)</f>
        <v>1.0139295637440548E-2</v>
      </c>
      <c r="N127" s="39">
        <f>'FE-Transferências'!$E$4*0.0016*((($B$2/2.2)^1.3)/(E127/2)^1.4)</f>
        <v>1.5353790536695687E-3</v>
      </c>
      <c r="O127" s="40">
        <f>(H127*L127)*(1-G127/100)</f>
        <v>6.8937289301682376E-3</v>
      </c>
      <c r="P127" s="40">
        <f>(H127*M127)*(1-G127/100)</f>
        <v>3.260547466971464E-3</v>
      </c>
      <c r="Q127" s="40">
        <f>(H127*N127)*(1-G127/100)</f>
        <v>4.9374004499853593E-4</v>
      </c>
    </row>
    <row r="128" spans="1:17" s="35" customFormat="1" ht="15" customHeight="1" x14ac:dyDescent="0.25">
      <c r="A128" s="238" t="s">
        <v>358</v>
      </c>
      <c r="B128" s="238" t="s">
        <v>376</v>
      </c>
      <c r="C128" s="35" t="s">
        <v>378</v>
      </c>
      <c r="D128" s="55" t="s">
        <v>33</v>
      </c>
      <c r="E128" s="41">
        <v>3.0550000000000002</v>
      </c>
      <c r="F128" s="55" t="s">
        <v>340</v>
      </c>
      <c r="G128" s="55">
        <v>50</v>
      </c>
      <c r="H128" s="37">
        <f>Rotas!T54/(365*24)</f>
        <v>86.137069634703252</v>
      </c>
      <c r="I128" s="38">
        <v>-20.258348999999999</v>
      </c>
      <c r="J128" s="38">
        <v>-40.234045000000002</v>
      </c>
      <c r="K128" s="91"/>
      <c r="L128" s="39">
        <f>'FE-Transferências'!$A$4*0.0016*((($B$2/2.2)^1.3)/(E128/2)^1.4)</f>
        <v>1.5136195398163055E-3</v>
      </c>
      <c r="M128" s="39">
        <f>'FE-Transferências'!$C$4*0.0016*((($B$2/2.2)^1.3)/(E128/2)^1.4)</f>
        <v>7.1590113369690122E-4</v>
      </c>
      <c r="N128" s="39">
        <f>'FE-Transferências'!$E$4*0.0016*((($B$2/2.2)^1.3)/(E128/2)^1.4)</f>
        <v>1.0840788595981649E-4</v>
      </c>
      <c r="O128" s="40">
        <f t="shared" si="33"/>
        <v>6.5189375850802297E-2</v>
      </c>
      <c r="P128" s="40">
        <f t="shared" si="34"/>
        <v>3.0832812902406491E-2</v>
      </c>
      <c r="Q128" s="40">
        <f t="shared" si="35"/>
        <v>4.668968810935841E-3</v>
      </c>
    </row>
    <row r="129" spans="1:17" s="35" customFormat="1" ht="15" customHeight="1" x14ac:dyDescent="0.25">
      <c r="A129" s="238"/>
      <c r="B129" s="238"/>
      <c r="C129" s="35" t="s">
        <v>308</v>
      </c>
      <c r="D129" s="55" t="s">
        <v>33</v>
      </c>
      <c r="E129" s="41">
        <v>3.0550000000000002</v>
      </c>
      <c r="F129" s="55" t="s">
        <v>191</v>
      </c>
      <c r="G129" s="55">
        <v>0</v>
      </c>
      <c r="H129" s="37">
        <f>Rotas!T54/(365*24)</f>
        <v>86.137069634703252</v>
      </c>
      <c r="I129" s="38">
        <v>-20.259678999999998</v>
      </c>
      <c r="J129" s="38">
        <v>-40.231946999999998</v>
      </c>
      <c r="K129" s="91"/>
      <c r="L129" s="39">
        <f>'FE-Transferências'!$A$4*0.0016*((($B$2/2.2)^1.3)/(E129/2)^1.4)</f>
        <v>1.5136195398163055E-3</v>
      </c>
      <c r="M129" s="39">
        <f>'FE-Transferências'!$C$4*0.0016*((($B$2/2.2)^1.3)/(E129/2)^1.4)</f>
        <v>7.1590113369690122E-4</v>
      </c>
      <c r="N129" s="39">
        <f>'FE-Transferências'!$E$4*0.0016*((($B$2/2.2)^1.3)/(E129/2)^1.4)</f>
        <v>1.0840788595981649E-4</v>
      </c>
      <c r="O129" s="40">
        <f t="shared" si="33"/>
        <v>0.13037875170160459</v>
      </c>
      <c r="P129" s="40">
        <f t="shared" si="34"/>
        <v>6.1665625804812982E-2</v>
      </c>
      <c r="Q129" s="40">
        <f t="shared" si="35"/>
        <v>9.3379376218716819E-3</v>
      </c>
    </row>
    <row r="130" spans="1:17" s="35" customFormat="1" ht="15" customHeight="1" x14ac:dyDescent="0.25">
      <c r="A130" s="238"/>
      <c r="B130" s="238"/>
      <c r="C130" s="35" t="s">
        <v>309</v>
      </c>
      <c r="D130" s="55" t="s">
        <v>33</v>
      </c>
      <c r="E130" s="41">
        <v>3.0550000000000002</v>
      </c>
      <c r="F130" s="55" t="s">
        <v>191</v>
      </c>
      <c r="G130" s="55">
        <v>0</v>
      </c>
      <c r="H130" s="37">
        <f>Rotas!T54/(365*24)</f>
        <v>86.137069634703252</v>
      </c>
      <c r="I130" s="38">
        <v>-20.258251000000001</v>
      </c>
      <c r="J130" s="38">
        <v>-40.231006999999998</v>
      </c>
      <c r="K130" s="91"/>
      <c r="L130" s="39">
        <f>'FE-Transferências'!$A$4*0.0016*((($B$2/2.2)^1.3)/(E130/2)^1.4)</f>
        <v>1.5136195398163055E-3</v>
      </c>
      <c r="M130" s="39">
        <f>'FE-Transferências'!$C$4*0.0016*((($B$2/2.2)^1.3)/(E130/2)^1.4)</f>
        <v>7.1590113369690122E-4</v>
      </c>
      <c r="N130" s="39">
        <f>'FE-Transferências'!$E$4*0.0016*((($B$2/2.2)^1.3)/(E130/2)^1.4)</f>
        <v>1.0840788595981649E-4</v>
      </c>
      <c r="O130" s="40">
        <f>(H130*L130)*(1-G130/100)</f>
        <v>0.13037875170160459</v>
      </c>
      <c r="P130" s="40">
        <f>(H130*M130)*(1-G130/100)</f>
        <v>6.1665625804812982E-2</v>
      </c>
      <c r="Q130" s="40">
        <f>(H130*N130)*(1-G130/100)</f>
        <v>9.3379376218716819E-3</v>
      </c>
    </row>
    <row r="131" spans="1:17" s="35" customFormat="1" ht="15" customHeight="1" x14ac:dyDescent="0.25">
      <c r="A131" s="238"/>
      <c r="B131" s="238"/>
      <c r="C131" s="102" t="s">
        <v>310</v>
      </c>
      <c r="D131" s="103" t="s">
        <v>33</v>
      </c>
      <c r="E131" s="104"/>
      <c r="F131" s="103"/>
      <c r="G131" s="103"/>
      <c r="H131" s="105"/>
      <c r="I131" s="109">
        <v>-20.254534</v>
      </c>
      <c r="J131" s="109">
        <v>-40.236559</v>
      </c>
      <c r="K131" s="91"/>
      <c r="L131" s="106"/>
      <c r="M131" s="106"/>
      <c r="N131" s="106"/>
      <c r="O131" s="107"/>
      <c r="P131" s="107"/>
      <c r="Q131" s="107"/>
    </row>
    <row r="132" spans="1:17" s="35" customFormat="1" ht="15" customHeight="1" x14ac:dyDescent="0.25">
      <c r="A132" s="238"/>
      <c r="B132" s="238"/>
      <c r="C132" s="102" t="s">
        <v>311</v>
      </c>
      <c r="D132" s="103" t="s">
        <v>33</v>
      </c>
      <c r="E132" s="104"/>
      <c r="F132" s="103"/>
      <c r="G132" s="103"/>
      <c r="H132" s="105"/>
      <c r="I132" s="109">
        <v>-20.253786999999999</v>
      </c>
      <c r="J132" s="109">
        <v>-40.236189000000003</v>
      </c>
      <c r="K132" s="91"/>
      <c r="L132" s="106"/>
      <c r="M132" s="104"/>
      <c r="N132" s="104"/>
      <c r="O132" s="107"/>
      <c r="P132" s="107"/>
      <c r="Q132" s="107"/>
    </row>
    <row r="133" spans="1:17" s="35" customFormat="1" ht="15" customHeight="1" x14ac:dyDescent="0.25">
      <c r="A133" s="238"/>
      <c r="B133" s="238"/>
      <c r="C133" s="102" t="s">
        <v>368</v>
      </c>
      <c r="D133" s="103" t="s">
        <v>33</v>
      </c>
      <c r="E133" s="104"/>
      <c r="F133" s="103"/>
      <c r="G133" s="103"/>
      <c r="H133" s="105"/>
      <c r="I133" s="109">
        <v>-20.254325999999999</v>
      </c>
      <c r="J133" s="109">
        <v>-40.236691</v>
      </c>
      <c r="K133" s="91"/>
      <c r="L133" s="106"/>
      <c r="M133" s="104"/>
      <c r="N133" s="104"/>
      <c r="O133" s="107"/>
      <c r="P133" s="107"/>
      <c r="Q133" s="107"/>
    </row>
    <row r="134" spans="1:17" s="35" customFormat="1" ht="15" customHeight="1" x14ac:dyDescent="0.25">
      <c r="A134" s="238"/>
      <c r="B134" s="238"/>
      <c r="C134" s="102" t="s">
        <v>369</v>
      </c>
      <c r="D134" s="103" t="s">
        <v>33</v>
      </c>
      <c r="E134" s="104"/>
      <c r="F134" s="103"/>
      <c r="G134" s="103"/>
      <c r="H134" s="105"/>
      <c r="I134" s="109">
        <v>-20.253691</v>
      </c>
      <c r="J134" s="109">
        <v>-40.235652000000002</v>
      </c>
      <c r="K134" s="91"/>
      <c r="L134" s="106"/>
      <c r="M134" s="106"/>
      <c r="N134" s="106"/>
      <c r="O134" s="107"/>
      <c r="P134" s="107"/>
      <c r="Q134" s="107"/>
    </row>
    <row r="135" spans="1:17" s="35" customFormat="1" ht="15" customHeight="1" x14ac:dyDescent="0.25">
      <c r="A135" s="238"/>
      <c r="B135" s="238"/>
      <c r="C135" s="102" t="s">
        <v>370</v>
      </c>
      <c r="D135" s="103" t="s">
        <v>33</v>
      </c>
      <c r="E135" s="104"/>
      <c r="F135" s="103"/>
      <c r="G135" s="103"/>
      <c r="H135" s="105"/>
      <c r="I135" s="109">
        <v>-20.252972</v>
      </c>
      <c r="J135" s="109">
        <v>-40.235168000000002</v>
      </c>
      <c r="K135" s="91"/>
      <c r="L135" s="106"/>
      <c r="M135" s="106"/>
      <c r="N135" s="106"/>
      <c r="O135" s="107"/>
      <c r="P135" s="107"/>
      <c r="Q135" s="107"/>
    </row>
    <row r="136" spans="1:17" s="35" customFormat="1" ht="15" customHeight="1" x14ac:dyDescent="0.25">
      <c r="A136" s="238"/>
      <c r="B136" s="238"/>
      <c r="C136" s="102" t="s">
        <v>371</v>
      </c>
      <c r="D136" s="103" t="s">
        <v>33</v>
      </c>
      <c r="E136" s="104"/>
      <c r="F136" s="103"/>
      <c r="G136" s="103"/>
      <c r="H136" s="105"/>
      <c r="I136" s="109">
        <v>-20.252023999999999</v>
      </c>
      <c r="J136" s="109">
        <v>-40.236356999999998</v>
      </c>
      <c r="K136" s="91"/>
      <c r="L136" s="106"/>
      <c r="M136" s="106"/>
      <c r="N136" s="106"/>
      <c r="O136" s="107"/>
      <c r="P136" s="107"/>
      <c r="Q136" s="107"/>
    </row>
    <row r="137" spans="1:17" s="35" customFormat="1" ht="15" customHeight="1" x14ac:dyDescent="0.25">
      <c r="A137" s="238"/>
      <c r="B137" s="238"/>
      <c r="C137" s="102" t="s">
        <v>372</v>
      </c>
      <c r="D137" s="103" t="s">
        <v>33</v>
      </c>
      <c r="E137" s="104"/>
      <c r="F137" s="103"/>
      <c r="G137" s="103"/>
      <c r="H137" s="105"/>
      <c r="I137" s="109">
        <v>-20.252524000000001</v>
      </c>
      <c r="J137" s="109">
        <v>-40.235939999999999</v>
      </c>
      <c r="K137" s="91"/>
      <c r="L137" s="106"/>
      <c r="M137" s="106"/>
      <c r="N137" s="106"/>
      <c r="O137" s="107"/>
      <c r="P137" s="107"/>
      <c r="Q137" s="107"/>
    </row>
    <row r="138" spans="1:17" s="35" customFormat="1" ht="15" customHeight="1" x14ac:dyDescent="0.25">
      <c r="A138" s="238" t="s">
        <v>358</v>
      </c>
      <c r="B138" s="238" t="s">
        <v>376</v>
      </c>
      <c r="C138" s="35" t="s">
        <v>406</v>
      </c>
      <c r="D138" s="55" t="s">
        <v>34</v>
      </c>
      <c r="E138" s="41">
        <v>5.6</v>
      </c>
      <c r="F138" s="55" t="s">
        <v>191</v>
      </c>
      <c r="G138" s="55">
        <v>0</v>
      </c>
      <c r="H138" s="37">
        <f>Rotas!T56/(365*24)</f>
        <v>128.29808219178082</v>
      </c>
      <c r="I138" s="38">
        <v>-20.256722</v>
      </c>
      <c r="J138" s="38">
        <v>-40.235093999999997</v>
      </c>
      <c r="K138" s="91"/>
      <c r="L138" s="39">
        <f>'FE-Transferências'!$A$4*0.0016*((($B$2/2.2)^1.3)/(E138/2)^1.4)</f>
        <v>6.4799131957684914E-4</v>
      </c>
      <c r="M138" s="39">
        <f>'FE-Transferências'!$C$4*0.0016*((($B$2/2.2)^1.3)/(E138/2)^1.4)</f>
        <v>3.0648238088094214E-4</v>
      </c>
      <c r="N138" s="39">
        <f>'FE-Transferências'!$E$4*0.0016*((($B$2/2.2)^1.3)/(E138/2)^1.4)</f>
        <v>4.6410189104828386E-5</v>
      </c>
      <c r="O138" s="40">
        <f t="shared" ref="O138:O140" si="36">(H138*L138)*(1-G138/100)</f>
        <v>8.3136043578631108E-2</v>
      </c>
      <c r="P138" s="40">
        <f t="shared" ref="P138:P140" si="37">(H138*M138)*(1-G138/100)</f>
        <v>3.932110169259579E-2</v>
      </c>
      <c r="Q138" s="40">
        <f t="shared" ref="Q138:Q140" si="38">(H138*N138)*(1-G138/100)</f>
        <v>5.9543382563073633E-3</v>
      </c>
    </row>
    <row r="139" spans="1:17" s="35" customFormat="1" ht="15" customHeight="1" x14ac:dyDescent="0.25">
      <c r="A139" s="238"/>
      <c r="B139" s="238"/>
      <c r="C139" s="35" t="s">
        <v>308</v>
      </c>
      <c r="D139" s="55" t="s">
        <v>34</v>
      </c>
      <c r="E139" s="41">
        <v>5.6</v>
      </c>
      <c r="F139" s="55" t="s">
        <v>191</v>
      </c>
      <c r="G139" s="55">
        <v>0</v>
      </c>
      <c r="H139" s="37">
        <f>Rotas!T56/(365*24)</f>
        <v>128.29808219178082</v>
      </c>
      <c r="I139" s="38">
        <v>-20.259112999999999</v>
      </c>
      <c r="J139" s="38">
        <v>-40.231673999999998</v>
      </c>
      <c r="K139" s="91"/>
      <c r="L139" s="39">
        <f>'FE-Transferências'!$A$4*0.0016*((($B$2/2.2)^1.3)/(E139/2)^1.4)</f>
        <v>6.4799131957684914E-4</v>
      </c>
      <c r="M139" s="39">
        <f>'FE-Transferências'!$C$4*0.0016*((($B$2/2.2)^1.3)/(E139/2)^1.4)</f>
        <v>3.0648238088094214E-4</v>
      </c>
      <c r="N139" s="39">
        <f>'FE-Transferências'!$E$4*0.0016*((($B$2/2.2)^1.3)/(E139/2)^1.4)</f>
        <v>4.6410189104828386E-5</v>
      </c>
      <c r="O139" s="40">
        <f t="shared" si="36"/>
        <v>8.3136043578631108E-2</v>
      </c>
      <c r="P139" s="40">
        <f t="shared" si="37"/>
        <v>3.932110169259579E-2</v>
      </c>
      <c r="Q139" s="40">
        <f t="shared" si="38"/>
        <v>5.9543382563073633E-3</v>
      </c>
    </row>
    <row r="140" spans="1:17" s="35" customFormat="1" ht="15" customHeight="1" x14ac:dyDescent="0.25">
      <c r="A140" s="238"/>
      <c r="B140" s="238"/>
      <c r="C140" s="35" t="s">
        <v>309</v>
      </c>
      <c r="D140" s="55" t="s">
        <v>34</v>
      </c>
      <c r="E140" s="41">
        <v>5.6</v>
      </c>
      <c r="F140" s="55" t="s">
        <v>191</v>
      </c>
      <c r="G140" s="55">
        <v>0</v>
      </c>
      <c r="H140" s="37">
        <f>Rotas!T56/(365*24)</f>
        <v>128.29808219178082</v>
      </c>
      <c r="I140" s="38">
        <v>-20.258251000000001</v>
      </c>
      <c r="J140" s="38">
        <v>-40.231006999999998</v>
      </c>
      <c r="K140" s="91"/>
      <c r="L140" s="39">
        <f>'FE-Transferências'!$A$4*0.0016*((($B$2/2.2)^1.3)/(E140/2)^1.4)</f>
        <v>6.4799131957684914E-4</v>
      </c>
      <c r="M140" s="39">
        <f>'FE-Transferências'!$C$4*0.0016*((($B$2/2.2)^1.3)/(E140/2)^1.4)</f>
        <v>3.0648238088094214E-4</v>
      </c>
      <c r="N140" s="39">
        <f>'FE-Transferências'!$E$4*0.0016*((($B$2/2.2)^1.3)/(E140/2)^1.4)</f>
        <v>4.6410189104828386E-5</v>
      </c>
      <c r="O140" s="40">
        <f t="shared" si="36"/>
        <v>8.3136043578631108E-2</v>
      </c>
      <c r="P140" s="40">
        <f t="shared" si="37"/>
        <v>3.932110169259579E-2</v>
      </c>
      <c r="Q140" s="40">
        <f t="shared" si="38"/>
        <v>5.9543382563073633E-3</v>
      </c>
    </row>
    <row r="141" spans="1:17" s="35" customFormat="1" ht="15" customHeight="1" x14ac:dyDescent="0.25">
      <c r="A141" s="238"/>
      <c r="B141" s="238"/>
      <c r="C141" s="102" t="s">
        <v>310</v>
      </c>
      <c r="D141" s="103" t="s">
        <v>34</v>
      </c>
      <c r="E141" s="104"/>
      <c r="F141" s="103"/>
      <c r="G141" s="103"/>
      <c r="H141" s="105"/>
      <c r="I141" s="109">
        <v>-20.254534</v>
      </c>
      <c r="J141" s="109">
        <v>-40.236559</v>
      </c>
      <c r="K141" s="103"/>
      <c r="L141" s="106"/>
      <c r="M141" s="106"/>
      <c r="N141" s="106"/>
      <c r="O141" s="107"/>
      <c r="P141" s="107"/>
      <c r="Q141" s="107"/>
    </row>
    <row r="142" spans="1:17" s="35" customFormat="1" ht="15" customHeight="1" x14ac:dyDescent="0.25">
      <c r="A142" s="238"/>
      <c r="B142" s="238"/>
      <c r="C142" s="102" t="s">
        <v>311</v>
      </c>
      <c r="D142" s="103" t="s">
        <v>34</v>
      </c>
      <c r="E142" s="104"/>
      <c r="F142" s="103"/>
      <c r="G142" s="103"/>
      <c r="H142" s="105"/>
      <c r="I142" s="109">
        <v>-20.253786999999999</v>
      </c>
      <c r="J142" s="109">
        <v>-40.236189000000003</v>
      </c>
      <c r="K142" s="103"/>
      <c r="L142" s="106"/>
      <c r="M142" s="106"/>
      <c r="N142" s="106"/>
      <c r="O142" s="107"/>
      <c r="P142" s="107"/>
      <c r="Q142" s="107"/>
    </row>
    <row r="143" spans="1:17" s="35" customFormat="1" ht="15" customHeight="1" x14ac:dyDescent="0.25">
      <c r="A143" s="238"/>
      <c r="B143" s="238"/>
      <c r="C143" s="102" t="s">
        <v>368</v>
      </c>
      <c r="D143" s="103" t="s">
        <v>34</v>
      </c>
      <c r="E143" s="104"/>
      <c r="F143" s="103"/>
      <c r="G143" s="103"/>
      <c r="H143" s="105"/>
      <c r="I143" s="109">
        <v>-20.254325999999999</v>
      </c>
      <c r="J143" s="109">
        <v>-40.236691</v>
      </c>
      <c r="K143" s="103"/>
      <c r="L143" s="106"/>
      <c r="M143" s="106"/>
      <c r="N143" s="106"/>
      <c r="O143" s="107"/>
      <c r="P143" s="107"/>
      <c r="Q143" s="107"/>
    </row>
    <row r="144" spans="1:17" s="35" customFormat="1" ht="15" customHeight="1" x14ac:dyDescent="0.25">
      <c r="A144" s="238"/>
      <c r="B144" s="238"/>
      <c r="C144" s="102" t="s">
        <v>369</v>
      </c>
      <c r="D144" s="103" t="s">
        <v>34</v>
      </c>
      <c r="E144" s="104"/>
      <c r="F144" s="103"/>
      <c r="G144" s="103"/>
      <c r="H144" s="105"/>
      <c r="I144" s="109">
        <v>-20.253691</v>
      </c>
      <c r="J144" s="109">
        <v>-40.235652000000002</v>
      </c>
      <c r="K144" s="103"/>
      <c r="L144" s="106"/>
      <c r="M144" s="106"/>
      <c r="N144" s="106"/>
      <c r="O144" s="107"/>
      <c r="P144" s="107"/>
      <c r="Q144" s="107"/>
    </row>
    <row r="145" spans="1:17" s="35" customFormat="1" ht="15" customHeight="1" x14ac:dyDescent="0.25">
      <c r="A145" s="238"/>
      <c r="B145" s="238"/>
      <c r="C145" s="102" t="s">
        <v>370</v>
      </c>
      <c r="D145" s="103" t="s">
        <v>34</v>
      </c>
      <c r="E145" s="104"/>
      <c r="F145" s="103"/>
      <c r="G145" s="103"/>
      <c r="H145" s="105"/>
      <c r="I145" s="109">
        <v>-20.252972</v>
      </c>
      <c r="J145" s="109">
        <v>-40.235168000000002</v>
      </c>
      <c r="K145" s="103"/>
      <c r="L145" s="106"/>
      <c r="M145" s="106"/>
      <c r="N145" s="106"/>
      <c r="O145" s="107"/>
      <c r="P145" s="107"/>
      <c r="Q145" s="107"/>
    </row>
    <row r="146" spans="1:17" s="35" customFormat="1" ht="15" customHeight="1" x14ac:dyDescent="0.25">
      <c r="A146" s="238"/>
      <c r="B146" s="238"/>
      <c r="C146" s="102" t="s">
        <v>371</v>
      </c>
      <c r="D146" s="103" t="s">
        <v>34</v>
      </c>
      <c r="E146" s="104"/>
      <c r="F146" s="103"/>
      <c r="G146" s="103"/>
      <c r="H146" s="105"/>
      <c r="I146" s="109">
        <v>-20.252023999999999</v>
      </c>
      <c r="J146" s="109">
        <v>-40.236356999999998</v>
      </c>
      <c r="K146" s="103"/>
      <c r="L146" s="106"/>
      <c r="M146" s="106"/>
      <c r="N146" s="106"/>
      <c r="O146" s="107"/>
      <c r="P146" s="107"/>
      <c r="Q146" s="107"/>
    </row>
    <row r="147" spans="1:17" s="35" customFormat="1" ht="15" customHeight="1" x14ac:dyDescent="0.25">
      <c r="A147" s="238"/>
      <c r="B147" s="238"/>
      <c r="C147" s="102" t="s">
        <v>372</v>
      </c>
      <c r="D147" s="103" t="s">
        <v>34</v>
      </c>
      <c r="E147" s="104"/>
      <c r="F147" s="103"/>
      <c r="G147" s="103"/>
      <c r="H147" s="105"/>
      <c r="I147" s="109">
        <v>-20.252524000000001</v>
      </c>
      <c r="J147" s="109">
        <v>-40.235939999999999</v>
      </c>
      <c r="K147" s="103"/>
      <c r="L147" s="106"/>
      <c r="M147" s="106"/>
      <c r="N147" s="106"/>
      <c r="O147" s="107"/>
      <c r="P147" s="107"/>
      <c r="Q147" s="107"/>
    </row>
    <row r="148" spans="1:17" s="35" customFormat="1" ht="22.5" x14ac:dyDescent="0.25">
      <c r="A148" s="238" t="s">
        <v>358</v>
      </c>
      <c r="B148" s="238" t="s">
        <v>379</v>
      </c>
      <c r="C148" s="35" t="s">
        <v>380</v>
      </c>
      <c r="D148" s="36" t="s">
        <v>46</v>
      </c>
      <c r="E148" s="41">
        <v>7.6</v>
      </c>
      <c r="F148" s="111" t="s">
        <v>386</v>
      </c>
      <c r="G148" s="36">
        <f>(1-(1-0.5)*(1-0.84))*100</f>
        <v>92</v>
      </c>
      <c r="H148" s="37">
        <f>Rotas!M41/(365*24)</f>
        <v>453.49268721461186</v>
      </c>
      <c r="I148" s="38">
        <v>-20.258129</v>
      </c>
      <c r="J148" s="38">
        <v>-40.233294999999998</v>
      </c>
      <c r="K148" s="91"/>
      <c r="L148" s="39">
        <f>'FE-Transferências'!$A$4*0.0016*((($B$2/2.2)^1.3)/(E148/2)^1.4)</f>
        <v>4.225648774807563E-4</v>
      </c>
      <c r="M148" s="39">
        <f>'FE-Transferências'!$C$4*0.0016*((($B$2/2.2)^1.3)/(E148/2)^1.4)</f>
        <v>1.9986176637603337E-4</v>
      </c>
      <c r="N148" s="39">
        <f>'FE-Transferências'!$E$4*0.0016*((($B$2/2.2)^1.3)/(E148/2)^1.4)</f>
        <v>3.0264781765513629E-5</v>
      </c>
      <c r="O148" s="40">
        <f t="shared" ref="O148" si="39">(H148*L148)*(1-G148/100)</f>
        <v>1.5330406544900903E-2</v>
      </c>
      <c r="P148" s="40">
        <f t="shared" ref="P148" si="40">(H148*M148)*(1-G148/100)</f>
        <v>7.2508679604261026E-3</v>
      </c>
      <c r="Q148" s="40">
        <f t="shared" ref="Q148" si="41">(H148*N148)*(1-G148/100)</f>
        <v>1.0979885768645243E-3</v>
      </c>
    </row>
    <row r="149" spans="1:17" s="35" customFormat="1" ht="15" customHeight="1" x14ac:dyDescent="0.25">
      <c r="A149" s="238"/>
      <c r="B149" s="238"/>
      <c r="C149" s="35" t="s">
        <v>381</v>
      </c>
      <c r="D149" s="55" t="s">
        <v>46</v>
      </c>
      <c r="E149" s="41">
        <v>7.6</v>
      </c>
      <c r="F149" s="55" t="s">
        <v>191</v>
      </c>
      <c r="G149" s="55">
        <v>0</v>
      </c>
      <c r="H149" s="37">
        <f>Rotas!M41/(365*24)</f>
        <v>453.49268721461186</v>
      </c>
      <c r="I149" s="38">
        <v>-20.259157999999999</v>
      </c>
      <c r="J149" s="38">
        <v>-40.231655000000003</v>
      </c>
      <c r="K149" s="91"/>
      <c r="L149" s="39">
        <f>'FE-Transferências'!$A$4*0.0016*((($B$2/2.2)^1.3)/(E149/2)^1.4)</f>
        <v>4.225648774807563E-4</v>
      </c>
      <c r="M149" s="39">
        <f>'FE-Transferências'!$C$4*0.0016*((($B$2/2.2)^1.3)/(E149/2)^1.4)</f>
        <v>1.9986176637603337E-4</v>
      </c>
      <c r="N149" s="39">
        <f>'FE-Transferências'!$E$4*0.0016*((($B$2/2.2)^1.3)/(E149/2)^1.4)</f>
        <v>3.0264781765513629E-5</v>
      </c>
      <c r="O149" s="40">
        <f t="shared" ref="O149:O155" si="42">(H149*L149)*(1-G149/100)</f>
        <v>0.1916300818112614</v>
      </c>
      <c r="P149" s="40">
        <f t="shared" ref="P149:P155" si="43">(H149*M149)*(1-G149/100)</f>
        <v>9.0635849505326327E-2</v>
      </c>
      <c r="Q149" s="40">
        <f t="shared" ref="Q149:Q155" si="44">(H149*N149)*(1-G149/100)</f>
        <v>1.3724857210806561E-2</v>
      </c>
    </row>
    <row r="150" spans="1:17" s="35" customFormat="1" ht="15" customHeight="1" x14ac:dyDescent="0.25">
      <c r="A150" s="238"/>
      <c r="B150" s="238"/>
      <c r="C150" s="35" t="s">
        <v>382</v>
      </c>
      <c r="D150" s="55" t="s">
        <v>46</v>
      </c>
      <c r="E150" s="41">
        <v>7.6</v>
      </c>
      <c r="F150" s="55" t="s">
        <v>191</v>
      </c>
      <c r="G150" s="55">
        <v>0</v>
      </c>
      <c r="H150" s="37">
        <f>Rotas!M41/(365*24)</f>
        <v>453.49268721461186</v>
      </c>
      <c r="I150" s="38">
        <v>-20.259414</v>
      </c>
      <c r="J150" s="38">
        <v>-40.231245999999999</v>
      </c>
      <c r="K150" s="91"/>
      <c r="L150" s="39">
        <f>'FE-Transferências'!$A$4*0.0016*((($B$2/2.2)^1.3)/(E150/2)^1.4)</f>
        <v>4.225648774807563E-4</v>
      </c>
      <c r="M150" s="39">
        <f>'FE-Transferências'!$C$4*0.0016*((($B$2/2.2)^1.3)/(E150/2)^1.4)</f>
        <v>1.9986176637603337E-4</v>
      </c>
      <c r="N150" s="39">
        <f>'FE-Transferências'!$E$4*0.0016*((($B$2/2.2)^1.3)/(E150/2)^1.4)</f>
        <v>3.0264781765513629E-5</v>
      </c>
      <c r="O150" s="40">
        <f t="shared" si="42"/>
        <v>0.1916300818112614</v>
      </c>
      <c r="P150" s="40">
        <f t="shared" si="43"/>
        <v>9.0635849505326327E-2</v>
      </c>
      <c r="Q150" s="40">
        <f t="shared" si="44"/>
        <v>1.3724857210806561E-2</v>
      </c>
    </row>
    <row r="151" spans="1:17" s="35" customFormat="1" ht="15" customHeight="1" x14ac:dyDescent="0.25">
      <c r="A151" s="238"/>
      <c r="B151" s="238"/>
      <c r="C151" s="35" t="s">
        <v>383</v>
      </c>
      <c r="D151" s="55" t="s">
        <v>46</v>
      </c>
      <c r="E151" s="41">
        <v>7.6</v>
      </c>
      <c r="F151" s="55" t="s">
        <v>276</v>
      </c>
      <c r="G151" s="55">
        <v>75</v>
      </c>
      <c r="H151" s="37">
        <f>Rotas!M41/(365*24)</f>
        <v>453.49268721461186</v>
      </c>
      <c r="I151" s="38">
        <v>-20.258991999999999</v>
      </c>
      <c r="J151" s="38">
        <v>-40.230944999999998</v>
      </c>
      <c r="K151" s="91"/>
      <c r="L151" s="39">
        <f>'FE-Transferências'!$A$4*0.0016*((($B$2/2.2)^1.3)/(E151/2)^1.4)</f>
        <v>4.225648774807563E-4</v>
      </c>
      <c r="M151" s="39">
        <f>'FE-Transferências'!$C$4*0.0016*((($B$2/2.2)^1.3)/(E151/2)^1.4)</f>
        <v>1.9986176637603337E-4</v>
      </c>
      <c r="N151" s="39">
        <f>'FE-Transferências'!$E$4*0.0016*((($B$2/2.2)^1.3)/(E151/2)^1.4)</f>
        <v>3.0264781765513629E-5</v>
      </c>
      <c r="O151" s="40">
        <f t="shared" si="42"/>
        <v>4.790752045281535E-2</v>
      </c>
      <c r="P151" s="40">
        <f t="shared" si="43"/>
        <v>2.2658962376331582E-2</v>
      </c>
      <c r="Q151" s="40">
        <f t="shared" si="44"/>
        <v>3.4312143027016404E-3</v>
      </c>
    </row>
    <row r="152" spans="1:17" s="35" customFormat="1" ht="15" customHeight="1" x14ac:dyDescent="0.25">
      <c r="A152" s="238"/>
      <c r="B152" s="238"/>
      <c r="C152" s="35" t="s">
        <v>384</v>
      </c>
      <c r="D152" s="55" t="s">
        <v>46</v>
      </c>
      <c r="E152" s="41">
        <v>7.6</v>
      </c>
      <c r="F152" s="55" t="s">
        <v>191</v>
      </c>
      <c r="G152" s="55">
        <v>0</v>
      </c>
      <c r="H152" s="37">
        <f>Rotas!M41/(365*24)</f>
        <v>453.49268721461186</v>
      </c>
      <c r="I152" s="38">
        <v>-20.258227999999999</v>
      </c>
      <c r="J152" s="38">
        <v>-40.230297999999998</v>
      </c>
      <c r="K152" s="91"/>
      <c r="L152" s="39">
        <f>'FE-Transferências'!$A$4*0.0016*((($B$2/2.2)^1.3)/(E152/2)^1.4)</f>
        <v>4.225648774807563E-4</v>
      </c>
      <c r="M152" s="39">
        <f>'FE-Transferências'!$C$4*0.0016*((($B$2/2.2)^1.3)/(E152/2)^1.4)</f>
        <v>1.9986176637603337E-4</v>
      </c>
      <c r="N152" s="39">
        <f>'FE-Transferências'!$E$4*0.0016*((($B$2/2.2)^1.3)/(E152/2)^1.4)</f>
        <v>3.0264781765513629E-5</v>
      </c>
      <c r="O152" s="40">
        <f t="shared" si="42"/>
        <v>0.1916300818112614</v>
      </c>
      <c r="P152" s="40">
        <f t="shared" si="43"/>
        <v>9.0635849505326327E-2</v>
      </c>
      <c r="Q152" s="40">
        <f t="shared" si="44"/>
        <v>1.3724857210806561E-2</v>
      </c>
    </row>
    <row r="153" spans="1:17" s="35" customFormat="1" ht="15" customHeight="1" x14ac:dyDescent="0.25">
      <c r="A153" s="238"/>
      <c r="B153" s="238"/>
      <c r="C153" s="35" t="s">
        <v>385</v>
      </c>
      <c r="D153" s="55" t="s">
        <v>46</v>
      </c>
      <c r="E153" s="41">
        <v>7.6</v>
      </c>
      <c r="F153" s="55" t="s">
        <v>191</v>
      </c>
      <c r="G153" s="55">
        <v>0</v>
      </c>
      <c r="H153" s="37">
        <f>Rotas!M41/(365*24)</f>
        <v>453.49268721461186</v>
      </c>
      <c r="I153" s="38">
        <v>-20.257743000000001</v>
      </c>
      <c r="J153" s="38">
        <v>-40.231194000000002</v>
      </c>
      <c r="K153" s="91"/>
      <c r="L153" s="39">
        <f>'FE-Transferências'!$A$4*0.0016*((($B$2/2.2)^1.3)/(E153/2)^1.4)</f>
        <v>4.225648774807563E-4</v>
      </c>
      <c r="M153" s="39">
        <f>'FE-Transferências'!$C$4*0.0016*((($B$2/2.2)^1.3)/(E153/2)^1.4)</f>
        <v>1.9986176637603337E-4</v>
      </c>
      <c r="N153" s="39">
        <f>'FE-Transferências'!$E$4*0.0016*((($B$2/2.2)^1.3)/(E153/2)^1.4)</f>
        <v>3.0264781765513629E-5</v>
      </c>
      <c r="O153" s="40">
        <f t="shared" si="42"/>
        <v>0.1916300818112614</v>
      </c>
      <c r="P153" s="40">
        <f t="shared" si="43"/>
        <v>9.0635849505326327E-2</v>
      </c>
      <c r="Q153" s="40">
        <f t="shared" si="44"/>
        <v>1.3724857210806561E-2</v>
      </c>
    </row>
    <row r="154" spans="1:17" s="35" customFormat="1" ht="22.5" x14ac:dyDescent="0.25">
      <c r="A154" s="238" t="s">
        <v>358</v>
      </c>
      <c r="B154" s="238" t="s">
        <v>379</v>
      </c>
      <c r="C154" s="35" t="s">
        <v>387</v>
      </c>
      <c r="D154" s="55" t="s">
        <v>349</v>
      </c>
      <c r="E154" s="41">
        <f>Dados!C52</f>
        <v>11.754999999999999</v>
      </c>
      <c r="F154" s="111" t="s">
        <v>386</v>
      </c>
      <c r="G154" s="55">
        <f>(1-(1-0.5)*(1-0.84))*100</f>
        <v>92</v>
      </c>
      <c r="H154" s="37">
        <f>(Rotas!K41)/(365*24)</f>
        <v>23.294454337899545</v>
      </c>
      <c r="I154" s="38">
        <v>-20.257957000000001</v>
      </c>
      <c r="J154" s="38">
        <v>-40.232928999999999</v>
      </c>
      <c r="K154" s="91"/>
      <c r="L154" s="39">
        <f>'FE-Transferências'!$A$4*0.0016*((($B$2/2.2)^1.3)/(E154/2)^1.4)</f>
        <v>2.2946726487034963E-4</v>
      </c>
      <c r="M154" s="39">
        <f>'FE-Transferências'!$C$4*0.0016*((($B$2/2.2)^1.3)/(E154/2)^1.4)</f>
        <v>1.0853181446570589E-4</v>
      </c>
      <c r="N154" s="39">
        <f>'FE-Transferências'!$E$4*0.0016*((($B$2/2.2)^1.3)/(E154/2)^1.4)</f>
        <v>1.6434817619092607E-5</v>
      </c>
      <c r="O154" s="40">
        <f t="shared" si="42"/>
        <v>4.2762517788520456E-4</v>
      </c>
      <c r="P154" s="40">
        <f t="shared" si="43"/>
        <v>2.0225515170246161E-4</v>
      </c>
      <c r="Q154" s="40">
        <f t="shared" si="44"/>
        <v>3.0627208686372758E-5</v>
      </c>
    </row>
    <row r="155" spans="1:17" s="35" customFormat="1" ht="15" customHeight="1" x14ac:dyDescent="0.25">
      <c r="A155" s="238"/>
      <c r="B155" s="238"/>
      <c r="C155" s="35" t="s">
        <v>381</v>
      </c>
      <c r="D155" s="55" t="s">
        <v>349</v>
      </c>
      <c r="E155" s="41">
        <f>Dados!C52</f>
        <v>11.754999999999999</v>
      </c>
      <c r="F155" s="55" t="s">
        <v>191</v>
      </c>
      <c r="G155" s="55">
        <v>0</v>
      </c>
      <c r="H155" s="37">
        <f>(Rotas!K41)/(365*24)</f>
        <v>23.294454337899545</v>
      </c>
      <c r="I155" s="38">
        <v>-20.259157999999999</v>
      </c>
      <c r="J155" s="38">
        <v>-40.231655000000003</v>
      </c>
      <c r="K155" s="91"/>
      <c r="L155" s="39">
        <f>'FE-Transferências'!$A$4*0.0016*((($B$2/2.2)^1.3)/(E155/2)^1.4)</f>
        <v>2.2946726487034963E-4</v>
      </c>
      <c r="M155" s="39">
        <f>'FE-Transferências'!$C$4*0.0016*((($B$2/2.2)^1.3)/(E155/2)^1.4)</f>
        <v>1.0853181446570589E-4</v>
      </c>
      <c r="N155" s="39">
        <f>'FE-Transferências'!$E$4*0.0016*((($B$2/2.2)^1.3)/(E155/2)^1.4)</f>
        <v>1.6434817619092607E-5</v>
      </c>
      <c r="O155" s="40">
        <f t="shared" si="42"/>
        <v>5.3453147235650597E-3</v>
      </c>
      <c r="P155" s="40">
        <f t="shared" si="43"/>
        <v>2.5281893962807713E-3</v>
      </c>
      <c r="Q155" s="40">
        <f t="shared" si="44"/>
        <v>3.8284010857965965E-4</v>
      </c>
    </row>
    <row r="156" spans="1:17" s="35" customFormat="1" ht="15" customHeight="1" x14ac:dyDescent="0.25">
      <c r="A156" s="238"/>
      <c r="B156" s="238"/>
      <c r="C156" s="35" t="s">
        <v>382</v>
      </c>
      <c r="D156" s="55" t="s">
        <v>349</v>
      </c>
      <c r="E156" s="41">
        <f>Dados!C52</f>
        <v>11.754999999999999</v>
      </c>
      <c r="F156" s="55" t="s">
        <v>191</v>
      </c>
      <c r="G156" s="55">
        <v>0</v>
      </c>
      <c r="H156" s="37">
        <f>(Rotas!K41)/(365*24)</f>
        <v>23.294454337899545</v>
      </c>
      <c r="I156" s="38">
        <v>-20.259414</v>
      </c>
      <c r="J156" s="38">
        <v>-40.231245999999999</v>
      </c>
      <c r="K156" s="91"/>
      <c r="L156" s="39">
        <f>'FE-Transferências'!$A$4*0.0016*((($B$2/2.2)^1.3)/(E156/2)^1.4)</f>
        <v>2.2946726487034963E-4</v>
      </c>
      <c r="M156" s="39">
        <f>'FE-Transferências'!$C$4*0.0016*((($B$2/2.2)^1.3)/(E156/2)^1.4)</f>
        <v>1.0853181446570589E-4</v>
      </c>
      <c r="N156" s="39">
        <f>'FE-Transferências'!$E$4*0.0016*((($B$2/2.2)^1.3)/(E156/2)^1.4)</f>
        <v>1.6434817619092607E-5</v>
      </c>
      <c r="O156" s="40">
        <f t="shared" ref="O156:O163" si="45">(H156*L156)*(1-G156/100)</f>
        <v>5.3453147235650597E-3</v>
      </c>
      <c r="P156" s="40">
        <f t="shared" ref="P156:P163" si="46">(H156*M156)*(1-G156/100)</f>
        <v>2.5281893962807713E-3</v>
      </c>
      <c r="Q156" s="40">
        <f t="shared" ref="Q156:Q163" si="47">(H156*N156)*(1-G156/100)</f>
        <v>3.8284010857965965E-4</v>
      </c>
    </row>
    <row r="157" spans="1:17" s="35" customFormat="1" ht="15" customHeight="1" x14ac:dyDescent="0.25">
      <c r="A157" s="238"/>
      <c r="B157" s="238"/>
      <c r="C157" s="35" t="s">
        <v>383</v>
      </c>
      <c r="D157" s="55" t="s">
        <v>349</v>
      </c>
      <c r="E157" s="41">
        <f>Dados!C52</f>
        <v>11.754999999999999</v>
      </c>
      <c r="F157" s="55" t="s">
        <v>276</v>
      </c>
      <c r="G157" s="55">
        <v>75</v>
      </c>
      <c r="H157" s="37">
        <f>(Rotas!K41)/(365*24)</f>
        <v>23.294454337899545</v>
      </c>
      <c r="I157" s="38">
        <v>-20.258991999999999</v>
      </c>
      <c r="J157" s="38">
        <v>-40.230944999999998</v>
      </c>
      <c r="K157" s="91"/>
      <c r="L157" s="39">
        <f>'FE-Transferências'!$A$4*0.0016*((($B$2/2.2)^1.3)/(E157/2)^1.4)</f>
        <v>2.2946726487034963E-4</v>
      </c>
      <c r="M157" s="39">
        <f>'FE-Transferências'!$C$4*0.0016*((($B$2/2.2)^1.3)/(E157/2)^1.4)</f>
        <v>1.0853181446570589E-4</v>
      </c>
      <c r="N157" s="39">
        <f>'FE-Transferências'!$E$4*0.0016*((($B$2/2.2)^1.3)/(E157/2)^1.4)</f>
        <v>1.6434817619092607E-5</v>
      </c>
      <c r="O157" s="40">
        <f t="shared" si="45"/>
        <v>1.3363286808912649E-3</v>
      </c>
      <c r="P157" s="40">
        <f t="shared" si="46"/>
        <v>6.3204734907019284E-4</v>
      </c>
      <c r="Q157" s="40">
        <f t="shared" si="47"/>
        <v>9.5710027144914914E-5</v>
      </c>
    </row>
    <row r="158" spans="1:17" s="35" customFormat="1" ht="15" customHeight="1" x14ac:dyDescent="0.25">
      <c r="A158" s="238"/>
      <c r="B158" s="238"/>
      <c r="C158" s="35" t="s">
        <v>384</v>
      </c>
      <c r="D158" s="55" t="s">
        <v>349</v>
      </c>
      <c r="E158" s="41">
        <f>Dados!C52</f>
        <v>11.754999999999999</v>
      </c>
      <c r="F158" s="55" t="s">
        <v>191</v>
      </c>
      <c r="G158" s="55">
        <v>0</v>
      </c>
      <c r="H158" s="37">
        <f>(Rotas!K41)/(365*24)</f>
        <v>23.294454337899545</v>
      </c>
      <c r="I158" s="38">
        <v>-20.258227999999999</v>
      </c>
      <c r="J158" s="38">
        <v>-40.230297999999998</v>
      </c>
      <c r="K158" s="91"/>
      <c r="L158" s="39">
        <f>'FE-Transferências'!$A$4*0.0016*((($B$2/2.2)^1.3)/(E158/2)^1.4)</f>
        <v>2.2946726487034963E-4</v>
      </c>
      <c r="M158" s="39">
        <f>'FE-Transferências'!$C$4*0.0016*((($B$2/2.2)^1.3)/(E158/2)^1.4)</f>
        <v>1.0853181446570589E-4</v>
      </c>
      <c r="N158" s="39">
        <f>'FE-Transferências'!$E$4*0.0016*((($B$2/2.2)^1.3)/(E158/2)^1.4)</f>
        <v>1.6434817619092607E-5</v>
      </c>
      <c r="O158" s="40">
        <f t="shared" si="45"/>
        <v>5.3453147235650597E-3</v>
      </c>
      <c r="P158" s="40">
        <f t="shared" si="46"/>
        <v>2.5281893962807713E-3</v>
      </c>
      <c r="Q158" s="40">
        <f t="shared" si="47"/>
        <v>3.8284010857965965E-4</v>
      </c>
    </row>
    <row r="159" spans="1:17" s="35" customFormat="1" ht="15" customHeight="1" x14ac:dyDescent="0.25">
      <c r="A159" s="238"/>
      <c r="B159" s="238"/>
      <c r="C159" s="35" t="s">
        <v>351</v>
      </c>
      <c r="D159" s="55" t="s">
        <v>349</v>
      </c>
      <c r="E159" s="41">
        <f>Dados!C52</f>
        <v>11.754999999999999</v>
      </c>
      <c r="F159" s="55" t="s">
        <v>191</v>
      </c>
      <c r="G159" s="55">
        <v>0</v>
      </c>
      <c r="H159" s="37">
        <f>(Rotas!K41)/(365*24)</f>
        <v>23.294454337899545</v>
      </c>
      <c r="I159" s="38">
        <v>-20.257743000000001</v>
      </c>
      <c r="J159" s="38">
        <v>-40.231194000000002</v>
      </c>
      <c r="K159" s="91"/>
      <c r="L159" s="39">
        <f>'FE-Transferências'!$A$4*0.0016*((($B$2/2.2)^1.3)/(E159/2)^1.4)</f>
        <v>2.2946726487034963E-4</v>
      </c>
      <c r="M159" s="39">
        <f>'FE-Transferências'!$C$4*0.0016*((($B$2/2.2)^1.3)/(E159/2)^1.4)</f>
        <v>1.0853181446570589E-4</v>
      </c>
      <c r="N159" s="39">
        <f>'FE-Transferências'!$E$4*0.0016*((($B$2/2.2)^1.3)/(E159/2)^1.4)</f>
        <v>1.6434817619092607E-5</v>
      </c>
      <c r="O159" s="40">
        <f t="shared" si="45"/>
        <v>5.3453147235650597E-3</v>
      </c>
      <c r="P159" s="40">
        <f t="shared" si="46"/>
        <v>2.5281893962807713E-3</v>
      </c>
      <c r="Q159" s="40">
        <f t="shared" si="47"/>
        <v>3.8284010857965965E-4</v>
      </c>
    </row>
    <row r="160" spans="1:17" s="35" customFormat="1" ht="22.5" x14ac:dyDescent="0.25">
      <c r="A160" s="238" t="s">
        <v>358</v>
      </c>
      <c r="B160" s="238" t="s">
        <v>379</v>
      </c>
      <c r="C160" s="35" t="s">
        <v>387</v>
      </c>
      <c r="D160" s="55" t="s">
        <v>92</v>
      </c>
      <c r="E160" s="41">
        <v>7.6</v>
      </c>
      <c r="F160" s="111" t="s">
        <v>386</v>
      </c>
      <c r="G160" s="55">
        <f>(1-(1-0.5)*(1-0.84))*100</f>
        <v>92</v>
      </c>
      <c r="H160" s="37">
        <f>Rotas!O43/(365*24)</f>
        <v>61.096232876712328</v>
      </c>
      <c r="I160" s="38">
        <v>-20.258341999999999</v>
      </c>
      <c r="J160" s="38">
        <v>-40.232168000000001</v>
      </c>
      <c r="K160" s="91"/>
      <c r="L160" s="39">
        <f>'FE-Transferências'!$A$4*0.0016*((($B$2/2.2)^1.3)/(E160/2)^1.4)</f>
        <v>4.225648774807563E-4</v>
      </c>
      <c r="M160" s="39">
        <f>'FE-Transferências'!$C$4*0.0016*((($B$2/2.2)^1.3)/(E160/2)^1.4)</f>
        <v>1.9986176637603337E-4</v>
      </c>
      <c r="N160" s="39">
        <f>'FE-Transferências'!$E$4*0.0016*((($B$2/2.2)^1.3)/(E160/2)^1.4)</f>
        <v>3.0264781765513629E-5</v>
      </c>
      <c r="O160" s="40">
        <f t="shared" si="45"/>
        <v>2.065369772806695E-3</v>
      </c>
      <c r="P160" s="40">
        <f t="shared" si="46"/>
        <v>9.7686408173289609E-4</v>
      </c>
      <c r="Q160" s="40">
        <f t="shared" si="47"/>
        <v>1.4792513237669574E-4</v>
      </c>
    </row>
    <row r="161" spans="1:17" s="35" customFormat="1" ht="15" customHeight="1" x14ac:dyDescent="0.25">
      <c r="A161" s="238"/>
      <c r="B161" s="238"/>
      <c r="C161" s="35" t="s">
        <v>381</v>
      </c>
      <c r="D161" s="55" t="s">
        <v>92</v>
      </c>
      <c r="E161" s="41">
        <v>7.6</v>
      </c>
      <c r="F161" s="55" t="s">
        <v>191</v>
      </c>
      <c r="G161" s="55">
        <v>0</v>
      </c>
      <c r="H161" s="37">
        <f>Rotas!O43/(365*24)</f>
        <v>61.096232876712328</v>
      </c>
      <c r="I161" s="38">
        <v>-20.259157999999999</v>
      </c>
      <c r="J161" s="38">
        <v>-40.231655000000003</v>
      </c>
      <c r="K161" s="91"/>
      <c r="L161" s="39">
        <f>'FE-Transferências'!$A$4*0.0016*((($B$2/2.2)^1.3)/(E161/2)^1.4)</f>
        <v>4.225648774807563E-4</v>
      </c>
      <c r="M161" s="39">
        <f>'FE-Transferências'!$C$4*0.0016*((($B$2/2.2)^1.3)/(E161/2)^1.4)</f>
        <v>1.9986176637603337E-4</v>
      </c>
      <c r="N161" s="39">
        <f>'FE-Transferências'!$E$4*0.0016*((($B$2/2.2)^1.3)/(E161/2)^1.4)</f>
        <v>3.0264781765513629E-5</v>
      </c>
      <c r="O161" s="40">
        <f t="shared" si="45"/>
        <v>2.5817122160083701E-2</v>
      </c>
      <c r="P161" s="40">
        <f t="shared" si="46"/>
        <v>1.2210801021661208E-2</v>
      </c>
      <c r="Q161" s="40">
        <f t="shared" si="47"/>
        <v>1.8490641547086975E-3</v>
      </c>
    </row>
    <row r="162" spans="1:17" s="35" customFormat="1" ht="15" customHeight="1" x14ac:dyDescent="0.25">
      <c r="A162" s="238"/>
      <c r="B162" s="238"/>
      <c r="C162" s="35" t="s">
        <v>382</v>
      </c>
      <c r="D162" s="55" t="s">
        <v>92</v>
      </c>
      <c r="E162" s="41">
        <v>7.6</v>
      </c>
      <c r="F162" s="55" t="s">
        <v>191</v>
      </c>
      <c r="G162" s="55">
        <v>0</v>
      </c>
      <c r="H162" s="37">
        <f>Rotas!O43/(365*24)</f>
        <v>61.096232876712328</v>
      </c>
      <c r="I162" s="38">
        <v>-20.259414</v>
      </c>
      <c r="J162" s="38">
        <v>-40.231245999999999</v>
      </c>
      <c r="K162" s="91"/>
      <c r="L162" s="39">
        <f>'FE-Transferências'!$A$4*0.0016*((($B$2/2.2)^1.3)/(E162/2)^1.4)</f>
        <v>4.225648774807563E-4</v>
      </c>
      <c r="M162" s="39">
        <f>'FE-Transferências'!$C$4*0.0016*((($B$2/2.2)^1.3)/(E162/2)^1.4)</f>
        <v>1.9986176637603337E-4</v>
      </c>
      <c r="N162" s="39">
        <f>'FE-Transferências'!$E$4*0.0016*((($B$2/2.2)^1.3)/(E162/2)^1.4)</f>
        <v>3.0264781765513629E-5</v>
      </c>
      <c r="O162" s="40">
        <f t="shared" si="45"/>
        <v>2.5817122160083701E-2</v>
      </c>
      <c r="P162" s="40">
        <f t="shared" si="46"/>
        <v>1.2210801021661208E-2</v>
      </c>
      <c r="Q162" s="40">
        <f t="shared" si="47"/>
        <v>1.8490641547086975E-3</v>
      </c>
    </row>
    <row r="163" spans="1:17" s="35" customFormat="1" ht="15" customHeight="1" x14ac:dyDescent="0.25">
      <c r="A163" s="238"/>
      <c r="B163" s="238"/>
      <c r="C163" s="35" t="s">
        <v>383</v>
      </c>
      <c r="D163" s="55" t="s">
        <v>92</v>
      </c>
      <c r="E163" s="41">
        <v>7.6</v>
      </c>
      <c r="F163" s="55" t="s">
        <v>276</v>
      </c>
      <c r="G163" s="55">
        <v>75</v>
      </c>
      <c r="H163" s="37">
        <f>Rotas!O43/(365*24)</f>
        <v>61.096232876712328</v>
      </c>
      <c r="I163" s="38">
        <v>-20.258991999999999</v>
      </c>
      <c r="J163" s="38">
        <v>-40.230944999999998</v>
      </c>
      <c r="K163" s="91"/>
      <c r="L163" s="39">
        <f>'FE-Transferências'!$A$4*0.0016*((($B$2/2.2)^1.3)/(E163/2)^1.4)</f>
        <v>4.225648774807563E-4</v>
      </c>
      <c r="M163" s="39">
        <f>'FE-Transferências'!$C$4*0.0016*((($B$2/2.2)^1.3)/(E163/2)^1.4)</f>
        <v>1.9986176637603337E-4</v>
      </c>
      <c r="N163" s="39">
        <f>'FE-Transferências'!$E$4*0.0016*((($B$2/2.2)^1.3)/(E163/2)^1.4)</f>
        <v>3.0264781765513629E-5</v>
      </c>
      <c r="O163" s="40">
        <f t="shared" si="45"/>
        <v>6.4542805400209253E-3</v>
      </c>
      <c r="P163" s="40">
        <f t="shared" si="46"/>
        <v>3.052700255415302E-3</v>
      </c>
      <c r="Q163" s="40">
        <f t="shared" si="47"/>
        <v>4.6226603867717439E-4</v>
      </c>
    </row>
    <row r="164" spans="1:17" s="35" customFormat="1" ht="15" customHeight="1" x14ac:dyDescent="0.25">
      <c r="A164" s="238"/>
      <c r="B164" s="238"/>
      <c r="C164" s="35" t="s">
        <v>384</v>
      </c>
      <c r="D164" s="55" t="s">
        <v>92</v>
      </c>
      <c r="E164" s="41">
        <v>7.6</v>
      </c>
      <c r="F164" s="55" t="s">
        <v>191</v>
      </c>
      <c r="G164" s="55">
        <v>0</v>
      </c>
      <c r="H164" s="37">
        <f>Rotas!O43/(365*24)</f>
        <v>61.096232876712328</v>
      </c>
      <c r="I164" s="38">
        <v>-20.258227999999999</v>
      </c>
      <c r="J164" s="38">
        <v>-40.230297999999998</v>
      </c>
      <c r="K164" s="91"/>
      <c r="L164" s="39">
        <f>'FE-Transferências'!$A$4*0.0016*((($B$2/2.2)^1.3)/(E164/2)^1.4)</f>
        <v>4.225648774807563E-4</v>
      </c>
      <c r="M164" s="39">
        <f>'FE-Transferências'!$C$4*0.0016*((($B$2/2.2)^1.3)/(E164/2)^1.4)</f>
        <v>1.9986176637603337E-4</v>
      </c>
      <c r="N164" s="39">
        <f>'FE-Transferências'!$E$4*0.0016*((($B$2/2.2)^1.3)/(E164/2)^1.4)</f>
        <v>3.0264781765513629E-5</v>
      </c>
      <c r="O164" s="40">
        <f t="shared" ref="O164:O214" si="48">(H164*L164)*(1-G164/100)</f>
        <v>2.5817122160083701E-2</v>
      </c>
      <c r="P164" s="40">
        <f t="shared" ref="P164:P214" si="49">(H164*M164)*(1-G164/100)</f>
        <v>1.2210801021661208E-2</v>
      </c>
      <c r="Q164" s="40">
        <f t="shared" ref="Q164:Q214" si="50">(H164*N164)*(1-G164/100)</f>
        <v>1.8490641547086975E-3</v>
      </c>
    </row>
    <row r="165" spans="1:17" s="35" customFormat="1" ht="15" customHeight="1" x14ac:dyDescent="0.25">
      <c r="A165" s="238"/>
      <c r="B165" s="238"/>
      <c r="C165" s="35" t="s">
        <v>351</v>
      </c>
      <c r="D165" s="55" t="s">
        <v>92</v>
      </c>
      <c r="E165" s="41">
        <v>7.6</v>
      </c>
      <c r="F165" s="55" t="s">
        <v>191</v>
      </c>
      <c r="G165" s="55">
        <v>0</v>
      </c>
      <c r="H165" s="37">
        <f>Rotas!O43/(365*24)</f>
        <v>61.096232876712328</v>
      </c>
      <c r="I165" s="38">
        <v>-20.257743000000001</v>
      </c>
      <c r="J165" s="38">
        <v>-40.231194000000002</v>
      </c>
      <c r="K165" s="91"/>
      <c r="L165" s="39">
        <f>'FE-Transferências'!$A$4*0.0016*((($B$2/2.2)^1.3)/(E165/2)^1.4)</f>
        <v>4.225648774807563E-4</v>
      </c>
      <c r="M165" s="39">
        <f>'FE-Transferências'!$C$4*0.0016*((($B$2/2.2)^1.3)/(E165/2)^1.4)</f>
        <v>1.9986176637603337E-4</v>
      </c>
      <c r="N165" s="39">
        <f>'FE-Transferências'!$E$4*0.0016*((($B$2/2.2)^1.3)/(E165/2)^1.4)</f>
        <v>3.0264781765513629E-5</v>
      </c>
      <c r="O165" s="40">
        <f t="shared" si="48"/>
        <v>2.5817122160083701E-2</v>
      </c>
      <c r="P165" s="40">
        <f t="shared" si="49"/>
        <v>1.2210801021661208E-2</v>
      </c>
      <c r="Q165" s="40">
        <f t="shared" si="50"/>
        <v>1.8490641547086975E-3</v>
      </c>
    </row>
    <row r="166" spans="1:17" s="35" customFormat="1" ht="22.5" x14ac:dyDescent="0.25">
      <c r="A166" s="238" t="s">
        <v>358</v>
      </c>
      <c r="B166" s="238" t="s">
        <v>379</v>
      </c>
      <c r="C166" s="35" t="s">
        <v>387</v>
      </c>
      <c r="D166" s="55" t="s">
        <v>388</v>
      </c>
      <c r="E166" s="41">
        <v>7.1</v>
      </c>
      <c r="F166" s="111" t="s">
        <v>386</v>
      </c>
      <c r="G166" s="55">
        <f>(1-(1-0.5)*(1-0.84))*100</f>
        <v>92</v>
      </c>
      <c r="H166" s="37">
        <f>(Rotas!L41+Rotas!K43+Rotas!P41+Rotas!P43)/(365*24)</f>
        <v>15.906278538812785</v>
      </c>
      <c r="I166" s="38">
        <v>-20.257957000000001</v>
      </c>
      <c r="J166" s="38">
        <v>-40.232928999999999</v>
      </c>
      <c r="K166" s="91"/>
      <c r="L166" s="39">
        <f>'FE-Transferências'!$A$4*0.0016*((($B$2/2.2)^1.3)/(E166/2)^1.4)</f>
        <v>4.6480494279383229E-4</v>
      </c>
      <c r="M166" s="39">
        <f>'FE-Transferências'!$C$4*0.0016*((($B$2/2.2)^1.3)/(E166/2)^1.4)</f>
        <v>2.1984017564573148E-4</v>
      </c>
      <c r="N166" s="39">
        <f>'FE-Transferências'!$E$4*0.0016*((($B$2/2.2)^1.3)/(E166/2)^1.4)</f>
        <v>3.3290083740639343E-5</v>
      </c>
      <c r="O166" s="40">
        <f t="shared" si="48"/>
        <v>5.9146535090365087E-4</v>
      </c>
      <c r="P166" s="40">
        <f t="shared" si="49"/>
        <v>2.7974712542740241E-4</v>
      </c>
      <c r="Q166" s="40">
        <f t="shared" si="50"/>
        <v>4.2361707564720936E-5</v>
      </c>
    </row>
    <row r="167" spans="1:17" s="35" customFormat="1" ht="15" customHeight="1" x14ac:dyDescent="0.25">
      <c r="A167" s="238"/>
      <c r="B167" s="238"/>
      <c r="C167" s="35" t="s">
        <v>381</v>
      </c>
      <c r="D167" s="55" t="s">
        <v>388</v>
      </c>
      <c r="E167" s="41">
        <v>7.1</v>
      </c>
      <c r="F167" s="55" t="s">
        <v>191</v>
      </c>
      <c r="G167" s="55">
        <v>0</v>
      </c>
      <c r="H167" s="37">
        <f>(Rotas!L41+Rotas!K43+Rotas!P41+Rotas!P43)/(365*24)</f>
        <v>15.906278538812785</v>
      </c>
      <c r="I167" s="38">
        <v>-20.259157999999999</v>
      </c>
      <c r="J167" s="38">
        <v>-40.231655000000003</v>
      </c>
      <c r="K167" s="91"/>
      <c r="L167" s="39">
        <f>'FE-Transferências'!$A$4*0.0016*((($B$2/2.2)^1.3)/(E167/2)^1.4)</f>
        <v>4.6480494279383229E-4</v>
      </c>
      <c r="M167" s="39">
        <f>'FE-Transferências'!$C$4*0.0016*((($B$2/2.2)^1.3)/(E167/2)^1.4)</f>
        <v>2.1984017564573148E-4</v>
      </c>
      <c r="N167" s="39">
        <f>'FE-Transferências'!$E$4*0.0016*((($B$2/2.2)^1.3)/(E167/2)^1.4)</f>
        <v>3.3290083740639343E-5</v>
      </c>
      <c r="O167" s="40">
        <f t="shared" si="48"/>
        <v>7.3933168862956389E-3</v>
      </c>
      <c r="P167" s="40">
        <f t="shared" si="49"/>
        <v>3.4968390678425318E-3</v>
      </c>
      <c r="Q167" s="40">
        <f t="shared" si="50"/>
        <v>5.2952134455901199E-4</v>
      </c>
    </row>
    <row r="168" spans="1:17" s="35" customFormat="1" ht="15" customHeight="1" x14ac:dyDescent="0.25">
      <c r="A168" s="238"/>
      <c r="B168" s="238"/>
      <c r="C168" s="35" t="s">
        <v>382</v>
      </c>
      <c r="D168" s="55" t="s">
        <v>388</v>
      </c>
      <c r="E168" s="41">
        <v>7.1</v>
      </c>
      <c r="F168" s="55" t="s">
        <v>191</v>
      </c>
      <c r="G168" s="55">
        <v>0</v>
      </c>
      <c r="H168" s="37">
        <f>(Rotas!L41+Rotas!K43+Rotas!P41+Rotas!P43)/(365*24)</f>
        <v>15.906278538812785</v>
      </c>
      <c r="I168" s="38">
        <v>-20.259414</v>
      </c>
      <c r="J168" s="38">
        <v>-40.231245999999999</v>
      </c>
      <c r="K168" s="91"/>
      <c r="L168" s="39">
        <f>'FE-Transferências'!$A$4*0.0016*((($B$2/2.2)^1.3)/(E168/2)^1.4)</f>
        <v>4.6480494279383229E-4</v>
      </c>
      <c r="M168" s="39">
        <f>'FE-Transferências'!$C$4*0.0016*((($B$2/2.2)^1.3)/(E168/2)^1.4)</f>
        <v>2.1984017564573148E-4</v>
      </c>
      <c r="N168" s="39">
        <f>'FE-Transferências'!$E$4*0.0016*((($B$2/2.2)^1.3)/(E168/2)^1.4)</f>
        <v>3.3290083740639343E-5</v>
      </c>
      <c r="O168" s="40">
        <f t="shared" ref="O168:O173" si="51">(H168*L168)*(1-G168/100)</f>
        <v>7.3933168862956389E-3</v>
      </c>
      <c r="P168" s="40">
        <f t="shared" ref="P168:P173" si="52">(H168*M168)*(1-G168/100)</f>
        <v>3.4968390678425318E-3</v>
      </c>
      <c r="Q168" s="40">
        <f t="shared" ref="Q168:Q173" si="53">(H168*N168)*(1-G168/100)</f>
        <v>5.2952134455901199E-4</v>
      </c>
    </row>
    <row r="169" spans="1:17" s="35" customFormat="1" ht="15" customHeight="1" x14ac:dyDescent="0.25">
      <c r="A169" s="238"/>
      <c r="B169" s="238"/>
      <c r="C169" s="35" t="s">
        <v>383</v>
      </c>
      <c r="D169" s="55" t="s">
        <v>388</v>
      </c>
      <c r="E169" s="41">
        <v>7.1</v>
      </c>
      <c r="F169" s="55" t="s">
        <v>276</v>
      </c>
      <c r="G169" s="55">
        <v>75</v>
      </c>
      <c r="H169" s="37">
        <f>(Rotas!L41+Rotas!K43+Rotas!P41+Rotas!P43)/(365*24)</f>
        <v>15.906278538812785</v>
      </c>
      <c r="I169" s="38">
        <v>-20.258991999999999</v>
      </c>
      <c r="J169" s="38">
        <v>-40.230944999999998</v>
      </c>
      <c r="K169" s="91"/>
      <c r="L169" s="39">
        <f>'FE-Transferências'!$A$4*0.0016*((($B$2/2.2)^1.3)/(E169/2)^1.4)</f>
        <v>4.6480494279383229E-4</v>
      </c>
      <c r="M169" s="39">
        <f>'FE-Transferências'!$C$4*0.0016*((($B$2/2.2)^1.3)/(E169/2)^1.4)</f>
        <v>2.1984017564573148E-4</v>
      </c>
      <c r="N169" s="39">
        <f>'FE-Transferências'!$E$4*0.0016*((($B$2/2.2)^1.3)/(E169/2)^1.4)</f>
        <v>3.3290083740639343E-5</v>
      </c>
      <c r="O169" s="40">
        <f t="shared" si="51"/>
        <v>1.8483292215739097E-3</v>
      </c>
      <c r="P169" s="40">
        <f t="shared" si="52"/>
        <v>8.7420976696063295E-4</v>
      </c>
      <c r="Q169" s="40">
        <f t="shared" si="53"/>
        <v>1.32380336139753E-4</v>
      </c>
    </row>
    <row r="170" spans="1:17" s="35" customFormat="1" ht="15" customHeight="1" x14ac:dyDescent="0.25">
      <c r="A170" s="238"/>
      <c r="B170" s="238"/>
      <c r="C170" s="35" t="s">
        <v>384</v>
      </c>
      <c r="D170" s="55" t="s">
        <v>388</v>
      </c>
      <c r="E170" s="41">
        <v>7.1</v>
      </c>
      <c r="F170" s="55" t="s">
        <v>191</v>
      </c>
      <c r="G170" s="55">
        <v>0</v>
      </c>
      <c r="H170" s="37">
        <f>(Rotas!L41+Rotas!K43+Rotas!P41+Rotas!P43)/(365*24)</f>
        <v>15.906278538812785</v>
      </c>
      <c r="I170" s="38">
        <v>-20.258227999999999</v>
      </c>
      <c r="J170" s="38">
        <v>-40.230297999999998</v>
      </c>
      <c r="K170" s="91"/>
      <c r="L170" s="39">
        <f>'FE-Transferências'!$A$4*0.0016*((($B$2/2.2)^1.3)/(E170/2)^1.4)</f>
        <v>4.6480494279383229E-4</v>
      </c>
      <c r="M170" s="39">
        <f>'FE-Transferências'!$C$4*0.0016*((($B$2/2.2)^1.3)/(E170/2)^1.4)</f>
        <v>2.1984017564573148E-4</v>
      </c>
      <c r="N170" s="39">
        <f>'FE-Transferências'!$E$4*0.0016*((($B$2/2.2)^1.3)/(E170/2)^1.4)</f>
        <v>3.3290083740639343E-5</v>
      </c>
      <c r="O170" s="40">
        <f t="shared" si="51"/>
        <v>7.3933168862956389E-3</v>
      </c>
      <c r="P170" s="40">
        <f t="shared" si="52"/>
        <v>3.4968390678425318E-3</v>
      </c>
      <c r="Q170" s="40">
        <f t="shared" si="53"/>
        <v>5.2952134455901199E-4</v>
      </c>
    </row>
    <row r="171" spans="1:17" s="35" customFormat="1" ht="15" customHeight="1" x14ac:dyDescent="0.25">
      <c r="A171" s="238"/>
      <c r="B171" s="238"/>
      <c r="C171" s="35" t="s">
        <v>351</v>
      </c>
      <c r="D171" s="55" t="s">
        <v>388</v>
      </c>
      <c r="E171" s="41">
        <v>7.1</v>
      </c>
      <c r="F171" s="55" t="s">
        <v>191</v>
      </c>
      <c r="G171" s="55">
        <v>0</v>
      </c>
      <c r="H171" s="37">
        <f>(Rotas!L41+Rotas!K43+Rotas!P41+Rotas!P43)/(365*24)</f>
        <v>15.906278538812785</v>
      </c>
      <c r="I171" s="38">
        <v>-20.257743000000001</v>
      </c>
      <c r="J171" s="38">
        <v>-40.231194000000002</v>
      </c>
      <c r="K171" s="91"/>
      <c r="L171" s="39">
        <f>'FE-Transferências'!$A$4*0.0016*((($B$2/2.2)^1.3)/(E171/2)^1.4)</f>
        <v>4.6480494279383229E-4</v>
      </c>
      <c r="M171" s="39">
        <f>'FE-Transferências'!$C$4*0.0016*((($B$2/2.2)^1.3)/(E171/2)^1.4)</f>
        <v>2.1984017564573148E-4</v>
      </c>
      <c r="N171" s="39">
        <f>'FE-Transferências'!$E$4*0.0016*((($B$2/2.2)^1.3)/(E171/2)^1.4)</f>
        <v>3.3290083740639343E-5</v>
      </c>
      <c r="O171" s="40">
        <f t="shared" si="51"/>
        <v>7.3933168862956389E-3</v>
      </c>
      <c r="P171" s="40">
        <f t="shared" si="52"/>
        <v>3.4968390678425318E-3</v>
      </c>
      <c r="Q171" s="40">
        <f t="shared" si="53"/>
        <v>5.2952134455901199E-4</v>
      </c>
    </row>
    <row r="172" spans="1:17" s="35" customFormat="1" ht="15" customHeight="1" x14ac:dyDescent="0.25">
      <c r="A172" s="238" t="s">
        <v>358</v>
      </c>
      <c r="B172" s="238" t="s">
        <v>379</v>
      </c>
      <c r="C172" s="35" t="s">
        <v>389</v>
      </c>
      <c r="D172" s="55" t="s">
        <v>35</v>
      </c>
      <c r="E172" s="41">
        <v>1</v>
      </c>
      <c r="F172" s="55" t="s">
        <v>340</v>
      </c>
      <c r="G172" s="55">
        <v>50</v>
      </c>
      <c r="H172" s="37">
        <f>Rotas!M43/(365*24)</f>
        <v>135.07059885844748</v>
      </c>
      <c r="I172" s="38">
        <v>-20.259266</v>
      </c>
      <c r="J172" s="38">
        <v>-40.233006000000003</v>
      </c>
      <c r="K172" s="91"/>
      <c r="L172" s="39">
        <f>'FE-Transferências'!$A$4*0.0016*((($B$2/2.2)^1.3)/(E172/2)^1.4)</f>
        <v>7.2282377015546288E-3</v>
      </c>
      <c r="M172" s="39">
        <f>'FE-Transferências'!$C$4*0.0016*((($B$2/2.2)^1.3)/(E172/2)^1.4)</f>
        <v>3.4187610750596215E-3</v>
      </c>
      <c r="N172" s="39">
        <f>'FE-Transferências'!$E$4*0.0016*((($B$2/2.2)^1.3)/(E172/2)^1.4)</f>
        <v>5.176981056518856E-4</v>
      </c>
      <c r="O172" s="40">
        <f t="shared" si="51"/>
        <v>0.48816119752009585</v>
      </c>
      <c r="P172" s="40">
        <f t="shared" si="52"/>
        <v>0.2308870528811264</v>
      </c>
      <c r="Q172" s="40">
        <f t="shared" si="53"/>
        <v>3.4962896579141998E-2</v>
      </c>
    </row>
    <row r="173" spans="1:17" s="35" customFormat="1" ht="15" customHeight="1" x14ac:dyDescent="0.25">
      <c r="A173" s="238"/>
      <c r="B173" s="238"/>
      <c r="C173" s="35" t="s">
        <v>390</v>
      </c>
      <c r="D173" s="55" t="s">
        <v>35</v>
      </c>
      <c r="E173" s="41">
        <v>1</v>
      </c>
      <c r="F173" s="55" t="s">
        <v>191</v>
      </c>
      <c r="G173" s="55">
        <v>0</v>
      </c>
      <c r="H173" s="37">
        <f>Rotas!M43/(365*24)</f>
        <v>135.07059885844748</v>
      </c>
      <c r="I173" s="38">
        <v>-20.259653</v>
      </c>
      <c r="J173" s="38">
        <v>-40.231974999999998</v>
      </c>
      <c r="K173" s="91"/>
      <c r="L173" s="39">
        <f>'FE-Transferências'!$A$4*0.0016*((($B$2/2.2)^1.3)/(E173/2)^1.4)</f>
        <v>7.2282377015546288E-3</v>
      </c>
      <c r="M173" s="39">
        <f>'FE-Transferências'!$C$4*0.0016*((($B$2/2.2)^1.3)/(E173/2)^1.4)</f>
        <v>3.4187610750596215E-3</v>
      </c>
      <c r="N173" s="39">
        <f>'FE-Transferências'!$E$4*0.0016*((($B$2/2.2)^1.3)/(E173/2)^1.4)</f>
        <v>5.176981056518856E-4</v>
      </c>
      <c r="O173" s="40">
        <f t="shared" si="51"/>
        <v>0.97632239504019169</v>
      </c>
      <c r="P173" s="40">
        <f t="shared" si="52"/>
        <v>0.46177410576225281</v>
      </c>
      <c r="Q173" s="40">
        <f t="shared" si="53"/>
        <v>6.9925793158283997E-2</v>
      </c>
    </row>
    <row r="174" spans="1:17" s="35" customFormat="1" ht="15" customHeight="1" x14ac:dyDescent="0.25">
      <c r="A174" s="238"/>
      <c r="B174" s="238"/>
      <c r="C174" s="35" t="s">
        <v>391</v>
      </c>
      <c r="D174" s="55" t="s">
        <v>35</v>
      </c>
      <c r="E174" s="41">
        <v>1</v>
      </c>
      <c r="F174" s="55" t="s">
        <v>191</v>
      </c>
      <c r="G174" s="55">
        <v>0</v>
      </c>
      <c r="H174" s="37">
        <f>Rotas!M43/(365*24)</f>
        <v>135.07059885844748</v>
      </c>
      <c r="I174" s="38">
        <v>-20.259157999999999</v>
      </c>
      <c r="J174" s="38">
        <v>-40.231655000000003</v>
      </c>
      <c r="K174" s="91"/>
      <c r="L174" s="39">
        <f>'FE-Transferências'!$A$4*0.0016*((($B$2/2.2)^1.3)/(E174/2)^1.4)</f>
        <v>7.2282377015546288E-3</v>
      </c>
      <c r="M174" s="39">
        <f>'FE-Transferências'!$C$4*0.0016*((($B$2/2.2)^1.3)/(E174/2)^1.4)</f>
        <v>3.4187610750596215E-3</v>
      </c>
      <c r="N174" s="39">
        <f>'FE-Transferências'!$E$4*0.0016*((($B$2/2.2)^1.3)/(E174/2)^1.4)</f>
        <v>5.176981056518856E-4</v>
      </c>
      <c r="O174" s="40">
        <f t="shared" ref="O174:O187" si="54">(H174*L174)*(1-G174/100)</f>
        <v>0.97632239504019169</v>
      </c>
      <c r="P174" s="40">
        <f t="shared" ref="P174:P187" si="55">(H174*M174)*(1-G174/100)</f>
        <v>0.46177410576225281</v>
      </c>
      <c r="Q174" s="40">
        <f t="shared" ref="Q174:Q187" si="56">(H174*N174)*(1-G174/100)</f>
        <v>6.9925793158283997E-2</v>
      </c>
    </row>
    <row r="175" spans="1:17" s="35" customFormat="1" ht="15" customHeight="1" x14ac:dyDescent="0.25">
      <c r="A175" s="238"/>
      <c r="B175" s="238"/>
      <c r="C175" s="35" t="s">
        <v>382</v>
      </c>
      <c r="D175" s="55" t="s">
        <v>35</v>
      </c>
      <c r="E175" s="41">
        <v>1</v>
      </c>
      <c r="F175" s="55" t="s">
        <v>191</v>
      </c>
      <c r="G175" s="55">
        <v>0</v>
      </c>
      <c r="H175" s="37">
        <f>Rotas!M43/(365*24)</f>
        <v>135.07059885844748</v>
      </c>
      <c r="I175" s="38">
        <v>-20.259414</v>
      </c>
      <c r="J175" s="38">
        <v>-40.231245999999999</v>
      </c>
      <c r="K175" s="91"/>
      <c r="L175" s="39">
        <f>'FE-Transferências'!$A$4*0.0016*((($B$2/2.2)^1.3)/(E175/2)^1.4)</f>
        <v>7.2282377015546288E-3</v>
      </c>
      <c r="M175" s="39">
        <f>'FE-Transferências'!$C$4*0.0016*((($B$2/2.2)^1.3)/(E175/2)^1.4)</f>
        <v>3.4187610750596215E-3</v>
      </c>
      <c r="N175" s="39">
        <f>'FE-Transferências'!$E$4*0.0016*((($B$2/2.2)^1.3)/(E175/2)^1.4)</f>
        <v>5.176981056518856E-4</v>
      </c>
      <c r="O175" s="40">
        <f t="shared" si="54"/>
        <v>0.97632239504019169</v>
      </c>
      <c r="P175" s="40">
        <f t="shared" si="55"/>
        <v>0.46177410576225281</v>
      </c>
      <c r="Q175" s="40">
        <f t="shared" si="56"/>
        <v>6.9925793158283997E-2</v>
      </c>
    </row>
    <row r="176" spans="1:17" s="35" customFormat="1" ht="15" customHeight="1" x14ac:dyDescent="0.25">
      <c r="A176" s="238"/>
      <c r="B176" s="238"/>
      <c r="C176" s="35" t="s">
        <v>383</v>
      </c>
      <c r="D176" s="55" t="s">
        <v>35</v>
      </c>
      <c r="E176" s="41">
        <v>1</v>
      </c>
      <c r="F176" s="55" t="s">
        <v>276</v>
      </c>
      <c r="G176" s="55">
        <v>75</v>
      </c>
      <c r="H176" s="37">
        <f>Rotas!M43/(365*24)</f>
        <v>135.07059885844748</v>
      </c>
      <c r="I176" s="38">
        <v>-20.258991999999999</v>
      </c>
      <c r="J176" s="38">
        <v>-40.230944999999998</v>
      </c>
      <c r="K176" s="91"/>
      <c r="L176" s="39">
        <f>'FE-Transferências'!$A$4*0.0016*((($B$2/2.2)^1.3)/(E176/2)^1.4)</f>
        <v>7.2282377015546288E-3</v>
      </c>
      <c r="M176" s="39">
        <f>'FE-Transferências'!$C$4*0.0016*((($B$2/2.2)^1.3)/(E176/2)^1.4)</f>
        <v>3.4187610750596215E-3</v>
      </c>
      <c r="N176" s="39">
        <f>'FE-Transferências'!$E$4*0.0016*((($B$2/2.2)^1.3)/(E176/2)^1.4)</f>
        <v>5.176981056518856E-4</v>
      </c>
      <c r="O176" s="40">
        <f t="shared" si="54"/>
        <v>0.24408059876004792</v>
      </c>
      <c r="P176" s="40">
        <f t="shared" si="55"/>
        <v>0.1154435264405632</v>
      </c>
      <c r="Q176" s="40">
        <f t="shared" si="56"/>
        <v>1.7481448289570999E-2</v>
      </c>
    </row>
    <row r="177" spans="1:17" s="35" customFormat="1" ht="15" customHeight="1" x14ac:dyDescent="0.25">
      <c r="A177" s="238"/>
      <c r="B177" s="238"/>
      <c r="C177" s="35" t="s">
        <v>384</v>
      </c>
      <c r="D177" s="55" t="s">
        <v>35</v>
      </c>
      <c r="E177" s="41">
        <v>1</v>
      </c>
      <c r="F177" s="55" t="s">
        <v>191</v>
      </c>
      <c r="G177" s="55">
        <v>0</v>
      </c>
      <c r="H177" s="37">
        <f>Rotas!M43/(365*24)</f>
        <v>135.07059885844748</v>
      </c>
      <c r="I177" s="38">
        <v>-20.258227999999999</v>
      </c>
      <c r="J177" s="38">
        <v>-40.230297999999998</v>
      </c>
      <c r="K177" s="91"/>
      <c r="L177" s="39">
        <f>'FE-Transferências'!$A$4*0.0016*((($B$2/2.2)^1.3)/(E177/2)^1.4)</f>
        <v>7.2282377015546288E-3</v>
      </c>
      <c r="M177" s="39">
        <f>'FE-Transferências'!$C$4*0.0016*((($B$2/2.2)^1.3)/(E177/2)^1.4)</f>
        <v>3.4187610750596215E-3</v>
      </c>
      <c r="N177" s="39">
        <f>'FE-Transferências'!$E$4*0.0016*((($B$2/2.2)^1.3)/(E177/2)^1.4)</f>
        <v>5.176981056518856E-4</v>
      </c>
      <c r="O177" s="40">
        <f t="shared" si="54"/>
        <v>0.97632239504019169</v>
      </c>
      <c r="P177" s="40">
        <f t="shared" si="55"/>
        <v>0.46177410576225281</v>
      </c>
      <c r="Q177" s="40">
        <f t="shared" si="56"/>
        <v>6.9925793158283997E-2</v>
      </c>
    </row>
    <row r="178" spans="1:17" s="35" customFormat="1" ht="15" customHeight="1" x14ac:dyDescent="0.25">
      <c r="A178" s="238"/>
      <c r="B178" s="238"/>
      <c r="C178" s="35" t="s">
        <v>392</v>
      </c>
      <c r="D178" s="55" t="s">
        <v>35</v>
      </c>
      <c r="E178" s="41">
        <v>1</v>
      </c>
      <c r="F178" s="55" t="s">
        <v>191</v>
      </c>
      <c r="G178" s="55">
        <v>0</v>
      </c>
      <c r="H178" s="37">
        <f>Rotas!M43/(365*24)</f>
        <v>135.07059885844748</v>
      </c>
      <c r="I178" s="38">
        <v>-20.257743000000001</v>
      </c>
      <c r="J178" s="38">
        <v>-40.231194000000002</v>
      </c>
      <c r="K178" s="91"/>
      <c r="L178" s="39">
        <f>'FE-Transferências'!$A$4*0.0016*((($B$2/2.2)^1.3)/(E178/2)^1.4)</f>
        <v>7.2282377015546288E-3</v>
      </c>
      <c r="M178" s="39">
        <f>'FE-Transferências'!$C$4*0.0016*((($B$2/2.2)^1.3)/(E178/2)^1.4)</f>
        <v>3.4187610750596215E-3</v>
      </c>
      <c r="N178" s="39">
        <f>'FE-Transferências'!$E$4*0.0016*((($B$2/2.2)^1.3)/(E178/2)^1.4)</f>
        <v>5.176981056518856E-4</v>
      </c>
      <c r="O178" s="40">
        <f t="shared" si="54"/>
        <v>0.97632239504019169</v>
      </c>
      <c r="P178" s="40">
        <f t="shared" si="55"/>
        <v>0.46177410576225281</v>
      </c>
      <c r="Q178" s="40">
        <f t="shared" si="56"/>
        <v>6.9925793158283997E-2</v>
      </c>
    </row>
    <row r="179" spans="1:17" s="35" customFormat="1" ht="15" customHeight="1" x14ac:dyDescent="0.25">
      <c r="A179" s="238" t="s">
        <v>358</v>
      </c>
      <c r="B179" s="238" t="s">
        <v>379</v>
      </c>
      <c r="C179" s="35" t="s">
        <v>389</v>
      </c>
      <c r="D179" s="55" t="s">
        <v>73</v>
      </c>
      <c r="E179" s="41">
        <v>0.46</v>
      </c>
      <c r="F179" s="55" t="s">
        <v>340</v>
      </c>
      <c r="G179" s="55">
        <v>50</v>
      </c>
      <c r="H179" s="114">
        <f>Rotas!H31/(365*24)</f>
        <v>0.32157534246575342</v>
      </c>
      <c r="I179" s="38">
        <v>-20.256809000000001</v>
      </c>
      <c r="J179" s="38">
        <v>-40.234575999999997</v>
      </c>
      <c r="K179" s="91"/>
      <c r="L179" s="39">
        <f>'FE-Transferências'!$A$4*0.0016*((($B$2/2.2)^1.3)/(E179/2)^1.4)</f>
        <v>2.1437367919160014E-2</v>
      </c>
      <c r="M179" s="39">
        <f>'FE-Transferências'!$C$4*0.0016*((($B$2/2.2)^1.3)/(E179/2)^1.4)</f>
        <v>1.0139295637440548E-2</v>
      </c>
      <c r="N179" s="39">
        <f>'FE-Transferências'!$E$4*0.0016*((($B$2/2.2)^1.3)/(E179/2)^1.4)</f>
        <v>1.5353790536695687E-3</v>
      </c>
      <c r="O179" s="40">
        <f t="shared" ref="O179:O184" si="57">(H179*L179)*(1-G179/100)</f>
        <v>3.4468644650841188E-3</v>
      </c>
      <c r="P179" s="40">
        <f t="shared" ref="P179:P184" si="58">(H179*M179)*(1-G179/100)</f>
        <v>1.630273733485732E-3</v>
      </c>
      <c r="Q179" s="40">
        <f t="shared" ref="Q179:Q184" si="59">(H179*N179)*(1-G179/100)</f>
        <v>2.4687002249926796E-4</v>
      </c>
    </row>
    <row r="180" spans="1:17" s="35" customFormat="1" ht="15" customHeight="1" x14ac:dyDescent="0.25">
      <c r="A180" s="238"/>
      <c r="B180" s="238"/>
      <c r="C180" s="35" t="s">
        <v>391</v>
      </c>
      <c r="D180" s="55" t="s">
        <v>73</v>
      </c>
      <c r="E180" s="41">
        <v>0.46</v>
      </c>
      <c r="F180" s="55" t="s">
        <v>191</v>
      </c>
      <c r="G180" s="55">
        <v>0</v>
      </c>
      <c r="H180" s="114">
        <f>Rotas!H31/(365*24)</f>
        <v>0.32157534246575342</v>
      </c>
      <c r="I180" s="38">
        <v>-20.259157999999999</v>
      </c>
      <c r="J180" s="38">
        <v>-40.231655000000003</v>
      </c>
      <c r="K180" s="91"/>
      <c r="L180" s="39">
        <f>'FE-Transferências'!$A$4*0.0016*((($B$2/2.2)^1.3)/(E180/2)^1.4)</f>
        <v>2.1437367919160014E-2</v>
      </c>
      <c r="M180" s="39">
        <f>'FE-Transferências'!$C$4*0.0016*((($B$2/2.2)^1.3)/(E180/2)^1.4)</f>
        <v>1.0139295637440548E-2</v>
      </c>
      <c r="N180" s="39">
        <f>'FE-Transferências'!$E$4*0.0016*((($B$2/2.2)^1.3)/(E180/2)^1.4)</f>
        <v>1.5353790536695687E-3</v>
      </c>
      <c r="O180" s="40">
        <f t="shared" si="57"/>
        <v>6.8937289301682376E-3</v>
      </c>
      <c r="P180" s="40">
        <f t="shared" si="58"/>
        <v>3.260547466971464E-3</v>
      </c>
      <c r="Q180" s="40">
        <f t="shared" si="59"/>
        <v>4.9374004499853593E-4</v>
      </c>
    </row>
    <row r="181" spans="1:17" s="35" customFormat="1" ht="15" customHeight="1" x14ac:dyDescent="0.25">
      <c r="A181" s="238"/>
      <c r="B181" s="238"/>
      <c r="C181" s="35" t="s">
        <v>382</v>
      </c>
      <c r="D181" s="55" t="s">
        <v>73</v>
      </c>
      <c r="E181" s="41">
        <v>0.46</v>
      </c>
      <c r="F181" s="55" t="s">
        <v>191</v>
      </c>
      <c r="G181" s="55">
        <v>0</v>
      </c>
      <c r="H181" s="114">
        <f>Rotas!H31/(365*24)</f>
        <v>0.32157534246575342</v>
      </c>
      <c r="I181" s="38">
        <v>-20.259414</v>
      </c>
      <c r="J181" s="38">
        <v>-40.231245999999999</v>
      </c>
      <c r="K181" s="91"/>
      <c r="L181" s="39">
        <f>'FE-Transferências'!$A$4*0.0016*((($B$2/2.2)^1.3)/(E181/2)^1.4)</f>
        <v>2.1437367919160014E-2</v>
      </c>
      <c r="M181" s="39">
        <f>'FE-Transferências'!$C$4*0.0016*((($B$2/2.2)^1.3)/(E181/2)^1.4)</f>
        <v>1.0139295637440548E-2</v>
      </c>
      <c r="N181" s="39">
        <f>'FE-Transferências'!$E$4*0.0016*((($B$2/2.2)^1.3)/(E181/2)^1.4)</f>
        <v>1.5353790536695687E-3</v>
      </c>
      <c r="O181" s="40">
        <f t="shared" si="57"/>
        <v>6.8937289301682376E-3</v>
      </c>
      <c r="P181" s="40">
        <f t="shared" si="58"/>
        <v>3.260547466971464E-3</v>
      </c>
      <c r="Q181" s="40">
        <f t="shared" si="59"/>
        <v>4.9374004499853593E-4</v>
      </c>
    </row>
    <row r="182" spans="1:17" s="35" customFormat="1" ht="15" customHeight="1" x14ac:dyDescent="0.25">
      <c r="A182" s="238"/>
      <c r="B182" s="238"/>
      <c r="C182" s="35" t="s">
        <v>383</v>
      </c>
      <c r="D182" s="55" t="s">
        <v>73</v>
      </c>
      <c r="E182" s="41">
        <v>0.46</v>
      </c>
      <c r="F182" s="55" t="s">
        <v>276</v>
      </c>
      <c r="G182" s="55">
        <v>75</v>
      </c>
      <c r="H182" s="114">
        <f>Rotas!H31/(365*24)</f>
        <v>0.32157534246575342</v>
      </c>
      <c r="I182" s="38">
        <v>-20.258991999999999</v>
      </c>
      <c r="J182" s="38">
        <v>-40.230944999999998</v>
      </c>
      <c r="K182" s="91"/>
      <c r="L182" s="39">
        <f>'FE-Transferências'!$A$4*0.0016*((($B$2/2.2)^1.3)/(E182/2)^1.4)</f>
        <v>2.1437367919160014E-2</v>
      </c>
      <c r="M182" s="39">
        <f>'FE-Transferências'!$C$4*0.0016*((($B$2/2.2)^1.3)/(E182/2)^1.4)</f>
        <v>1.0139295637440548E-2</v>
      </c>
      <c r="N182" s="39">
        <f>'FE-Transferências'!$E$4*0.0016*((($B$2/2.2)^1.3)/(E182/2)^1.4)</f>
        <v>1.5353790536695687E-3</v>
      </c>
      <c r="O182" s="40">
        <f t="shared" si="57"/>
        <v>1.7234322325420594E-3</v>
      </c>
      <c r="P182" s="40">
        <f t="shared" si="58"/>
        <v>8.1513686674286601E-4</v>
      </c>
      <c r="Q182" s="40">
        <f t="shared" si="59"/>
        <v>1.2343501124963398E-4</v>
      </c>
    </row>
    <row r="183" spans="1:17" s="35" customFormat="1" ht="15" customHeight="1" x14ac:dyDescent="0.25">
      <c r="A183" s="238"/>
      <c r="B183" s="238"/>
      <c r="C183" s="35" t="s">
        <v>384</v>
      </c>
      <c r="D183" s="55" t="s">
        <v>73</v>
      </c>
      <c r="E183" s="41">
        <v>0.46</v>
      </c>
      <c r="F183" s="55" t="s">
        <v>191</v>
      </c>
      <c r="G183" s="55">
        <v>0</v>
      </c>
      <c r="H183" s="114">
        <f>Rotas!H31/(365*24)</f>
        <v>0.32157534246575342</v>
      </c>
      <c r="I183" s="38">
        <v>-20.258227999999999</v>
      </c>
      <c r="J183" s="38">
        <v>-40.230297999999998</v>
      </c>
      <c r="K183" s="91"/>
      <c r="L183" s="39">
        <f>'FE-Transferências'!$A$4*0.0016*((($B$2/2.2)^1.3)/(E183/2)^1.4)</f>
        <v>2.1437367919160014E-2</v>
      </c>
      <c r="M183" s="39">
        <f>'FE-Transferências'!$C$4*0.0016*((($B$2/2.2)^1.3)/(E183/2)^1.4)</f>
        <v>1.0139295637440548E-2</v>
      </c>
      <c r="N183" s="39">
        <f>'FE-Transferências'!$E$4*0.0016*((($B$2/2.2)^1.3)/(E183/2)^1.4)</f>
        <v>1.5353790536695687E-3</v>
      </c>
      <c r="O183" s="40">
        <f t="shared" si="57"/>
        <v>6.8937289301682376E-3</v>
      </c>
      <c r="P183" s="40">
        <f t="shared" si="58"/>
        <v>3.260547466971464E-3</v>
      </c>
      <c r="Q183" s="40">
        <f t="shared" si="59"/>
        <v>4.9374004499853593E-4</v>
      </c>
    </row>
    <row r="184" spans="1:17" s="35" customFormat="1" ht="15" customHeight="1" x14ac:dyDescent="0.25">
      <c r="A184" s="238"/>
      <c r="B184" s="238"/>
      <c r="C184" s="35" t="s">
        <v>392</v>
      </c>
      <c r="D184" s="55" t="s">
        <v>73</v>
      </c>
      <c r="E184" s="41">
        <v>0.46</v>
      </c>
      <c r="F184" s="55" t="s">
        <v>191</v>
      </c>
      <c r="G184" s="55">
        <v>0</v>
      </c>
      <c r="H184" s="114">
        <f>Rotas!H31/(365*24)</f>
        <v>0.32157534246575342</v>
      </c>
      <c r="I184" s="38">
        <v>-20.257743000000001</v>
      </c>
      <c r="J184" s="38">
        <v>-40.231194000000002</v>
      </c>
      <c r="K184" s="91"/>
      <c r="L184" s="39">
        <f>'FE-Transferências'!$A$4*0.0016*((($B$2/2.2)^1.3)/(E184/2)^1.4)</f>
        <v>2.1437367919160014E-2</v>
      </c>
      <c r="M184" s="39">
        <f>'FE-Transferências'!$C$4*0.0016*((($B$2/2.2)^1.3)/(E184/2)^1.4)</f>
        <v>1.0139295637440548E-2</v>
      </c>
      <c r="N184" s="39">
        <f>'FE-Transferências'!$E$4*0.0016*((($B$2/2.2)^1.3)/(E184/2)^1.4)</f>
        <v>1.5353790536695687E-3</v>
      </c>
      <c r="O184" s="40">
        <f t="shared" si="57"/>
        <v>6.8937289301682376E-3</v>
      </c>
      <c r="P184" s="40">
        <f t="shared" si="58"/>
        <v>3.260547466971464E-3</v>
      </c>
      <c r="Q184" s="40">
        <f t="shared" si="59"/>
        <v>4.9374004499853593E-4</v>
      </c>
    </row>
    <row r="185" spans="1:17" s="35" customFormat="1" ht="15" customHeight="1" x14ac:dyDescent="0.25">
      <c r="A185" s="238" t="s">
        <v>379</v>
      </c>
      <c r="B185" s="238" t="s">
        <v>313</v>
      </c>
      <c r="C185" s="35" t="s">
        <v>393</v>
      </c>
      <c r="D185" s="55" t="s">
        <v>397</v>
      </c>
      <c r="E185" s="41">
        <f>'FE-Transferências'!L11</f>
        <v>6.6</v>
      </c>
      <c r="F185" s="55" t="s">
        <v>191</v>
      </c>
      <c r="G185" s="55">
        <v>0</v>
      </c>
      <c r="H185" s="37">
        <f>(Rotas!M41+Rotas!K41+Rotas!M43+Rotas!O43+Rotas!K43+Rotas!L41+Rotas!P41+Rotas!P43+Rotas!H31)/(365*24)</f>
        <v>689.18182716894978</v>
      </c>
      <c r="I185" s="38">
        <v>-20.257581999999999</v>
      </c>
      <c r="J185" s="38">
        <v>-40.230953999999997</v>
      </c>
      <c r="K185" s="91"/>
      <c r="L185" s="39">
        <f>'FE-Transferências'!$A$4*0.0016*((($B$2/2.2)^1.3)/(E185/2)^1.4)</f>
        <v>5.1483838132439805E-4</v>
      </c>
      <c r="M185" s="39">
        <f>'FE-Transferências'!$C$4*0.0016*((($B$2/2.2)^1.3)/(E185/2)^1.4)</f>
        <v>2.4350463981559365E-4</v>
      </c>
      <c r="N185" s="39">
        <f>'FE-Transferências'!$E$4*0.0016*((($B$2/2.2)^1.3)/(E185/2)^1.4)</f>
        <v>3.6873559743504189E-5</v>
      </c>
      <c r="O185" s="40">
        <f t="shared" si="54"/>
        <v>0.35481725633785316</v>
      </c>
      <c r="P185" s="40">
        <f t="shared" si="55"/>
        <v>0.16781897259222783</v>
      </c>
      <c r="Q185" s="40">
        <f t="shared" si="56"/>
        <v>2.5412587278251648E-2</v>
      </c>
    </row>
    <row r="186" spans="1:17" s="35" customFormat="1" ht="15" customHeight="1" x14ac:dyDescent="0.25">
      <c r="A186" s="238"/>
      <c r="B186" s="238"/>
      <c r="C186" s="35" t="s">
        <v>394</v>
      </c>
      <c r="D186" s="55" t="s">
        <v>397</v>
      </c>
      <c r="E186" s="41">
        <f>'FE-Transferências'!L11</f>
        <v>6.6</v>
      </c>
      <c r="F186" s="55" t="s">
        <v>191</v>
      </c>
      <c r="G186" s="55">
        <v>0</v>
      </c>
      <c r="H186" s="37">
        <f>(Rotas!M41+Rotas!K41+Rotas!M43+Rotas!O43+Rotas!K43+Rotas!L41+Rotas!P41+Rotas!P43+Rotas!H31)/(365*24)</f>
        <v>689.18182716894978</v>
      </c>
      <c r="I186" s="38">
        <v>-20.255907000000001</v>
      </c>
      <c r="J186" s="38">
        <v>-40.232720999999998</v>
      </c>
      <c r="K186" s="91"/>
      <c r="L186" s="39">
        <f>'FE-Transferências'!$A$4*0.0016*((($B$2/2.2)^1.3)/(E186/2)^1.4)</f>
        <v>5.1483838132439805E-4</v>
      </c>
      <c r="M186" s="39">
        <f>'FE-Transferências'!$C$4*0.0016*((($B$2/2.2)^1.3)/(E186/2)^1.4)</f>
        <v>2.4350463981559365E-4</v>
      </c>
      <c r="N186" s="39">
        <f>'FE-Transferências'!$E$4*0.0016*((($B$2/2.2)^1.3)/(E186/2)^1.4)</f>
        <v>3.6873559743504189E-5</v>
      </c>
      <c r="O186" s="40">
        <f t="shared" si="54"/>
        <v>0.35481725633785316</v>
      </c>
      <c r="P186" s="40">
        <f t="shared" si="55"/>
        <v>0.16781897259222783</v>
      </c>
      <c r="Q186" s="40">
        <f t="shared" si="56"/>
        <v>2.5412587278251648E-2</v>
      </c>
    </row>
    <row r="187" spans="1:17" s="35" customFormat="1" ht="15" customHeight="1" x14ac:dyDescent="0.25">
      <c r="A187" s="238"/>
      <c r="B187" s="238"/>
      <c r="C187" s="35" t="s">
        <v>395</v>
      </c>
      <c r="D187" s="55" t="s">
        <v>397</v>
      </c>
      <c r="E187" s="41">
        <f>'FE-Transferências'!L11</f>
        <v>6.6</v>
      </c>
      <c r="F187" s="55" t="s">
        <v>191</v>
      </c>
      <c r="G187" s="55">
        <v>0</v>
      </c>
      <c r="H187" s="37">
        <f>(Rotas!M41+Rotas!K41+Rotas!M43+Rotas!O43+Rotas!K43+Rotas!L41+Rotas!P41+Rotas!P43+Rotas!H31)/(365*24)</f>
        <v>689.18182716894978</v>
      </c>
      <c r="I187" s="38">
        <v>-20.255405</v>
      </c>
      <c r="J187" s="38">
        <v>-40.232286000000002</v>
      </c>
      <c r="K187" s="91"/>
      <c r="L187" s="39">
        <f>'FE-Transferências'!$A$4*0.0016*((($B$2/2.2)^1.3)/(E187/2)^1.4)</f>
        <v>5.1483838132439805E-4</v>
      </c>
      <c r="M187" s="39">
        <f>'FE-Transferências'!$C$4*0.0016*((($B$2/2.2)^1.3)/(E187/2)^1.4)</f>
        <v>2.4350463981559365E-4</v>
      </c>
      <c r="N187" s="39">
        <f>'FE-Transferências'!$E$4*0.0016*((($B$2/2.2)^1.3)/(E187/2)^1.4)</f>
        <v>3.6873559743504189E-5</v>
      </c>
      <c r="O187" s="40">
        <f t="shared" si="54"/>
        <v>0.35481725633785316</v>
      </c>
      <c r="P187" s="40">
        <f t="shared" si="55"/>
        <v>0.16781897259222783</v>
      </c>
      <c r="Q187" s="40">
        <f t="shared" si="56"/>
        <v>2.5412587278251648E-2</v>
      </c>
    </row>
    <row r="188" spans="1:17" s="35" customFormat="1" ht="15" customHeight="1" x14ac:dyDescent="0.25">
      <c r="A188" s="238"/>
      <c r="B188" s="238"/>
      <c r="C188" s="102" t="s">
        <v>396</v>
      </c>
      <c r="D188" s="103" t="s">
        <v>397</v>
      </c>
      <c r="E188" s="108"/>
      <c r="F188" s="103"/>
      <c r="G188" s="103"/>
      <c r="H188" s="105"/>
      <c r="I188" s="109">
        <v>-20.254819999999999</v>
      </c>
      <c r="J188" s="109">
        <v>-40.233220000000003</v>
      </c>
      <c r="K188" s="103"/>
      <c r="L188" s="106"/>
      <c r="M188" s="106"/>
      <c r="N188" s="106"/>
      <c r="O188" s="107"/>
      <c r="P188" s="107"/>
      <c r="Q188" s="107"/>
    </row>
    <row r="189" spans="1:17" s="35" customFormat="1" ht="15" customHeight="1" x14ac:dyDescent="0.25">
      <c r="A189" s="238" t="s">
        <v>11</v>
      </c>
      <c r="B189" s="238" t="s">
        <v>376</v>
      </c>
      <c r="C189" s="102" t="s">
        <v>308</v>
      </c>
      <c r="D189" s="103" t="s">
        <v>197</v>
      </c>
      <c r="E189" s="108"/>
      <c r="F189" s="103"/>
      <c r="G189" s="103"/>
      <c r="H189" s="105"/>
      <c r="I189" s="109">
        <v>-20.253077000000001</v>
      </c>
      <c r="J189" s="109">
        <v>-40.234440999999997</v>
      </c>
      <c r="K189" s="103"/>
      <c r="L189" s="106"/>
      <c r="M189" s="106"/>
      <c r="N189" s="106"/>
      <c r="O189" s="107"/>
      <c r="P189" s="107"/>
      <c r="Q189" s="107"/>
    </row>
    <row r="190" spans="1:17" s="35" customFormat="1" ht="15" customHeight="1" x14ac:dyDescent="0.25">
      <c r="A190" s="238"/>
      <c r="B190" s="238"/>
      <c r="C190" s="102" t="s">
        <v>309</v>
      </c>
      <c r="D190" s="103" t="s">
        <v>197</v>
      </c>
      <c r="E190" s="108"/>
      <c r="F190" s="103"/>
      <c r="G190" s="103"/>
      <c r="H190" s="105"/>
      <c r="I190" s="109">
        <v>-20.252766000000001</v>
      </c>
      <c r="J190" s="109">
        <v>-40.234983999999997</v>
      </c>
      <c r="K190" s="103"/>
      <c r="L190" s="106"/>
      <c r="M190" s="106"/>
      <c r="N190" s="106"/>
      <c r="O190" s="107"/>
      <c r="P190" s="107"/>
      <c r="Q190" s="107"/>
    </row>
    <row r="191" spans="1:17" s="35" customFormat="1" ht="15" customHeight="1" x14ac:dyDescent="0.25">
      <c r="A191" s="238"/>
      <c r="B191" s="238"/>
      <c r="C191" s="102" t="s">
        <v>310</v>
      </c>
      <c r="D191" s="103" t="s">
        <v>197</v>
      </c>
      <c r="E191" s="108"/>
      <c r="F191" s="103"/>
      <c r="G191" s="103"/>
      <c r="H191" s="105"/>
      <c r="I191" s="109">
        <v>-20.25299</v>
      </c>
      <c r="J191" s="109">
        <v>-40.235235000000003</v>
      </c>
      <c r="K191" s="103"/>
      <c r="L191" s="106"/>
      <c r="M191" s="106"/>
      <c r="N191" s="106"/>
      <c r="O191" s="107"/>
      <c r="P191" s="107"/>
      <c r="Q191" s="107"/>
    </row>
    <row r="192" spans="1:17" s="35" customFormat="1" ht="15" customHeight="1" x14ac:dyDescent="0.25">
      <c r="A192" s="238"/>
      <c r="B192" s="238"/>
      <c r="C192" s="102" t="s">
        <v>311</v>
      </c>
      <c r="D192" s="103" t="s">
        <v>197</v>
      </c>
      <c r="E192" s="108"/>
      <c r="F192" s="103"/>
      <c r="G192" s="103"/>
      <c r="H192" s="105"/>
      <c r="I192" s="109">
        <v>-20.252023999999999</v>
      </c>
      <c r="J192" s="109">
        <v>-40.236356999999998</v>
      </c>
      <c r="K192" s="103"/>
      <c r="L192" s="106"/>
      <c r="M192" s="106"/>
      <c r="N192" s="106"/>
      <c r="O192" s="107"/>
      <c r="P192" s="107"/>
      <c r="Q192" s="107"/>
    </row>
    <row r="193" spans="1:17" s="35" customFormat="1" ht="15" customHeight="1" x14ac:dyDescent="0.25">
      <c r="A193" s="238"/>
      <c r="B193" s="238"/>
      <c r="C193" s="102" t="s">
        <v>368</v>
      </c>
      <c r="D193" s="103" t="s">
        <v>197</v>
      </c>
      <c r="E193" s="108"/>
      <c r="F193" s="103"/>
      <c r="G193" s="103"/>
      <c r="H193" s="105"/>
      <c r="I193" s="109">
        <v>-20.252524000000001</v>
      </c>
      <c r="J193" s="109">
        <v>-40.235939999999999</v>
      </c>
      <c r="K193" s="103"/>
      <c r="L193" s="106"/>
      <c r="M193" s="106"/>
      <c r="N193" s="106"/>
      <c r="O193" s="107"/>
      <c r="P193" s="107"/>
      <c r="Q193" s="107"/>
    </row>
    <row r="194" spans="1:17" s="35" customFormat="1" ht="15" customHeight="1" x14ac:dyDescent="0.25">
      <c r="A194" s="238"/>
      <c r="B194" s="238"/>
      <c r="C194" s="102" t="s">
        <v>369</v>
      </c>
      <c r="D194" s="103" t="s">
        <v>197</v>
      </c>
      <c r="E194" s="108"/>
      <c r="F194" s="103"/>
      <c r="G194" s="103"/>
      <c r="H194" s="105"/>
      <c r="I194" s="109">
        <v>-20.254536000000002</v>
      </c>
      <c r="J194" s="109">
        <v>-40.236328999999998</v>
      </c>
      <c r="K194" s="103"/>
      <c r="L194" s="106"/>
      <c r="M194" s="106"/>
      <c r="N194" s="106"/>
      <c r="O194" s="107"/>
      <c r="P194" s="107"/>
      <c r="Q194" s="107"/>
    </row>
    <row r="195" spans="1:17" s="35" customFormat="1" ht="15" customHeight="1" x14ac:dyDescent="0.25">
      <c r="A195" s="238"/>
      <c r="B195" s="238"/>
      <c r="C195" s="102" t="s">
        <v>370</v>
      </c>
      <c r="D195" s="103" t="s">
        <v>197</v>
      </c>
      <c r="E195" s="108"/>
      <c r="F195" s="103"/>
      <c r="G195" s="103"/>
      <c r="H195" s="105"/>
      <c r="I195" s="109">
        <v>-20.254325999999999</v>
      </c>
      <c r="J195" s="109">
        <v>-40.236691</v>
      </c>
      <c r="K195" s="103"/>
      <c r="L195" s="106"/>
      <c r="M195" s="106"/>
      <c r="N195" s="106"/>
      <c r="O195" s="107"/>
      <c r="P195" s="107"/>
      <c r="Q195" s="107"/>
    </row>
    <row r="196" spans="1:17" s="35" customFormat="1" ht="15" customHeight="1" x14ac:dyDescent="0.25">
      <c r="A196" s="238" t="s">
        <v>11</v>
      </c>
      <c r="B196" s="238" t="s">
        <v>358</v>
      </c>
      <c r="C196" s="102" t="s">
        <v>308</v>
      </c>
      <c r="D196" s="103" t="s">
        <v>197</v>
      </c>
      <c r="E196" s="108"/>
      <c r="F196" s="103"/>
      <c r="G196" s="103"/>
      <c r="H196" s="105"/>
      <c r="I196" s="109">
        <v>-20.253077000000001</v>
      </c>
      <c r="J196" s="109">
        <v>-40.234440999999997</v>
      </c>
      <c r="K196" s="103"/>
      <c r="L196" s="106"/>
      <c r="M196" s="106"/>
      <c r="N196" s="106"/>
      <c r="O196" s="107"/>
      <c r="P196" s="107"/>
      <c r="Q196" s="107"/>
    </row>
    <row r="197" spans="1:17" s="35" customFormat="1" ht="15" customHeight="1" x14ac:dyDescent="0.25">
      <c r="A197" s="238"/>
      <c r="B197" s="238"/>
      <c r="C197" s="102" t="s">
        <v>309</v>
      </c>
      <c r="D197" s="103" t="s">
        <v>197</v>
      </c>
      <c r="E197" s="108"/>
      <c r="F197" s="103"/>
      <c r="G197" s="103"/>
      <c r="H197" s="105"/>
      <c r="I197" s="109">
        <v>-20.252766000000001</v>
      </c>
      <c r="J197" s="109">
        <v>-40.234983999999997</v>
      </c>
      <c r="K197" s="103"/>
      <c r="L197" s="106"/>
      <c r="M197" s="106"/>
      <c r="N197" s="106"/>
      <c r="O197" s="107"/>
      <c r="P197" s="107"/>
      <c r="Q197" s="107"/>
    </row>
    <row r="198" spans="1:17" s="35" customFormat="1" ht="15" customHeight="1" x14ac:dyDescent="0.25">
      <c r="A198" s="238"/>
      <c r="B198" s="238"/>
      <c r="C198" s="102" t="s">
        <v>310</v>
      </c>
      <c r="D198" s="103" t="s">
        <v>197</v>
      </c>
      <c r="E198" s="108"/>
      <c r="F198" s="103"/>
      <c r="G198" s="103"/>
      <c r="H198" s="105"/>
      <c r="I198" s="109">
        <v>-20.25299</v>
      </c>
      <c r="J198" s="109">
        <v>-40.235235000000003</v>
      </c>
      <c r="K198" s="103"/>
      <c r="L198" s="106"/>
      <c r="M198" s="106"/>
      <c r="N198" s="106"/>
      <c r="O198" s="107"/>
      <c r="P198" s="107"/>
      <c r="Q198" s="107"/>
    </row>
    <row r="199" spans="1:17" s="35" customFormat="1" ht="15" customHeight="1" x14ac:dyDescent="0.25">
      <c r="A199" s="238"/>
      <c r="B199" s="238"/>
      <c r="C199" s="102" t="s">
        <v>311</v>
      </c>
      <c r="D199" s="103" t="s">
        <v>197</v>
      </c>
      <c r="E199" s="108"/>
      <c r="F199" s="103"/>
      <c r="G199" s="103"/>
      <c r="H199" s="105"/>
      <c r="I199" s="109">
        <v>-20.254536000000002</v>
      </c>
      <c r="J199" s="109">
        <v>-40.236328999999998</v>
      </c>
      <c r="K199" s="103"/>
      <c r="L199" s="106"/>
      <c r="M199" s="106"/>
      <c r="N199" s="106"/>
      <c r="O199" s="107"/>
      <c r="P199" s="107"/>
      <c r="Q199" s="107"/>
    </row>
    <row r="200" spans="1:17" s="35" customFormat="1" ht="15" customHeight="1" x14ac:dyDescent="0.25">
      <c r="A200" s="238"/>
      <c r="B200" s="238"/>
      <c r="C200" s="35" t="s">
        <v>368</v>
      </c>
      <c r="D200" s="55" t="s">
        <v>197</v>
      </c>
      <c r="E200" s="41">
        <v>7.6</v>
      </c>
      <c r="F200" s="55" t="s">
        <v>191</v>
      </c>
      <c r="G200" s="55">
        <v>0</v>
      </c>
      <c r="H200" s="37">
        <f>Rotas!L35/(365*24)</f>
        <v>70.092123287671228</v>
      </c>
      <c r="I200" s="38">
        <v>-20.255037000000002</v>
      </c>
      <c r="J200" s="38">
        <v>-40.236697999999997</v>
      </c>
      <c r="K200" s="91"/>
      <c r="L200" s="39">
        <f>'FE-Transferências'!$A$4*0.0016*((($B$2/2.2)^1.3)/(E200/2)^1.4)</f>
        <v>4.225648774807563E-4</v>
      </c>
      <c r="M200" s="39">
        <f>'FE-Transferências'!$C$4*0.0016*((($B$2/2.2)^1.3)/(E200/2)^1.4)</f>
        <v>1.9986176637603337E-4</v>
      </c>
      <c r="N200" s="39">
        <f>'FE-Transferências'!$E$4*0.0016*((($B$2/2.2)^1.3)/(E200/2)^1.4)</f>
        <v>3.0264781765513629E-5</v>
      </c>
      <c r="O200" s="40">
        <f t="shared" ref="O200:O201" si="60">(H200*L200)*(1-G200/100)</f>
        <v>2.9618469489420859E-2</v>
      </c>
      <c r="P200" s="40">
        <f t="shared" ref="P200:P201" si="61">(H200*M200)*(1-G200/100)</f>
        <v>1.4008735569320675E-2</v>
      </c>
      <c r="Q200" s="40">
        <f t="shared" ref="Q200:Q201" si="62">(H200*N200)*(1-G200/100)</f>
        <v>2.1213228147828455E-3</v>
      </c>
    </row>
    <row r="201" spans="1:17" s="35" customFormat="1" ht="15" customHeight="1" x14ac:dyDescent="0.25">
      <c r="A201" s="238"/>
      <c r="B201" s="238"/>
      <c r="C201" s="35" t="s">
        <v>604</v>
      </c>
      <c r="D201" s="55" t="s">
        <v>197</v>
      </c>
      <c r="E201" s="41">
        <v>7.6</v>
      </c>
      <c r="F201" s="55" t="s">
        <v>191</v>
      </c>
      <c r="G201" s="55">
        <v>0</v>
      </c>
      <c r="H201" s="37">
        <f>Rotas!L35/(365*24)</f>
        <v>70.092123287671228</v>
      </c>
      <c r="I201" s="38">
        <v>-20.257010000000001</v>
      </c>
      <c r="J201" s="38">
        <v>-40.233987999999997</v>
      </c>
      <c r="K201" s="91"/>
      <c r="L201" s="39">
        <f>'FE-Transferências'!$A$4*0.0016*((($B$2/2.2)^1.3)/(E201/2)^1.4)</f>
        <v>4.225648774807563E-4</v>
      </c>
      <c r="M201" s="39">
        <f>'FE-Transferências'!$C$4*0.0016*((($B$2/2.2)^1.3)/(E201/2)^1.4)</f>
        <v>1.9986176637603337E-4</v>
      </c>
      <c r="N201" s="39">
        <f>'FE-Transferências'!$E$4*0.0016*((($B$2/2.2)^1.3)/(E201/2)^1.4)</f>
        <v>3.0264781765513629E-5</v>
      </c>
      <c r="O201" s="40">
        <f t="shared" si="60"/>
        <v>2.9618469489420859E-2</v>
      </c>
      <c r="P201" s="40">
        <f t="shared" si="61"/>
        <v>1.4008735569320675E-2</v>
      </c>
      <c r="Q201" s="40">
        <f t="shared" si="62"/>
        <v>2.1213228147828455E-3</v>
      </c>
    </row>
    <row r="202" spans="1:17" s="35" customFormat="1" ht="15" customHeight="1" x14ac:dyDescent="0.25">
      <c r="A202" s="238" t="s">
        <v>419</v>
      </c>
      <c r="B202" s="238" t="s">
        <v>420</v>
      </c>
      <c r="C202" s="35" t="s">
        <v>422</v>
      </c>
      <c r="D202" s="55" t="s">
        <v>150</v>
      </c>
      <c r="E202" s="55">
        <v>15</v>
      </c>
      <c r="F202" s="55" t="s">
        <v>191</v>
      </c>
      <c r="G202" s="55">
        <v>0</v>
      </c>
      <c r="H202" s="37">
        <f>Rotas!AB70/(365*24)</f>
        <v>199.04212328767125</v>
      </c>
      <c r="I202" s="38">
        <v>-20.249635999999999</v>
      </c>
      <c r="J202" s="38">
        <v>-40.239314999999998</v>
      </c>
      <c r="K202" s="91"/>
      <c r="L202" s="39">
        <f>'FE-Transferências'!$A$4*0.0016*((($B$2/2.2)^1.3)/(E202/2)^1.4)</f>
        <v>1.6311904241925811E-4</v>
      </c>
      <c r="M202" s="39">
        <f>'FE-Transferências'!$C$4*0.0016*((($B$2/2.2)^1.3)/(E202/2)^1.4)</f>
        <v>7.7150898441541004E-5</v>
      </c>
      <c r="N202" s="39">
        <f>'FE-Transferências'!$E$4*0.0016*((($B$2/2.2)^1.3)/(E202/2)^1.4)</f>
        <v>1.1682850335433353E-5</v>
      </c>
      <c r="O202" s="40">
        <f t="shared" ref="O202" si="63">(H202*L202)*(1-G202/100)</f>
        <v>3.246756055178085E-2</v>
      </c>
      <c r="P202" s="40">
        <f t="shared" ref="P202" si="64">(H202*M202)*(1-G202/100)</f>
        <v>1.5356278639355807E-2</v>
      </c>
      <c r="Q202" s="40">
        <f t="shared" ref="Q202" si="65">(H202*N202)*(1-G202/100)</f>
        <v>2.3253793368167366E-3</v>
      </c>
    </row>
    <row r="203" spans="1:17" s="35" customFormat="1" ht="15" customHeight="1" x14ac:dyDescent="0.25">
      <c r="A203" s="238"/>
      <c r="B203" s="238"/>
      <c r="C203" s="35" t="s">
        <v>422</v>
      </c>
      <c r="D203" s="55" t="s">
        <v>150</v>
      </c>
      <c r="E203" s="55">
        <v>15</v>
      </c>
      <c r="F203" s="55" t="s">
        <v>191</v>
      </c>
      <c r="G203" s="55">
        <v>0</v>
      </c>
      <c r="H203" s="37">
        <f>Rotas!AB70/(365*24)</f>
        <v>199.04212328767125</v>
      </c>
      <c r="I203" s="38">
        <v>-20.249224000000002</v>
      </c>
      <c r="J203" s="38">
        <v>-40.237464000000003</v>
      </c>
      <c r="K203" s="91"/>
      <c r="L203" s="39">
        <f>'FE-Transferências'!$A$4*0.0016*((($B$2/2.2)^1.3)/(E203/2)^1.4)</f>
        <v>1.6311904241925811E-4</v>
      </c>
      <c r="M203" s="39">
        <f>'FE-Transferências'!$C$4*0.0016*((($B$2/2.2)^1.3)/(E203/2)^1.4)</f>
        <v>7.7150898441541004E-5</v>
      </c>
      <c r="N203" s="39">
        <f>'FE-Transferências'!$E$4*0.0016*((($B$2/2.2)^1.3)/(E203/2)^1.4)</f>
        <v>1.1682850335433353E-5</v>
      </c>
      <c r="O203" s="40">
        <f t="shared" ref="O203:O205" si="66">(H203*L203)*(1-G203/100)</f>
        <v>3.246756055178085E-2</v>
      </c>
      <c r="P203" s="40">
        <f t="shared" ref="P203:P205" si="67">(H203*M203)*(1-G203/100)</f>
        <v>1.5356278639355807E-2</v>
      </c>
      <c r="Q203" s="40">
        <f t="shared" ref="Q203:Q205" si="68">(H203*N203)*(1-G203/100)</f>
        <v>2.3253793368167366E-3</v>
      </c>
    </row>
    <row r="204" spans="1:17" s="35" customFormat="1" ht="15" customHeight="1" x14ac:dyDescent="0.25">
      <c r="A204" s="238"/>
      <c r="B204" s="238"/>
      <c r="C204" s="35" t="s">
        <v>421</v>
      </c>
      <c r="D204" s="55" t="s">
        <v>150</v>
      </c>
      <c r="E204" s="55">
        <v>15</v>
      </c>
      <c r="F204" s="55" t="s">
        <v>191</v>
      </c>
      <c r="G204" s="55">
        <v>0</v>
      </c>
      <c r="H204" s="37">
        <f>Rotas!AB70/(365*24)</f>
        <v>199.04212328767125</v>
      </c>
      <c r="I204" s="38">
        <v>-20.251718</v>
      </c>
      <c r="J204" s="38">
        <v>-40.242615999999998</v>
      </c>
      <c r="K204" s="91"/>
      <c r="L204" s="39">
        <f>'FE-Transferências'!$A$4*0.0016*((($B$2/2.2)^1.3)/(E204/2)^1.4)</f>
        <v>1.6311904241925811E-4</v>
      </c>
      <c r="M204" s="39">
        <f>'FE-Transferências'!$C$4*0.0016*((($B$2/2.2)^1.3)/(E204/2)^1.4)</f>
        <v>7.7150898441541004E-5</v>
      </c>
      <c r="N204" s="39">
        <f>'FE-Transferências'!$E$4*0.0016*((($B$2/2.2)^1.3)/(E204/2)^1.4)</f>
        <v>1.1682850335433353E-5</v>
      </c>
      <c r="O204" s="40">
        <f t="shared" ref="O204" si="69">(H204*L204)*(1-G204/100)</f>
        <v>3.246756055178085E-2</v>
      </c>
      <c r="P204" s="40">
        <f t="shared" ref="P204" si="70">(H204*M204)*(1-G204/100)</f>
        <v>1.5356278639355807E-2</v>
      </c>
      <c r="Q204" s="40">
        <f t="shared" ref="Q204" si="71">(H204*N204)*(1-G204/100)</f>
        <v>2.3253793368167366E-3</v>
      </c>
    </row>
    <row r="205" spans="1:17" s="35" customFormat="1" ht="15" customHeight="1" x14ac:dyDescent="0.25">
      <c r="A205" s="238"/>
      <c r="B205" s="238"/>
      <c r="C205" s="35" t="s">
        <v>423</v>
      </c>
      <c r="D205" s="55" t="s">
        <v>150</v>
      </c>
      <c r="E205" s="55">
        <v>15</v>
      </c>
      <c r="F205" s="55" t="s">
        <v>191</v>
      </c>
      <c r="G205" s="55">
        <v>0</v>
      </c>
      <c r="H205" s="37">
        <f>Rotas!AB70/(365*24)</f>
        <v>199.04212328767125</v>
      </c>
      <c r="I205" s="38">
        <v>-20.251487999999998</v>
      </c>
      <c r="J205" s="38">
        <v>-40.240555000000001</v>
      </c>
      <c r="K205" s="91"/>
      <c r="L205" s="39">
        <f>'FE-Transferências'!$A$4*0.0016*((($B$2/2.2)^1.3)/(E205/2)^1.4)</f>
        <v>1.6311904241925811E-4</v>
      </c>
      <c r="M205" s="39">
        <f>'FE-Transferências'!$C$4*0.0016*((($B$2/2.2)^1.3)/(E205/2)^1.4)</f>
        <v>7.7150898441541004E-5</v>
      </c>
      <c r="N205" s="39">
        <f>'FE-Transferências'!$E$4*0.0016*((($B$2/2.2)^1.3)/(E205/2)^1.4)</f>
        <v>1.1682850335433353E-5</v>
      </c>
      <c r="O205" s="40">
        <f t="shared" si="66"/>
        <v>3.246756055178085E-2</v>
      </c>
      <c r="P205" s="40">
        <f t="shared" si="67"/>
        <v>1.5356278639355807E-2</v>
      </c>
      <c r="Q205" s="40">
        <f t="shared" si="68"/>
        <v>2.3253793368167366E-3</v>
      </c>
    </row>
    <row r="206" spans="1:17" s="35" customFormat="1" ht="15" customHeight="1" x14ac:dyDescent="0.25">
      <c r="A206" s="238" t="s">
        <v>469</v>
      </c>
      <c r="B206" s="238" t="s">
        <v>451</v>
      </c>
      <c r="C206" s="35" t="s">
        <v>412</v>
      </c>
      <c r="D206" s="55" t="s">
        <v>98</v>
      </c>
      <c r="E206" s="41" t="s">
        <v>191</v>
      </c>
      <c r="F206" s="55" t="s">
        <v>191</v>
      </c>
      <c r="G206" s="55">
        <v>0</v>
      </c>
      <c r="H206" s="37">
        <f>Rotas!AA80/(365*24)</f>
        <v>8.7817351598173516</v>
      </c>
      <c r="I206" s="38">
        <v>-20.25273</v>
      </c>
      <c r="J206" s="38">
        <v>-40.240783999999998</v>
      </c>
      <c r="K206" s="55">
        <v>2</v>
      </c>
      <c r="L206" s="39">
        <f>'FE-Sucata'!E7</f>
        <v>0.1</v>
      </c>
      <c r="M206" s="39">
        <f>'FE-Sucata'!D18/1000</f>
        <v>2.2000000000000001E-3</v>
      </c>
      <c r="N206" s="39">
        <f>'FE-Sucata'!F18/1000</f>
        <v>8.0000000000000004E-4</v>
      </c>
      <c r="O206" s="40">
        <f>(H206*L206)*(1-G206/100)</f>
        <v>0.87817351598173521</v>
      </c>
      <c r="P206" s="40">
        <f>(H206*M206)*(1-G206/100)</f>
        <v>1.9319817351598174E-2</v>
      </c>
      <c r="Q206" s="40">
        <f>(H206*N206)*(1-G206/100)</f>
        <v>7.0253881278538816E-3</v>
      </c>
    </row>
    <row r="207" spans="1:17" s="35" customFormat="1" ht="15" customHeight="1" x14ac:dyDescent="0.25">
      <c r="A207" s="238"/>
      <c r="B207" s="238"/>
      <c r="C207" s="35" t="s">
        <v>472</v>
      </c>
      <c r="D207" s="55" t="s">
        <v>98</v>
      </c>
      <c r="E207" s="41" t="s">
        <v>191</v>
      </c>
      <c r="F207" s="55" t="s">
        <v>191</v>
      </c>
      <c r="G207" s="55">
        <v>0</v>
      </c>
      <c r="H207" s="37">
        <f>Rotas!AA80/(365*24)</f>
        <v>8.7817351598173516</v>
      </c>
      <c r="I207" s="38">
        <v>-20.247910000000001</v>
      </c>
      <c r="J207" s="38">
        <v>-40.243523000000003</v>
      </c>
      <c r="K207" s="55">
        <v>2</v>
      </c>
      <c r="L207" s="39">
        <f>'FE-Sucata'!E7</f>
        <v>0.1</v>
      </c>
      <c r="M207" s="39">
        <f>'FE-Sucata'!D18/1000</f>
        <v>2.2000000000000001E-3</v>
      </c>
      <c r="N207" s="39">
        <f>'FE-Sucata'!F18/1000</f>
        <v>8.0000000000000004E-4</v>
      </c>
      <c r="O207" s="40">
        <f>(H207*L207)*(1-G207/100)</f>
        <v>0.87817351598173521</v>
      </c>
      <c r="P207" s="40">
        <f>(H207*M207)*(1-G207/100)</f>
        <v>1.9319817351598174E-2</v>
      </c>
      <c r="Q207" s="40">
        <f>(H207*N207)*(1-G207/100)</f>
        <v>7.0253881278538816E-3</v>
      </c>
    </row>
    <row r="208" spans="1:17" s="35" customFormat="1" ht="15" customHeight="1" x14ac:dyDescent="0.25">
      <c r="A208" s="238" t="s">
        <v>469</v>
      </c>
      <c r="B208" s="274" t="s">
        <v>480</v>
      </c>
      <c r="C208" s="35" t="s">
        <v>412</v>
      </c>
      <c r="D208" s="55" t="s">
        <v>482</v>
      </c>
      <c r="E208" s="55">
        <v>15</v>
      </c>
      <c r="F208" s="55" t="s">
        <v>191</v>
      </c>
      <c r="G208" s="55">
        <v>0</v>
      </c>
      <c r="H208" s="37">
        <f>Rotas!I79/(365*24)</f>
        <v>1.9876198630136985</v>
      </c>
      <c r="I208" s="38">
        <v>-20.252533</v>
      </c>
      <c r="J208" s="38">
        <v>-40.240757000000002</v>
      </c>
      <c r="K208" s="55">
        <v>2</v>
      </c>
      <c r="L208" s="39">
        <f>'FE-Transferências'!$A$4*0.0016*((($B$2/2.2)^1.3)/(E208/2)^1.4)</f>
        <v>1.6311904241925811E-4</v>
      </c>
      <c r="M208" s="39">
        <f>'FE-Transferências'!$C$4*0.0016*((($B$2/2.2)^1.3)/(E208/2)^1.4)</f>
        <v>7.7150898441541004E-5</v>
      </c>
      <c r="N208" s="39">
        <f>'FE-Transferências'!$E$4*0.0016*((($B$2/2.2)^1.3)/(E208/2)^1.4)</f>
        <v>1.1682850335433353E-5</v>
      </c>
      <c r="O208" s="40">
        <f t="shared" ref="O208:O209" si="72">(H208*L208)*(1-G208/100)</f>
        <v>3.242186487482915E-4</v>
      </c>
      <c r="P208" s="40">
        <f t="shared" ref="P208:P209" si="73">(H208*M208)*(1-G208/100)</f>
        <v>1.5334665819175951E-4</v>
      </c>
      <c r="Q208" s="133">
        <f t="shared" ref="Q208:Q209" si="74">(H208*N208)*(1-G208/100)</f>
        <v>2.3221065383323582E-5</v>
      </c>
    </row>
    <row r="209" spans="1:17" s="35" customFormat="1" ht="15" customHeight="1" x14ac:dyDescent="0.25">
      <c r="A209" s="238"/>
      <c r="B209" s="274"/>
      <c r="C209" s="35" t="s">
        <v>481</v>
      </c>
      <c r="D209" s="55" t="s">
        <v>482</v>
      </c>
      <c r="E209" s="55">
        <v>15</v>
      </c>
      <c r="F209" s="55" t="s">
        <v>191</v>
      </c>
      <c r="G209" s="55">
        <v>0</v>
      </c>
      <c r="H209" s="37">
        <f>Rotas!I79/(365*24)</f>
        <v>1.9876198630136985</v>
      </c>
      <c r="I209" s="38">
        <v>-20.230267999999999</v>
      </c>
      <c r="J209" s="38">
        <v>-40.247883000000002</v>
      </c>
      <c r="K209" s="55">
        <v>2</v>
      </c>
      <c r="L209" s="39">
        <f>'FE-Transferências'!$A$4*0.0016*((($B$2/2.2)^1.3)/(E209/2)^1.4)</f>
        <v>1.6311904241925811E-4</v>
      </c>
      <c r="M209" s="39">
        <f>'FE-Transferências'!$C$4*0.0016*((($B$2/2.2)^1.3)/(E209/2)^1.4)</f>
        <v>7.7150898441541004E-5</v>
      </c>
      <c r="N209" s="39">
        <f>'FE-Transferências'!$E$4*0.0016*((($B$2/2.2)^1.3)/(E209/2)^1.4)</f>
        <v>1.1682850335433353E-5</v>
      </c>
      <c r="O209" s="40">
        <f t="shared" si="72"/>
        <v>3.242186487482915E-4</v>
      </c>
      <c r="P209" s="40">
        <f t="shared" si="73"/>
        <v>1.5334665819175951E-4</v>
      </c>
      <c r="Q209" s="133">
        <f t="shared" si="74"/>
        <v>2.3221065383323582E-5</v>
      </c>
    </row>
    <row r="210" spans="1:17" s="35" customFormat="1" ht="15" customHeight="1" x14ac:dyDescent="0.25">
      <c r="A210" s="238" t="s">
        <v>469</v>
      </c>
      <c r="B210" s="274" t="s">
        <v>605</v>
      </c>
      <c r="C210" s="35" t="s">
        <v>412</v>
      </c>
      <c r="D210" s="55" t="s">
        <v>87</v>
      </c>
      <c r="E210" s="41">
        <v>7.1</v>
      </c>
      <c r="F210" s="55" t="s">
        <v>191</v>
      </c>
      <c r="G210" s="55">
        <v>0</v>
      </c>
      <c r="H210" s="37">
        <f>Rotas!U81/(365*24)</f>
        <v>4.3154109589041099</v>
      </c>
      <c r="I210" s="38">
        <v>-20.252262999999999</v>
      </c>
      <c r="J210" s="38">
        <v>-40.242590999999997</v>
      </c>
      <c r="K210" s="55">
        <v>2</v>
      </c>
      <c r="L210" s="39">
        <f>'FE-Transferências'!$A$4*0.0016*((($B$2/2.2)^1.3)/(E210/2)^1.4)</f>
        <v>4.6480494279383229E-4</v>
      </c>
      <c r="M210" s="39">
        <f>'FE-Transferências'!$C$4*0.0016*((($B$2/2.2)^1.3)/(E210/2)^1.4)</f>
        <v>2.1984017564573148E-4</v>
      </c>
      <c r="N210" s="39">
        <f>'FE-Transferências'!$E$4*0.0016*((($B$2/2.2)^1.3)/(E210/2)^1.4)</f>
        <v>3.3290083740639343E-5</v>
      </c>
      <c r="O210" s="40">
        <f t="shared" ref="O210:O211" si="75">(H210*L210)*(1-G210/100)</f>
        <v>2.0058243438853015E-3</v>
      </c>
      <c r="P210" s="40">
        <f t="shared" ref="P210:P211" si="76">(H210*M210)*(1-G210/100)</f>
        <v>9.4870070318899403E-4</v>
      </c>
      <c r="Q210" s="133">
        <f t="shared" ref="Q210:Q211" si="77">(H210*N210)*(1-G210/100)</f>
        <v>1.4366039219719054E-4</v>
      </c>
    </row>
    <row r="211" spans="1:17" s="35" customFormat="1" ht="15" customHeight="1" x14ac:dyDescent="0.25">
      <c r="A211" s="238"/>
      <c r="B211" s="274"/>
      <c r="C211" s="35" t="s">
        <v>487</v>
      </c>
      <c r="D211" s="55" t="s">
        <v>87</v>
      </c>
      <c r="E211" s="41">
        <v>7.1</v>
      </c>
      <c r="F211" s="55" t="s">
        <v>191</v>
      </c>
      <c r="G211" s="55">
        <v>0</v>
      </c>
      <c r="H211" s="37">
        <f>Rotas!U81/(365*24)</f>
        <v>4.3154109589041099</v>
      </c>
      <c r="I211" s="38">
        <v>-20.245315000000002</v>
      </c>
      <c r="J211" s="38">
        <v>-40.224812</v>
      </c>
      <c r="K211" s="55">
        <v>2</v>
      </c>
      <c r="L211" s="39">
        <f>'FE-Transferências'!$A$4*0.0016*((($B$2/2.2)^1.3)/(E211/2)^1.4)</f>
        <v>4.6480494279383229E-4</v>
      </c>
      <c r="M211" s="39">
        <f>'FE-Transferências'!$C$4*0.0016*((($B$2/2.2)^1.3)/(E211/2)^1.4)</f>
        <v>2.1984017564573148E-4</v>
      </c>
      <c r="N211" s="39">
        <f>'FE-Transferências'!$E$4*0.0016*((($B$2/2.2)^1.3)/(E211/2)^1.4)</f>
        <v>3.3290083740639343E-5</v>
      </c>
      <c r="O211" s="40">
        <f t="shared" si="75"/>
        <v>2.0058243438853015E-3</v>
      </c>
      <c r="P211" s="40">
        <f t="shared" si="76"/>
        <v>9.4870070318899403E-4</v>
      </c>
      <c r="Q211" s="133">
        <f t="shared" si="77"/>
        <v>1.4366039219719054E-4</v>
      </c>
    </row>
    <row r="212" spans="1:17" s="35" customFormat="1" ht="15" customHeight="1" x14ac:dyDescent="0.25">
      <c r="A212" s="238" t="s">
        <v>399</v>
      </c>
      <c r="B212" s="238" t="s">
        <v>11</v>
      </c>
      <c r="C212" s="35" t="s">
        <v>402</v>
      </c>
      <c r="D212" s="55" t="s">
        <v>73</v>
      </c>
      <c r="E212" s="41">
        <v>0.46</v>
      </c>
      <c r="F212" s="55" t="s">
        <v>276</v>
      </c>
      <c r="G212" s="55">
        <v>75</v>
      </c>
      <c r="H212" s="37">
        <f>Rotas!I48/(365*24)</f>
        <v>10.317079908675799</v>
      </c>
      <c r="I212" s="38">
        <v>-20.253261999999999</v>
      </c>
      <c r="J212" s="38">
        <v>-40.233866999999996</v>
      </c>
      <c r="K212" s="55">
        <v>2</v>
      </c>
      <c r="L212" s="39">
        <f>'FE-Transferências'!$A$4*0.0016*((($B$2/2.2)^1.3)/(E212/2)^1.4)</f>
        <v>2.1437367919160014E-2</v>
      </c>
      <c r="M212" s="39">
        <f>'FE-Transferências'!$C$4*0.0016*((($B$2/2.2)^1.3)/(E212/2)^1.4)</f>
        <v>1.0139295637440548E-2</v>
      </c>
      <c r="N212" s="39">
        <f>'FE-Transferências'!$E$4*0.0016*((($B$2/2.2)^1.3)/(E212/2)^1.4)</f>
        <v>1.5353790536695687E-3</v>
      </c>
      <c r="O212" s="40">
        <f t="shared" ref="O212" si="78">(H212*L212)*(1-G212/100)</f>
        <v>5.5292759463414227E-2</v>
      </c>
      <c r="P212" s="40">
        <f t="shared" ref="P212" si="79">(H212*M212)*(1-G212/100)</f>
        <v>2.6151980827290516E-2</v>
      </c>
      <c r="Q212" s="40">
        <f t="shared" ref="Q212" si="80">(H212*N212)*(1-G212/100)</f>
        <v>3.9601570967039918E-3</v>
      </c>
    </row>
    <row r="213" spans="1:17" s="35" customFormat="1" ht="15" customHeight="1" x14ac:dyDescent="0.25">
      <c r="A213" s="238"/>
      <c r="B213" s="238"/>
      <c r="C213" s="102" t="s">
        <v>401</v>
      </c>
      <c r="D213" s="103"/>
      <c r="E213" s="108"/>
      <c r="F213" s="103"/>
      <c r="G213" s="103"/>
      <c r="H213" s="105"/>
      <c r="I213" s="109">
        <v>-20.253513000000002</v>
      </c>
      <c r="J213" s="109">
        <v>-40.234411000000001</v>
      </c>
      <c r="K213" s="103"/>
      <c r="L213" s="106"/>
      <c r="M213" s="106"/>
      <c r="N213" s="106"/>
      <c r="O213" s="107"/>
      <c r="P213" s="107"/>
      <c r="Q213" s="107"/>
    </row>
    <row r="214" spans="1:17" s="35" customFormat="1" ht="15" customHeight="1" x14ac:dyDescent="0.25">
      <c r="A214" s="238" t="s">
        <v>399</v>
      </c>
      <c r="B214" s="238" t="s">
        <v>2</v>
      </c>
      <c r="C214" s="35" t="s">
        <v>408</v>
      </c>
      <c r="D214" s="55" t="s">
        <v>73</v>
      </c>
      <c r="E214" s="41">
        <v>0.46</v>
      </c>
      <c r="F214" s="55" t="s">
        <v>276</v>
      </c>
      <c r="G214" s="55">
        <v>75</v>
      </c>
      <c r="H214" s="37">
        <f>(Rotas!C46+Rotas!C48)/(365*24)</f>
        <v>42.706849315068496</v>
      </c>
      <c r="I214" s="38">
        <v>-20.243984999999999</v>
      </c>
      <c r="J214" s="38">
        <v>-40.237299</v>
      </c>
      <c r="K214" s="91"/>
      <c r="L214" s="39">
        <f>'FE-Transferências'!$A$4*0.0016*((($B$2/2.2)^1.3)/(E214/2)^1.4)</f>
        <v>2.1437367919160014E-2</v>
      </c>
      <c r="M214" s="39">
        <f>'FE-Transferências'!$C$4*0.0016*((($B$2/2.2)^1.3)/(E214/2)^1.4)</f>
        <v>1.0139295637440548E-2</v>
      </c>
      <c r="N214" s="39">
        <f>'FE-Transferências'!$E$4*0.0016*((($B$2/2.2)^1.3)/(E214/2)^1.4)</f>
        <v>1.5353790536695687E-3</v>
      </c>
      <c r="O214" s="40">
        <f t="shared" si="48"/>
        <v>0.22888061035881255</v>
      </c>
      <c r="P214" s="40">
        <f t="shared" si="49"/>
        <v>0.10825434273727622</v>
      </c>
      <c r="Q214" s="40">
        <f t="shared" si="50"/>
        <v>1.6392800471644684E-2</v>
      </c>
    </row>
    <row r="215" spans="1:17" s="35" customFormat="1" ht="15" customHeight="1" x14ac:dyDescent="0.25">
      <c r="A215" s="238"/>
      <c r="B215" s="238"/>
      <c r="C215" s="35" t="s">
        <v>409</v>
      </c>
      <c r="D215" s="55" t="s">
        <v>73</v>
      </c>
      <c r="E215" s="41">
        <v>0.46</v>
      </c>
      <c r="F215" s="55" t="s">
        <v>276</v>
      </c>
      <c r="G215" s="55">
        <v>75</v>
      </c>
      <c r="H215" s="37">
        <f>(Rotas!C46+Rotas!C48)/(365*24)</f>
        <v>42.706849315068496</v>
      </c>
      <c r="I215" s="38">
        <v>-20.242619000000001</v>
      </c>
      <c r="J215" s="38">
        <v>-40.237642000000001</v>
      </c>
      <c r="K215" s="91"/>
      <c r="L215" s="39">
        <f>'FE-Transferências'!$A$4*0.0016*((($B$2/2.2)^1.3)/(E215/2)^1.4)</f>
        <v>2.1437367919160014E-2</v>
      </c>
      <c r="M215" s="39">
        <f>'FE-Transferências'!$C$4*0.0016*((($B$2/2.2)^1.3)/(E215/2)^1.4)</f>
        <v>1.0139295637440548E-2</v>
      </c>
      <c r="N215" s="39">
        <f>'FE-Transferências'!$E$4*0.0016*((($B$2/2.2)^1.3)/(E215/2)^1.4)</f>
        <v>1.5353790536695687E-3</v>
      </c>
      <c r="O215" s="40">
        <f t="shared" ref="O215:O233" si="81">(H215*L215)*(1-G215/100)</f>
        <v>0.22888061035881255</v>
      </c>
      <c r="P215" s="40">
        <f t="shared" ref="P215:P233" si="82">(H215*M215)*(1-G215/100)</f>
        <v>0.10825434273727622</v>
      </c>
      <c r="Q215" s="40">
        <f t="shared" ref="Q215:Q233" si="83">(H215*N215)*(1-G215/100)</f>
        <v>1.6392800471644684E-2</v>
      </c>
    </row>
    <row r="216" spans="1:17" s="35" customFormat="1" ht="15" customHeight="1" x14ac:dyDescent="0.25">
      <c r="A216" s="238"/>
      <c r="B216" s="238"/>
      <c r="C216" s="35" t="s">
        <v>410</v>
      </c>
      <c r="D216" s="55" t="s">
        <v>73</v>
      </c>
      <c r="E216" s="41">
        <v>0.46</v>
      </c>
      <c r="F216" s="55" t="s">
        <v>276</v>
      </c>
      <c r="G216" s="55">
        <v>75</v>
      </c>
      <c r="H216" s="37">
        <f>(Rotas!C46+Rotas!C48)/(365*24)</f>
        <v>42.706849315068496</v>
      </c>
      <c r="I216" s="38">
        <v>-20.242826000000001</v>
      </c>
      <c r="J216" s="38">
        <v>-40.237738999999998</v>
      </c>
      <c r="K216" s="55">
        <v>2</v>
      </c>
      <c r="L216" s="39">
        <f>'FE-Transferências'!$A$4*0.0016*((($B$2/2.2)^1.3)/(E216/2)^1.4)</f>
        <v>2.1437367919160014E-2</v>
      </c>
      <c r="M216" s="39">
        <f>'FE-Transferências'!$C$4*0.0016*((($B$2/2.2)^1.3)/(E216/2)^1.4)</f>
        <v>1.0139295637440548E-2</v>
      </c>
      <c r="N216" s="39">
        <f>'FE-Transferências'!$E$4*0.0016*((($B$2/2.2)^1.3)/(E216/2)^1.4)</f>
        <v>1.5353790536695687E-3</v>
      </c>
      <c r="O216" s="40">
        <f t="shared" si="81"/>
        <v>0.22888061035881255</v>
      </c>
      <c r="P216" s="40">
        <f t="shared" si="82"/>
        <v>0.10825434273727622</v>
      </c>
      <c r="Q216" s="40">
        <f t="shared" si="83"/>
        <v>1.6392800471644684E-2</v>
      </c>
    </row>
    <row r="217" spans="1:17" s="35" customFormat="1" ht="15" customHeight="1" x14ac:dyDescent="0.25">
      <c r="A217" s="238" t="s">
        <v>357</v>
      </c>
      <c r="B217" s="238" t="s">
        <v>2</v>
      </c>
      <c r="C217" s="35" t="s">
        <v>417</v>
      </c>
      <c r="D217" s="55" t="s">
        <v>35</v>
      </c>
      <c r="E217" s="41">
        <v>1</v>
      </c>
      <c r="F217" s="55" t="s">
        <v>191</v>
      </c>
      <c r="G217" s="55">
        <v>0</v>
      </c>
      <c r="H217" s="37">
        <f>Rotas!E47/(365*24)</f>
        <v>10.472906392694064</v>
      </c>
      <c r="I217" s="38">
        <v>-20.257579</v>
      </c>
      <c r="J217" s="38">
        <v>-40.242958999999999</v>
      </c>
      <c r="K217" s="55">
        <v>2</v>
      </c>
      <c r="L217" s="39">
        <f>'FE-Transferências'!$A$4*0.0016*((($B$2/2.2)^1.3)/(E217/2)^1.4)</f>
        <v>7.2282377015546288E-3</v>
      </c>
      <c r="M217" s="39">
        <f>'FE-Transferências'!$C$4*0.0016*((($B$2/2.2)^1.3)/(E217/2)^1.4)</f>
        <v>3.4187610750596215E-3</v>
      </c>
      <c r="N217" s="39">
        <f>'FE-Transferências'!$E$4*0.0016*((($B$2/2.2)^1.3)/(E217/2)^1.4)</f>
        <v>5.176981056518856E-4</v>
      </c>
      <c r="O217" s="40">
        <f t="shared" si="81"/>
        <v>7.5700656832523722E-2</v>
      </c>
      <c r="P217" s="40">
        <f t="shared" si="82"/>
        <v>3.5804364718085541E-2</v>
      </c>
      <c r="Q217" s="40">
        <f t="shared" si="83"/>
        <v>5.42180380016724E-3</v>
      </c>
    </row>
    <row r="218" spans="1:17" s="35" customFormat="1" ht="15" customHeight="1" x14ac:dyDescent="0.25">
      <c r="A218" s="238"/>
      <c r="B218" s="238"/>
      <c r="C218" s="35" t="s">
        <v>424</v>
      </c>
      <c r="D218" s="55" t="s">
        <v>35</v>
      </c>
      <c r="E218" s="41">
        <v>1</v>
      </c>
      <c r="F218" s="55" t="s">
        <v>191</v>
      </c>
      <c r="G218" s="55">
        <v>0</v>
      </c>
      <c r="H218" s="37">
        <f>Rotas!E47/(365*24)</f>
        <v>10.472906392694064</v>
      </c>
      <c r="I218" s="38">
        <v>-20.241968</v>
      </c>
      <c r="J218" s="38">
        <v>-40.237425999999999</v>
      </c>
      <c r="K218" s="55">
        <v>2</v>
      </c>
      <c r="L218" s="39">
        <f>'FE-Transferências'!$A$4*0.0016*((($B$2/2.2)^1.3)/(E218/2)^1.4)</f>
        <v>7.2282377015546288E-3</v>
      </c>
      <c r="M218" s="39">
        <f>'FE-Transferências'!$C$4*0.0016*((($B$2/2.2)^1.3)/(E218/2)^1.4)</f>
        <v>3.4187610750596215E-3</v>
      </c>
      <c r="N218" s="39">
        <f>'FE-Transferências'!$E$4*0.0016*((($B$2/2.2)^1.3)/(E218/2)^1.4)</f>
        <v>5.176981056518856E-4</v>
      </c>
      <c r="O218" s="40">
        <f t="shared" si="81"/>
        <v>7.5700656832523722E-2</v>
      </c>
      <c r="P218" s="40">
        <f t="shared" si="82"/>
        <v>3.5804364718085541E-2</v>
      </c>
      <c r="Q218" s="40">
        <f t="shared" si="83"/>
        <v>5.42180380016724E-3</v>
      </c>
    </row>
    <row r="219" spans="1:17" s="35" customFormat="1" ht="15" customHeight="1" x14ac:dyDescent="0.25">
      <c r="A219" s="238"/>
      <c r="B219" s="238"/>
      <c r="C219" s="35" t="s">
        <v>418</v>
      </c>
      <c r="D219" s="55" t="s">
        <v>35</v>
      </c>
      <c r="E219" s="41">
        <v>1</v>
      </c>
      <c r="F219" s="55" t="s">
        <v>191</v>
      </c>
      <c r="G219" s="55">
        <v>0</v>
      </c>
      <c r="H219" s="37">
        <f>Rotas!E47/(365*24)</f>
        <v>10.472906392694064</v>
      </c>
      <c r="I219" s="38">
        <v>-20.241880999999999</v>
      </c>
      <c r="J219" s="38">
        <v>-40.237499</v>
      </c>
      <c r="K219" s="55">
        <v>2</v>
      </c>
      <c r="L219" s="39">
        <f>'FE-Transferências'!$A$4*0.0016*((($B$2/2.2)^1.3)/(E219/2)^1.4)</f>
        <v>7.2282377015546288E-3</v>
      </c>
      <c r="M219" s="39">
        <f>'FE-Transferências'!$C$4*0.0016*((($B$2/2.2)^1.3)/(E219/2)^1.4)</f>
        <v>3.4187610750596215E-3</v>
      </c>
      <c r="N219" s="39">
        <f>'FE-Transferências'!$E$4*0.0016*((($B$2/2.2)^1.3)/(E219/2)^1.4)</f>
        <v>5.176981056518856E-4</v>
      </c>
      <c r="O219" s="40">
        <f t="shared" si="81"/>
        <v>7.5700656832523722E-2</v>
      </c>
      <c r="P219" s="40">
        <f t="shared" si="82"/>
        <v>3.5804364718085541E-2</v>
      </c>
      <c r="Q219" s="40">
        <f t="shared" si="83"/>
        <v>5.42180380016724E-3</v>
      </c>
    </row>
    <row r="220" spans="1:17" s="35" customFormat="1" ht="15" customHeight="1" x14ac:dyDescent="0.25">
      <c r="A220" s="238"/>
      <c r="B220" s="238"/>
      <c r="C220" s="35" t="s">
        <v>353</v>
      </c>
      <c r="D220" s="55" t="s">
        <v>35</v>
      </c>
      <c r="E220" s="41">
        <v>1</v>
      </c>
      <c r="F220" s="55" t="s">
        <v>276</v>
      </c>
      <c r="G220" s="55">
        <v>70</v>
      </c>
      <c r="H220" s="37">
        <f>Rotas!E47/(365*24)</f>
        <v>10.472906392694064</v>
      </c>
      <c r="I220" s="38">
        <v>-20.241795</v>
      </c>
      <c r="J220" s="38">
        <v>-40.237887999999998</v>
      </c>
      <c r="K220" s="55">
        <v>2</v>
      </c>
      <c r="L220" s="39">
        <f>'FE-Transferências'!$A$4*0.0016*((($B$2/2.2)^1.3)/(E220/2)^1.4)</f>
        <v>7.2282377015546288E-3</v>
      </c>
      <c r="M220" s="39">
        <f>'FE-Transferências'!$C$4*0.0016*((($B$2/2.2)^1.3)/(E220/2)^1.4)</f>
        <v>3.4187610750596215E-3</v>
      </c>
      <c r="N220" s="39">
        <f>'FE-Transferências'!$E$4*0.0016*((($B$2/2.2)^1.3)/(E220/2)^1.4)</f>
        <v>5.176981056518856E-4</v>
      </c>
      <c r="O220" s="40">
        <f t="shared" si="81"/>
        <v>2.271019704975712E-2</v>
      </c>
      <c r="P220" s="40">
        <f t="shared" si="82"/>
        <v>1.0741309415425664E-2</v>
      </c>
      <c r="Q220" s="40">
        <f t="shared" si="83"/>
        <v>1.6265411400501722E-3</v>
      </c>
    </row>
    <row r="221" spans="1:17" s="165" customFormat="1" ht="15" customHeight="1" x14ac:dyDescent="0.25">
      <c r="A221" s="238" t="s">
        <v>357</v>
      </c>
      <c r="B221" s="238" t="s">
        <v>399</v>
      </c>
      <c r="C221" s="165" t="s">
        <v>417</v>
      </c>
      <c r="D221" s="55" t="s">
        <v>35</v>
      </c>
      <c r="E221" s="41">
        <v>1</v>
      </c>
      <c r="F221" s="55" t="s">
        <v>191</v>
      </c>
      <c r="G221" s="55">
        <v>0</v>
      </c>
      <c r="H221" s="37">
        <f>Rotas!C14/(365*24)</f>
        <v>54.544520547945204</v>
      </c>
      <c r="I221" s="38">
        <v>-20.257579</v>
      </c>
      <c r="J221" s="38">
        <v>-40.242958999999999</v>
      </c>
      <c r="K221" s="55">
        <v>2</v>
      </c>
      <c r="L221" s="39">
        <f>'FE-Transferências'!$A$4*0.0016*((($B$2/2.2)^1.3)/(E221/2)^1.4)</f>
        <v>7.2282377015546288E-3</v>
      </c>
      <c r="M221" s="39">
        <f>'FE-Transferências'!$C$4*0.0016*((($B$2/2.2)^1.3)/(E221/2)^1.4)</f>
        <v>3.4187610750596215E-3</v>
      </c>
      <c r="N221" s="39">
        <f>'FE-Transferências'!$E$4*0.0016*((($B$2/2.2)^1.3)/(E221/2)^1.4)</f>
        <v>5.176981056518856E-4</v>
      </c>
      <c r="O221" s="40">
        <f t="shared" ref="O221:O223" si="84">(H221*L221)*(1-G221/100)</f>
        <v>0.39426075983787867</v>
      </c>
      <c r="P221" s="40">
        <f t="shared" ref="P221:P223" si="85">(H221*M221)*(1-G221/100)</f>
        <v>0.18647468370710477</v>
      </c>
      <c r="Q221" s="40">
        <f t="shared" ref="Q221:Q223" si="86">(H221*N221)*(1-G221/100)</f>
        <v>2.8237594961361582E-2</v>
      </c>
    </row>
    <row r="222" spans="1:17" s="165" customFormat="1" ht="15" customHeight="1" x14ac:dyDescent="0.25">
      <c r="A222" s="238"/>
      <c r="B222" s="238"/>
      <c r="C222" s="165" t="s">
        <v>611</v>
      </c>
      <c r="D222" s="55" t="s">
        <v>35</v>
      </c>
      <c r="E222" s="41">
        <v>1</v>
      </c>
      <c r="F222" s="55" t="s">
        <v>191</v>
      </c>
      <c r="G222" s="55">
        <v>0</v>
      </c>
      <c r="H222" s="37">
        <f>Rotas!C14/(365*24)</f>
        <v>54.544520547945204</v>
      </c>
      <c r="I222" s="38"/>
      <c r="J222" s="38"/>
      <c r="K222" s="55">
        <v>2</v>
      </c>
      <c r="L222" s="39">
        <f>'FE-Transferências'!$A$4*0.0016*((($B$2/2.2)^1.3)/(E222/2)^1.4)</f>
        <v>7.2282377015546288E-3</v>
      </c>
      <c r="M222" s="39">
        <f>'FE-Transferências'!$C$4*0.0016*((($B$2/2.2)^1.3)/(E222/2)^1.4)</f>
        <v>3.4187610750596215E-3</v>
      </c>
      <c r="N222" s="39">
        <f>'FE-Transferências'!$E$4*0.0016*((($B$2/2.2)^1.3)/(E222/2)^1.4)</f>
        <v>5.176981056518856E-4</v>
      </c>
      <c r="O222" s="40">
        <f t="shared" si="84"/>
        <v>0.39426075983787867</v>
      </c>
      <c r="P222" s="40">
        <f t="shared" si="85"/>
        <v>0.18647468370710477</v>
      </c>
      <c r="Q222" s="40">
        <f t="shared" si="86"/>
        <v>2.8237594961361582E-2</v>
      </c>
    </row>
    <row r="223" spans="1:17" s="35" customFormat="1" ht="15" customHeight="1" x14ac:dyDescent="0.25">
      <c r="A223" s="238" t="s">
        <v>411</v>
      </c>
      <c r="B223" s="238" t="s">
        <v>2</v>
      </c>
      <c r="C223" s="35" t="s">
        <v>413</v>
      </c>
      <c r="D223" s="55" t="s">
        <v>62</v>
      </c>
      <c r="E223" s="41">
        <f>Dados!C52</f>
        <v>11.754999999999999</v>
      </c>
      <c r="F223" s="55" t="s">
        <v>191</v>
      </c>
      <c r="G223" s="55">
        <v>0</v>
      </c>
      <c r="H223" s="37">
        <f>Rotas!I52/(365*24)</f>
        <v>2.5717602739726027</v>
      </c>
      <c r="I223" s="38">
        <v>-20.252144999999999</v>
      </c>
      <c r="J223" s="38">
        <v>-40.233347000000002</v>
      </c>
      <c r="K223" s="55">
        <v>2</v>
      </c>
      <c r="L223" s="39">
        <f>'FE-Transferências'!$A$4*0.0016*((($B$2/2.2)^1.3)/(E223/2)^1.4)</f>
        <v>2.2946726487034963E-4</v>
      </c>
      <c r="M223" s="39">
        <f>'FE-Transferências'!$C$4*0.0016*((($B$2/2.2)^1.3)/(E223/2)^1.4)</f>
        <v>1.0853181446570589E-4</v>
      </c>
      <c r="N223" s="39">
        <f>'FE-Transferências'!$E$4*0.0016*((($B$2/2.2)^1.3)/(E223/2)^1.4)</f>
        <v>1.6434817619092607E-5</v>
      </c>
      <c r="O223" s="40">
        <f t="shared" si="84"/>
        <v>5.9013479597071412E-4</v>
      </c>
      <c r="P223" s="40">
        <f t="shared" si="85"/>
        <v>2.7911780890506744E-4</v>
      </c>
      <c r="Q223" s="40">
        <f t="shared" si="86"/>
        <v>4.226641106276736E-5</v>
      </c>
    </row>
    <row r="224" spans="1:17" s="35" customFormat="1" ht="15" customHeight="1" x14ac:dyDescent="0.25">
      <c r="A224" s="238"/>
      <c r="B224" s="238"/>
      <c r="C224" s="35" t="s">
        <v>414</v>
      </c>
      <c r="D224" s="55" t="s">
        <v>62</v>
      </c>
      <c r="E224" s="41">
        <f>Dados!C52</f>
        <v>11.754999999999999</v>
      </c>
      <c r="F224" s="55" t="s">
        <v>191</v>
      </c>
      <c r="G224" s="55">
        <v>0</v>
      </c>
      <c r="H224" s="37">
        <f>Rotas!I52/(365*24)</f>
        <v>2.5717602739726027</v>
      </c>
      <c r="I224" s="38">
        <v>-20.242073000000001</v>
      </c>
      <c r="J224" s="38">
        <v>-40.237338999999999</v>
      </c>
      <c r="K224" s="55">
        <v>2</v>
      </c>
      <c r="L224" s="39">
        <f>'FE-Transferências'!$A$4*0.0016*((($B$2/2.2)^1.3)/(E224/2)^1.4)</f>
        <v>2.2946726487034963E-4</v>
      </c>
      <c r="M224" s="39">
        <f>'FE-Transferências'!$C$4*0.0016*((($B$2/2.2)^1.3)/(E224/2)^1.4)</f>
        <v>1.0853181446570589E-4</v>
      </c>
      <c r="N224" s="39">
        <f>'FE-Transferências'!$E$4*0.0016*((($B$2/2.2)^1.3)/(E224/2)^1.4)</f>
        <v>1.6434817619092607E-5</v>
      </c>
      <c r="O224" s="40">
        <f t="shared" si="81"/>
        <v>5.9013479597071412E-4</v>
      </c>
      <c r="P224" s="40">
        <f t="shared" si="82"/>
        <v>2.7911780890506744E-4</v>
      </c>
      <c r="Q224" s="40">
        <f t="shared" si="83"/>
        <v>4.226641106276736E-5</v>
      </c>
    </row>
    <row r="225" spans="1:17" s="35" customFormat="1" ht="15" customHeight="1" x14ac:dyDescent="0.25">
      <c r="A225" s="238"/>
      <c r="B225" s="238"/>
      <c r="C225" s="35" t="s">
        <v>415</v>
      </c>
      <c r="D225" s="55" t="s">
        <v>62</v>
      </c>
      <c r="E225" s="41">
        <f>Dados!C52</f>
        <v>11.754999999999999</v>
      </c>
      <c r="F225" s="55" t="s">
        <v>191</v>
      </c>
      <c r="G225" s="55">
        <v>0</v>
      </c>
      <c r="H225" s="37">
        <f>Rotas!I52/(365*24)</f>
        <v>2.5717602739726027</v>
      </c>
      <c r="I225" s="38">
        <v>-20.241973999999999</v>
      </c>
      <c r="J225" s="38">
        <v>-40.237307000000001</v>
      </c>
      <c r="K225" s="55">
        <v>2</v>
      </c>
      <c r="L225" s="39">
        <f>'FE-Transferências'!$A$4*0.0016*((($B$2/2.2)^1.3)/(E225/2)^1.4)</f>
        <v>2.2946726487034963E-4</v>
      </c>
      <c r="M225" s="39">
        <f>'FE-Transferências'!$C$4*0.0016*((($B$2/2.2)^1.3)/(E225/2)^1.4)</f>
        <v>1.0853181446570589E-4</v>
      </c>
      <c r="N225" s="39">
        <f>'FE-Transferências'!$E$4*0.0016*((($B$2/2.2)^1.3)/(E225/2)^1.4)</f>
        <v>1.6434817619092607E-5</v>
      </c>
      <c r="O225" s="40">
        <f t="shared" si="81"/>
        <v>5.9013479597071412E-4</v>
      </c>
      <c r="P225" s="40">
        <f t="shared" si="82"/>
        <v>2.7911780890506744E-4</v>
      </c>
      <c r="Q225" s="40">
        <f t="shared" si="83"/>
        <v>4.226641106276736E-5</v>
      </c>
    </row>
    <row r="226" spans="1:17" s="35" customFormat="1" ht="15" customHeight="1" x14ac:dyDescent="0.25">
      <c r="A226" s="238"/>
      <c r="B226" s="238"/>
      <c r="C226" s="35" t="s">
        <v>416</v>
      </c>
      <c r="D226" s="55" t="s">
        <v>62</v>
      </c>
      <c r="E226" s="41">
        <f>Dados!C52</f>
        <v>11.754999999999999</v>
      </c>
      <c r="F226" s="55" t="s">
        <v>276</v>
      </c>
      <c r="G226" s="55">
        <v>70</v>
      </c>
      <c r="H226" s="37">
        <f>Rotas!I52/(365*24)</f>
        <v>2.5717602739726027</v>
      </c>
      <c r="I226" s="38">
        <v>-20.241890999999999</v>
      </c>
      <c r="J226" s="38">
        <v>-40.237887999999998</v>
      </c>
      <c r="K226" s="55">
        <v>2</v>
      </c>
      <c r="L226" s="39">
        <f>'FE-Transferências'!$A$4*0.0016*((($B$2/2.2)^1.3)/(E226/2)^1.4)</f>
        <v>2.2946726487034963E-4</v>
      </c>
      <c r="M226" s="39">
        <f>'FE-Transferências'!$C$4*0.0016*((($B$2/2.2)^1.3)/(E226/2)^1.4)</f>
        <v>1.0853181446570589E-4</v>
      </c>
      <c r="N226" s="39">
        <f>'FE-Transferências'!$E$4*0.0016*((($B$2/2.2)^1.3)/(E226/2)^1.4)</f>
        <v>1.6434817619092607E-5</v>
      </c>
      <c r="O226" s="40">
        <f>(H226*L226)*(1-G226/100)</f>
        <v>1.7704043879121427E-4</v>
      </c>
      <c r="P226" s="40">
        <f t="shared" si="82"/>
        <v>8.3735342671520252E-5</v>
      </c>
      <c r="Q226" s="40">
        <f t="shared" si="83"/>
        <v>1.267992331883021E-5</v>
      </c>
    </row>
    <row r="227" spans="1:17" s="35" customFormat="1" ht="22.5" x14ac:dyDescent="0.25">
      <c r="A227" s="238" t="s">
        <v>358</v>
      </c>
      <c r="B227" s="238" t="s">
        <v>2</v>
      </c>
      <c r="C227" s="35" t="s">
        <v>426</v>
      </c>
      <c r="D227" s="55" t="s">
        <v>34</v>
      </c>
      <c r="E227" s="41">
        <v>5.6</v>
      </c>
      <c r="F227" s="111" t="s">
        <v>386</v>
      </c>
      <c r="G227" s="55">
        <f>(1-(1-0.5)*(1-0.84))*100</f>
        <v>92</v>
      </c>
      <c r="H227" s="37">
        <f>Rotas!F51/(365*24)</f>
        <v>5.8334908675799086</v>
      </c>
      <c r="I227" s="38">
        <v>-20.257334</v>
      </c>
      <c r="J227" s="38">
        <v>-40.234186999999999</v>
      </c>
      <c r="K227" s="55">
        <v>2</v>
      </c>
      <c r="L227" s="39">
        <f>'FE-Transferências'!$A$4*0.0016*((($B$2/2.2)^1.3)/(E227/2)^1.4)</f>
        <v>6.4799131957684914E-4</v>
      </c>
      <c r="M227" s="39">
        <f>'FE-Transferências'!$C$4*0.0016*((($B$2/2.2)^1.3)/(E227/2)^1.4)</f>
        <v>3.0648238088094214E-4</v>
      </c>
      <c r="N227" s="39">
        <f>'FE-Transferências'!$E$4*0.0016*((($B$2/2.2)^1.3)/(E227/2)^1.4)</f>
        <v>4.6410189104828386E-5</v>
      </c>
      <c r="O227" s="40">
        <f t="shared" si="81"/>
        <v>3.0240411560180811E-4</v>
      </c>
      <c r="P227" s="40">
        <f t="shared" si="82"/>
        <v>1.430289735954498E-4</v>
      </c>
      <c r="Q227" s="40">
        <f t="shared" si="83"/>
        <v>2.1658673144453825E-5</v>
      </c>
    </row>
    <row r="228" spans="1:17" s="35" customFormat="1" ht="15" customHeight="1" x14ac:dyDescent="0.25">
      <c r="A228" s="238"/>
      <c r="B228" s="238"/>
      <c r="C228" s="35" t="s">
        <v>427</v>
      </c>
      <c r="D228" s="55" t="s">
        <v>34</v>
      </c>
      <c r="E228" s="41">
        <v>5.6</v>
      </c>
      <c r="F228" s="55" t="s">
        <v>191</v>
      </c>
      <c r="G228" s="55">
        <v>0</v>
      </c>
      <c r="H228" s="37">
        <f>Rotas!F51/(365*24)</f>
        <v>5.8334908675799086</v>
      </c>
      <c r="I228" s="38">
        <v>-20.241284</v>
      </c>
      <c r="J228" s="38">
        <v>-40.237234000000001</v>
      </c>
      <c r="K228" s="55">
        <v>2</v>
      </c>
      <c r="L228" s="39">
        <f>'FE-Transferências'!$A$4*0.0016*((($B$2/2.2)^1.3)/(E228/2)^1.4)</f>
        <v>6.4799131957684914E-4</v>
      </c>
      <c r="M228" s="39">
        <f>'FE-Transferências'!$C$4*0.0016*((($B$2/2.2)^1.3)/(E228/2)^1.4)</f>
        <v>3.0648238088094214E-4</v>
      </c>
      <c r="N228" s="39">
        <f>'FE-Transferências'!$E$4*0.0016*((($B$2/2.2)^1.3)/(E228/2)^1.4)</f>
        <v>4.6410189104828386E-5</v>
      </c>
      <c r="O228" s="40">
        <f t="shared" si="81"/>
        <v>3.7800514450226034E-3</v>
      </c>
      <c r="P228" s="40">
        <f t="shared" si="82"/>
        <v>1.7878621699431232E-3</v>
      </c>
      <c r="Q228" s="40">
        <f t="shared" si="83"/>
        <v>2.7073341430567294E-4</v>
      </c>
    </row>
    <row r="229" spans="1:17" s="35" customFormat="1" ht="15" customHeight="1" x14ac:dyDescent="0.25">
      <c r="A229" s="238"/>
      <c r="B229" s="238"/>
      <c r="C229" s="35" t="s">
        <v>418</v>
      </c>
      <c r="D229" s="55" t="s">
        <v>34</v>
      </c>
      <c r="E229" s="41">
        <v>5.6</v>
      </c>
      <c r="F229" s="55" t="s">
        <v>191</v>
      </c>
      <c r="G229" s="55">
        <v>0</v>
      </c>
      <c r="H229" s="37">
        <f>Rotas!F51/(365*24)</f>
        <v>5.8334908675799086</v>
      </c>
      <c r="I229" s="38">
        <v>-20.24137</v>
      </c>
      <c r="J229" s="38">
        <v>-40.237161</v>
      </c>
      <c r="K229" s="55">
        <v>2</v>
      </c>
      <c r="L229" s="39">
        <f>'FE-Transferências'!$A$4*0.0016*((($B$2/2.2)^1.3)/(E229/2)^1.4)</f>
        <v>6.4799131957684914E-4</v>
      </c>
      <c r="M229" s="39">
        <f>'FE-Transferências'!$C$4*0.0016*((($B$2/2.2)^1.3)/(E229/2)^1.4)</f>
        <v>3.0648238088094214E-4</v>
      </c>
      <c r="N229" s="39">
        <f>'FE-Transferências'!$E$4*0.0016*((($B$2/2.2)^1.3)/(E229/2)^1.4)</f>
        <v>4.6410189104828386E-5</v>
      </c>
      <c r="O229" s="40">
        <f t="shared" si="81"/>
        <v>3.7800514450226034E-3</v>
      </c>
      <c r="P229" s="40">
        <f t="shared" si="82"/>
        <v>1.7878621699431232E-3</v>
      </c>
      <c r="Q229" s="40">
        <f t="shared" si="83"/>
        <v>2.7073341430567294E-4</v>
      </c>
    </row>
    <row r="230" spans="1:17" s="35" customFormat="1" ht="15" customHeight="1" x14ac:dyDescent="0.25">
      <c r="A230" s="238"/>
      <c r="B230" s="238"/>
      <c r="C230" s="35" t="s">
        <v>425</v>
      </c>
      <c r="D230" s="55" t="s">
        <v>34</v>
      </c>
      <c r="E230" s="41">
        <v>5.6</v>
      </c>
      <c r="F230" s="55" t="s">
        <v>276</v>
      </c>
      <c r="G230" s="55">
        <v>70</v>
      </c>
      <c r="H230" s="37">
        <f>Rotas!F51/(365*24)</f>
        <v>5.8334908675799086</v>
      </c>
      <c r="I230" s="38">
        <v>-20.241828999999999</v>
      </c>
      <c r="J230" s="38">
        <v>-40.237895999999999</v>
      </c>
      <c r="K230" s="55">
        <v>2</v>
      </c>
      <c r="L230" s="39">
        <f>'FE-Transferências'!$A$4*0.0016*((($B$2/2.2)^1.3)/(E230/2)^1.4)</f>
        <v>6.4799131957684914E-4</v>
      </c>
      <c r="M230" s="39">
        <f>'FE-Transferências'!$C$4*0.0016*((($B$2/2.2)^1.3)/(E230/2)^1.4)</f>
        <v>3.0648238088094214E-4</v>
      </c>
      <c r="N230" s="39">
        <f>'FE-Transferências'!$E$4*0.0016*((($B$2/2.2)^1.3)/(E230/2)^1.4)</f>
        <v>4.6410189104828386E-5</v>
      </c>
      <c r="O230" s="40">
        <f t="shared" si="81"/>
        <v>1.1340154335067812E-3</v>
      </c>
      <c r="P230" s="40">
        <f t="shared" si="82"/>
        <v>5.3635865098293706E-4</v>
      </c>
      <c r="Q230" s="40">
        <f t="shared" si="83"/>
        <v>8.1220024291701895E-5</v>
      </c>
    </row>
    <row r="231" spans="1:17" s="35" customFormat="1" ht="15" customHeight="1" x14ac:dyDescent="0.25">
      <c r="A231" s="238" t="s">
        <v>428</v>
      </c>
      <c r="B231" s="238" t="s">
        <v>2</v>
      </c>
      <c r="C231" s="35" t="s">
        <v>429</v>
      </c>
      <c r="D231" s="55" t="s">
        <v>99</v>
      </c>
      <c r="E231" s="41">
        <v>7.6</v>
      </c>
      <c r="F231" s="55" t="s">
        <v>191</v>
      </c>
      <c r="G231" s="55">
        <v>0</v>
      </c>
      <c r="H231" s="37">
        <f>Rotas!C56/(365*24)</f>
        <v>22.24337899543379</v>
      </c>
      <c r="I231" s="38">
        <v>-20.255932999999999</v>
      </c>
      <c r="J231" s="38">
        <v>-40.230131999999998</v>
      </c>
      <c r="K231" s="55">
        <v>2</v>
      </c>
      <c r="L231" s="39">
        <f>'FE-Transferências'!$A$4*0.0016*((($B$2/2.2)^1.3)/(E231/2)^1.4)</f>
        <v>4.225648774807563E-4</v>
      </c>
      <c r="M231" s="39">
        <f>'FE-Transferências'!$C$4*0.0016*((($B$2/2.2)^1.3)/(E231/2)^1.4)</f>
        <v>1.9986176637603337E-4</v>
      </c>
      <c r="N231" s="39">
        <f>'FE-Transferências'!$E$4*0.0016*((($B$2/2.2)^1.3)/(E231/2)^1.4)</f>
        <v>3.0264781765513629E-5</v>
      </c>
      <c r="O231" s="40">
        <f t="shared" si="81"/>
        <v>9.3992707199635084E-3</v>
      </c>
      <c r="P231" s="40">
        <f t="shared" si="82"/>
        <v>4.4456010161989558E-3</v>
      </c>
      <c r="Q231" s="40">
        <f t="shared" si="83"/>
        <v>6.7319101102441344E-4</v>
      </c>
    </row>
    <row r="232" spans="1:17" s="35" customFormat="1" ht="15" customHeight="1" x14ac:dyDescent="0.25">
      <c r="A232" s="238"/>
      <c r="B232" s="238"/>
      <c r="C232" s="35" t="s">
        <v>430</v>
      </c>
      <c r="D232" s="55" t="s">
        <v>99</v>
      </c>
      <c r="E232" s="41">
        <v>7.6</v>
      </c>
      <c r="F232" s="55" t="s">
        <v>276</v>
      </c>
      <c r="G232" s="55">
        <v>70</v>
      </c>
      <c r="H232" s="37">
        <f>Rotas!C56/(365*24)</f>
        <v>22.24337899543379</v>
      </c>
      <c r="I232" s="38">
        <v>-20.241904999999999</v>
      </c>
      <c r="J232" s="38">
        <v>-40.237876</v>
      </c>
      <c r="K232" s="55">
        <v>2</v>
      </c>
      <c r="L232" s="39">
        <f>'FE-Transferências'!$A$4*0.0016*((($B$2/2.2)^1.3)/(E232/2)^1.4)</f>
        <v>4.225648774807563E-4</v>
      </c>
      <c r="M232" s="39">
        <f>'FE-Transferências'!$C$4*0.0016*((($B$2/2.2)^1.3)/(E232/2)^1.4)</f>
        <v>1.9986176637603337E-4</v>
      </c>
      <c r="N232" s="39">
        <f>'FE-Transferências'!$E$4*0.0016*((($B$2/2.2)^1.3)/(E232/2)^1.4)</f>
        <v>3.0264781765513629E-5</v>
      </c>
      <c r="O232" s="40">
        <f t="shared" si="81"/>
        <v>2.819781215989053E-3</v>
      </c>
      <c r="P232" s="40">
        <f t="shared" si="82"/>
        <v>1.333680304859687E-3</v>
      </c>
      <c r="Q232" s="40">
        <f t="shared" si="83"/>
        <v>2.0195730330732406E-4</v>
      </c>
    </row>
    <row r="233" spans="1:17" s="35" customFormat="1" ht="15" customHeight="1" x14ac:dyDescent="0.25">
      <c r="A233" s="238" t="s">
        <v>451</v>
      </c>
      <c r="B233" s="238" t="s">
        <v>2</v>
      </c>
      <c r="C233" s="35" t="s">
        <v>412</v>
      </c>
      <c r="D233" s="55" t="s">
        <v>98</v>
      </c>
      <c r="E233" s="41" t="s">
        <v>191</v>
      </c>
      <c r="F233" s="55" t="s">
        <v>191</v>
      </c>
      <c r="G233" s="55">
        <v>0</v>
      </c>
      <c r="H233" s="37">
        <f>Rotas!I55/(365*24)</f>
        <v>64.550673515981742</v>
      </c>
      <c r="I233" s="38">
        <v>-20.246466999999999</v>
      </c>
      <c r="J233" s="38">
        <v>-40.244562999999999</v>
      </c>
      <c r="K233" s="55">
        <v>2</v>
      </c>
      <c r="L233" s="39">
        <f>'FE-Sucata'!E7</f>
        <v>0.1</v>
      </c>
      <c r="M233" s="39">
        <f>'FE-Sucata'!D18/1000</f>
        <v>2.2000000000000001E-3</v>
      </c>
      <c r="N233" s="39">
        <f>'FE-Sucata'!F18/1000</f>
        <v>8.0000000000000004E-4</v>
      </c>
      <c r="O233" s="40">
        <f t="shared" si="81"/>
        <v>6.4550673515981742</v>
      </c>
      <c r="P233" s="40">
        <f t="shared" si="82"/>
        <v>0.14201148173515984</v>
      </c>
      <c r="Q233" s="40">
        <f t="shared" si="83"/>
        <v>5.1640538812785394E-2</v>
      </c>
    </row>
    <row r="234" spans="1:17" s="35" customFormat="1" ht="15" customHeight="1" x14ac:dyDescent="0.25">
      <c r="A234" s="238"/>
      <c r="B234" s="238"/>
      <c r="C234" s="35" t="s">
        <v>470</v>
      </c>
      <c r="D234" s="55" t="s">
        <v>98</v>
      </c>
      <c r="E234" s="41" t="s">
        <v>191</v>
      </c>
      <c r="F234" s="55" t="s">
        <v>276</v>
      </c>
      <c r="G234" s="55">
        <v>70</v>
      </c>
      <c r="H234" s="37">
        <f>Rotas!I55/(365*24)</f>
        <v>64.550673515981742</v>
      </c>
      <c r="I234" s="38">
        <v>-20.243131000000002</v>
      </c>
      <c r="J234" s="38">
        <v>-40.239897999999997</v>
      </c>
      <c r="K234" s="55">
        <v>2</v>
      </c>
      <c r="L234" s="39">
        <f>'FE-Sucata'!E7</f>
        <v>0.1</v>
      </c>
      <c r="M234" s="39">
        <f>'FE-Sucata'!D18/1000</f>
        <v>2.2000000000000001E-3</v>
      </c>
      <c r="N234" s="39">
        <f>'FE-Sucata'!F18/1000</f>
        <v>8.0000000000000004E-4</v>
      </c>
      <c r="O234" s="40">
        <f t="shared" ref="O234:O251" si="87">(H234*L234)*(1-G234/100)</f>
        <v>1.9365202054794526</v>
      </c>
      <c r="P234" s="40">
        <f t="shared" ref="P234:P251" si="88">(H234*M234)*(1-G234/100)</f>
        <v>4.2603444520547963E-2</v>
      </c>
      <c r="Q234" s="40">
        <f t="shared" ref="Q234:Q251" si="89">(H234*N234)*(1-G234/100)</f>
        <v>1.5492161643835621E-2</v>
      </c>
    </row>
    <row r="235" spans="1:17" s="35" customFormat="1" ht="15" customHeight="1" x14ac:dyDescent="0.25">
      <c r="A235" s="238" t="s">
        <v>451</v>
      </c>
      <c r="B235" s="238" t="s">
        <v>469</v>
      </c>
      <c r="C235" s="35" t="s">
        <v>412</v>
      </c>
      <c r="D235" s="55" t="s">
        <v>98</v>
      </c>
      <c r="E235" s="41" t="s">
        <v>191</v>
      </c>
      <c r="F235" s="55" t="s">
        <v>191</v>
      </c>
      <c r="G235" s="55">
        <v>0</v>
      </c>
      <c r="H235" s="37">
        <f>Rotas!V63/(365*24)</f>
        <v>2.4388127853881278</v>
      </c>
      <c r="I235" s="38">
        <v>-20.246466999999999</v>
      </c>
      <c r="J235" s="38">
        <v>-40.244562999999999</v>
      </c>
      <c r="K235" s="55">
        <v>2</v>
      </c>
      <c r="L235" s="39">
        <f>'FE-Sucata'!E7</f>
        <v>0.1</v>
      </c>
      <c r="M235" s="39">
        <f>'FE-Sucata'!D18/1000</f>
        <v>2.2000000000000001E-3</v>
      </c>
      <c r="N235" s="39">
        <f>'FE-Sucata'!F18/1000</f>
        <v>8.0000000000000004E-4</v>
      </c>
      <c r="O235" s="40">
        <f t="shared" si="87"/>
        <v>0.24388127853881281</v>
      </c>
      <c r="P235" s="40">
        <f t="shared" si="88"/>
        <v>5.3653881278538816E-3</v>
      </c>
      <c r="Q235" s="40">
        <f t="shared" si="89"/>
        <v>1.9510502283105024E-3</v>
      </c>
    </row>
    <row r="236" spans="1:17" s="35" customFormat="1" ht="15" customHeight="1" x14ac:dyDescent="0.25">
      <c r="A236" s="238"/>
      <c r="B236" s="238"/>
      <c r="C236" s="35" t="s">
        <v>470</v>
      </c>
      <c r="D236" s="55" t="s">
        <v>98</v>
      </c>
      <c r="E236" s="41" t="s">
        <v>191</v>
      </c>
      <c r="F236" s="55" t="s">
        <v>191</v>
      </c>
      <c r="G236" s="55">
        <v>0</v>
      </c>
      <c r="H236" s="37">
        <f>Rotas!V63/(365*24)</f>
        <v>2.4388127853881278</v>
      </c>
      <c r="I236" s="38">
        <v>-20.25273</v>
      </c>
      <c r="J236" s="38">
        <v>-40.240783999999998</v>
      </c>
      <c r="K236" s="55">
        <v>2</v>
      </c>
      <c r="L236" s="39">
        <f>'FE-Sucata'!E7</f>
        <v>0.1</v>
      </c>
      <c r="M236" s="39">
        <f>'FE-Sucata'!D18/1000</f>
        <v>2.2000000000000001E-3</v>
      </c>
      <c r="N236" s="39">
        <f>'FE-Sucata'!F18/1000</f>
        <v>8.0000000000000004E-4</v>
      </c>
      <c r="O236" s="40">
        <f t="shared" si="87"/>
        <v>0.24388127853881281</v>
      </c>
      <c r="P236" s="40">
        <f t="shared" si="88"/>
        <v>5.3653881278538816E-3</v>
      </c>
      <c r="Q236" s="40">
        <f t="shared" si="89"/>
        <v>1.9510502283105024E-3</v>
      </c>
    </row>
    <row r="237" spans="1:17" s="35" customFormat="1" ht="15" customHeight="1" x14ac:dyDescent="0.25">
      <c r="A237" s="238" t="s">
        <v>471</v>
      </c>
      <c r="B237" s="238" t="s">
        <v>451</v>
      </c>
      <c r="C237" s="35" t="s">
        <v>412</v>
      </c>
      <c r="D237" s="55" t="s">
        <v>98</v>
      </c>
      <c r="E237" s="41" t="s">
        <v>191</v>
      </c>
      <c r="F237" s="55" t="s">
        <v>191</v>
      </c>
      <c r="G237" s="55">
        <v>0</v>
      </c>
      <c r="H237" s="37">
        <f>Rotas!AA75/(365*24)</f>
        <v>22.087442922374429</v>
      </c>
      <c r="I237" s="38">
        <v>-20.244586999999999</v>
      </c>
      <c r="J237" s="38">
        <v>-40.243077999999997</v>
      </c>
      <c r="K237" s="55">
        <v>2</v>
      </c>
      <c r="L237" s="39">
        <f>'FE-Sucata'!E7</f>
        <v>0.1</v>
      </c>
      <c r="M237" s="39">
        <f>'FE-Sucata'!D18/1000</f>
        <v>2.2000000000000001E-3</v>
      </c>
      <c r="N237" s="39">
        <f>'FE-Sucata'!F18/1000</f>
        <v>8.0000000000000004E-4</v>
      </c>
      <c r="O237" s="40">
        <f t="shared" si="87"/>
        <v>2.208744292237443</v>
      </c>
      <c r="P237" s="40">
        <f t="shared" si="88"/>
        <v>4.8592374429223748E-2</v>
      </c>
      <c r="Q237" s="40">
        <f t="shared" si="89"/>
        <v>1.7669954337899543E-2</v>
      </c>
    </row>
    <row r="238" spans="1:17" s="163" customFormat="1" ht="15" customHeight="1" x14ac:dyDescent="0.25">
      <c r="A238" s="238"/>
      <c r="B238" s="238"/>
      <c r="C238" s="163" t="s">
        <v>472</v>
      </c>
      <c r="D238" s="55" t="s">
        <v>98</v>
      </c>
      <c r="E238" s="41" t="s">
        <v>191</v>
      </c>
      <c r="F238" s="55" t="s">
        <v>191</v>
      </c>
      <c r="G238" s="55">
        <v>0</v>
      </c>
      <c r="H238" s="37">
        <f>Rotas!AA75/(365*24)</f>
        <v>22.087442922374429</v>
      </c>
      <c r="I238" s="38">
        <v>-20.248377999999999</v>
      </c>
      <c r="J238" s="38">
        <v>-40.243810000000003</v>
      </c>
      <c r="K238" s="55">
        <v>2</v>
      </c>
      <c r="L238" s="39">
        <f>'FE-Sucata'!E7</f>
        <v>0.1</v>
      </c>
      <c r="M238" s="39">
        <f>'FE-Sucata'!D18/1000</f>
        <v>2.2000000000000001E-3</v>
      </c>
      <c r="N238" s="39">
        <f>'FE-Sucata'!F18/1000</f>
        <v>8.0000000000000004E-4</v>
      </c>
      <c r="O238" s="40">
        <f t="shared" si="87"/>
        <v>2.208744292237443</v>
      </c>
      <c r="P238" s="40">
        <f t="shared" si="88"/>
        <v>4.8592374429223748E-2</v>
      </c>
      <c r="Q238" s="40">
        <f t="shared" si="89"/>
        <v>1.7669954337899543E-2</v>
      </c>
    </row>
    <row r="239" spans="1:17" s="163" customFormat="1" ht="15" customHeight="1" x14ac:dyDescent="0.25">
      <c r="A239" s="238"/>
      <c r="B239" s="238"/>
      <c r="C239" s="163" t="s">
        <v>412</v>
      </c>
      <c r="D239" s="55" t="s">
        <v>85</v>
      </c>
      <c r="E239" s="55">
        <v>15</v>
      </c>
      <c r="F239" s="55" t="s">
        <v>191</v>
      </c>
      <c r="G239" s="55">
        <v>0</v>
      </c>
      <c r="H239" s="37">
        <f>Rotas!Z75/(365*24)</f>
        <v>73.123456621004564</v>
      </c>
      <c r="I239" s="38">
        <v>-20.244349</v>
      </c>
      <c r="J239" s="38">
        <v>-40.240394999999999</v>
      </c>
      <c r="K239" s="55">
        <v>2</v>
      </c>
      <c r="L239" s="39">
        <f>'FE-Transferências'!$A$4*0.0016*((($B$2/2.2)^1.3)/(E239/2)^1.4)</f>
        <v>1.6311904241925811E-4</v>
      </c>
      <c r="M239" s="39">
        <f>'FE-Transferências'!$C$4*0.0016*((($B$2/2.2)^1.3)/(E239/2)^1.4)</f>
        <v>7.7150898441541004E-5</v>
      </c>
      <c r="N239" s="39">
        <f>'FE-Transferências'!$E$4*0.0016*((($B$2/2.2)^1.3)/(E239/2)^1.4)</f>
        <v>1.1682850335433353E-5</v>
      </c>
      <c r="O239" s="40">
        <f t="shared" si="87"/>
        <v>1.1927828222404424E-2</v>
      </c>
      <c r="P239" s="40">
        <f t="shared" si="88"/>
        <v>5.641540375461552E-3</v>
      </c>
      <c r="Q239" s="40">
        <f t="shared" si="89"/>
        <v>8.542903997127494E-4</v>
      </c>
    </row>
    <row r="240" spans="1:17" s="35" customFormat="1" ht="15" customHeight="1" x14ac:dyDescent="0.25">
      <c r="A240" s="238"/>
      <c r="B240" s="238"/>
      <c r="C240" s="35" t="s">
        <v>474</v>
      </c>
      <c r="D240" s="55" t="s">
        <v>85</v>
      </c>
      <c r="E240" s="55">
        <v>15</v>
      </c>
      <c r="F240" s="55" t="s">
        <v>191</v>
      </c>
      <c r="G240" s="55">
        <v>0</v>
      </c>
      <c r="H240" s="37">
        <f>Rotas!Z75/(365*24)</f>
        <v>73.123456621004564</v>
      </c>
      <c r="I240" s="38">
        <v>-20.248857000000001</v>
      </c>
      <c r="J240" s="38">
        <v>-40.243493999999998</v>
      </c>
      <c r="K240" s="55">
        <v>2</v>
      </c>
      <c r="L240" s="39">
        <f>'FE-Transferências'!$A$4*0.0016*((($B$2/2.2)^1.3)/(E240/2)^1.4)</f>
        <v>1.6311904241925811E-4</v>
      </c>
      <c r="M240" s="39">
        <f>'FE-Transferências'!$C$4*0.0016*((($B$2/2.2)^1.3)/(E240/2)^1.4)</f>
        <v>7.7150898441541004E-5</v>
      </c>
      <c r="N240" s="39">
        <f>'FE-Transferências'!$E$4*0.0016*((($B$2/2.2)^1.3)/(E240/2)^1.4)</f>
        <v>1.1682850335433353E-5</v>
      </c>
      <c r="O240" s="40">
        <f t="shared" si="87"/>
        <v>1.1927828222404424E-2</v>
      </c>
      <c r="P240" s="40">
        <f t="shared" si="88"/>
        <v>5.641540375461552E-3</v>
      </c>
      <c r="Q240" s="40">
        <f t="shared" si="89"/>
        <v>8.542903997127494E-4</v>
      </c>
    </row>
    <row r="241" spans="1:17" s="35" customFormat="1" ht="15" customHeight="1" x14ac:dyDescent="0.25">
      <c r="A241" s="238" t="s">
        <v>471</v>
      </c>
      <c r="B241" s="238" t="s">
        <v>156</v>
      </c>
      <c r="C241" s="35" t="s">
        <v>412</v>
      </c>
      <c r="D241" s="55" t="s">
        <v>84</v>
      </c>
      <c r="E241" s="55">
        <v>15</v>
      </c>
      <c r="F241" s="55" t="s">
        <v>191</v>
      </c>
      <c r="G241" s="55">
        <v>0</v>
      </c>
      <c r="H241" s="37">
        <f>Rotas!D77/(365*24)</f>
        <v>19.938110730593607</v>
      </c>
      <c r="I241" s="38">
        <v>-20.244399999999999</v>
      </c>
      <c r="J241" s="38">
        <v>-40.243088999999998</v>
      </c>
      <c r="K241" s="55">
        <v>2</v>
      </c>
      <c r="L241" s="39">
        <f>'FE-Transferências'!$A$4*0.0016*((($B$2/2.2)^1.3)/(E241/2)^1.4)</f>
        <v>1.6311904241925811E-4</v>
      </c>
      <c r="M241" s="39">
        <f>'FE-Transferências'!$C$4*0.0016*((($B$2/2.2)^1.3)/(E241/2)^1.4)</f>
        <v>7.7150898441541004E-5</v>
      </c>
      <c r="N241" s="39">
        <f>'FE-Transferências'!$E$4*0.0016*((($B$2/2.2)^1.3)/(E241/2)^1.4)</f>
        <v>1.1682850335433353E-5</v>
      </c>
      <c r="O241" s="40">
        <f t="shared" ref="O241:O247" si="90">(H241*L241)*(1-G241/100)</f>
        <v>3.2522855300235638E-3</v>
      </c>
      <c r="P241" s="40">
        <f t="shared" ref="P241:P247" si="91">(H241*M241)*(1-G241/100)</f>
        <v>1.5382431560922263E-3</v>
      </c>
      <c r="Q241" s="40">
        <f t="shared" ref="Q241:Q247" si="92">(H241*N241)*(1-G241/100)</f>
        <v>2.3293396363682284E-4</v>
      </c>
    </row>
    <row r="242" spans="1:17" s="35" customFormat="1" ht="15" customHeight="1" x14ac:dyDescent="0.25">
      <c r="A242" s="238"/>
      <c r="B242" s="238"/>
      <c r="C242" s="35" t="s">
        <v>479</v>
      </c>
      <c r="D242" s="55" t="s">
        <v>84</v>
      </c>
      <c r="E242" s="55">
        <v>15</v>
      </c>
      <c r="F242" s="55" t="s">
        <v>191</v>
      </c>
      <c r="G242" s="55">
        <v>0</v>
      </c>
      <c r="H242" s="37">
        <f>Rotas!D77/(365*24)</f>
        <v>19.938110730593607</v>
      </c>
      <c r="I242" s="38">
        <v>-20.237507000000001</v>
      </c>
      <c r="J242" s="38">
        <v>-40.232263000000003</v>
      </c>
      <c r="K242" s="55">
        <v>2</v>
      </c>
      <c r="L242" s="39">
        <f>'FE-Transferências'!$A$4*0.0016*((($B$2/2.2)^1.3)/(E242/2)^1.4)</f>
        <v>1.6311904241925811E-4</v>
      </c>
      <c r="M242" s="39">
        <f>'FE-Transferências'!$C$4*0.0016*((($B$2/2.2)^1.3)/(E242/2)^1.4)</f>
        <v>7.7150898441541004E-5</v>
      </c>
      <c r="N242" s="39">
        <f>'FE-Transferências'!$E$4*0.0016*((($B$2/2.2)^1.3)/(E242/2)^1.4)</f>
        <v>1.1682850335433353E-5</v>
      </c>
      <c r="O242" s="40">
        <f t="shared" si="90"/>
        <v>3.2522855300235638E-3</v>
      </c>
      <c r="P242" s="40">
        <f t="shared" si="91"/>
        <v>1.5382431560922263E-3</v>
      </c>
      <c r="Q242" s="40">
        <f t="shared" si="92"/>
        <v>2.3293396363682284E-4</v>
      </c>
    </row>
    <row r="243" spans="1:17" s="35" customFormat="1" ht="15" customHeight="1" x14ac:dyDescent="0.25">
      <c r="A243" s="238" t="s">
        <v>471</v>
      </c>
      <c r="B243" s="238" t="s">
        <v>605</v>
      </c>
      <c r="C243" s="35" t="s">
        <v>412</v>
      </c>
      <c r="D243" s="55" t="s">
        <v>68</v>
      </c>
      <c r="E243" s="55">
        <v>40</v>
      </c>
      <c r="F243" s="55" t="s">
        <v>191</v>
      </c>
      <c r="G243" s="55">
        <v>0</v>
      </c>
      <c r="H243" s="37">
        <f>Rotas!P83/(365*24)</f>
        <v>19.224771689497718</v>
      </c>
      <c r="I243" s="38">
        <v>-20.244496000000002</v>
      </c>
      <c r="J243" s="38">
        <v>-40.240713</v>
      </c>
      <c r="K243" s="55">
        <v>2</v>
      </c>
      <c r="L243" s="39">
        <f>'FE-Transferências'!$A$4*0.0016*((($B$2/2.2)^1.3)/(E243/2)^1.4)</f>
        <v>4.1318870218156256E-5</v>
      </c>
      <c r="M243" s="39">
        <f>'FE-Transferências'!$C$4*0.0016*((($B$2/2.2)^1.3)/(E243/2)^1.4)</f>
        <v>1.9542708886965797E-5</v>
      </c>
      <c r="N243" s="39">
        <f>'FE-Transferências'!$E$4*0.0016*((($B$2/2.2)^1.3)/(E243/2)^1.4)</f>
        <v>2.959324488597678E-6</v>
      </c>
      <c r="O243" s="40">
        <f t="shared" ref="O243:O244" si="93">(H243*L243)*(1-G243/100)</f>
        <v>7.9434584641204084E-4</v>
      </c>
      <c r="P243" s="40">
        <f t="shared" ref="P243:P244" si="94">(H243*M243)*(1-G243/100)</f>
        <v>3.7570411654623553E-4</v>
      </c>
      <c r="Q243" s="40">
        <f t="shared" ref="Q243:Q244" si="95">(H243*N243)*(1-G243/100)</f>
        <v>5.6892337648429951E-5</v>
      </c>
    </row>
    <row r="244" spans="1:17" s="35" customFormat="1" ht="15" customHeight="1" x14ac:dyDescent="0.25">
      <c r="A244" s="238"/>
      <c r="B244" s="238"/>
      <c r="C244" s="35" t="s">
        <v>484</v>
      </c>
      <c r="D244" s="55" t="s">
        <v>68</v>
      </c>
      <c r="E244" s="55">
        <v>40</v>
      </c>
      <c r="F244" s="55" t="s">
        <v>191</v>
      </c>
      <c r="G244" s="55">
        <v>0</v>
      </c>
      <c r="H244" s="37">
        <f>Rotas!P83/(365*24)</f>
        <v>19.224771689497718</v>
      </c>
      <c r="I244" s="38">
        <v>-20.245550000000001</v>
      </c>
      <c r="J244" s="38">
        <v>-40.224539</v>
      </c>
      <c r="K244" s="55">
        <v>2</v>
      </c>
      <c r="L244" s="39">
        <f>'FE-Transferências'!$A$4*0.0016*((($B$2/2.2)^1.3)/(E244/2)^1.4)</f>
        <v>4.1318870218156256E-5</v>
      </c>
      <c r="M244" s="39">
        <f>'FE-Transferências'!$C$4*0.0016*((($B$2/2.2)^1.3)/(E244/2)^1.4)</f>
        <v>1.9542708886965797E-5</v>
      </c>
      <c r="N244" s="39">
        <f>'FE-Transferências'!$E$4*0.0016*((($B$2/2.2)^1.3)/(E244/2)^1.4)</f>
        <v>2.959324488597678E-6</v>
      </c>
      <c r="O244" s="40">
        <f t="shared" si="93"/>
        <v>7.9434584641204084E-4</v>
      </c>
      <c r="P244" s="40">
        <f t="shared" si="94"/>
        <v>3.7570411654623553E-4</v>
      </c>
      <c r="Q244" s="40">
        <f t="shared" si="95"/>
        <v>5.6892337648429951E-5</v>
      </c>
    </row>
    <row r="245" spans="1:17" s="35" customFormat="1" ht="15" customHeight="1" x14ac:dyDescent="0.25">
      <c r="A245" s="238"/>
      <c r="B245" s="238"/>
      <c r="C245" s="35" t="s">
        <v>412</v>
      </c>
      <c r="D245" s="55" t="s">
        <v>71</v>
      </c>
      <c r="E245" s="41">
        <v>7.1</v>
      </c>
      <c r="F245" s="55" t="s">
        <v>191</v>
      </c>
      <c r="G245" s="55">
        <v>0</v>
      </c>
      <c r="H245" s="37">
        <f>Rotas!O83/(365*24)</f>
        <v>2.5514840182648402</v>
      </c>
      <c r="I245" s="38">
        <v>-20.244496000000002</v>
      </c>
      <c r="J245" s="38">
        <v>-40.240713</v>
      </c>
      <c r="K245" s="55">
        <v>2</v>
      </c>
      <c r="L245" s="39">
        <f>'FE-Transferências'!$A$4*0.0016*((($B$2/2.2)^1.3)/(E245/2)^1.4)</f>
        <v>4.6480494279383229E-4</v>
      </c>
      <c r="M245" s="39">
        <f>'FE-Transferências'!$C$4*0.0016*((($B$2/2.2)^1.3)/(E245/2)^1.4)</f>
        <v>2.1984017564573148E-4</v>
      </c>
      <c r="N245" s="39">
        <f>'FE-Transferências'!$E$4*0.0016*((($B$2/2.2)^1.3)/(E245/2)^1.4)</f>
        <v>3.3290083740639343E-5</v>
      </c>
      <c r="O245" s="40">
        <f t="shared" ref="O245:O246" si="96">(H245*L245)*(1-G245/100)</f>
        <v>1.1859423831489665E-3</v>
      </c>
      <c r="P245" s="40">
        <f t="shared" ref="P245:P246" si="97">(H245*M245)*(1-G245/100)</f>
        <v>5.6091869473261918E-4</v>
      </c>
      <c r="Q245" s="40">
        <f t="shared" ref="Q245:Q246" si="98">(H245*N245)*(1-G245/100)</f>
        <v>8.4939116630939493E-5</v>
      </c>
    </row>
    <row r="246" spans="1:17" s="35" customFormat="1" ht="15" customHeight="1" x14ac:dyDescent="0.25">
      <c r="A246" s="238"/>
      <c r="B246" s="238"/>
      <c r="C246" s="35" t="s">
        <v>486</v>
      </c>
      <c r="D246" s="55" t="s">
        <v>71</v>
      </c>
      <c r="E246" s="41">
        <v>7.1</v>
      </c>
      <c r="F246" s="55" t="s">
        <v>191</v>
      </c>
      <c r="G246" s="55">
        <v>0</v>
      </c>
      <c r="H246" s="37">
        <f>Rotas!O83/(365*24)</f>
        <v>2.5514840182648402</v>
      </c>
      <c r="I246" s="38">
        <v>-20.246393999999999</v>
      </c>
      <c r="J246" s="38">
        <v>-40.224378999999999</v>
      </c>
      <c r="K246" s="55">
        <v>2</v>
      </c>
      <c r="L246" s="39">
        <f>'FE-Transferências'!$A$4*0.0016*((($B$2/2.2)^1.3)/(E246/2)^1.4)</f>
        <v>4.6480494279383229E-4</v>
      </c>
      <c r="M246" s="39">
        <f>'FE-Transferências'!$C$4*0.0016*((($B$2/2.2)^1.3)/(E246/2)^1.4)</f>
        <v>2.1984017564573148E-4</v>
      </c>
      <c r="N246" s="39">
        <f>'FE-Transferências'!$E$4*0.0016*((($B$2/2.2)^1.3)/(E246/2)^1.4)</f>
        <v>3.3290083740639343E-5</v>
      </c>
      <c r="O246" s="40">
        <f t="shared" si="96"/>
        <v>1.1859423831489665E-3</v>
      </c>
      <c r="P246" s="40">
        <f t="shared" si="97"/>
        <v>5.6091869473261918E-4</v>
      </c>
      <c r="Q246" s="40">
        <f t="shared" si="98"/>
        <v>8.4939116630939493E-5</v>
      </c>
    </row>
    <row r="247" spans="1:17" s="35" customFormat="1" ht="15" customHeight="1" x14ac:dyDescent="0.25">
      <c r="A247" s="238" t="s">
        <v>475</v>
      </c>
      <c r="B247" s="238" t="s">
        <v>156</v>
      </c>
      <c r="C247" s="35" t="s">
        <v>412</v>
      </c>
      <c r="D247" s="55" t="s">
        <v>85</v>
      </c>
      <c r="E247" s="55">
        <v>15</v>
      </c>
      <c r="F247" s="55" t="s">
        <v>191</v>
      </c>
      <c r="G247" s="55">
        <v>0</v>
      </c>
      <c r="H247" s="37">
        <f>Rotas!D84/(365*24)</f>
        <v>73.123456621004564</v>
      </c>
      <c r="I247" s="38">
        <v>-20.248857000000001</v>
      </c>
      <c r="J247" s="38">
        <v>-40.243493999999998</v>
      </c>
      <c r="K247" s="55">
        <v>2</v>
      </c>
      <c r="L247" s="39">
        <f>'FE-Transferências'!$A$4*0.0016*((($B$2/2.2)^1.3)/(E247/2)^1.4)</f>
        <v>1.6311904241925811E-4</v>
      </c>
      <c r="M247" s="39">
        <f>'FE-Transferências'!$C$4*0.0016*((($B$2/2.2)^1.3)/(E247/2)^1.4)</f>
        <v>7.7150898441541004E-5</v>
      </c>
      <c r="N247" s="39">
        <f>'FE-Transferências'!$E$4*0.0016*((($B$2/2.2)^1.3)/(E247/2)^1.4)</f>
        <v>1.1682850335433353E-5</v>
      </c>
      <c r="O247" s="40">
        <f t="shared" si="90"/>
        <v>1.1927828222404424E-2</v>
      </c>
      <c r="P247" s="40">
        <f t="shared" si="91"/>
        <v>5.641540375461552E-3</v>
      </c>
      <c r="Q247" s="40">
        <f t="shared" si="92"/>
        <v>8.542903997127494E-4</v>
      </c>
    </row>
    <row r="248" spans="1:17" s="35" customFormat="1" ht="15" customHeight="1" x14ac:dyDescent="0.25">
      <c r="A248" s="238"/>
      <c r="B248" s="238"/>
      <c r="C248" s="35" t="s">
        <v>474</v>
      </c>
      <c r="D248" s="55" t="s">
        <v>85</v>
      </c>
      <c r="E248" s="55">
        <v>15</v>
      </c>
      <c r="F248" s="55" t="s">
        <v>191</v>
      </c>
      <c r="G248" s="55">
        <v>0</v>
      </c>
      <c r="H248" s="37">
        <f>Rotas!D84/(365*24)</f>
        <v>73.123456621004564</v>
      </c>
      <c r="I248" s="38">
        <v>-20.239711</v>
      </c>
      <c r="J248" s="38">
        <v>-40.232892</v>
      </c>
      <c r="K248" s="55">
        <v>2</v>
      </c>
      <c r="L248" s="39">
        <f>'FE-Transferências'!$A$4*0.0016*((($B$2/2.2)^1.3)/(E248/2)^1.4)</f>
        <v>1.6311904241925811E-4</v>
      </c>
      <c r="M248" s="39">
        <f>'FE-Transferências'!$C$4*0.0016*((($B$2/2.2)^1.3)/(E248/2)^1.4)</f>
        <v>7.7150898441541004E-5</v>
      </c>
      <c r="N248" s="39">
        <f>'FE-Transferências'!$E$4*0.0016*((($B$2/2.2)^1.3)/(E248/2)^1.4)</f>
        <v>1.1682850335433353E-5</v>
      </c>
      <c r="O248" s="40">
        <f t="shared" si="87"/>
        <v>1.1927828222404424E-2</v>
      </c>
      <c r="P248" s="40">
        <f t="shared" si="88"/>
        <v>5.641540375461552E-3</v>
      </c>
      <c r="Q248" s="40">
        <f t="shared" si="89"/>
        <v>8.542903997127494E-4</v>
      </c>
    </row>
    <row r="249" spans="1:17" s="35" customFormat="1" ht="15" customHeight="1" x14ac:dyDescent="0.25">
      <c r="A249" s="238" t="s">
        <v>477</v>
      </c>
      <c r="B249" s="238" t="s">
        <v>451</v>
      </c>
      <c r="C249" s="35" t="s">
        <v>412</v>
      </c>
      <c r="D249" s="55" t="s">
        <v>98</v>
      </c>
      <c r="E249" s="41" t="s">
        <v>191</v>
      </c>
      <c r="F249" s="55" t="s">
        <v>191</v>
      </c>
      <c r="G249" s="55">
        <v>0</v>
      </c>
      <c r="H249" s="37">
        <f>Rotas!AD75/(365*24)</f>
        <v>6.46837899543379</v>
      </c>
      <c r="I249" s="38">
        <v>-20.242131000000001</v>
      </c>
      <c r="J249" s="38">
        <v>-40.245165</v>
      </c>
      <c r="K249" s="55">
        <v>2</v>
      </c>
      <c r="L249" s="39">
        <f>'FE-Sucata'!E7</f>
        <v>0.1</v>
      </c>
      <c r="M249" s="39">
        <f>'FE-Sucata'!D18/1000</f>
        <v>2.2000000000000001E-3</v>
      </c>
      <c r="N249" s="39">
        <f>'FE-Sucata'!F18/1000</f>
        <v>8.0000000000000004E-4</v>
      </c>
      <c r="O249" s="40">
        <f t="shared" si="87"/>
        <v>0.646837899543379</v>
      </c>
      <c r="P249" s="40">
        <f t="shared" si="88"/>
        <v>1.4230433789954339E-2</v>
      </c>
      <c r="Q249" s="40">
        <f t="shared" si="89"/>
        <v>5.1747031963470325E-3</v>
      </c>
    </row>
    <row r="250" spans="1:17" s="35" customFormat="1" ht="15" customHeight="1" x14ac:dyDescent="0.25">
      <c r="A250" s="238"/>
      <c r="B250" s="238"/>
      <c r="C250" s="35" t="s">
        <v>472</v>
      </c>
      <c r="D250" s="55" t="s">
        <v>98</v>
      </c>
      <c r="E250" s="41" t="s">
        <v>191</v>
      </c>
      <c r="F250" s="55" t="s">
        <v>191</v>
      </c>
      <c r="G250" s="55">
        <v>0</v>
      </c>
      <c r="H250" s="37">
        <f>Rotas!AD75/(365*24)</f>
        <v>6.46837899543379</v>
      </c>
      <c r="I250" s="38">
        <v>-20.248878999999999</v>
      </c>
      <c r="J250" s="38">
        <v>-40.244227000000002</v>
      </c>
      <c r="K250" s="55">
        <v>2</v>
      </c>
      <c r="L250" s="39">
        <f>'FE-Sucata'!E7</f>
        <v>0.1</v>
      </c>
      <c r="M250" s="39">
        <f>'FE-Sucata'!D18/1000</f>
        <v>2.2000000000000001E-3</v>
      </c>
      <c r="N250" s="39">
        <f>'FE-Sucata'!F18/1000</f>
        <v>8.0000000000000004E-4</v>
      </c>
      <c r="O250" s="40">
        <f t="shared" si="87"/>
        <v>0.646837899543379</v>
      </c>
      <c r="P250" s="40">
        <f t="shared" si="88"/>
        <v>1.4230433789954339E-2</v>
      </c>
      <c r="Q250" s="40">
        <f t="shared" si="89"/>
        <v>5.1747031963470325E-3</v>
      </c>
    </row>
    <row r="251" spans="1:17" s="35" customFormat="1" ht="15" customHeight="1" x14ac:dyDescent="0.25">
      <c r="A251" s="238" t="s">
        <v>476</v>
      </c>
      <c r="B251" s="238" t="s">
        <v>451</v>
      </c>
      <c r="C251" s="35" t="s">
        <v>412</v>
      </c>
      <c r="D251" s="55" t="s">
        <v>98</v>
      </c>
      <c r="E251" s="41" t="s">
        <v>191</v>
      </c>
      <c r="F251" s="55" t="s">
        <v>191</v>
      </c>
      <c r="G251" s="55">
        <v>0</v>
      </c>
      <c r="H251" s="37">
        <f>(Rotas!AD80)/(365*24)</f>
        <v>7.0735159817351594</v>
      </c>
      <c r="I251" s="38">
        <v>-20.239661000000002</v>
      </c>
      <c r="J251" s="38">
        <v>-40.242657999999999</v>
      </c>
      <c r="K251" s="55">
        <v>2</v>
      </c>
      <c r="L251" s="39">
        <f>'FE-Sucata'!E7</f>
        <v>0.1</v>
      </c>
      <c r="M251" s="39">
        <f>'FE-Sucata'!D18/1000</f>
        <v>2.2000000000000001E-3</v>
      </c>
      <c r="N251" s="39">
        <f>'FE-Sucata'!F18/1000</f>
        <v>8.0000000000000004E-4</v>
      </c>
      <c r="O251" s="40">
        <f t="shared" si="87"/>
        <v>0.70735159817351601</v>
      </c>
      <c r="P251" s="40">
        <f t="shared" si="88"/>
        <v>1.5561735159817352E-2</v>
      </c>
      <c r="Q251" s="40">
        <f t="shared" si="89"/>
        <v>5.6588127853881278E-3</v>
      </c>
    </row>
    <row r="252" spans="1:17" s="35" customFormat="1" ht="15" customHeight="1" x14ac:dyDescent="0.25">
      <c r="A252" s="238"/>
      <c r="B252" s="238"/>
      <c r="C252" s="35" t="s">
        <v>472</v>
      </c>
      <c r="D252" s="55" t="s">
        <v>98</v>
      </c>
      <c r="E252" s="41" t="s">
        <v>191</v>
      </c>
      <c r="F252" s="55" t="s">
        <v>191</v>
      </c>
      <c r="G252" s="55">
        <v>0</v>
      </c>
      <c r="H252" s="37">
        <f>(Rotas!AD80)/(365*24)</f>
        <v>7.0735159817351594</v>
      </c>
      <c r="I252" s="38">
        <v>-20.248878999999999</v>
      </c>
      <c r="J252" s="38">
        <v>-40.244227000000002</v>
      </c>
      <c r="K252" s="55">
        <v>2</v>
      </c>
      <c r="L252" s="39">
        <f>'FE-Sucata'!E7</f>
        <v>0.1</v>
      </c>
      <c r="M252" s="39">
        <f>'FE-Sucata'!D18/1000</f>
        <v>2.2000000000000001E-3</v>
      </c>
      <c r="N252" s="39">
        <f>'FE-Sucata'!F18/1000</f>
        <v>8.0000000000000004E-4</v>
      </c>
      <c r="O252" s="40">
        <f t="shared" ref="O252" si="99">(H252*L252)*(1-G252/100)</f>
        <v>0.70735159817351601</v>
      </c>
      <c r="P252" s="40">
        <f t="shared" ref="P252" si="100">(H252*M252)*(1-G252/100)</f>
        <v>1.5561735159817352E-2</v>
      </c>
      <c r="Q252" s="40">
        <f t="shared" ref="Q252" si="101">(H252*N252)*(1-G252/100)</f>
        <v>5.6588127853881278E-3</v>
      </c>
    </row>
    <row r="253" spans="1:17" s="35" customFormat="1" ht="15" customHeight="1" x14ac:dyDescent="0.25">
      <c r="A253" s="274" t="s">
        <v>494</v>
      </c>
      <c r="B253" s="238" t="s">
        <v>605</v>
      </c>
      <c r="C253" s="35" t="s">
        <v>412</v>
      </c>
      <c r="D253" s="55" t="s">
        <v>86</v>
      </c>
      <c r="E253" s="41" t="s">
        <v>191</v>
      </c>
      <c r="F253" s="55" t="s">
        <v>191</v>
      </c>
      <c r="G253" s="55">
        <v>0</v>
      </c>
      <c r="H253" s="114">
        <f>Rotas!W87/(365*24)</f>
        <v>0.38002283105022833</v>
      </c>
      <c r="I253" s="38">
        <v>-20.239661000000002</v>
      </c>
      <c r="J253" s="38">
        <v>-40.242657999999999</v>
      </c>
      <c r="K253" s="55">
        <v>2</v>
      </c>
      <c r="L253" s="39">
        <f>'FE-Sucata'!E8</f>
        <v>0.01</v>
      </c>
      <c r="M253" s="39">
        <f>'FE-Sucata'!D18/1000</f>
        <v>2.2000000000000001E-3</v>
      </c>
      <c r="N253" s="39">
        <f>'FE-Sucata'!F18/1000</f>
        <v>8.0000000000000004E-4</v>
      </c>
      <c r="O253" s="40">
        <f t="shared" ref="O253:O257" si="102">(H253*L253)*(1-G253/100)</f>
        <v>3.8002283105022833E-3</v>
      </c>
      <c r="P253" s="40">
        <f t="shared" ref="P253:P257" si="103">(H253*M253)*(1-G253/100)</f>
        <v>8.3605022831050241E-4</v>
      </c>
      <c r="Q253" s="40">
        <f t="shared" ref="Q253:Q257" si="104">(H253*N253)*(1-G253/100)</f>
        <v>3.0401826484018269E-4</v>
      </c>
    </row>
    <row r="254" spans="1:17" s="35" customFormat="1" ht="15" customHeight="1" x14ac:dyDescent="0.25">
      <c r="A254" s="274"/>
      <c r="B254" s="238"/>
      <c r="C254" s="35" t="s">
        <v>488</v>
      </c>
      <c r="D254" s="55" t="s">
        <v>86</v>
      </c>
      <c r="E254" s="41" t="s">
        <v>191</v>
      </c>
      <c r="F254" s="55" t="s">
        <v>191</v>
      </c>
      <c r="G254" s="55">
        <v>0</v>
      </c>
      <c r="H254" s="114">
        <f>Rotas!W87/(365*24)</f>
        <v>0.38002283105022833</v>
      </c>
      <c r="I254" s="38">
        <v>-20.246126</v>
      </c>
      <c r="J254" s="38">
        <v>-40.224068000000003</v>
      </c>
      <c r="K254" s="55">
        <v>2</v>
      </c>
      <c r="L254" s="39">
        <f>'FE-Sucata'!E8</f>
        <v>0.01</v>
      </c>
      <c r="M254" s="39">
        <f>'FE-Sucata'!D18/1000</f>
        <v>2.2000000000000001E-3</v>
      </c>
      <c r="N254" s="39">
        <f>'FE-Sucata'!F18/1000</f>
        <v>8.0000000000000004E-4</v>
      </c>
      <c r="O254" s="40">
        <f t="shared" si="102"/>
        <v>3.8002283105022833E-3</v>
      </c>
      <c r="P254" s="40">
        <f t="shared" si="103"/>
        <v>8.3605022831050241E-4</v>
      </c>
      <c r="Q254" s="40">
        <f t="shared" si="104"/>
        <v>3.0401826484018269E-4</v>
      </c>
    </row>
    <row r="255" spans="1:17" s="35" customFormat="1" ht="15" customHeight="1" x14ac:dyDescent="0.25">
      <c r="A255" s="238" t="s">
        <v>605</v>
      </c>
      <c r="B255" s="238" t="s">
        <v>428</v>
      </c>
      <c r="C255" s="35" t="s">
        <v>412</v>
      </c>
      <c r="D255" s="55" t="s">
        <v>86</v>
      </c>
      <c r="E255" s="41" t="s">
        <v>191</v>
      </c>
      <c r="F255" s="55" t="s">
        <v>191</v>
      </c>
      <c r="G255" s="55">
        <v>0</v>
      </c>
      <c r="H255" s="37">
        <f>Rotas!M97/(365*24)</f>
        <v>4.8593573059360731</v>
      </c>
      <c r="I255" s="38">
        <v>-20.246126</v>
      </c>
      <c r="J255" s="38">
        <v>-40.224068000000003</v>
      </c>
      <c r="K255" s="55">
        <v>2</v>
      </c>
      <c r="L255" s="39">
        <f>'FE-Sucata'!E8</f>
        <v>0.01</v>
      </c>
      <c r="M255" s="39">
        <f>'FE-Sucata'!D18/1000</f>
        <v>2.2000000000000001E-3</v>
      </c>
      <c r="N255" s="39">
        <f>'FE-Sucata'!F18/1000</f>
        <v>8.0000000000000004E-4</v>
      </c>
      <c r="O255" s="40">
        <f>(H255*L255)*(1-G255/100)</f>
        <v>4.8593573059360733E-2</v>
      </c>
      <c r="P255" s="40">
        <f t="shared" si="103"/>
        <v>1.0690586073059361E-2</v>
      </c>
      <c r="Q255" s="40">
        <f t="shared" si="104"/>
        <v>3.8874858447488585E-3</v>
      </c>
    </row>
    <row r="256" spans="1:17" s="35" customFormat="1" ht="15" customHeight="1" x14ac:dyDescent="0.25">
      <c r="A256" s="238"/>
      <c r="B256" s="238"/>
      <c r="C256" s="35" t="s">
        <v>488</v>
      </c>
      <c r="D256" s="55" t="s">
        <v>86</v>
      </c>
      <c r="E256" s="41" t="s">
        <v>191</v>
      </c>
      <c r="F256" s="55" t="s">
        <v>276</v>
      </c>
      <c r="G256" s="55">
        <v>70</v>
      </c>
      <c r="H256" s="37">
        <f>Rotas!M97/(365*24)</f>
        <v>4.8593573059360731</v>
      </c>
      <c r="I256" s="38">
        <v>-20.256724999999999</v>
      </c>
      <c r="J256" s="38">
        <v>-40.230541000000002</v>
      </c>
      <c r="K256" s="55">
        <v>2</v>
      </c>
      <c r="L256" s="39">
        <f>'FE-Sucata'!E8</f>
        <v>0.01</v>
      </c>
      <c r="M256" s="39">
        <f>'FE-Sucata'!D18/1000</f>
        <v>2.2000000000000001E-3</v>
      </c>
      <c r="N256" s="39">
        <f>'FE-Sucata'!F18/1000</f>
        <v>8.0000000000000004E-4</v>
      </c>
      <c r="O256" s="40">
        <f>(H256*L256)*(1-G256/100)</f>
        <v>1.4578071917808222E-2</v>
      </c>
      <c r="P256" s="40">
        <f t="shared" ref="P256" si="105">(H256*M256)*(1-G256/100)</f>
        <v>3.2071758219178086E-3</v>
      </c>
      <c r="Q256" s="40">
        <f t="shared" ref="Q256" si="106">(H256*N256)*(1-G256/100)</f>
        <v>1.1662457534246577E-3</v>
      </c>
    </row>
    <row r="257" spans="1:17" s="35" customFormat="1" ht="15" customHeight="1" x14ac:dyDescent="0.25">
      <c r="A257" s="238"/>
      <c r="B257" s="238"/>
      <c r="C257" s="35" t="s">
        <v>412</v>
      </c>
      <c r="D257" s="55" t="s">
        <v>68</v>
      </c>
      <c r="E257" s="55">
        <v>40</v>
      </c>
      <c r="F257" s="55" t="s">
        <v>191</v>
      </c>
      <c r="G257" s="55">
        <v>0</v>
      </c>
      <c r="H257" s="37">
        <f>Rotas!N97/(365*24)</f>
        <v>8.2775114155251135</v>
      </c>
      <c r="I257" s="38">
        <v>-20.245550000000001</v>
      </c>
      <c r="J257" s="38">
        <v>-40.224539</v>
      </c>
      <c r="K257" s="55">
        <v>2</v>
      </c>
      <c r="L257" s="39">
        <f>'FE-Transferências'!$A$4*0.0016*((($B$2/2.2)^1.3)/(E257/2)^1.4)</f>
        <v>4.1318870218156256E-5</v>
      </c>
      <c r="M257" s="39">
        <f>'FE-Transferências'!$C$4*0.0016*((($B$2/2.2)^1.3)/(E257/2)^1.4)</f>
        <v>1.9542708886965797E-5</v>
      </c>
      <c r="N257" s="39">
        <f>'FE-Transferências'!$E$4*0.0016*((($B$2/2.2)^1.3)/(E257/2)^1.4)</f>
        <v>2.959324488597678E-6</v>
      </c>
      <c r="O257" s="40">
        <f t="shared" si="102"/>
        <v>3.4201741990738904E-4</v>
      </c>
      <c r="P257" s="40">
        <f t="shared" si="103"/>
        <v>1.6176499590214347E-4</v>
      </c>
      <c r="Q257" s="40">
        <f t="shared" si="104"/>
        <v>2.4495842236610297E-5</v>
      </c>
    </row>
    <row r="258" spans="1:17" s="35" customFormat="1" ht="15" customHeight="1" x14ac:dyDescent="0.25">
      <c r="A258" s="238"/>
      <c r="B258" s="238"/>
      <c r="C258" s="35" t="s">
        <v>484</v>
      </c>
      <c r="D258" s="55" t="s">
        <v>68</v>
      </c>
      <c r="E258" s="55">
        <v>15</v>
      </c>
      <c r="F258" s="55" t="s">
        <v>276</v>
      </c>
      <c r="G258" s="55">
        <v>70</v>
      </c>
      <c r="H258" s="37">
        <f>Rotas!N97/(365*24)</f>
        <v>8.2775114155251135</v>
      </c>
      <c r="I258" s="38">
        <v>-20.256724999999999</v>
      </c>
      <c r="J258" s="38">
        <v>-40.230541000000002</v>
      </c>
      <c r="K258" s="55">
        <v>2</v>
      </c>
      <c r="L258" s="39">
        <f>'FE-Transferências'!$A$4*0.0016*((($B$2/2.2)^1.3)/(E257/2)^1.4)</f>
        <v>4.1318870218156256E-5</v>
      </c>
      <c r="M258" s="39">
        <f>'FE-Transferências'!$C$4*0.0016*((($B$2/2.2)^1.3)/(E257/2)^1.4)</f>
        <v>1.9542708886965797E-5</v>
      </c>
      <c r="N258" s="39">
        <f>'FE-Transferências'!$E$4*0.0016*((($B$2/2.2)^1.3)/(E257/2)^1.4)</f>
        <v>2.959324488597678E-6</v>
      </c>
      <c r="O258" s="40">
        <f t="shared" ref="O258" si="107">(H258*L258)*(1-G258/100)</f>
        <v>1.0260522597221673E-4</v>
      </c>
      <c r="P258" s="40">
        <f t="shared" ref="P258" si="108">(H258*M258)*(1-G258/100)</f>
        <v>4.8529498770643048E-5</v>
      </c>
      <c r="Q258" s="40">
        <f t="shared" ref="Q258" si="109">(H258*N258)*(1-G258/100)</f>
        <v>7.3487526709830905E-6</v>
      </c>
    </row>
    <row r="259" spans="1:17" s="35" customFormat="1" ht="15" customHeight="1" x14ac:dyDescent="0.25">
      <c r="A259" s="274" t="s">
        <v>451</v>
      </c>
      <c r="B259" s="238" t="s">
        <v>428</v>
      </c>
      <c r="C259" s="35" t="s">
        <v>412</v>
      </c>
      <c r="D259" s="55" t="s">
        <v>98</v>
      </c>
      <c r="E259" s="41" t="s">
        <v>191</v>
      </c>
      <c r="F259" s="55" t="s">
        <v>276</v>
      </c>
      <c r="G259" s="55">
        <v>70</v>
      </c>
      <c r="H259" s="37">
        <f>Rotas!M94/(365*24)</f>
        <v>4.2701769406392698</v>
      </c>
      <c r="I259" s="38">
        <v>-20.246466999999999</v>
      </c>
      <c r="J259" s="38">
        <v>-40.244562999999999</v>
      </c>
      <c r="K259" s="55">
        <v>2</v>
      </c>
      <c r="L259" s="39">
        <f>'FE-Sucata'!E8</f>
        <v>0.01</v>
      </c>
      <c r="M259" s="39">
        <f>'FE-Sucata'!D18/1000</f>
        <v>2.2000000000000001E-3</v>
      </c>
      <c r="N259" s="39">
        <f>'FE-Sucata'!F18/1000</f>
        <v>8.0000000000000004E-4</v>
      </c>
      <c r="O259" s="40">
        <f t="shared" ref="O259:O260" si="110">(H259*L259)*(1-G259/100)</f>
        <v>1.281053082191781E-2</v>
      </c>
      <c r="P259" s="40">
        <f t="shared" ref="P259:P260" si="111">(H259*M259)*(1-G259/100)</f>
        <v>2.8183167808219188E-3</v>
      </c>
      <c r="Q259" s="40">
        <f t="shared" ref="Q259:Q260" si="112">(H259*N259)*(1-G259/100)</f>
        <v>1.024842465753425E-3</v>
      </c>
    </row>
    <row r="260" spans="1:17" s="35" customFormat="1" ht="15" customHeight="1" x14ac:dyDescent="0.25">
      <c r="A260" s="274"/>
      <c r="B260" s="238"/>
      <c r="C260" s="35" t="s">
        <v>470</v>
      </c>
      <c r="D260" s="55" t="s">
        <v>98</v>
      </c>
      <c r="E260" s="41" t="s">
        <v>191</v>
      </c>
      <c r="F260" s="55" t="s">
        <v>276</v>
      </c>
      <c r="G260" s="55">
        <v>70</v>
      </c>
      <c r="H260" s="37">
        <f>Rotas!M94/(365*24)</f>
        <v>4.2701769406392698</v>
      </c>
      <c r="I260" s="38">
        <v>-20.256724999999999</v>
      </c>
      <c r="J260" s="38">
        <v>-40.230541000000002</v>
      </c>
      <c r="K260" s="55">
        <v>2</v>
      </c>
      <c r="L260" s="39">
        <f>'FE-Sucata'!E8</f>
        <v>0.01</v>
      </c>
      <c r="M260" s="39">
        <f>'FE-Sucata'!D18/1000</f>
        <v>2.2000000000000001E-3</v>
      </c>
      <c r="N260" s="39">
        <f>'FE-Sucata'!F18/1000</f>
        <v>8.0000000000000004E-4</v>
      </c>
      <c r="O260" s="40">
        <f t="shared" si="110"/>
        <v>1.281053082191781E-2</v>
      </c>
      <c r="P260" s="40">
        <f t="shared" si="111"/>
        <v>2.8183167808219188E-3</v>
      </c>
      <c r="Q260" s="40">
        <f t="shared" si="112"/>
        <v>1.024842465753425E-3</v>
      </c>
    </row>
    <row r="261" spans="1:17" s="35" customFormat="1" ht="15" customHeight="1" x14ac:dyDescent="0.25">
      <c r="A261" s="274" t="s">
        <v>494</v>
      </c>
      <c r="B261" s="238" t="s">
        <v>428</v>
      </c>
      <c r="C261" s="35" t="s">
        <v>412</v>
      </c>
      <c r="D261" s="55" t="s">
        <v>86</v>
      </c>
      <c r="E261" s="41" t="s">
        <v>191</v>
      </c>
      <c r="F261" s="55" t="s">
        <v>276</v>
      </c>
      <c r="G261" s="55">
        <v>70</v>
      </c>
      <c r="H261" s="37">
        <f>Rotas!M100/(365*24)</f>
        <v>2.1389327625570775</v>
      </c>
      <c r="I261" s="38">
        <v>-20.239661000000002</v>
      </c>
      <c r="J261" s="38">
        <v>-40.242657999999999</v>
      </c>
      <c r="K261" s="55">
        <v>2</v>
      </c>
      <c r="L261" s="39">
        <f>'FE-Sucata'!E8</f>
        <v>0.01</v>
      </c>
      <c r="M261" s="39">
        <f>'FE-Sucata'!D18/1000</f>
        <v>2.2000000000000001E-3</v>
      </c>
      <c r="N261" s="39">
        <f>'FE-Sucata'!F18/1000</f>
        <v>8.0000000000000004E-4</v>
      </c>
      <c r="O261" s="40">
        <f t="shared" ref="O261:O262" si="113">(H261*L261)*(1-G261/100)</f>
        <v>6.4167982876712337E-3</v>
      </c>
      <c r="P261" s="40">
        <f t="shared" ref="P261:P262" si="114">(H261*M261)*(1-G261/100)</f>
        <v>1.4116956232876716E-3</v>
      </c>
      <c r="Q261" s="40">
        <f t="shared" ref="Q261:Q262" si="115">(H261*N261)*(1-G261/100)</f>
        <v>5.1334386301369868E-4</v>
      </c>
    </row>
    <row r="262" spans="1:17" s="35" customFormat="1" ht="15" customHeight="1" x14ac:dyDescent="0.25">
      <c r="A262" s="274"/>
      <c r="B262" s="238"/>
      <c r="C262" s="35" t="s">
        <v>470</v>
      </c>
      <c r="D262" s="55" t="s">
        <v>86</v>
      </c>
      <c r="E262" s="41" t="s">
        <v>191</v>
      </c>
      <c r="F262" s="55" t="s">
        <v>276</v>
      </c>
      <c r="G262" s="55">
        <v>70</v>
      </c>
      <c r="H262" s="37">
        <f>Rotas!M100/(365*24)</f>
        <v>2.1389327625570775</v>
      </c>
      <c r="I262" s="38">
        <v>-20.256724999999999</v>
      </c>
      <c r="J262" s="38">
        <v>-40.230541000000002</v>
      </c>
      <c r="K262" s="55">
        <v>2</v>
      </c>
      <c r="L262" s="39">
        <f>'FE-Sucata'!E8</f>
        <v>0.01</v>
      </c>
      <c r="M262" s="39">
        <f>'FE-Sucata'!D18/1000</f>
        <v>2.2000000000000001E-3</v>
      </c>
      <c r="N262" s="39">
        <f>'FE-Sucata'!F18/1000</f>
        <v>8.0000000000000004E-4</v>
      </c>
      <c r="O262" s="40">
        <f t="shared" si="113"/>
        <v>6.4167982876712337E-3</v>
      </c>
      <c r="P262" s="40">
        <f t="shared" si="114"/>
        <v>1.4116956232876716E-3</v>
      </c>
      <c r="Q262" s="40">
        <f t="shared" si="115"/>
        <v>5.1334386301369868E-4</v>
      </c>
    </row>
    <row r="263" spans="1:17" s="35" customFormat="1" ht="22.5" x14ac:dyDescent="0.25">
      <c r="A263" s="274" t="s">
        <v>358</v>
      </c>
      <c r="B263" s="238" t="s">
        <v>428</v>
      </c>
      <c r="C263" s="35" t="s">
        <v>412</v>
      </c>
      <c r="D263" s="55" t="s">
        <v>92</v>
      </c>
      <c r="E263" s="41">
        <v>7.6</v>
      </c>
      <c r="F263" s="111" t="s">
        <v>386</v>
      </c>
      <c r="G263" s="55">
        <f>(1-(1-0.5)*(1-0.84))*100</f>
        <v>92</v>
      </c>
      <c r="H263" s="37">
        <f>Rotas!H95/(365*24)</f>
        <v>2.0779372146118722</v>
      </c>
      <c r="I263" s="38">
        <v>-20.25826</v>
      </c>
      <c r="J263" s="38">
        <v>-40.232159000000003</v>
      </c>
      <c r="K263" s="55">
        <v>2</v>
      </c>
      <c r="L263" s="39">
        <f>'FE-Transferências'!$A$4*0.0016*((($B$2/2.2)^1.3)/(E263/2)^1.4)</f>
        <v>4.225648774807563E-4</v>
      </c>
      <c r="M263" s="39">
        <f>'FE-Transferências'!$C$4*0.0016*((($B$2/2.2)^1.3)/(E263/2)^1.4)</f>
        <v>1.9986176637603337E-4</v>
      </c>
      <c r="N263" s="39">
        <f>'FE-Transferências'!$E$4*0.0016*((($B$2/2.2)^1.3)/(E263/2)^1.4)</f>
        <v>3.0264781765513629E-5</v>
      </c>
      <c r="O263" s="40">
        <f t="shared" ref="O263:O264" si="116">(H263*L263)*(1-G263/100)</f>
        <v>7.0245062760413541E-5</v>
      </c>
      <c r="P263" s="133">
        <f t="shared" ref="P263:P264" si="117">(H263*M263)*(1-G263/100)</f>
        <v>3.3224016170465865E-5</v>
      </c>
      <c r="Q263" s="133">
        <f t="shared" ref="Q263:Q264" si="118">(H263*N263)*(1-G263/100)</f>
        <v>5.0310653058134039E-6</v>
      </c>
    </row>
    <row r="264" spans="1:17" s="35" customFormat="1" ht="15" customHeight="1" x14ac:dyDescent="0.25">
      <c r="A264" s="274"/>
      <c r="B264" s="238"/>
      <c r="C264" s="35" t="s">
        <v>489</v>
      </c>
      <c r="D264" s="55" t="s">
        <v>92</v>
      </c>
      <c r="E264" s="41">
        <v>7.6</v>
      </c>
      <c r="F264" s="55" t="s">
        <v>276</v>
      </c>
      <c r="G264" s="55">
        <v>70</v>
      </c>
      <c r="H264" s="37">
        <f>Rotas!H95/(365*24)</f>
        <v>2.0779372146118722</v>
      </c>
      <c r="I264" s="38">
        <v>-20.256724999999999</v>
      </c>
      <c r="J264" s="38">
        <v>-40.230541000000002</v>
      </c>
      <c r="K264" s="55">
        <v>2</v>
      </c>
      <c r="L264" s="39">
        <f>'FE-Transferências'!$A$4*0.0016*((($B$2/2.2)^1.3)/(E264/2)^1.4)</f>
        <v>4.225648774807563E-4</v>
      </c>
      <c r="M264" s="39">
        <f>'FE-Transferências'!$C$4*0.0016*((($B$2/2.2)^1.3)/(E264/2)^1.4)</f>
        <v>1.9986176637603337E-4</v>
      </c>
      <c r="N264" s="39">
        <f>'FE-Transferências'!$E$4*0.0016*((($B$2/2.2)^1.3)/(E264/2)^1.4)</f>
        <v>3.0264781765513629E-5</v>
      </c>
      <c r="O264" s="40">
        <f t="shared" si="116"/>
        <v>2.6341898535155097E-4</v>
      </c>
      <c r="P264" s="40">
        <f t="shared" si="117"/>
        <v>1.2459006063924707E-4</v>
      </c>
      <c r="Q264" s="40">
        <f t="shared" si="118"/>
        <v>1.8866494896800277E-5</v>
      </c>
    </row>
    <row r="265" spans="1:17" s="35" customFormat="1" ht="15" customHeight="1" x14ac:dyDescent="0.25">
      <c r="A265" s="132" t="s">
        <v>495</v>
      </c>
      <c r="B265" s="130" t="s">
        <v>428</v>
      </c>
      <c r="C265" s="35" t="s">
        <v>490</v>
      </c>
      <c r="D265" s="55" t="s">
        <v>73</v>
      </c>
      <c r="E265" s="41">
        <v>0.46</v>
      </c>
      <c r="F265" s="55" t="s">
        <v>276</v>
      </c>
      <c r="G265" s="55">
        <v>70</v>
      </c>
      <c r="H265" s="114">
        <f>Rotas!H99/(365*24)</f>
        <v>0.58768264840182649</v>
      </c>
      <c r="I265" s="38">
        <v>-20.256724999999999</v>
      </c>
      <c r="J265" s="38">
        <v>-40.230541000000002</v>
      </c>
      <c r="K265" s="55">
        <v>2</v>
      </c>
      <c r="L265" s="39">
        <f>'FE-Transferências'!$A$4*0.0016*((($B$2/2.2)^1.3)/(E265/2)^1.4)</f>
        <v>2.1437367919160014E-2</v>
      </c>
      <c r="M265" s="39">
        <f>'FE-Transferências'!$C$4*0.0016*((($B$2/2.2)^1.3)/(E265/2)^1.4)</f>
        <v>1.0139295637440548E-2</v>
      </c>
      <c r="N265" s="39">
        <f>'FE-Transferências'!$E$4*0.0016*((($B$2/2.2)^1.3)/(E265/2)^1.4)</f>
        <v>1.5353790536695687E-3</v>
      </c>
      <c r="O265" s="40">
        <f t="shared" ref="O265" si="119">(H265*L265)*(1-G265/100)</f>
        <v>3.7795107460488935E-3</v>
      </c>
      <c r="P265" s="40">
        <f t="shared" ref="P265" si="120">(H265*M265)*(1-G265/100)</f>
        <v>1.7876064339420444E-3</v>
      </c>
      <c r="Q265" s="40">
        <f t="shared" ref="Q265" si="121">(H265*N265)*(1-G265/100)</f>
        <v>2.7069468856836675E-4</v>
      </c>
    </row>
    <row r="266" spans="1:17" s="35" customFormat="1" ht="15" customHeight="1" x14ac:dyDescent="0.25">
      <c r="A266" s="276" t="s">
        <v>156</v>
      </c>
      <c r="B266" s="238" t="s">
        <v>420</v>
      </c>
      <c r="C266" s="35" t="s">
        <v>607</v>
      </c>
      <c r="D266" s="55" t="s">
        <v>478</v>
      </c>
      <c r="E266" s="41" t="s">
        <v>191</v>
      </c>
      <c r="F266" s="55" t="s">
        <v>340</v>
      </c>
      <c r="G266" s="55">
        <v>50</v>
      </c>
      <c r="H266" s="37">
        <f>(Rotas!C108+Rotas!D108)/(365*24)</f>
        <v>305.21596360730598</v>
      </c>
      <c r="I266" s="38">
        <v>-20.238417999999999</v>
      </c>
      <c r="J266" s="38">
        <v>-40.232070999999998</v>
      </c>
      <c r="K266" s="91"/>
      <c r="L266" s="39">
        <f>'FE-Britagem e Peneiramento'!B17</f>
        <v>5.9999999999999995E-4</v>
      </c>
      <c r="M266" s="39">
        <f>'FE-Britagem e Peneiramento'!D17</f>
        <v>2.7E-4</v>
      </c>
      <c r="N266" s="39">
        <f>'FE-Britagem e Peneiramento'!F17</f>
        <v>5.0000000000000002E-5</v>
      </c>
      <c r="O266" s="40">
        <f>(H266*L266)*(1-G266/100)</f>
        <v>9.1564789082191789E-2</v>
      </c>
      <c r="P266" s="40">
        <f>(H266*M266)*(1-G266/100)</f>
        <v>4.1204155086986306E-2</v>
      </c>
      <c r="Q266" s="40">
        <f>(H266*N266)*(1-G266/100)</f>
        <v>7.6303990901826499E-3</v>
      </c>
    </row>
    <row r="267" spans="1:17" s="35" customFormat="1" ht="15" customHeight="1" x14ac:dyDescent="0.25">
      <c r="A267" s="276"/>
      <c r="B267" s="238"/>
      <c r="C267" s="35" t="s">
        <v>412</v>
      </c>
      <c r="D267" s="55" t="s">
        <v>478</v>
      </c>
      <c r="E267" s="55">
        <v>15</v>
      </c>
      <c r="F267" s="55" t="s">
        <v>340</v>
      </c>
      <c r="G267" s="55">
        <v>50</v>
      </c>
      <c r="H267" s="37">
        <f>(Rotas!C108+Rotas!D108)/(365*24)</f>
        <v>305.21596360730598</v>
      </c>
      <c r="I267" s="38">
        <v>-20.236924999999999</v>
      </c>
      <c r="J267" s="38">
        <v>-40.233961000000001</v>
      </c>
      <c r="K267" s="55">
        <v>2</v>
      </c>
      <c r="L267" s="39">
        <f>'FE-Transferências'!$A$4*0.0016*((($B$2/2.2)^1.3)/(E267/2)^1.4)</f>
        <v>1.6311904241925811E-4</v>
      </c>
      <c r="M267" s="39">
        <f>'FE-Transferências'!$C$4*0.0016*((($B$2/2.2)^1.3)/(E267/2)^1.4)</f>
        <v>7.7150898441541004E-5</v>
      </c>
      <c r="N267" s="39">
        <f>'FE-Transferências'!$E$4*0.0016*((($B$2/2.2)^1.3)/(E267/2)^1.4)</f>
        <v>1.1682850335433353E-5</v>
      </c>
      <c r="O267" s="40">
        <f t="shared" ref="O267:O269" si="122">(H267*L267)*(1-G267/100)</f>
        <v>2.4893267857347443E-2</v>
      </c>
      <c r="P267" s="40">
        <f t="shared" ref="P267:P269" si="123">(H267*M267)*(1-G267/100)</f>
        <v>1.1773842905502169E-2</v>
      </c>
      <c r="Q267" s="40">
        <f t="shared" ref="Q267:Q269" si="124">(H267*N267)*(1-G267/100)</f>
        <v>1.7828962114046143E-3</v>
      </c>
    </row>
    <row r="268" spans="1:17" s="35" customFormat="1" ht="15" customHeight="1" x14ac:dyDescent="0.25">
      <c r="A268" s="274" t="s">
        <v>480</v>
      </c>
      <c r="B268" s="238" t="s">
        <v>420</v>
      </c>
      <c r="C268" s="35" t="s">
        <v>608</v>
      </c>
      <c r="D268" s="55" t="s">
        <v>483</v>
      </c>
      <c r="E268" s="55" t="s">
        <v>191</v>
      </c>
      <c r="F268" s="55" t="s">
        <v>403</v>
      </c>
      <c r="G268" s="55">
        <v>50</v>
      </c>
      <c r="H268" s="37">
        <f>Rotas!F108/(365*24)</f>
        <v>17.637214611872146</v>
      </c>
      <c r="I268" s="38">
        <v>-20.229589000000001</v>
      </c>
      <c r="J268" s="38">
        <v>-40.247036000000001</v>
      </c>
      <c r="K268" s="91"/>
      <c r="L268" s="39">
        <f>'FE-Britagem e Peneiramento'!B17</f>
        <v>5.9999999999999995E-4</v>
      </c>
      <c r="M268" s="39">
        <f>'FE-Britagem e Peneiramento'!D17</f>
        <v>2.7E-4</v>
      </c>
      <c r="N268" s="39">
        <f>'FE-Britagem e Peneiramento'!F17</f>
        <v>5.0000000000000002E-5</v>
      </c>
      <c r="O268" s="40">
        <f t="shared" si="122"/>
        <v>5.2911643835616435E-3</v>
      </c>
      <c r="P268" s="40">
        <f t="shared" si="123"/>
        <v>2.3810239726027396E-3</v>
      </c>
      <c r="Q268" s="40">
        <f t="shared" si="124"/>
        <v>4.4093036529680368E-4</v>
      </c>
    </row>
    <row r="269" spans="1:17" s="35" customFormat="1" ht="15" customHeight="1" x14ac:dyDescent="0.25">
      <c r="A269" s="274"/>
      <c r="B269" s="238"/>
      <c r="C269" s="35" t="s">
        <v>412</v>
      </c>
      <c r="D269" s="55" t="s">
        <v>483</v>
      </c>
      <c r="E269" s="55">
        <v>15</v>
      </c>
      <c r="F269" s="55" t="s">
        <v>403</v>
      </c>
      <c r="G269" s="55">
        <v>50</v>
      </c>
      <c r="H269" s="37">
        <f>Rotas!F108/(365*24)</f>
        <v>17.637214611872146</v>
      </c>
      <c r="I269" s="38">
        <v>-20.230008999999999</v>
      </c>
      <c r="J269" s="38">
        <v>-40.247697000000002</v>
      </c>
      <c r="K269" s="55">
        <v>2</v>
      </c>
      <c r="L269" s="39">
        <f>'FE-Transferências'!$A$4*0.0016*((($B$2/2.2)^1.3)/(E269/2)^1.4)</f>
        <v>1.6311904241925811E-4</v>
      </c>
      <c r="M269" s="39">
        <f>'FE-Transferências'!$C$4*0.0016*((($B$2/2.2)^1.3)/(E269/2)^1.4)</f>
        <v>7.7150898441541004E-5</v>
      </c>
      <c r="N269" s="39">
        <f>'FE-Transferências'!$E$4*0.0016*((($B$2/2.2)^1.3)/(E269/2)^1.4)</f>
        <v>1.1682850335433353E-5</v>
      </c>
      <c r="O269" s="40">
        <f t="shared" si="122"/>
        <v>1.4384827792157657E-3</v>
      </c>
      <c r="P269" s="40">
        <f t="shared" si="123"/>
        <v>6.8036347665610545E-4</v>
      </c>
      <c r="Q269" s="40">
        <f t="shared" si="124"/>
        <v>1.0302646932221026E-4</v>
      </c>
    </row>
    <row r="270" spans="1:17" ht="15" customHeight="1" x14ac:dyDescent="0.25">
      <c r="A270" s="261" t="s">
        <v>142</v>
      </c>
      <c r="B270" s="261"/>
      <c r="C270" s="261"/>
      <c r="D270" s="261"/>
      <c r="E270" s="261"/>
      <c r="F270" s="261"/>
      <c r="G270" s="261"/>
      <c r="H270" s="261"/>
      <c r="I270" s="261"/>
      <c r="J270" s="261"/>
      <c r="K270" s="261"/>
      <c r="L270" s="261"/>
      <c r="M270" s="261"/>
      <c r="N270" s="261"/>
      <c r="O270" s="43">
        <f>SUM(O7:O269)</f>
        <v>40.017087642917623</v>
      </c>
      <c r="P270" s="43">
        <f t="shared" ref="P270:Q270" si="125">SUM(P7:P269)</f>
        <v>10.55757019296389</v>
      </c>
      <c r="Q270" s="43">
        <f t="shared" si="125"/>
        <v>1.7381186512804074</v>
      </c>
    </row>
    <row r="273" spans="1:12" ht="15" customHeight="1" x14ac:dyDescent="0.25">
      <c r="A273" s="201" t="s">
        <v>143</v>
      </c>
      <c r="B273" s="268"/>
      <c r="C273" s="269"/>
      <c r="D273" s="45"/>
      <c r="E273" s="262" t="s">
        <v>305</v>
      </c>
      <c r="F273" s="263"/>
      <c r="G273" s="263"/>
      <c r="H273" s="263"/>
      <c r="I273" s="263"/>
      <c r="J273" s="263"/>
      <c r="K273" s="263"/>
      <c r="L273" s="263"/>
    </row>
    <row r="274" spans="1:12" ht="15" customHeight="1" x14ac:dyDescent="0.25">
      <c r="A274" s="201"/>
      <c r="B274" s="270"/>
      <c r="C274" s="271"/>
      <c r="D274" s="45"/>
      <c r="E274" s="256" t="s">
        <v>497</v>
      </c>
      <c r="F274" s="257"/>
      <c r="G274" s="257"/>
      <c r="H274" s="257"/>
      <c r="I274" s="257"/>
      <c r="J274" s="257"/>
      <c r="K274" s="257"/>
      <c r="L274" s="257"/>
    </row>
    <row r="275" spans="1:12" ht="15" customHeight="1" x14ac:dyDescent="0.25">
      <c r="A275" s="201"/>
      <c r="B275" s="270"/>
      <c r="C275" s="271"/>
      <c r="D275" s="45"/>
      <c r="E275" s="256"/>
      <c r="F275" s="257"/>
      <c r="G275" s="257"/>
      <c r="H275" s="257"/>
      <c r="I275" s="257"/>
      <c r="J275" s="257"/>
      <c r="K275" s="257"/>
      <c r="L275" s="257"/>
    </row>
    <row r="276" spans="1:12" ht="15" customHeight="1" x14ac:dyDescent="0.25">
      <c r="A276" s="201"/>
      <c r="B276" s="270"/>
      <c r="C276" s="271"/>
      <c r="D276" s="45"/>
      <c r="E276" s="256" t="s">
        <v>612</v>
      </c>
      <c r="F276" s="257"/>
      <c r="G276" s="257"/>
      <c r="H276" s="257"/>
      <c r="I276" s="257"/>
      <c r="J276" s="257"/>
      <c r="K276" s="257"/>
      <c r="L276" s="257"/>
    </row>
    <row r="277" spans="1:12" ht="15" customHeight="1" x14ac:dyDescent="0.25">
      <c r="A277" s="201"/>
      <c r="B277" s="272"/>
      <c r="C277" s="273"/>
      <c r="D277" s="45"/>
      <c r="E277" s="264" t="s">
        <v>398</v>
      </c>
      <c r="F277" s="265"/>
      <c r="G277" s="265"/>
      <c r="H277" s="265"/>
      <c r="I277" s="265"/>
      <c r="J277" s="265"/>
      <c r="K277" s="265"/>
      <c r="L277" s="265"/>
    </row>
    <row r="278" spans="1:12" ht="15" customHeight="1" x14ac:dyDescent="0.25">
      <c r="A278" s="201"/>
      <c r="B278" s="266" t="s">
        <v>144</v>
      </c>
      <c r="C278" s="267"/>
      <c r="D278" s="92"/>
      <c r="E278" s="257" t="s">
        <v>606</v>
      </c>
      <c r="F278" s="257"/>
      <c r="G278" s="257"/>
      <c r="H278" s="257"/>
      <c r="I278" s="257"/>
      <c r="J278" s="257"/>
      <c r="K278" s="257"/>
      <c r="L278" s="257"/>
    </row>
    <row r="279" spans="1:12" ht="15" customHeight="1" x14ac:dyDescent="0.25">
      <c r="A279" s="201"/>
      <c r="B279" s="256"/>
      <c r="C279" s="257"/>
      <c r="D279" s="93"/>
      <c r="E279" s="45"/>
      <c r="F279" s="44"/>
    </row>
    <row r="280" spans="1:12" ht="15" customHeight="1" x14ac:dyDescent="0.25">
      <c r="A280" s="201"/>
      <c r="B280" s="256"/>
      <c r="C280" s="257"/>
      <c r="D280" s="93"/>
      <c r="E280" s="45"/>
      <c r="F280" s="44"/>
    </row>
    <row r="281" spans="1:12" ht="15" customHeight="1" x14ac:dyDescent="0.25">
      <c r="A281" s="201"/>
      <c r="B281" s="256"/>
      <c r="C281" s="257"/>
      <c r="D281" s="93"/>
      <c r="E281" s="45"/>
      <c r="F281" s="44"/>
    </row>
    <row r="282" spans="1:12" ht="15" customHeight="1" x14ac:dyDescent="0.25">
      <c r="A282" s="201"/>
      <c r="B282" s="256"/>
      <c r="C282" s="257"/>
      <c r="D282" s="93"/>
      <c r="E282" s="45"/>
      <c r="F282" s="44"/>
    </row>
    <row r="283" spans="1:12" ht="15" customHeight="1" x14ac:dyDescent="0.25">
      <c r="A283" s="201"/>
      <c r="B283" s="256"/>
      <c r="C283" s="257"/>
      <c r="D283" s="94"/>
      <c r="E283" s="46"/>
      <c r="F283" s="44"/>
    </row>
    <row r="285" spans="1:12" ht="15" customHeight="1" x14ac:dyDescent="0.25">
      <c r="A285" s="239" t="s">
        <v>143</v>
      </c>
      <c r="B285" s="56"/>
    </row>
    <row r="286" spans="1:12" ht="15" customHeight="1" x14ac:dyDescent="0.25">
      <c r="A286" s="240"/>
      <c r="B286" s="57"/>
    </row>
    <row r="287" spans="1:12" ht="15" customHeight="1" x14ac:dyDescent="0.25">
      <c r="A287" s="240"/>
      <c r="B287" s="57"/>
    </row>
    <row r="288" spans="1:12" ht="15" customHeight="1" x14ac:dyDescent="0.25">
      <c r="A288" s="240"/>
      <c r="B288" s="242" t="s">
        <v>145</v>
      </c>
    </row>
    <row r="289" spans="1:2" ht="15" customHeight="1" x14ac:dyDescent="0.25">
      <c r="A289" s="240"/>
      <c r="B289" s="243"/>
    </row>
    <row r="290" spans="1:2" ht="15" customHeight="1" x14ac:dyDescent="0.25">
      <c r="A290" s="240"/>
      <c r="B290" s="243"/>
    </row>
    <row r="291" spans="1:2" ht="15" customHeight="1" x14ac:dyDescent="0.25">
      <c r="A291" s="241"/>
      <c r="B291" s="244"/>
    </row>
  </sheetData>
  <sheetProtection algorithmName="SHA-512" hashValue="pKBtTPjz8vUIckJz6NUbUOKivGKyOlWRmG3DITWMgKEsriFSLQx0e5+FRcNv3wBYk/tI2vr1axJvp7RBivMp0A==" saltValue="FlJMwTv6iMDOt9CRTOS9Kg==" spinCount="100000" sheet="1" objects="1" scenarios="1"/>
  <mergeCells count="142">
    <mergeCell ref="A266:A267"/>
    <mergeCell ref="B266:B267"/>
    <mergeCell ref="A268:A269"/>
    <mergeCell ref="B268:B269"/>
    <mergeCell ref="A263:A264"/>
    <mergeCell ref="B263:B264"/>
    <mergeCell ref="A253:A254"/>
    <mergeCell ref="B253:B254"/>
    <mergeCell ref="A255:A258"/>
    <mergeCell ref="B255:B258"/>
    <mergeCell ref="A259:A260"/>
    <mergeCell ref="B259:B260"/>
    <mergeCell ref="A261:A262"/>
    <mergeCell ref="B261:B262"/>
    <mergeCell ref="A249:A250"/>
    <mergeCell ref="A251:A252"/>
    <mergeCell ref="B251:B252"/>
    <mergeCell ref="A235:A236"/>
    <mergeCell ref="B235:B236"/>
    <mergeCell ref="A237:A240"/>
    <mergeCell ref="B237:B240"/>
    <mergeCell ref="B243:B246"/>
    <mergeCell ref="A243:A246"/>
    <mergeCell ref="A241:A242"/>
    <mergeCell ref="B241:B242"/>
    <mergeCell ref="B249:B250"/>
    <mergeCell ref="B247:B248"/>
    <mergeCell ref="A247:A248"/>
    <mergeCell ref="A166:A171"/>
    <mergeCell ref="B166:B171"/>
    <mergeCell ref="B214:B216"/>
    <mergeCell ref="A214:A216"/>
    <mergeCell ref="A108:A109"/>
    <mergeCell ref="A196:A201"/>
    <mergeCell ref="A179:A184"/>
    <mergeCell ref="A223:A226"/>
    <mergeCell ref="B223:B226"/>
    <mergeCell ref="A206:A207"/>
    <mergeCell ref="B206:B207"/>
    <mergeCell ref="A208:A209"/>
    <mergeCell ref="B208:B209"/>
    <mergeCell ref="A210:A211"/>
    <mergeCell ref="A217:A220"/>
    <mergeCell ref="B217:B220"/>
    <mergeCell ref="A212:A213"/>
    <mergeCell ref="B212:B213"/>
    <mergeCell ref="A148:A153"/>
    <mergeCell ref="B154:B159"/>
    <mergeCell ref="B172:B178"/>
    <mergeCell ref="B110:B120"/>
    <mergeCell ref="B121:B126"/>
    <mergeCell ref="B196:B201"/>
    <mergeCell ref="B5:B6"/>
    <mergeCell ref="B7:B9"/>
    <mergeCell ref="B210:B211"/>
    <mergeCell ref="A202:A205"/>
    <mergeCell ref="B202:B205"/>
    <mergeCell ref="B189:B195"/>
    <mergeCell ref="A189:A195"/>
    <mergeCell ref="A154:A159"/>
    <mergeCell ref="A160:A165"/>
    <mergeCell ref="B128:B137"/>
    <mergeCell ref="B108:B109"/>
    <mergeCell ref="A104:A105"/>
    <mergeCell ref="B104:B105"/>
    <mergeCell ref="A65:A66"/>
    <mergeCell ref="B65:B66"/>
    <mergeCell ref="A138:A147"/>
    <mergeCell ref="A172:A178"/>
    <mergeCell ref="A185:A188"/>
    <mergeCell ref="B185:B188"/>
    <mergeCell ref="A128:A137"/>
    <mergeCell ref="A10:A12"/>
    <mergeCell ref="B10:B12"/>
    <mergeCell ref="A106:A107"/>
    <mergeCell ref="A121:A126"/>
    <mergeCell ref="B273:C277"/>
    <mergeCell ref="B13:B18"/>
    <mergeCell ref="B179:B184"/>
    <mergeCell ref="B233:B234"/>
    <mergeCell ref="B106:B107"/>
    <mergeCell ref="B148:B153"/>
    <mergeCell ref="B160:B165"/>
    <mergeCell ref="B138:B147"/>
    <mergeCell ref="B19:B29"/>
    <mergeCell ref="B37:B38"/>
    <mergeCell ref="B45:B54"/>
    <mergeCell ref="B55:B59"/>
    <mergeCell ref="B78:B87"/>
    <mergeCell ref="B88:B97"/>
    <mergeCell ref="B98:B103"/>
    <mergeCell ref="B39:B44"/>
    <mergeCell ref="B30:B36"/>
    <mergeCell ref="B60:B62"/>
    <mergeCell ref="A7:A9"/>
    <mergeCell ref="A270:N270"/>
    <mergeCell ref="A273:A283"/>
    <mergeCell ref="A13:A18"/>
    <mergeCell ref="A19:A29"/>
    <mergeCell ref="A37:A38"/>
    <mergeCell ref="E273:L273"/>
    <mergeCell ref="A45:A54"/>
    <mergeCell ref="A55:A59"/>
    <mergeCell ref="B67:B71"/>
    <mergeCell ref="A67:A71"/>
    <mergeCell ref="A72:A77"/>
    <mergeCell ref="B72:B77"/>
    <mergeCell ref="A39:A44"/>
    <mergeCell ref="A30:A36"/>
    <mergeCell ref="E277:L277"/>
    <mergeCell ref="A60:A62"/>
    <mergeCell ref="A78:A87"/>
    <mergeCell ref="A88:A97"/>
    <mergeCell ref="A98:A103"/>
    <mergeCell ref="A110:A120"/>
    <mergeCell ref="E278:L278"/>
    <mergeCell ref="B278:C283"/>
    <mergeCell ref="E274:L275"/>
    <mergeCell ref="A221:A222"/>
    <mergeCell ref="B221:B222"/>
    <mergeCell ref="A285:A291"/>
    <mergeCell ref="B288:B291"/>
    <mergeCell ref="L5:N5"/>
    <mergeCell ref="O5:Q5"/>
    <mergeCell ref="H5:H6"/>
    <mergeCell ref="I5:I6"/>
    <mergeCell ref="J5:J6"/>
    <mergeCell ref="K5:K6"/>
    <mergeCell ref="A5:A6"/>
    <mergeCell ref="D5:D6"/>
    <mergeCell ref="E5:E6"/>
    <mergeCell ref="F5:F6"/>
    <mergeCell ref="G5:G6"/>
    <mergeCell ref="C5:C6"/>
    <mergeCell ref="A63:A64"/>
    <mergeCell ref="B63:B64"/>
    <mergeCell ref="A227:A230"/>
    <mergeCell ref="B227:B230"/>
    <mergeCell ref="A231:A232"/>
    <mergeCell ref="B231:B232"/>
    <mergeCell ref="A233:A234"/>
    <mergeCell ref="E276:L27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M24:N24 L258:N258 N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FE-Britagem e Peneiramento</vt:lpstr>
      <vt:lpstr>FE-Transferências</vt:lpstr>
      <vt:lpstr>FE-Sucata</vt:lpstr>
      <vt:lpstr>FE-Difusas</vt:lpstr>
      <vt:lpstr>Infos COV</vt:lpstr>
      <vt:lpstr>Controles</vt:lpstr>
      <vt:lpstr>Dados</vt:lpstr>
      <vt:lpstr>Rotas</vt:lpstr>
      <vt:lpstr>Transferências</vt:lpstr>
      <vt:lpstr>Fugitivas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2018-11-22T11:24:12Z</dcterms:created>
  <dcterms:modified xsi:type="dcterms:W3CDTF">2019-06-06T19:12:07Z</dcterms:modified>
</cp:coreProperties>
</file>