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avit\"/>
    </mc:Choice>
  </mc:AlternateContent>
  <bookViews>
    <workbookView xWindow="0" yWindow="0" windowWidth="24000" windowHeight="9735" tabRatio="741" activeTab="3"/>
  </bookViews>
  <sheets>
    <sheet name="FE-Líquidos de Petróleo" sheetId="12" r:id="rId1"/>
    <sheet name="Emissão Tanques" sheetId="11" r:id="rId2"/>
    <sheet name="Emissão Plataforma de Abast." sheetId="13" r:id="rId3"/>
    <sheet name="Emissão Total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11" l="1"/>
  <c r="S26" i="11"/>
  <c r="S18" i="11"/>
  <c r="S25" i="11"/>
  <c r="X25" i="11"/>
  <c r="U25" i="11"/>
  <c r="U14" i="11"/>
  <c r="K12" i="13" l="1"/>
  <c r="AA12" i="11"/>
  <c r="Z25" i="11"/>
  <c r="W25" i="11"/>
  <c r="U19" i="11"/>
  <c r="U24" i="11"/>
  <c r="R25" i="11"/>
  <c r="L25" i="11"/>
  <c r="J25" i="11"/>
  <c r="Y32" i="11" l="1"/>
  <c r="I12" i="13"/>
  <c r="J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P25" i="11"/>
  <c r="P15" i="11" l="1"/>
  <c r="P14" i="11"/>
  <c r="P13" i="11"/>
  <c r="P12" i="11"/>
  <c r="B4" i="15"/>
  <c r="B2" i="11" l="1"/>
  <c r="B1" i="11"/>
  <c r="B4" i="11"/>
  <c r="G12" i="13" l="1"/>
  <c r="U26" i="11" l="1"/>
  <c r="Z13" i="11" l="1"/>
  <c r="Z14" i="11"/>
  <c r="Z15" i="11"/>
  <c r="Z17" i="11"/>
  <c r="Z18" i="11"/>
  <c r="Z19" i="11"/>
  <c r="Z20" i="11"/>
  <c r="Z21" i="11"/>
  <c r="Z22" i="11"/>
  <c r="Z23" i="11"/>
  <c r="Z24" i="11"/>
  <c r="Z26" i="11"/>
  <c r="Z27" i="11"/>
  <c r="Z28" i="11"/>
  <c r="Z29" i="11"/>
  <c r="Z30" i="11"/>
  <c r="Z31" i="11"/>
  <c r="Z12" i="11"/>
  <c r="Z32" i="11" l="1"/>
  <c r="B3" i="15"/>
  <c r="B5" i="15" s="1"/>
  <c r="AA13" i="11"/>
  <c r="AA14" i="11"/>
  <c r="AA15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 l="1"/>
  <c r="D4" i="13"/>
  <c r="D3" i="13"/>
  <c r="D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I17" i="13" l="1"/>
  <c r="J17" i="13" s="1"/>
  <c r="I20" i="13"/>
  <c r="J20" i="13" s="1"/>
  <c r="I28" i="13"/>
  <c r="J28" i="13" s="1"/>
  <c r="I14" i="13"/>
  <c r="J14" i="13" s="1"/>
  <c r="I23" i="13"/>
  <c r="J23" i="13" s="1"/>
  <c r="I15" i="13"/>
  <c r="J15" i="13" s="1"/>
  <c r="I22" i="13"/>
  <c r="J22" i="13" s="1"/>
  <c r="I25" i="13"/>
  <c r="J25" i="13" s="1"/>
  <c r="I21" i="13"/>
  <c r="J21" i="13" s="1"/>
  <c r="I13" i="13"/>
  <c r="J13" i="13" s="1"/>
  <c r="I26" i="13"/>
  <c r="J26" i="13" s="1"/>
  <c r="I18" i="13"/>
  <c r="J18" i="13" s="1"/>
  <c r="I24" i="13"/>
  <c r="J24" i="13" s="1"/>
  <c r="I16" i="13"/>
  <c r="J16" i="13" s="1"/>
  <c r="J12" i="13"/>
  <c r="I27" i="13"/>
  <c r="J27" i="13" s="1"/>
  <c r="I19" i="13"/>
  <c r="J19" i="13" s="1"/>
  <c r="I5" i="12"/>
  <c r="I4" i="12"/>
  <c r="I3" i="12"/>
  <c r="B33" i="13" l="1"/>
  <c r="K18" i="13"/>
  <c r="L18" i="13" s="1"/>
  <c r="B35" i="13"/>
  <c r="K15" i="13"/>
  <c r="L15" i="13" s="1"/>
  <c r="K24" i="13"/>
  <c r="L24" i="13" s="1"/>
  <c r="K26" i="13"/>
  <c r="L26" i="13" s="1"/>
  <c r="B34" i="13"/>
  <c r="B36" i="13" s="1"/>
  <c r="K21" i="13"/>
  <c r="L21" i="13" s="1"/>
  <c r="I29" i="13"/>
  <c r="L12" i="13"/>
  <c r="L29" i="13" l="1"/>
  <c r="K29" i="13"/>
  <c r="P17" i="11"/>
  <c r="P19" i="11"/>
  <c r="P20" i="11"/>
  <c r="P21" i="11"/>
  <c r="P22" i="11"/>
  <c r="P23" i="11"/>
  <c r="P24" i="11"/>
  <c r="P27" i="11"/>
  <c r="P28" i="11"/>
  <c r="P29" i="11"/>
  <c r="P30" i="11"/>
  <c r="P31" i="11"/>
  <c r="W22" i="11" l="1"/>
  <c r="W23" i="11"/>
  <c r="W24" i="11"/>
  <c r="W26" i="11"/>
  <c r="W27" i="11"/>
  <c r="W28" i="11"/>
  <c r="W29" i="11"/>
  <c r="W30" i="11"/>
  <c r="W31" i="11"/>
  <c r="U22" i="11"/>
  <c r="U23" i="11"/>
  <c r="U27" i="11"/>
  <c r="U28" i="11"/>
  <c r="U29" i="11"/>
  <c r="U30" i="11"/>
  <c r="U31" i="11"/>
  <c r="R22" i="11"/>
  <c r="R23" i="11"/>
  <c r="R24" i="11"/>
  <c r="R26" i="11"/>
  <c r="R27" i="11"/>
  <c r="R28" i="11"/>
  <c r="R29" i="11"/>
  <c r="R30" i="11"/>
  <c r="R31" i="11"/>
  <c r="L22" i="11"/>
  <c r="L23" i="11"/>
  <c r="L24" i="11"/>
  <c r="L26" i="11"/>
  <c r="L27" i="11"/>
  <c r="L28" i="11"/>
  <c r="L29" i="11"/>
  <c r="L30" i="11"/>
  <c r="L31" i="11"/>
  <c r="L15" i="11"/>
  <c r="L17" i="11"/>
  <c r="L18" i="11"/>
  <c r="L19" i="11"/>
  <c r="J22" i="11"/>
  <c r="J23" i="11"/>
  <c r="J24" i="11"/>
  <c r="J26" i="11"/>
  <c r="J27" i="11"/>
  <c r="J28" i="11"/>
  <c r="J29" i="11"/>
  <c r="J30" i="11"/>
  <c r="J31" i="11"/>
  <c r="X22" i="11" l="1"/>
  <c r="X30" i="11"/>
  <c r="X26" i="11"/>
  <c r="X29" i="11"/>
  <c r="X28" i="11"/>
  <c r="X24" i="11"/>
  <c r="X31" i="11"/>
  <c r="X27" i="11"/>
  <c r="X23" i="11"/>
  <c r="W18" i="11"/>
  <c r="W19" i="11"/>
  <c r="W20" i="11"/>
  <c r="W21" i="11"/>
  <c r="U18" i="11"/>
  <c r="U20" i="11"/>
  <c r="U21" i="11"/>
  <c r="R18" i="11"/>
  <c r="R19" i="11"/>
  <c r="R20" i="11"/>
  <c r="R21" i="11"/>
  <c r="L21" i="11"/>
  <c r="L20" i="11"/>
  <c r="J21" i="11"/>
  <c r="J20" i="11"/>
  <c r="J19" i="11"/>
  <c r="J18" i="11"/>
  <c r="X20" i="11" l="1"/>
  <c r="X19" i="11"/>
  <c r="X21" i="11"/>
  <c r="W13" i="11" l="1"/>
  <c r="W14" i="11"/>
  <c r="W15" i="11"/>
  <c r="W17" i="11"/>
  <c r="W12" i="11"/>
  <c r="R13" i="11"/>
  <c r="R14" i="11"/>
  <c r="R15" i="11"/>
  <c r="R17" i="11"/>
  <c r="R12" i="11"/>
  <c r="X15" i="11" l="1"/>
  <c r="X17" i="11"/>
  <c r="X14" i="11"/>
  <c r="X13" i="11"/>
  <c r="X12" i="11"/>
  <c r="J13" i="11"/>
  <c r="J12" i="11" l="1"/>
  <c r="U13" i="11" l="1"/>
  <c r="U15" i="11"/>
  <c r="U17" i="11"/>
  <c r="U12" i="11"/>
  <c r="J14" i="11"/>
  <c r="J15" i="11"/>
  <c r="J17" i="11"/>
  <c r="L13" i="11"/>
  <c r="L14" i="11"/>
  <c r="L12" i="11"/>
</calcChain>
</file>

<file path=xl/comments1.xml><?xml version="1.0" encoding="utf-8"?>
<comments xmlns="http://schemas.openxmlformats.org/spreadsheetml/2006/main">
  <authors>
    <author>Tatiane Jardim Morais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H2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I2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A3" authorId="0" shapeId="0">
      <text>
        <r>
          <rPr>
            <sz val="9"/>
            <color indexed="81"/>
            <rFont val="Segoe UI"/>
            <family val="2"/>
          </rPr>
          <t xml:space="preserve">http://www.br.com.br/wcm/connect/28dc5984-064e-4093-991c-23a32cb8b4cf/fispq-oleocomb-oc-1b.pdf?MOD=AJPERES&amp;CVID=lLJwxju
</t>
        </r>
      </text>
    </comment>
    <comment ref="N11" authorId="0" shapeId="0">
      <text>
        <r>
          <rPr>
            <sz val="9"/>
            <color indexed="81"/>
            <rFont val="Segoe UI"/>
            <family val="2"/>
          </rPr>
          <t xml:space="preserve">
Valor retornardo pelo Tanks</t>
        </r>
      </text>
    </comment>
    <comment ref="P11" authorId="0" shapeId="0">
      <text>
        <r>
          <rPr>
            <sz val="9"/>
            <color indexed="81"/>
            <rFont val="Segoe UI"/>
            <family val="2"/>
          </rPr>
          <t xml:space="preserve">
Valor da altura máxima do líquido (ft) x 0,55 (conforme dados de tanques similares)</t>
        </r>
      </text>
    </comment>
    <comment ref="W11" authorId="0" shapeId="0">
      <text>
        <r>
          <rPr>
            <sz val="9"/>
            <color indexed="81"/>
            <rFont val="Segoe UI"/>
            <family val="2"/>
          </rPr>
          <t xml:space="preserve">
Conversão de t/ano para bbl/ano:
http://www.portalnaval.com.br/media/tabela/conversao_petroleo_gas_1.pdf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</commentList>
</comments>
</file>

<file path=xl/sharedStrings.xml><?xml version="1.0" encoding="utf-8"?>
<sst xmlns="http://schemas.openxmlformats.org/spreadsheetml/2006/main" count="222" uniqueCount="125">
  <si>
    <t>Identificação do tanque</t>
  </si>
  <si>
    <t>Cor da Pintura do Tanque</t>
  </si>
  <si>
    <t>Altura [m]</t>
  </si>
  <si>
    <t>Diâmetro [m]</t>
  </si>
  <si>
    <t>Volume total [m³]</t>
  </si>
  <si>
    <t>Volume útil [m³]</t>
  </si>
  <si>
    <t>Combustível</t>
  </si>
  <si>
    <t>Volume armazenado [t/ano]</t>
  </si>
  <si>
    <t>Altura [ft]</t>
  </si>
  <si>
    <t>Diâmetro [ft]</t>
  </si>
  <si>
    <t>Volume útil [gal]</t>
  </si>
  <si>
    <t>Disturbios por ano</t>
  </si>
  <si>
    <t>Tipo de Teto</t>
  </si>
  <si>
    <t>Combustível Usado no TANKS</t>
  </si>
  <si>
    <t>Volume total [ft³]</t>
  </si>
  <si>
    <t>Volume armazenado [bbl/ano]</t>
  </si>
  <si>
    <t>Biodiesel B100</t>
  </si>
  <si>
    <t>TQ 1251</t>
  </si>
  <si>
    <t>TQ 1252</t>
  </si>
  <si>
    <t>TQ 1262</t>
  </si>
  <si>
    <t>TQ 1263</t>
  </si>
  <si>
    <t>TQ 1264</t>
  </si>
  <si>
    <t>TQ 1260</t>
  </si>
  <si>
    <t>TQ 1261</t>
  </si>
  <si>
    <t>TQ 1265</t>
  </si>
  <si>
    <t>TQ 1266</t>
  </si>
  <si>
    <t>TQ 1255</t>
  </si>
  <si>
    <t>TQ 1257</t>
  </si>
  <si>
    <t>TQ 1258</t>
  </si>
  <si>
    <t>TQ 1259</t>
  </si>
  <si>
    <t>TQ 1268</t>
  </si>
  <si>
    <t>TQ 1269</t>
  </si>
  <si>
    <t>TQ 1253</t>
  </si>
  <si>
    <t>TQ 1254</t>
  </si>
  <si>
    <t>TQ 1256</t>
  </si>
  <si>
    <t>TQ 44601</t>
  </si>
  <si>
    <t>TQ 44602</t>
  </si>
  <si>
    <t>Bacia A</t>
  </si>
  <si>
    <t>Bacia B</t>
  </si>
  <si>
    <t>Bacia C</t>
  </si>
  <si>
    <t>Bacia D</t>
  </si>
  <si>
    <t>Bacia E</t>
  </si>
  <si>
    <t>Óleo Diesel    S-500</t>
  </si>
  <si>
    <t>Óleo Combustível OC 1A</t>
  </si>
  <si>
    <t>Óleo Diesel    S-10</t>
  </si>
  <si>
    <t>Gasolina A</t>
  </si>
  <si>
    <t>MF 380</t>
  </si>
  <si>
    <t>Etanol Anidro</t>
  </si>
  <si>
    <t>Etanol Hidratado</t>
  </si>
  <si>
    <t>Óleo Diesel    Marítimo</t>
  </si>
  <si>
    <t>Branca</t>
  </si>
  <si>
    <t>Alumínio</t>
  </si>
  <si>
    <t>FIXO</t>
  </si>
  <si>
    <t>FLUTUANTE</t>
  </si>
  <si>
    <t>Residual Oil no. 6</t>
  </si>
  <si>
    <t>Distillate fuel oil no. 2</t>
  </si>
  <si>
    <t>Manutenção em 2015</t>
  </si>
  <si>
    <t>Residual oil n. 6</t>
  </si>
  <si>
    <t>Ethyl Alcohol</t>
  </si>
  <si>
    <t>Distillate fuel oil no. 2 (diesel)</t>
  </si>
  <si>
    <t>Gasoline (RPV 15.0)</t>
  </si>
  <si>
    <t>Equação Geral:</t>
  </si>
  <si>
    <t>Fonte Emissora</t>
  </si>
  <si>
    <t>Tipo Combustível</t>
  </si>
  <si>
    <t>Ilha 3</t>
  </si>
  <si>
    <t>Ilha 4</t>
  </si>
  <si>
    <t>Ilha 5</t>
  </si>
  <si>
    <t>Ilha 6</t>
  </si>
  <si>
    <t>Ilha 7</t>
  </si>
  <si>
    <t>Óleo Diesel S-500</t>
  </si>
  <si>
    <t>Óleo Diesel S-10</t>
  </si>
  <si>
    <t>Gasolina C</t>
  </si>
  <si>
    <t>Óleo Diesel S-500/Maritimo</t>
  </si>
  <si>
    <t>Ilha 8</t>
  </si>
  <si>
    <t>Protudo</t>
  </si>
  <si>
    <t>Óleo Diesel</t>
  </si>
  <si>
    <t>Taxa de Emissão (t/ano)</t>
  </si>
  <si>
    <t>Table 5.2-1  Saturation (S) Factors For Calculating Petroleum Liquid Loading Losses</t>
  </si>
  <si>
    <t>Cargo Carrier</t>
  </si>
  <si>
    <t>Tank trucks and rail tank cars</t>
  </si>
  <si>
    <t>Submerged loading: dedicated normal service</t>
  </si>
  <si>
    <t>Mode Of Operation</t>
  </si>
  <si>
    <t>S Factor</t>
  </si>
  <si>
    <r>
      <t>Onde:
L</t>
    </r>
    <r>
      <rPr>
        <vertAlign val="subscript"/>
        <sz val="8"/>
        <color theme="1"/>
        <rFont val="Arial"/>
        <family val="2"/>
      </rPr>
      <t>L</t>
    </r>
    <r>
      <rPr>
        <sz val="8"/>
        <color theme="1"/>
        <rFont val="Arial"/>
        <family val="2"/>
      </rPr>
      <t xml:space="preserve"> = perda de carga, libras por 1000 galões (lb / 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gal) de líquido carregado
S = Fator de saturação (Tabela 5.2-1 - AP42 )
P = pressão de vapor real do líquido carregado, libras por polegada quadrada absoluta (psia) (Seção 7.1 - AP42)
M =  peso molecular de vapores, libras por libra-mole (lb / lb-mole) (Seção 7.1 - AP42)
T = temperatura do líquido a granel carregado, ° R (° F + 460)</t>
    </r>
  </si>
  <si>
    <t>Gasolina</t>
  </si>
  <si>
    <t>Etanol</t>
  </si>
  <si>
    <t>Diesel</t>
  </si>
  <si>
    <t>Pressão de Vapor (psia)</t>
  </si>
  <si>
    <t>Peso Molecular de Vapor (lb / lb-mole)</t>
  </si>
  <si>
    <t>temperatura do líquido ° R (° F + 460)</t>
  </si>
  <si>
    <t>Modo de Operação</t>
  </si>
  <si>
    <t>Top Loading</t>
  </si>
  <si>
    <t>Referência: AP42 - https://www3.epa.gov/ttn/chief/ap42/ch05/final/c05s02.pdf</t>
  </si>
  <si>
    <t>Total por Ilha [kg/h]</t>
  </si>
  <si>
    <t>Diesel Maritimo TRANSPETRO</t>
  </si>
  <si>
    <t xml:space="preserve">Densidade OC 1B (kg/L): </t>
  </si>
  <si>
    <t xml:space="preserve">Densidade OC-1B (lb/gal): </t>
  </si>
  <si>
    <t>Conversão kg/L para lb/gal:</t>
  </si>
  <si>
    <t>Conversão metro para pés:</t>
  </si>
  <si>
    <t>Conversão metro cúbico para pés cúbicos:</t>
  </si>
  <si>
    <t>Conversão metro cúbico para galão:</t>
  </si>
  <si>
    <t>Movimentação [m³/ano]</t>
  </si>
  <si>
    <t>Movimentação [gal/h]</t>
  </si>
  <si>
    <r>
      <t>L</t>
    </r>
    <r>
      <rPr>
        <b/>
        <vertAlign val="subscript"/>
        <sz val="8"/>
        <color theme="0"/>
        <rFont val="Arial"/>
        <family val="2"/>
      </rPr>
      <t>L</t>
    </r>
    <r>
      <rPr>
        <b/>
        <sz val="8"/>
        <color theme="0"/>
        <rFont val="Arial"/>
        <family val="2"/>
      </rPr>
      <t xml:space="preserve"> 
[lb/10</t>
    </r>
    <r>
      <rPr>
        <b/>
        <vertAlign val="superscript"/>
        <sz val="8"/>
        <color theme="0"/>
        <rFont val="Arial"/>
        <family val="2"/>
      </rPr>
      <t>3</t>
    </r>
    <r>
      <rPr>
        <b/>
        <sz val="8"/>
        <color theme="0"/>
        <rFont val="Arial"/>
        <family val="2"/>
      </rPr>
      <t xml:space="preserve"> gal]</t>
    </r>
  </si>
  <si>
    <t>Total por Ilha [t/ano]</t>
  </si>
  <si>
    <t xml:space="preserve">Densidade Óleo Diesel (kg/L): </t>
  </si>
  <si>
    <t xml:space="preserve">Densidade Óleo Diesel (lb/gal): </t>
  </si>
  <si>
    <t>Tanques</t>
  </si>
  <si>
    <t>Plataformas de Abastecimento</t>
  </si>
  <si>
    <t>Considerado Flutuante</t>
  </si>
  <si>
    <t>Volume total [gal]</t>
  </si>
  <si>
    <t>TOTAL</t>
  </si>
  <si>
    <t>Taxa de Emissão [lb/ano]</t>
  </si>
  <si>
    <t>Taxa de Emissão [kg/h]</t>
  </si>
  <si>
    <t>Taxa de Emissão [t/ano]</t>
  </si>
  <si>
    <t>Altura máxima líquido [m]</t>
  </si>
  <si>
    <t>Altura máxima líquido [ft]</t>
  </si>
  <si>
    <t>Altura média líquido [m]</t>
  </si>
  <si>
    <t>Altura média líquido [ft]</t>
  </si>
  <si>
    <t>VOC</t>
  </si>
  <si>
    <t>TE de VOC [lb/h]</t>
  </si>
  <si>
    <t>TE de VOC [kg/h]</t>
  </si>
  <si>
    <t>Fonte: Informações enviadas pelo empreendimento através do Ofício IEMA N° 012/2017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</si>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</sst>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0"/>
    <numFmt numFmtId="165" formatCode="0.00000"/>
    <numFmt numFmtId="166" formatCode="#,##0.000"/>
    <numFmt numFmtId="167" formatCode="#,##0.000000"/>
    <numFmt numFmtId="168" formatCode="#,##0.00000"/>
    <numFmt numFmtId="169" formatCode="[&gt;=0.005]\ #,##0.00;[&lt;0.005]&quot;&lt;0,01&quot;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vertAlign val="superscript"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/>
      </right>
      <top/>
      <bottom style="thin">
        <color theme="0" tint="-0.2499465926084170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1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left" vertic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7" fillId="2" borderId="11" xfId="0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2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8" fontId="2" fillId="0" borderId="2" xfId="0" quotePrefix="1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 applyProtection="1">
      <alignment horizontal="center" vertical="center" wrapText="1"/>
    </xf>
    <xf numFmtId="4" fontId="2" fillId="0" borderId="2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7" fontId="2" fillId="0" borderId="2" xfId="0" applyNumberFormat="1" applyFont="1" applyFill="1" applyBorder="1" applyAlignment="1">
      <alignment horizontal="center" vertical="center"/>
    </xf>
    <xf numFmtId="167" fontId="2" fillId="0" borderId="2" xfId="0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3" fontId="2" fillId="0" borderId="2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167" fontId="2" fillId="0" borderId="3" xfId="0" applyNumberFormat="1" applyFont="1" applyFill="1" applyBorder="1" applyAlignment="1">
      <alignment horizontal="center" vertical="center"/>
    </xf>
    <xf numFmtId="167" fontId="2" fillId="0" borderId="3" xfId="0" quotePrefix="1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 applyProtection="1">
      <alignment horizontal="center" vertical="center" wrapText="1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0" fillId="0" borderId="6" xfId="0" applyBorder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0" fontId="7" fillId="2" borderId="13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" fontId="1" fillId="3" borderId="18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" fontId="1" fillId="3" borderId="1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19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FF00"/>
      <color rgb="FFD9D9D9"/>
      <color rgb="FFDCE6F1"/>
      <color rgb="FFFFFFCC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912050</xdr:colOff>
      <xdr:row>8</xdr:row>
      <xdr:rowOff>46640</xdr:rowOff>
    </xdr:from>
    <xdr:ext cx="1002475" cy="218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45525" y="1761140"/>
              <a:ext cx="1002475" cy="21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000"/>
                <a:t>L</a:t>
              </a:r>
              <a:r>
                <a:rPr lang="pt-BR" sz="1000" baseline="-25000"/>
                <a:t>L</a:t>
              </a:r>
              <a:r>
                <a:rPr lang="pt-BR" sz="1000" baseline="0"/>
                <a:t> </a:t>
              </a:r>
              <a14:m>
                <m:oMath xmlns:m="http://schemas.openxmlformats.org/officeDocument/2006/math">
                  <m:r>
                    <a:rPr lang="pt-BR" sz="10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000" b="0" i="1">
                      <a:latin typeface="Cambria Math" panose="02040503050406030204" pitchFamily="18" charset="0"/>
                    </a:rPr>
                    <m:t>12,46.</m:t>
                  </m:r>
                  <m:f>
                    <m:fPr>
                      <m:ctrlPr>
                        <a:rPr lang="pt-BR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000" b="0" i="1">
                          <a:latin typeface="Cambria Math" panose="02040503050406030204" pitchFamily="18" charset="0"/>
                        </a:rPr>
                        <m:t>𝑆𝑃𝑀</m:t>
                      </m:r>
                    </m:num>
                    <m:den>
                      <m:r>
                        <a:rPr lang="pt-BR" sz="1000" b="0" i="1">
                          <a:latin typeface="Cambria Math" panose="02040503050406030204" pitchFamily="18" charset="0"/>
                        </a:rPr>
                        <m:t>𝑇</m:t>
                      </m:r>
                    </m:den>
                  </m:f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45525" y="1761140"/>
              <a:ext cx="1002475" cy="21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000"/>
                <a:t>L</a:t>
              </a:r>
              <a:r>
                <a:rPr lang="pt-BR" sz="1000" baseline="-25000"/>
                <a:t>L</a:t>
              </a:r>
              <a:r>
                <a:rPr lang="pt-BR" sz="1000" baseline="0"/>
                <a:t> </a:t>
              </a:r>
              <a:r>
                <a:rPr lang="pt-BR" sz="1000" i="0">
                  <a:latin typeface="Cambria Math" panose="02040503050406030204" pitchFamily="18" charset="0"/>
                </a:rPr>
                <a:t>=</a:t>
              </a:r>
              <a:r>
                <a:rPr lang="pt-BR" sz="1000" b="0" i="0">
                  <a:latin typeface="Cambria Math" panose="02040503050406030204" pitchFamily="18" charset="0"/>
                </a:rPr>
                <a:t>12,46.𝑆𝑃𝑀/𝑇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17" customWidth="1"/>
    <col min="2" max="2" width="23.28515625" customWidth="1"/>
    <col min="3" max="3" width="20.28515625" customWidth="1"/>
    <col min="5" max="5" width="11" bestFit="1" customWidth="1"/>
    <col min="6" max="6" width="9.28515625" bestFit="1" customWidth="1"/>
    <col min="7" max="7" width="12.42578125" customWidth="1"/>
    <col min="8" max="8" width="16.140625" customWidth="1"/>
    <col min="9" max="9" width="16" customWidth="1"/>
    <col min="10" max="10" width="24.28515625" bestFit="1" customWidth="1"/>
    <col min="11" max="11" width="23.42578125" customWidth="1"/>
    <col min="12" max="12" width="14.85546875" customWidth="1"/>
    <col min="13" max="13" width="15.140625" customWidth="1"/>
    <col min="14" max="14" width="15.85546875" customWidth="1"/>
  </cols>
  <sheetData>
    <row r="1" spans="1:14" ht="15" customHeight="1" x14ac:dyDescent="0.25">
      <c r="A1" s="1" t="s">
        <v>92</v>
      </c>
    </row>
    <row r="2" spans="1:14" ht="22.5" x14ac:dyDescent="0.25">
      <c r="A2" s="108" t="s">
        <v>77</v>
      </c>
      <c r="B2" s="108"/>
      <c r="C2" s="108"/>
      <c r="E2" s="13"/>
      <c r="F2" s="11" t="s">
        <v>6</v>
      </c>
      <c r="G2" s="12" t="s">
        <v>87</v>
      </c>
      <c r="H2" s="12" t="s">
        <v>88</v>
      </c>
      <c r="I2" s="12" t="s">
        <v>89</v>
      </c>
      <c r="J2" s="13"/>
      <c r="K2" s="35"/>
      <c r="L2" s="37"/>
      <c r="M2" s="36"/>
      <c r="N2" s="36"/>
    </row>
    <row r="3" spans="1:14" x14ac:dyDescent="0.25">
      <c r="A3" s="11" t="s">
        <v>78</v>
      </c>
      <c r="B3" s="98" t="s">
        <v>81</v>
      </c>
      <c r="C3" s="12" t="s">
        <v>82</v>
      </c>
      <c r="E3" s="13"/>
      <c r="F3" s="100" t="s">
        <v>84</v>
      </c>
      <c r="G3" s="31">
        <v>8.2118000000000002</v>
      </c>
      <c r="H3" s="34">
        <v>60</v>
      </c>
      <c r="I3" s="17">
        <f>60+460</f>
        <v>520</v>
      </c>
      <c r="K3" s="13"/>
      <c r="L3" s="31"/>
      <c r="M3" s="30"/>
      <c r="N3" s="15"/>
    </row>
    <row r="4" spans="1:14" ht="22.5" x14ac:dyDescent="0.25">
      <c r="A4" s="29" t="s">
        <v>79</v>
      </c>
      <c r="B4" s="99" t="s">
        <v>80</v>
      </c>
      <c r="C4" s="14">
        <v>0.6</v>
      </c>
      <c r="E4" s="13"/>
      <c r="F4" s="100" t="s">
        <v>85</v>
      </c>
      <c r="G4" s="38">
        <v>0.61899999999999999</v>
      </c>
      <c r="H4" s="34">
        <v>46.07</v>
      </c>
      <c r="I4" s="17">
        <f>60+460</f>
        <v>520</v>
      </c>
      <c r="K4" s="13"/>
      <c r="L4" s="18"/>
      <c r="M4" s="30"/>
      <c r="N4" s="15"/>
    </row>
    <row r="5" spans="1:14" ht="15" customHeight="1" x14ac:dyDescent="0.25">
      <c r="A5" s="29"/>
      <c r="B5" s="16"/>
      <c r="C5" s="17"/>
      <c r="E5" s="13"/>
      <c r="F5" s="100" t="s">
        <v>86</v>
      </c>
      <c r="G5" s="38">
        <v>6.4999999999999997E-3</v>
      </c>
      <c r="H5" s="34">
        <v>130</v>
      </c>
      <c r="I5" s="17">
        <f>60+460</f>
        <v>520</v>
      </c>
      <c r="K5" s="13"/>
      <c r="L5" s="18"/>
      <c r="M5" s="30"/>
      <c r="N5" s="15"/>
    </row>
    <row r="6" spans="1:14" x14ac:dyDescent="0.25">
      <c r="A6" s="29"/>
      <c r="B6" s="16"/>
      <c r="C6" s="17"/>
      <c r="F6" s="18"/>
      <c r="G6" s="14"/>
      <c r="H6" s="15"/>
      <c r="I6" s="14"/>
    </row>
    <row r="7" spans="1:14" x14ac:dyDescent="0.25">
      <c r="A7" s="29"/>
      <c r="B7" s="16"/>
      <c r="C7" s="17"/>
    </row>
    <row r="8" spans="1:14" ht="15" customHeight="1" x14ac:dyDescent="0.25">
      <c r="A8" s="109" t="s">
        <v>61</v>
      </c>
      <c r="B8" s="20"/>
      <c r="C8" s="21"/>
    </row>
    <row r="9" spans="1:14" ht="15" customHeight="1" x14ac:dyDescent="0.25">
      <c r="A9" s="110"/>
      <c r="B9" s="22"/>
      <c r="C9" s="23"/>
    </row>
    <row r="10" spans="1:14" ht="15" customHeight="1" x14ac:dyDescent="0.25">
      <c r="A10" s="110"/>
      <c r="B10" s="22"/>
      <c r="C10" s="23"/>
    </row>
    <row r="11" spans="1:14" ht="16.5" customHeight="1" x14ac:dyDescent="0.25">
      <c r="A11" s="110"/>
      <c r="B11" s="111" t="s">
        <v>83</v>
      </c>
      <c r="C11" s="112"/>
    </row>
    <row r="12" spans="1:14" ht="15" customHeight="1" x14ac:dyDescent="0.25">
      <c r="A12" s="110"/>
      <c r="B12" s="113"/>
      <c r="C12" s="114"/>
    </row>
    <row r="13" spans="1:14" ht="15.75" customHeight="1" x14ac:dyDescent="0.25">
      <c r="A13" s="110"/>
      <c r="B13" s="113"/>
      <c r="C13" s="114"/>
    </row>
    <row r="14" spans="1:14" ht="15.75" customHeight="1" x14ac:dyDescent="0.25">
      <c r="A14" s="110"/>
      <c r="B14" s="113"/>
      <c r="C14" s="114"/>
    </row>
    <row r="15" spans="1:14" ht="17.25" customHeight="1" x14ac:dyDescent="0.25">
      <c r="A15" s="110"/>
      <c r="B15" s="113"/>
      <c r="C15" s="114"/>
    </row>
    <row r="16" spans="1:14" ht="15" customHeight="1" x14ac:dyDescent="0.25">
      <c r="A16" s="110"/>
      <c r="B16" s="113"/>
      <c r="C16" s="114"/>
    </row>
    <row r="17" spans="1:3" ht="15" customHeight="1" x14ac:dyDescent="0.25">
      <c r="A17" s="110"/>
      <c r="B17" s="113"/>
      <c r="C17" s="114"/>
    </row>
    <row r="18" spans="1:3" ht="15" customHeight="1" x14ac:dyDescent="0.25">
      <c r="A18" s="84"/>
      <c r="B18" s="16"/>
      <c r="C18" s="19"/>
    </row>
    <row r="19" spans="1:3" ht="15" customHeight="1" x14ac:dyDescent="0.25">
      <c r="B19" s="16"/>
      <c r="C19" s="19"/>
    </row>
    <row r="20" spans="1:3" ht="15" customHeight="1" x14ac:dyDescent="0.25">
      <c r="B20" s="16"/>
      <c r="C20" s="19"/>
    </row>
    <row r="21" spans="1:3" ht="15" customHeight="1" x14ac:dyDescent="0.25">
      <c r="B21" s="16"/>
      <c r="C21" s="19"/>
    </row>
    <row r="22" spans="1:3" ht="15" customHeight="1" x14ac:dyDescent="0.25">
      <c r="B22" s="16"/>
      <c r="C22" s="19"/>
    </row>
    <row r="23" spans="1:3" ht="15" customHeight="1" x14ac:dyDescent="0.25">
      <c r="B23" s="16"/>
      <c r="C23" s="19"/>
    </row>
  </sheetData>
  <sheetProtection algorithmName="SHA-512" hashValue="KeRSp22U/27HiA1IrDr7k1xgaLrCPgw5bTRwnUwx3MRFBTTbTe4/7dnKH0DojKPipxOxRdmym9T6hnuMVhNPRw==" saltValue="S1V8FFG146qJ8EUI2FWLXw==" spinCount="100000" sheet="1" objects="1" scenarios="1"/>
  <mergeCells count="3">
    <mergeCell ref="A2:C2"/>
    <mergeCell ref="A8:A17"/>
    <mergeCell ref="B11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6"/>
  <sheetViews>
    <sheetView workbookViewId="0">
      <pane xSplit="2" ySplit="11" topLeftCell="C12" activePane="bottomRight" state="frozen"/>
      <selection pane="topRight" activeCell="C1" sqref="C1"/>
      <selection pane="bottomLeft" activeCell="A8" sqref="A8"/>
      <selection pane="bottomRight" activeCell="I9" sqref="I9"/>
    </sheetView>
  </sheetViews>
  <sheetFormatPr defaultRowHeight="15" customHeight="1" x14ac:dyDescent="0.25"/>
  <cols>
    <col min="1" max="1" width="31.5703125" style="1" customWidth="1"/>
    <col min="2" max="2" width="19.42578125" style="1" customWidth="1"/>
    <col min="3" max="3" width="29.28515625" style="1" customWidth="1"/>
    <col min="4" max="4" width="21.140625" style="1" customWidth="1"/>
    <col min="5" max="5" width="13.28515625" style="1" customWidth="1"/>
    <col min="6" max="6" width="13.28515625" style="1" bestFit="1" customWidth="1"/>
    <col min="7" max="7" width="11.7109375" style="1" customWidth="1"/>
    <col min="8" max="8" width="11.28515625" style="1" customWidth="1"/>
    <col min="9" max="9" width="10.28515625" style="1" customWidth="1"/>
    <col min="10" max="10" width="10" style="1" bestFit="1" customWidth="1"/>
    <col min="11" max="11" width="11.42578125" style="1" customWidth="1"/>
    <col min="12" max="12" width="9.140625" style="1"/>
    <col min="13" max="13" width="12.7109375" style="1" customWidth="1"/>
    <col min="14" max="14" width="12.140625" style="1" customWidth="1"/>
    <col min="15" max="15" width="10.7109375" style="1" customWidth="1"/>
    <col min="16" max="16" width="11.7109375" style="1" customWidth="1"/>
    <col min="17" max="17" width="9.85546875" style="1" customWidth="1"/>
    <col min="18" max="19" width="10.28515625" style="1" customWidth="1"/>
    <col min="20" max="20" width="8.42578125" style="1" bestFit="1" customWidth="1"/>
    <col min="21" max="21" width="10.28515625" style="1" customWidth="1"/>
    <col min="22" max="22" width="16" style="68" customWidth="1"/>
    <col min="23" max="23" width="17.5703125" style="1" bestFit="1" customWidth="1"/>
    <col min="24" max="24" width="11" style="1" customWidth="1"/>
    <col min="25" max="25" width="14.140625" style="1" customWidth="1"/>
    <col min="26" max="26" width="12.7109375" style="42" customWidth="1"/>
    <col min="27" max="27" width="14.7109375" style="1" customWidth="1"/>
    <col min="28" max="28" width="10.140625" style="1" bestFit="1" customWidth="1"/>
    <col min="29" max="30" width="9.140625" style="4"/>
    <col min="31" max="31" width="9.140625" style="1"/>
    <col min="32" max="32" width="7.5703125" style="1" customWidth="1"/>
    <col min="33" max="16384" width="9.140625" style="1"/>
  </cols>
  <sheetData>
    <row r="1" spans="1:30" ht="15" customHeight="1" x14ac:dyDescent="0.25">
      <c r="A1" s="1" t="s">
        <v>105</v>
      </c>
      <c r="B1" s="97">
        <f>(0.82+0.865)/2</f>
        <v>0.84250000000000003</v>
      </c>
      <c r="V1" s="85"/>
      <c r="Z1" s="85"/>
    </row>
    <row r="2" spans="1:30" ht="15" customHeight="1" x14ac:dyDescent="0.25">
      <c r="A2" s="4" t="s">
        <v>106</v>
      </c>
      <c r="B2" s="101">
        <f>B1*B5</f>
        <v>7.03100287</v>
      </c>
      <c r="V2" s="85"/>
      <c r="Z2" s="85"/>
    </row>
    <row r="3" spans="1:30" ht="15" customHeight="1" x14ac:dyDescent="0.25">
      <c r="A3" s="1" t="s">
        <v>95</v>
      </c>
      <c r="B3" s="97">
        <v>0.96799999999999997</v>
      </c>
      <c r="Z3" s="50"/>
    </row>
    <row r="4" spans="1:30" ht="15" customHeight="1" x14ac:dyDescent="0.25">
      <c r="A4" s="4" t="s">
        <v>96</v>
      </c>
      <c r="B4" s="28">
        <f>B3*B5</f>
        <v>8.0783510720000002</v>
      </c>
      <c r="Z4" s="50"/>
    </row>
    <row r="5" spans="1:30" ht="15" customHeight="1" x14ac:dyDescent="0.25">
      <c r="A5" s="1" t="s">
        <v>97</v>
      </c>
      <c r="B5" s="102">
        <v>8.3454040000000003</v>
      </c>
      <c r="Z5" s="50"/>
    </row>
    <row r="6" spans="1:30" ht="15" customHeight="1" x14ac:dyDescent="0.25">
      <c r="A6" s="1" t="s">
        <v>98</v>
      </c>
      <c r="B6" s="103">
        <v>3.28084</v>
      </c>
      <c r="S6"/>
      <c r="T6"/>
      <c r="U6"/>
      <c r="V6"/>
      <c r="W6"/>
      <c r="Z6" s="50"/>
    </row>
    <row r="7" spans="1:30" ht="15" customHeight="1" x14ac:dyDescent="0.25">
      <c r="A7" s="1" t="s">
        <v>99</v>
      </c>
      <c r="B7" s="103">
        <v>35.314700000000002</v>
      </c>
      <c r="Z7" s="50"/>
    </row>
    <row r="8" spans="1:30" ht="15" customHeight="1" x14ac:dyDescent="0.25">
      <c r="A8" s="1" t="s">
        <v>100</v>
      </c>
      <c r="B8" s="103">
        <v>264.17200000000003</v>
      </c>
      <c r="Z8" s="50"/>
    </row>
    <row r="9" spans="1:30" ht="15" customHeight="1" x14ac:dyDescent="0.25">
      <c r="B9" s="49"/>
      <c r="Z9" s="50"/>
    </row>
    <row r="10" spans="1:30" ht="15" customHeight="1" x14ac:dyDescent="0.25">
      <c r="A10" s="1" t="s">
        <v>122</v>
      </c>
      <c r="B10" s="49"/>
      <c r="V10" s="97"/>
      <c r="Z10" s="97"/>
    </row>
    <row r="11" spans="1:30" s="69" customFormat="1" ht="33.75" x14ac:dyDescent="0.25">
      <c r="A11" s="115" t="s">
        <v>0</v>
      </c>
      <c r="B11" s="116"/>
      <c r="C11" s="46" t="s">
        <v>6</v>
      </c>
      <c r="D11" s="46" t="s">
        <v>13</v>
      </c>
      <c r="E11" s="46" t="s">
        <v>12</v>
      </c>
      <c r="F11" s="46" t="s">
        <v>1</v>
      </c>
      <c r="G11" s="46" t="s">
        <v>123</v>
      </c>
      <c r="H11" s="46" t="s">
        <v>124</v>
      </c>
      <c r="I11" s="46" t="s">
        <v>3</v>
      </c>
      <c r="J11" s="46" t="s">
        <v>9</v>
      </c>
      <c r="K11" s="46" t="s">
        <v>2</v>
      </c>
      <c r="L11" s="46" t="s">
        <v>8</v>
      </c>
      <c r="M11" s="46" t="s">
        <v>115</v>
      </c>
      <c r="N11" s="46" t="s">
        <v>116</v>
      </c>
      <c r="O11" s="46" t="s">
        <v>117</v>
      </c>
      <c r="P11" s="46" t="s">
        <v>118</v>
      </c>
      <c r="Q11" s="46" t="s">
        <v>4</v>
      </c>
      <c r="R11" s="46" t="s">
        <v>14</v>
      </c>
      <c r="S11" s="46" t="s">
        <v>110</v>
      </c>
      <c r="T11" s="46" t="s">
        <v>5</v>
      </c>
      <c r="U11" s="46" t="s">
        <v>10</v>
      </c>
      <c r="V11" s="46" t="s">
        <v>7</v>
      </c>
      <c r="W11" s="46" t="s">
        <v>15</v>
      </c>
      <c r="X11" s="46" t="s">
        <v>11</v>
      </c>
      <c r="Y11" s="47" t="s">
        <v>112</v>
      </c>
      <c r="Z11" s="47" t="s">
        <v>113</v>
      </c>
      <c r="AA11" s="47" t="s">
        <v>114</v>
      </c>
      <c r="AC11" s="70"/>
      <c r="AD11" s="70"/>
    </row>
    <row r="12" spans="1:30" s="8" customFormat="1" ht="15" customHeight="1" x14ac:dyDescent="0.25">
      <c r="A12" s="117" t="s">
        <v>37</v>
      </c>
      <c r="B12" s="5" t="s">
        <v>17</v>
      </c>
      <c r="C12" s="10" t="s">
        <v>42</v>
      </c>
      <c r="D12" s="63" t="s">
        <v>55</v>
      </c>
      <c r="E12" s="5" t="s">
        <v>52</v>
      </c>
      <c r="F12" s="5" t="s">
        <v>50</v>
      </c>
      <c r="G12" s="51">
        <v>-20.266182000000001</v>
      </c>
      <c r="H12" s="51">
        <v>-40.248592000000002</v>
      </c>
      <c r="I12" s="52">
        <v>32.840000000000003</v>
      </c>
      <c r="J12" s="6">
        <f>I12*$B$6</f>
        <v>107.7427856</v>
      </c>
      <c r="K12" s="6">
        <v>15.54</v>
      </c>
      <c r="L12" s="6">
        <f>K12*$B$6</f>
        <v>50.984253599999995</v>
      </c>
      <c r="M12" s="6"/>
      <c r="N12" s="53">
        <v>47.591912999999998</v>
      </c>
      <c r="O12" s="6"/>
      <c r="P12" s="53">
        <f>N12*0.55</f>
        <v>26.175552150000001</v>
      </c>
      <c r="Q12" s="7">
        <v>13156.094007840004</v>
      </c>
      <c r="R12" s="54">
        <f>Q12*$B$7</f>
        <v>464603.51305866742</v>
      </c>
      <c r="S12" s="54"/>
      <c r="T12" s="55">
        <v>12287</v>
      </c>
      <c r="U12" s="56">
        <f>T12*$B$8</f>
        <v>3245881.3640000005</v>
      </c>
      <c r="V12" s="71">
        <v>101851</v>
      </c>
      <c r="W12" s="57">
        <f>V12*8.45</f>
        <v>860640.95</v>
      </c>
      <c r="X12" s="58">
        <f>(5.614*W12)/R12</f>
        <v>10.399487213283058</v>
      </c>
      <c r="Y12" s="96">
        <v>1887.85</v>
      </c>
      <c r="Z12" s="96">
        <f>Y12*0.453592/8760</f>
        <v>9.77527005936073E-2</v>
      </c>
      <c r="AA12" s="96">
        <f>Z12/1000*8760</f>
        <v>0.85631365719999997</v>
      </c>
      <c r="AC12" s="48"/>
      <c r="AD12" s="48"/>
    </row>
    <row r="13" spans="1:30" s="4" customFormat="1" ht="15" customHeight="1" x14ac:dyDescent="0.25">
      <c r="A13" s="118"/>
      <c r="B13" s="5" t="s">
        <v>18</v>
      </c>
      <c r="C13" s="10" t="s">
        <v>42</v>
      </c>
      <c r="D13" s="63" t="s">
        <v>55</v>
      </c>
      <c r="E13" s="5" t="s">
        <v>52</v>
      </c>
      <c r="F13" s="5" t="s">
        <v>50</v>
      </c>
      <c r="G13" s="51">
        <v>-20.266349999999999</v>
      </c>
      <c r="H13" s="51">
        <v>-40.249037999999999</v>
      </c>
      <c r="I13" s="52">
        <v>32.85</v>
      </c>
      <c r="J13" s="6">
        <f>I13*$B$6</f>
        <v>107.775594</v>
      </c>
      <c r="K13" s="6">
        <v>15.5</v>
      </c>
      <c r="L13" s="6">
        <f>K13*$B$6</f>
        <v>50.853020000000001</v>
      </c>
      <c r="M13" s="6"/>
      <c r="N13" s="53">
        <v>47.721653000000003</v>
      </c>
      <c r="O13" s="6"/>
      <c r="P13" s="53">
        <f>N13*0.55</f>
        <v>26.246909150000004</v>
      </c>
      <c r="Q13" s="7">
        <v>13130.223018750003</v>
      </c>
      <c r="R13" s="54">
        <f>Q13*$B$7</f>
        <v>463689.88684025075</v>
      </c>
      <c r="S13" s="54"/>
      <c r="T13" s="55">
        <v>12328</v>
      </c>
      <c r="U13" s="56">
        <f>T13*$B$8</f>
        <v>3256712.4160000002</v>
      </c>
      <c r="V13" s="71">
        <v>115367</v>
      </c>
      <c r="W13" s="57">
        <f t="shared" ref="W13:W31" si="0">V13*8.45</f>
        <v>974851.14999999991</v>
      </c>
      <c r="X13" s="58">
        <f t="shared" ref="X13:X31" si="1">(5.614*W13)/R13</f>
        <v>11.802746860393528</v>
      </c>
      <c r="Y13" s="96">
        <v>2060.21</v>
      </c>
      <c r="Z13" s="96">
        <f t="shared" ref="Z13:Z31" si="2">Y13*0.453592/8760</f>
        <v>0.10667748565296804</v>
      </c>
      <c r="AA13" s="96">
        <f t="shared" ref="AA13:AA31" si="3">Z13/1000*8760</f>
        <v>0.93449477432000005</v>
      </c>
    </row>
    <row r="14" spans="1:30" s="4" customFormat="1" ht="15" customHeight="1" x14ac:dyDescent="0.25">
      <c r="A14" s="118"/>
      <c r="B14" s="5" t="s">
        <v>19</v>
      </c>
      <c r="C14" s="10" t="s">
        <v>43</v>
      </c>
      <c r="D14" s="63" t="s">
        <v>54</v>
      </c>
      <c r="E14" s="5" t="s">
        <v>52</v>
      </c>
      <c r="F14" s="5" t="s">
        <v>50</v>
      </c>
      <c r="G14" s="51">
        <v>-20.266683</v>
      </c>
      <c r="H14" s="51">
        <v>-40.249172000000002</v>
      </c>
      <c r="I14" s="52">
        <v>24.39</v>
      </c>
      <c r="J14" s="6">
        <f>I14*$B$6</f>
        <v>80.019687599999997</v>
      </c>
      <c r="K14" s="52">
        <v>15.44</v>
      </c>
      <c r="L14" s="6">
        <f>K14*$B$6</f>
        <v>50.656169599999998</v>
      </c>
      <c r="M14" s="6"/>
      <c r="N14" s="53">
        <v>47.343325</v>
      </c>
      <c r="O14" s="6"/>
      <c r="P14" s="53">
        <f>N14*0.55</f>
        <v>26.03882875</v>
      </c>
      <c r="Q14" s="7">
        <v>7210.0878008400005</v>
      </c>
      <c r="R14" s="54">
        <f>Q14*$B$7</f>
        <v>254622.08766032438</v>
      </c>
      <c r="S14" s="54"/>
      <c r="T14" s="55">
        <v>6742</v>
      </c>
      <c r="U14" s="56">
        <f>T14*$B$8</f>
        <v>1781047.6240000001</v>
      </c>
      <c r="V14" s="71">
        <v>146197</v>
      </c>
      <c r="W14" s="57">
        <f t="shared" si="0"/>
        <v>1235364.6499999999</v>
      </c>
      <c r="X14" s="58">
        <f t="shared" si="1"/>
        <v>27.237767189906968</v>
      </c>
      <c r="Y14" s="96">
        <v>23.64</v>
      </c>
      <c r="Z14" s="96">
        <f t="shared" si="2"/>
        <v>1.2240770410958904E-3</v>
      </c>
      <c r="AA14" s="96">
        <f t="shared" si="3"/>
        <v>1.072291488E-2</v>
      </c>
    </row>
    <row r="15" spans="1:30" s="4" customFormat="1" ht="15" customHeight="1" x14ac:dyDescent="0.25">
      <c r="A15" s="119"/>
      <c r="B15" s="5" t="s">
        <v>20</v>
      </c>
      <c r="C15" s="10" t="s">
        <v>44</v>
      </c>
      <c r="D15" s="63" t="s">
        <v>55</v>
      </c>
      <c r="E15" s="5" t="s">
        <v>52</v>
      </c>
      <c r="F15" s="5" t="s">
        <v>50</v>
      </c>
      <c r="G15" s="51">
        <v>-20.266522999999999</v>
      </c>
      <c r="H15" s="51">
        <v>-40.248702999999999</v>
      </c>
      <c r="I15" s="52">
        <v>24.4</v>
      </c>
      <c r="J15" s="6">
        <f>I15*$B$6</f>
        <v>80.052495999999991</v>
      </c>
      <c r="K15" s="52">
        <v>15.33</v>
      </c>
      <c r="L15" s="6">
        <f>K15*$B$6</f>
        <v>50.295277200000001</v>
      </c>
      <c r="M15" s="6"/>
      <c r="N15" s="53">
        <v>47.592199000000001</v>
      </c>
      <c r="O15" s="6"/>
      <c r="P15" s="53">
        <f>N15*0.55</f>
        <v>26.175709450000003</v>
      </c>
      <c r="Q15" s="7">
        <v>7164.5920079999987</v>
      </c>
      <c r="R15" s="54">
        <f>Q15*$B$7</f>
        <v>253015.41738491756</v>
      </c>
      <c r="S15" s="54"/>
      <c r="T15" s="55">
        <v>6783</v>
      </c>
      <c r="U15" s="56">
        <f>T15*$B$8</f>
        <v>1791878.6760000002</v>
      </c>
      <c r="V15" s="71">
        <v>111175</v>
      </c>
      <c r="W15" s="57">
        <f t="shared" si="0"/>
        <v>939428.74999999988</v>
      </c>
      <c r="X15" s="58">
        <f t="shared" si="1"/>
        <v>20.84439381998855</v>
      </c>
      <c r="Y15" s="96">
        <v>1719</v>
      </c>
      <c r="Z15" s="96">
        <f t="shared" si="2"/>
        <v>8.9009663013698628E-2</v>
      </c>
      <c r="AA15" s="96">
        <f t="shared" si="3"/>
        <v>0.77972464799999996</v>
      </c>
    </row>
    <row r="16" spans="1:30" s="4" customFormat="1" ht="15" customHeight="1" x14ac:dyDescent="0.25">
      <c r="A16" s="9" t="s">
        <v>56</v>
      </c>
      <c r="B16" s="5" t="s">
        <v>21</v>
      </c>
      <c r="C16" s="10"/>
      <c r="D16" s="63"/>
      <c r="E16" s="5"/>
      <c r="F16" s="5"/>
      <c r="G16" s="51"/>
      <c r="H16" s="51"/>
      <c r="I16" s="52"/>
      <c r="J16" s="6"/>
      <c r="K16" s="52"/>
      <c r="L16" s="59"/>
      <c r="M16" s="6"/>
      <c r="N16" s="53"/>
      <c r="O16" s="6"/>
      <c r="P16" s="53"/>
      <c r="Q16" s="7"/>
      <c r="R16" s="54"/>
      <c r="S16" s="54"/>
      <c r="T16" s="55"/>
      <c r="U16" s="56"/>
      <c r="V16" s="71"/>
      <c r="W16" s="57"/>
      <c r="X16" s="58"/>
      <c r="Y16" s="96"/>
      <c r="Z16" s="96"/>
      <c r="AA16" s="96"/>
    </row>
    <row r="17" spans="1:27" s="4" customFormat="1" ht="15" customHeight="1" x14ac:dyDescent="0.25">
      <c r="A17" s="121" t="s">
        <v>38</v>
      </c>
      <c r="B17" s="5" t="s">
        <v>22</v>
      </c>
      <c r="C17" s="10" t="s">
        <v>42</v>
      </c>
      <c r="D17" s="63" t="s">
        <v>59</v>
      </c>
      <c r="E17" s="5" t="s">
        <v>52</v>
      </c>
      <c r="F17" s="5" t="s">
        <v>50</v>
      </c>
      <c r="G17" s="60">
        <v>-20.264766999999999</v>
      </c>
      <c r="H17" s="51">
        <v>-40.249009000000001</v>
      </c>
      <c r="I17" s="52">
        <v>28.36</v>
      </c>
      <c r="J17" s="6">
        <f t="shared" ref="J17:J31" si="4">I17*$B$6</f>
        <v>93.044622399999994</v>
      </c>
      <c r="K17" s="52">
        <v>15.4</v>
      </c>
      <c r="L17" s="6">
        <f t="shared" ref="L17:L31" si="5">K17*$B$6</f>
        <v>50.524936000000004</v>
      </c>
      <c r="M17" s="6"/>
      <c r="N17" s="53">
        <v>47.595537</v>
      </c>
      <c r="O17" s="6"/>
      <c r="P17" s="53">
        <f t="shared" ref="P17:P31" si="6">N17*0.55</f>
        <v>26.177545350000003</v>
      </c>
      <c r="Q17" s="7">
        <v>9723.0569744000004</v>
      </c>
      <c r="R17" s="54">
        <f t="shared" ref="R17:R31" si="7">Q17*$B$7</f>
        <v>343366.84013384371</v>
      </c>
      <c r="S17" s="54"/>
      <c r="T17" s="55">
        <v>9164</v>
      </c>
      <c r="U17" s="56">
        <f t="shared" ref="U17:U31" si="8">T17*$B$8</f>
        <v>2420872.2080000001</v>
      </c>
      <c r="V17" s="71">
        <v>110244</v>
      </c>
      <c r="W17" s="57">
        <f t="shared" si="0"/>
        <v>931561.79999999993</v>
      </c>
      <c r="X17" s="58">
        <f t="shared" si="1"/>
        <v>15.23090564936742</v>
      </c>
      <c r="Y17" s="96">
        <v>1827.22</v>
      </c>
      <c r="Z17" s="96">
        <f t="shared" si="2"/>
        <v>9.4613284730593619E-2</v>
      </c>
      <c r="AA17" s="96">
        <f t="shared" si="3"/>
        <v>0.82881237424000009</v>
      </c>
    </row>
    <row r="18" spans="1:27" s="4" customFormat="1" ht="15" customHeight="1" x14ac:dyDescent="0.25">
      <c r="A18" s="121"/>
      <c r="B18" s="94" t="s">
        <v>23</v>
      </c>
      <c r="C18" s="10" t="s">
        <v>45</v>
      </c>
      <c r="D18" s="63" t="s">
        <v>60</v>
      </c>
      <c r="E18" s="94" t="s">
        <v>53</v>
      </c>
      <c r="F18" s="94" t="s">
        <v>50</v>
      </c>
      <c r="G18" s="61">
        <v>-20.265232999999998</v>
      </c>
      <c r="H18" s="62">
        <v>-40.248789000000002</v>
      </c>
      <c r="I18" s="52">
        <v>28.35</v>
      </c>
      <c r="J18" s="6">
        <f t="shared" si="4"/>
        <v>93.011814000000001</v>
      </c>
      <c r="K18" s="52">
        <v>16.649999999999999</v>
      </c>
      <c r="L18" s="6">
        <f t="shared" si="5"/>
        <v>54.625985999999997</v>
      </c>
      <c r="M18" s="6"/>
      <c r="N18" s="53"/>
      <c r="O18" s="6"/>
      <c r="P18" s="53"/>
      <c r="Q18" s="57">
        <v>10504.854005625</v>
      </c>
      <c r="R18" s="57">
        <f t="shared" si="7"/>
        <v>370975.76775244524</v>
      </c>
      <c r="S18" s="57">
        <f>Q18*B8</f>
        <v>2775088.2923739678</v>
      </c>
      <c r="T18" s="55">
        <v>9034</v>
      </c>
      <c r="U18" s="91">
        <f t="shared" si="8"/>
        <v>2386529.8480000002</v>
      </c>
      <c r="V18" s="71">
        <v>12366</v>
      </c>
      <c r="W18" s="57">
        <f>V18*8.45</f>
        <v>104492.7</v>
      </c>
      <c r="X18" s="58">
        <f>(5.614*W18)/R18</f>
        <v>1.5812947065358105</v>
      </c>
      <c r="Y18" s="54">
        <v>9973.7000000000007</v>
      </c>
      <c r="Z18" s="54">
        <f t="shared" si="2"/>
        <v>0.51643727515981741</v>
      </c>
      <c r="AA18" s="54">
        <f t="shared" si="3"/>
        <v>4.5239905303999999</v>
      </c>
    </row>
    <row r="19" spans="1:27" s="4" customFormat="1" ht="15" customHeight="1" x14ac:dyDescent="0.25">
      <c r="A19" s="121"/>
      <c r="B19" s="5" t="s">
        <v>24</v>
      </c>
      <c r="C19" s="10" t="s">
        <v>46</v>
      </c>
      <c r="D19" s="63" t="s">
        <v>57</v>
      </c>
      <c r="E19" s="5" t="s">
        <v>52</v>
      </c>
      <c r="F19" s="5" t="s">
        <v>51</v>
      </c>
      <c r="G19" s="61">
        <v>-20.265547999999999</v>
      </c>
      <c r="H19" s="62">
        <v>-40.249882999999997</v>
      </c>
      <c r="I19" s="52">
        <v>44.68</v>
      </c>
      <c r="J19" s="6">
        <f t="shared" si="4"/>
        <v>146.58793119999999</v>
      </c>
      <c r="K19" s="52">
        <v>14.38</v>
      </c>
      <c r="L19" s="6">
        <f t="shared" si="5"/>
        <v>47.178479200000005</v>
      </c>
      <c r="M19" s="6"/>
      <c r="N19" s="53">
        <v>47.177700999999999</v>
      </c>
      <c r="O19" s="6"/>
      <c r="P19" s="53">
        <f t="shared" si="6"/>
        <v>25.947735550000001</v>
      </c>
      <c r="Q19" s="57">
        <v>22534.860381920003</v>
      </c>
      <c r="R19" s="57">
        <f t="shared" si="7"/>
        <v>795811.83392939041</v>
      </c>
      <c r="S19" s="57"/>
      <c r="T19" s="55">
        <v>22546</v>
      </c>
      <c r="U19" s="91">
        <f>T19*$B$8</f>
        <v>5956021.9120000005</v>
      </c>
      <c r="V19" s="71">
        <v>173962</v>
      </c>
      <c r="W19" s="57">
        <f t="shared" si="0"/>
        <v>1469978.9</v>
      </c>
      <c r="X19" s="58">
        <f t="shared" si="1"/>
        <v>10.369865328406528</v>
      </c>
      <c r="Y19" s="54">
        <v>101.86</v>
      </c>
      <c r="Z19" s="54">
        <f t="shared" si="2"/>
        <v>5.2743014977168949E-3</v>
      </c>
      <c r="AA19" s="54">
        <f t="shared" si="3"/>
        <v>4.6202881120000004E-2</v>
      </c>
    </row>
    <row r="20" spans="1:27" s="4" customFormat="1" ht="15" customHeight="1" x14ac:dyDescent="0.25">
      <c r="A20" s="121"/>
      <c r="B20" s="5" t="s">
        <v>25</v>
      </c>
      <c r="C20" s="10" t="s">
        <v>46</v>
      </c>
      <c r="D20" s="63" t="s">
        <v>57</v>
      </c>
      <c r="E20" s="5" t="s">
        <v>52</v>
      </c>
      <c r="F20" s="5" t="s">
        <v>51</v>
      </c>
      <c r="G20" s="61">
        <v>-20.265063000000001</v>
      </c>
      <c r="H20" s="62">
        <v>-40.249569000000001</v>
      </c>
      <c r="I20" s="52">
        <v>44.57</v>
      </c>
      <c r="J20" s="6">
        <f t="shared" si="4"/>
        <v>146.2270388</v>
      </c>
      <c r="K20" s="52">
        <v>14.8</v>
      </c>
      <c r="L20" s="6">
        <f t="shared" si="5"/>
        <v>48.556432000000001</v>
      </c>
      <c r="M20" s="6"/>
      <c r="N20" s="53">
        <v>47.862972999999997</v>
      </c>
      <c r="O20" s="6"/>
      <c r="P20" s="53">
        <f t="shared" si="6"/>
        <v>26.324635149999999</v>
      </c>
      <c r="Q20" s="57">
        <v>23078.981568200001</v>
      </c>
      <c r="R20" s="57">
        <f t="shared" si="7"/>
        <v>815027.31038651266</v>
      </c>
      <c r="S20" s="57"/>
      <c r="T20" s="55">
        <v>22761</v>
      </c>
      <c r="U20" s="91">
        <f t="shared" si="8"/>
        <v>6012818.8920000009</v>
      </c>
      <c r="V20" s="71">
        <v>119569</v>
      </c>
      <c r="W20" s="57">
        <f t="shared" si="0"/>
        <v>1010358.0499999999</v>
      </c>
      <c r="X20" s="58">
        <f t="shared" si="1"/>
        <v>6.9594601560162204</v>
      </c>
      <c r="Y20" s="54">
        <v>91.48</v>
      </c>
      <c r="Z20" s="54">
        <f t="shared" si="2"/>
        <v>4.7368260456621004E-3</v>
      </c>
      <c r="AA20" s="54">
        <f t="shared" si="3"/>
        <v>4.1494596160000001E-2</v>
      </c>
    </row>
    <row r="21" spans="1:27" s="4" customFormat="1" ht="15" customHeight="1" x14ac:dyDescent="0.25">
      <c r="A21" s="121" t="s">
        <v>39</v>
      </c>
      <c r="B21" s="5" t="s">
        <v>26</v>
      </c>
      <c r="C21" s="10" t="s">
        <v>47</v>
      </c>
      <c r="D21" s="63" t="s">
        <v>58</v>
      </c>
      <c r="E21" s="5" t="s">
        <v>52</v>
      </c>
      <c r="F21" s="5" t="s">
        <v>50</v>
      </c>
      <c r="G21" s="61">
        <v>-20.265533000000001</v>
      </c>
      <c r="H21" s="62">
        <v>-40.247826000000003</v>
      </c>
      <c r="I21" s="52">
        <v>11.6</v>
      </c>
      <c r="J21" s="58">
        <f t="shared" si="4"/>
        <v>38.057744</v>
      </c>
      <c r="K21" s="52">
        <v>15.54</v>
      </c>
      <c r="L21" s="58">
        <f t="shared" si="5"/>
        <v>50.984253599999995</v>
      </c>
      <c r="M21" s="6"/>
      <c r="N21" s="53">
        <v>47.683579000000002</v>
      </c>
      <c r="O21" s="6"/>
      <c r="P21" s="53">
        <f t="shared" si="6"/>
        <v>26.225968450000003</v>
      </c>
      <c r="Q21" s="57">
        <v>1641.483984</v>
      </c>
      <c r="R21" s="57">
        <f t="shared" si="7"/>
        <v>57968.5144497648</v>
      </c>
      <c r="S21" s="57"/>
      <c r="T21" s="55">
        <v>1536</v>
      </c>
      <c r="U21" s="91">
        <f t="shared" si="8"/>
        <v>405768.19200000004</v>
      </c>
      <c r="V21" s="71">
        <v>38082</v>
      </c>
      <c r="W21" s="57">
        <f t="shared" si="0"/>
        <v>321792.89999999997</v>
      </c>
      <c r="X21" s="58">
        <f t="shared" si="1"/>
        <v>31.164251106789052</v>
      </c>
      <c r="Y21" s="54">
        <v>19511.03</v>
      </c>
      <c r="Z21" s="54">
        <f t="shared" si="2"/>
        <v>1.0102793515707762</v>
      </c>
      <c r="AA21" s="54">
        <f t="shared" si="3"/>
        <v>8.8500471197599992</v>
      </c>
    </row>
    <row r="22" spans="1:27" s="4" customFormat="1" ht="15" customHeight="1" x14ac:dyDescent="0.25">
      <c r="A22" s="121"/>
      <c r="B22" s="5" t="s">
        <v>27</v>
      </c>
      <c r="C22" s="10" t="s">
        <v>16</v>
      </c>
      <c r="D22" s="63" t="s">
        <v>59</v>
      </c>
      <c r="E22" s="5" t="s">
        <v>52</v>
      </c>
      <c r="F22" s="5" t="s">
        <v>50</v>
      </c>
      <c r="G22" s="61">
        <v>-20.265751000000002</v>
      </c>
      <c r="H22" s="62">
        <v>-40.247982999999998</v>
      </c>
      <c r="I22" s="52">
        <v>11.6</v>
      </c>
      <c r="J22" s="58">
        <f t="shared" si="4"/>
        <v>38.057744</v>
      </c>
      <c r="K22" s="52">
        <v>15.51</v>
      </c>
      <c r="L22" s="58">
        <f t="shared" si="5"/>
        <v>50.885828400000001</v>
      </c>
      <c r="M22" s="9"/>
      <c r="N22" s="53">
        <v>47.714623000000003</v>
      </c>
      <c r="O22" s="6"/>
      <c r="P22" s="53">
        <f t="shared" si="6"/>
        <v>26.243042650000003</v>
      </c>
      <c r="Q22" s="57">
        <v>1638.315096</v>
      </c>
      <c r="R22" s="57">
        <f t="shared" si="7"/>
        <v>57856.606120711207</v>
      </c>
      <c r="S22" s="57"/>
      <c r="T22" s="55">
        <v>1537</v>
      </c>
      <c r="U22" s="91">
        <f t="shared" si="8"/>
        <v>406032.36400000006</v>
      </c>
      <c r="V22" s="71">
        <v>38040</v>
      </c>
      <c r="W22" s="57">
        <f t="shared" si="0"/>
        <v>321438</v>
      </c>
      <c r="X22" s="58">
        <f t="shared" si="1"/>
        <v>31.190093111148038</v>
      </c>
      <c r="Y22" s="54">
        <v>541.87</v>
      </c>
      <c r="Z22" s="54">
        <f t="shared" si="2"/>
        <v>2.8057979114155251E-2</v>
      </c>
      <c r="AA22" s="54">
        <f t="shared" si="3"/>
        <v>0.24578789704000001</v>
      </c>
    </row>
    <row r="23" spans="1:27" s="4" customFormat="1" ht="15" customHeight="1" x14ac:dyDescent="0.25">
      <c r="A23" s="121"/>
      <c r="B23" s="5" t="s">
        <v>28</v>
      </c>
      <c r="C23" s="10" t="s">
        <v>47</v>
      </c>
      <c r="D23" s="63" t="s">
        <v>58</v>
      </c>
      <c r="E23" s="5" t="s">
        <v>52</v>
      </c>
      <c r="F23" s="5" t="s">
        <v>51</v>
      </c>
      <c r="G23" s="61">
        <v>-20.265613999999999</v>
      </c>
      <c r="H23" s="62">
        <v>-40.248033999999997</v>
      </c>
      <c r="I23" s="52">
        <v>11.6</v>
      </c>
      <c r="J23" s="58">
        <f t="shared" si="4"/>
        <v>38.057744</v>
      </c>
      <c r="K23" s="52">
        <v>15.51</v>
      </c>
      <c r="L23" s="58">
        <f t="shared" si="5"/>
        <v>50.885828400000001</v>
      </c>
      <c r="M23" s="9"/>
      <c r="N23" s="53">
        <v>47.745666999999997</v>
      </c>
      <c r="O23" s="6"/>
      <c r="P23" s="53">
        <f t="shared" si="6"/>
        <v>26.260116849999999</v>
      </c>
      <c r="Q23" s="57">
        <v>1638.315096</v>
      </c>
      <c r="R23" s="57">
        <f t="shared" si="7"/>
        <v>57856.606120711207</v>
      </c>
      <c r="S23" s="57"/>
      <c r="T23" s="55">
        <v>1538</v>
      </c>
      <c r="U23" s="91">
        <f t="shared" si="8"/>
        <v>406296.53600000002</v>
      </c>
      <c r="V23" s="71">
        <v>40483</v>
      </c>
      <c r="W23" s="57">
        <f t="shared" si="0"/>
        <v>342081.35</v>
      </c>
      <c r="X23" s="58">
        <f t="shared" si="1"/>
        <v>33.19317926967944</v>
      </c>
      <c r="Y23" s="54">
        <v>33523.300000000003</v>
      </c>
      <c r="Z23" s="54">
        <f t="shared" si="2"/>
        <v>1.7358334125114157</v>
      </c>
      <c r="AA23" s="54">
        <f t="shared" si="3"/>
        <v>15.2059006936</v>
      </c>
    </row>
    <row r="24" spans="1:27" s="4" customFormat="1" ht="15" customHeight="1" x14ac:dyDescent="0.25">
      <c r="A24" s="121"/>
      <c r="B24" s="5" t="s">
        <v>29</v>
      </c>
      <c r="C24" s="10" t="s">
        <v>48</v>
      </c>
      <c r="D24" s="63" t="s">
        <v>58</v>
      </c>
      <c r="E24" s="5" t="s">
        <v>52</v>
      </c>
      <c r="F24" s="5" t="s">
        <v>50</v>
      </c>
      <c r="G24" s="61">
        <v>-20.265981</v>
      </c>
      <c r="H24" s="62">
        <v>-40.247630999999998</v>
      </c>
      <c r="I24" s="52">
        <v>7.73</v>
      </c>
      <c r="J24" s="58">
        <f t="shared" si="4"/>
        <v>25.3608932</v>
      </c>
      <c r="K24" s="52">
        <v>10.71</v>
      </c>
      <c r="L24" s="58">
        <f t="shared" si="5"/>
        <v>35.137796399999999</v>
      </c>
      <c r="M24" s="9"/>
      <c r="N24" s="53">
        <v>31.598979</v>
      </c>
      <c r="O24" s="6"/>
      <c r="P24" s="53">
        <f t="shared" si="6"/>
        <v>17.379438450000002</v>
      </c>
      <c r="Q24" s="57">
        <v>502.36354381500007</v>
      </c>
      <c r="R24" s="57">
        <f t="shared" si="7"/>
        <v>17740.817840763582</v>
      </c>
      <c r="S24" s="57"/>
      <c r="T24" s="55">
        <v>452</v>
      </c>
      <c r="U24" s="91">
        <f>T24*$B$8</f>
        <v>119405.74400000001</v>
      </c>
      <c r="V24" s="71">
        <v>14284</v>
      </c>
      <c r="W24" s="57">
        <f t="shared" si="0"/>
        <v>120699.79999999999</v>
      </c>
      <c r="X24" s="58">
        <f t="shared" si="1"/>
        <v>38.194895144182091</v>
      </c>
      <c r="Y24" s="54">
        <v>6778</v>
      </c>
      <c r="Z24" s="54">
        <f t="shared" si="2"/>
        <v>0.3509642210045662</v>
      </c>
      <c r="AA24" s="54">
        <f t="shared" si="3"/>
        <v>3.0744465760000002</v>
      </c>
    </row>
    <row r="25" spans="1:27" s="4" customFormat="1" ht="27" customHeight="1" x14ac:dyDescent="0.25">
      <c r="A25" s="121"/>
      <c r="B25" s="93" t="s">
        <v>30</v>
      </c>
      <c r="C25" s="10" t="s">
        <v>45</v>
      </c>
      <c r="D25" s="63" t="s">
        <v>60</v>
      </c>
      <c r="E25" s="95" t="s">
        <v>109</v>
      </c>
      <c r="F25" s="93" t="s">
        <v>50</v>
      </c>
      <c r="G25" s="61">
        <v>-20.265971</v>
      </c>
      <c r="H25" s="62">
        <v>-40.247908000000002</v>
      </c>
      <c r="I25" s="52">
        <v>22.36</v>
      </c>
      <c r="J25" s="58">
        <f>I25*$B$6</f>
        <v>73.359582399999994</v>
      </c>
      <c r="K25" s="52">
        <v>15.37</v>
      </c>
      <c r="L25" s="58">
        <f>K25*$B$6</f>
        <v>50.426510799999996</v>
      </c>
      <c r="M25" s="9"/>
      <c r="N25" s="53">
        <v>47.440078</v>
      </c>
      <c r="O25" s="6"/>
      <c r="P25" s="53">
        <f>N25*0.55</f>
        <v>26.092042900000003</v>
      </c>
      <c r="Q25" s="57">
        <v>6032.3582103199997</v>
      </c>
      <c r="R25" s="57">
        <f>Q25*$B$7</f>
        <v>213030.92048998771</v>
      </c>
      <c r="S25" s="57">
        <f>Q25*B8</f>
        <v>1593580.1331366552</v>
      </c>
      <c r="T25" s="55">
        <v>5678</v>
      </c>
      <c r="U25" s="91">
        <f>T25*$B$8</f>
        <v>1499968.6160000002</v>
      </c>
      <c r="V25" s="71">
        <v>101760</v>
      </c>
      <c r="W25" s="57">
        <f>V25*8.45</f>
        <v>859871.99999999988</v>
      </c>
      <c r="X25" s="58">
        <f>(5.614*W25)/R25</f>
        <v>22.660191285362629</v>
      </c>
      <c r="Y25" s="54">
        <v>8120.08</v>
      </c>
      <c r="Z25" s="54">
        <f>Y25*0.453592/8760</f>
        <v>0.42045700084018267</v>
      </c>
      <c r="AA25" s="54">
        <f t="shared" si="3"/>
        <v>3.6832033273600002</v>
      </c>
    </row>
    <row r="26" spans="1:27" s="4" customFormat="1" ht="15" customHeight="1" x14ac:dyDescent="0.25">
      <c r="A26" s="121"/>
      <c r="B26" s="94" t="s">
        <v>31</v>
      </c>
      <c r="C26" s="10" t="s">
        <v>45</v>
      </c>
      <c r="D26" s="63" t="s">
        <v>60</v>
      </c>
      <c r="E26" s="94" t="s">
        <v>53</v>
      </c>
      <c r="F26" s="94" t="s">
        <v>50</v>
      </c>
      <c r="G26" s="61">
        <v>-20.265771999999998</v>
      </c>
      <c r="H26" s="62">
        <v>-40.247686999999999</v>
      </c>
      <c r="I26" s="52">
        <v>22.37</v>
      </c>
      <c r="J26" s="58">
        <f t="shared" si="4"/>
        <v>73.392390800000001</v>
      </c>
      <c r="K26" s="52">
        <v>17.309999999999999</v>
      </c>
      <c r="L26" s="58">
        <f t="shared" si="5"/>
        <v>56.791340399999996</v>
      </c>
      <c r="M26" s="9"/>
      <c r="N26" s="53"/>
      <c r="O26" s="6"/>
      <c r="P26" s="53"/>
      <c r="Q26" s="57">
        <v>6799.8399831150009</v>
      </c>
      <c r="R26" s="57">
        <f t="shared" si="7"/>
        <v>240134.30905171135</v>
      </c>
      <c r="S26" s="57">
        <f>Q26*B8</f>
        <v>1796327.3280194562</v>
      </c>
      <c r="T26" s="55">
        <v>5591</v>
      </c>
      <c r="U26" s="91">
        <f t="shared" si="8"/>
        <v>1476985.6520000002</v>
      </c>
      <c r="V26" s="71">
        <v>90399</v>
      </c>
      <c r="W26" s="57">
        <f t="shared" si="0"/>
        <v>763871.54999999993</v>
      </c>
      <c r="X26" s="58">
        <f t="shared" si="1"/>
        <v>17.858234829644964</v>
      </c>
      <c r="Y26" s="54">
        <v>8110.85</v>
      </c>
      <c r="Z26" s="54">
        <f t="shared" si="2"/>
        <v>0.41997907228310505</v>
      </c>
      <c r="AA26" s="54">
        <f t="shared" si="3"/>
        <v>3.6790166732</v>
      </c>
    </row>
    <row r="27" spans="1:27" s="4" customFormat="1" ht="15" customHeight="1" x14ac:dyDescent="0.25">
      <c r="A27" s="121" t="s">
        <v>40</v>
      </c>
      <c r="B27" s="5" t="s">
        <v>32</v>
      </c>
      <c r="C27" s="10" t="s">
        <v>42</v>
      </c>
      <c r="D27" s="63" t="s">
        <v>59</v>
      </c>
      <c r="E27" s="5" t="s">
        <v>52</v>
      </c>
      <c r="F27" s="5" t="s">
        <v>50</v>
      </c>
      <c r="G27" s="61">
        <v>-20.264768</v>
      </c>
      <c r="H27" s="62">
        <v>-40.248247999999997</v>
      </c>
      <c r="I27" s="52">
        <v>21.26</v>
      </c>
      <c r="J27" s="58">
        <f t="shared" si="4"/>
        <v>69.750658400000006</v>
      </c>
      <c r="K27" s="52">
        <v>10.72</v>
      </c>
      <c r="L27" s="58">
        <f t="shared" si="5"/>
        <v>35.1706048</v>
      </c>
      <c r="M27" s="9"/>
      <c r="N27" s="53">
        <v>32.079065</v>
      </c>
      <c r="O27" s="6"/>
      <c r="P27" s="53">
        <f t="shared" si="6"/>
        <v>17.64348575</v>
      </c>
      <c r="Q27" s="57">
        <v>3803.5660515200011</v>
      </c>
      <c r="R27" s="57">
        <f t="shared" si="7"/>
        <v>134321.79403961339</v>
      </c>
      <c r="S27" s="57"/>
      <c r="T27" s="55">
        <v>3471</v>
      </c>
      <c r="U27" s="91">
        <f t="shared" si="8"/>
        <v>916941.0120000001</v>
      </c>
      <c r="V27" s="71">
        <v>52248</v>
      </c>
      <c r="W27" s="57">
        <f t="shared" si="0"/>
        <v>441495.6</v>
      </c>
      <c r="X27" s="58">
        <f t="shared" si="1"/>
        <v>18.452376370650907</v>
      </c>
      <c r="Y27" s="54">
        <v>817</v>
      </c>
      <c r="Z27" s="54">
        <f t="shared" si="2"/>
        <v>4.230418538812785E-2</v>
      </c>
      <c r="AA27" s="54">
        <f t="shared" si="3"/>
        <v>0.37058466399999995</v>
      </c>
    </row>
    <row r="28" spans="1:27" s="4" customFormat="1" ht="15" customHeight="1" x14ac:dyDescent="0.25">
      <c r="A28" s="121"/>
      <c r="B28" s="5" t="s">
        <v>33</v>
      </c>
      <c r="C28" s="10" t="s">
        <v>47</v>
      </c>
      <c r="D28" s="63" t="s">
        <v>58</v>
      </c>
      <c r="E28" s="5" t="s">
        <v>52</v>
      </c>
      <c r="F28" s="5" t="s">
        <v>50</v>
      </c>
      <c r="G28" s="61">
        <v>-20.265024</v>
      </c>
      <c r="H28" s="62">
        <v>-40.248134</v>
      </c>
      <c r="I28" s="52">
        <v>21.26</v>
      </c>
      <c r="J28" s="58">
        <f t="shared" si="4"/>
        <v>69.750658400000006</v>
      </c>
      <c r="K28" s="52">
        <v>10.72</v>
      </c>
      <c r="L28" s="58">
        <f t="shared" si="5"/>
        <v>35.1706048</v>
      </c>
      <c r="M28" s="9"/>
      <c r="N28" s="53">
        <v>31.792562</v>
      </c>
      <c r="O28" s="6"/>
      <c r="P28" s="53">
        <f t="shared" si="6"/>
        <v>17.485909100000001</v>
      </c>
      <c r="Q28" s="57">
        <v>3803.5660515200011</v>
      </c>
      <c r="R28" s="57">
        <f t="shared" si="7"/>
        <v>134321.79403961339</v>
      </c>
      <c r="S28" s="57"/>
      <c r="T28" s="55">
        <v>3440</v>
      </c>
      <c r="U28" s="91">
        <f t="shared" si="8"/>
        <v>908751.68</v>
      </c>
      <c r="V28" s="71">
        <v>2494</v>
      </c>
      <c r="W28" s="57">
        <f t="shared" si="0"/>
        <v>21074.3</v>
      </c>
      <c r="X28" s="58">
        <f t="shared" si="1"/>
        <v>0.88080360336095842</v>
      </c>
      <c r="Y28" s="54">
        <v>6405.51</v>
      </c>
      <c r="Z28" s="54">
        <f t="shared" si="2"/>
        <v>0.33167672282191779</v>
      </c>
      <c r="AA28" s="54">
        <f t="shared" si="3"/>
        <v>2.9054880919200001</v>
      </c>
    </row>
    <row r="29" spans="1:27" s="4" customFormat="1" ht="15" customHeight="1" x14ac:dyDescent="0.25">
      <c r="A29" s="121"/>
      <c r="B29" s="5" t="s">
        <v>34</v>
      </c>
      <c r="C29" s="10" t="s">
        <v>49</v>
      </c>
      <c r="D29" s="63" t="s">
        <v>59</v>
      </c>
      <c r="E29" s="5" t="s">
        <v>52</v>
      </c>
      <c r="F29" s="5" t="s">
        <v>50</v>
      </c>
      <c r="G29" s="61">
        <v>-20.264465000000001</v>
      </c>
      <c r="H29" s="62">
        <v>-40.248362</v>
      </c>
      <c r="I29" s="52">
        <v>21.26</v>
      </c>
      <c r="J29" s="58">
        <f t="shared" si="4"/>
        <v>69.750658400000006</v>
      </c>
      <c r="K29" s="52">
        <v>10.72</v>
      </c>
      <c r="L29" s="58">
        <f t="shared" si="5"/>
        <v>35.1706048</v>
      </c>
      <c r="M29" s="9"/>
      <c r="N29" s="53">
        <v>31.681657999999999</v>
      </c>
      <c r="O29" s="6"/>
      <c r="P29" s="53">
        <f t="shared" si="6"/>
        <v>17.424911900000001</v>
      </c>
      <c r="Q29" s="57">
        <v>3803.5660515200011</v>
      </c>
      <c r="R29" s="57">
        <f t="shared" si="7"/>
        <v>134321.79403961339</v>
      </c>
      <c r="S29" s="57"/>
      <c r="T29" s="55">
        <v>3428</v>
      </c>
      <c r="U29" s="91">
        <f t="shared" si="8"/>
        <v>905581.61600000004</v>
      </c>
      <c r="V29" s="71">
        <v>30328</v>
      </c>
      <c r="W29" s="57">
        <f t="shared" si="0"/>
        <v>256271.59999999998</v>
      </c>
      <c r="X29" s="58">
        <f t="shared" si="1"/>
        <v>10.71091085915443</v>
      </c>
      <c r="Y29" s="54">
        <v>6.04</v>
      </c>
      <c r="Z29" s="54">
        <f t="shared" si="2"/>
        <v>3.1275064840182652E-4</v>
      </c>
      <c r="AA29" s="54">
        <f t="shared" si="3"/>
        <v>2.7396956800000002E-3</v>
      </c>
    </row>
    <row r="30" spans="1:27" s="4" customFormat="1" ht="15" customHeight="1" x14ac:dyDescent="0.25">
      <c r="A30" s="121" t="s">
        <v>41</v>
      </c>
      <c r="B30" s="5" t="s">
        <v>35</v>
      </c>
      <c r="C30" s="10" t="s">
        <v>94</v>
      </c>
      <c r="D30" s="63" t="s">
        <v>59</v>
      </c>
      <c r="E30" s="5" t="s">
        <v>52</v>
      </c>
      <c r="F30" s="5" t="s">
        <v>50</v>
      </c>
      <c r="G30" s="61">
        <v>-20.264288000000001</v>
      </c>
      <c r="H30" s="62">
        <v>-40.249571000000003</v>
      </c>
      <c r="I30" s="52">
        <v>21.7</v>
      </c>
      <c r="J30" s="58">
        <f t="shared" si="4"/>
        <v>71.194227999999995</v>
      </c>
      <c r="K30" s="52">
        <v>15.75</v>
      </c>
      <c r="L30" s="58">
        <f t="shared" si="5"/>
        <v>51.673229999999997</v>
      </c>
      <c r="M30" s="9"/>
      <c r="N30" s="53">
        <v>47.273727999999998</v>
      </c>
      <c r="O30" s="6"/>
      <c r="P30" s="53">
        <f t="shared" si="6"/>
        <v>26.000550400000002</v>
      </c>
      <c r="Q30" s="57">
        <v>5821.9662375000007</v>
      </c>
      <c r="R30" s="57">
        <f t="shared" si="7"/>
        <v>205600.99108744127</v>
      </c>
      <c r="S30" s="57"/>
      <c r="T30" s="55">
        <v>5329</v>
      </c>
      <c r="U30" s="91">
        <f t="shared" si="8"/>
        <v>1407772.5880000002</v>
      </c>
      <c r="V30" s="71">
        <v>69155</v>
      </c>
      <c r="W30" s="57">
        <f t="shared" si="0"/>
        <v>584359.75</v>
      </c>
      <c r="X30" s="58">
        <f t="shared" si="1"/>
        <v>15.956127541743104</v>
      </c>
      <c r="Y30" s="54">
        <v>1101.53</v>
      </c>
      <c r="Z30" s="54">
        <f t="shared" si="2"/>
        <v>5.7037122803652966E-2</v>
      </c>
      <c r="AA30" s="54">
        <f t="shared" si="3"/>
        <v>0.49964519575999999</v>
      </c>
    </row>
    <row r="31" spans="1:27" s="4" customFormat="1" ht="15" customHeight="1" x14ac:dyDescent="0.25">
      <c r="A31" s="122"/>
      <c r="B31" s="72" t="s">
        <v>36</v>
      </c>
      <c r="C31" s="73" t="s">
        <v>94</v>
      </c>
      <c r="D31" s="74" t="s">
        <v>59</v>
      </c>
      <c r="E31" s="72" t="s">
        <v>52</v>
      </c>
      <c r="F31" s="72" t="s">
        <v>50</v>
      </c>
      <c r="G31" s="75">
        <v>-20.264175999999999</v>
      </c>
      <c r="H31" s="76">
        <v>-40.249234000000001</v>
      </c>
      <c r="I31" s="77">
        <v>21.7</v>
      </c>
      <c r="J31" s="83">
        <f t="shared" si="4"/>
        <v>71.194227999999995</v>
      </c>
      <c r="K31" s="77">
        <v>15.73</v>
      </c>
      <c r="L31" s="83">
        <f t="shared" si="5"/>
        <v>51.607613200000003</v>
      </c>
      <c r="M31" s="78"/>
      <c r="N31" s="79">
        <v>47.326954999999998</v>
      </c>
      <c r="O31" s="67"/>
      <c r="P31" s="79">
        <f t="shared" si="6"/>
        <v>26.029825250000002</v>
      </c>
      <c r="Q31" s="82">
        <v>5814.5732645000007</v>
      </c>
      <c r="R31" s="82">
        <f t="shared" si="7"/>
        <v>205339.9104638382</v>
      </c>
      <c r="S31" s="82"/>
      <c r="T31" s="80">
        <v>5335</v>
      </c>
      <c r="U31" s="92">
        <f t="shared" si="8"/>
        <v>1409357.62</v>
      </c>
      <c r="V31" s="81">
        <v>69233</v>
      </c>
      <c r="W31" s="82">
        <f t="shared" si="0"/>
        <v>585018.85</v>
      </c>
      <c r="X31" s="83">
        <f t="shared" si="1"/>
        <v>15.994434868901861</v>
      </c>
      <c r="Y31" s="105">
        <v>1103.29</v>
      </c>
      <c r="Z31" s="105">
        <f t="shared" si="2"/>
        <v>5.7128255442922368E-2</v>
      </c>
      <c r="AA31" s="105">
        <f t="shared" si="3"/>
        <v>0.50044351767999995</v>
      </c>
    </row>
    <row r="32" spans="1:27" ht="15" customHeight="1" x14ac:dyDescent="0.25">
      <c r="A32" s="120" t="s">
        <v>111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04">
        <f>SUM(Y12:Y31)</f>
        <v>103703.45999999999</v>
      </c>
      <c r="Z32" s="104">
        <f>SUM(Z12:Z31)</f>
        <v>5.3697556881643838</v>
      </c>
      <c r="AA32" s="104">
        <f>SUM(AA12:AA31)</f>
        <v>47.039059828319992</v>
      </c>
    </row>
    <row r="33" spans="20:20" ht="15" customHeight="1" x14ac:dyDescent="0.25">
      <c r="T33" s="3"/>
    </row>
    <row r="34" spans="20:20" ht="15" customHeight="1" x14ac:dyDescent="0.25">
      <c r="T34" s="3"/>
    </row>
    <row r="35" spans="20:20" ht="15" customHeight="1" x14ac:dyDescent="0.25">
      <c r="T35" s="3"/>
    </row>
    <row r="36" spans="20:20" ht="15" customHeight="1" x14ac:dyDescent="0.25">
      <c r="T36" s="3"/>
    </row>
  </sheetData>
  <sheetProtection algorithmName="SHA-512" hashValue="YsFAlozYdQlnxt52El3CQ/QGW0tEqC0HPNEbV1T6H5vV1PYn1j/u+dJPytTw613QMh8ZQccqKk15FqWg9359hw==" saltValue="tfZFfkiJamsUw0ekm9aTvw==" spinCount="100000" sheet="1" objects="1" scenarios="1"/>
  <mergeCells count="7">
    <mergeCell ref="A11:B11"/>
    <mergeCell ref="A12:A15"/>
    <mergeCell ref="A32:X32"/>
    <mergeCell ref="A17:A20"/>
    <mergeCell ref="A21:A26"/>
    <mergeCell ref="A27:A29"/>
    <mergeCell ref="A30:A3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workbookViewId="0">
      <selection activeCell="P20" sqref="P20"/>
    </sheetView>
  </sheetViews>
  <sheetFormatPr defaultRowHeight="15" customHeight="1" x14ac:dyDescent="0.25"/>
  <cols>
    <col min="1" max="1" width="19.85546875" style="1" customWidth="1"/>
    <col min="2" max="2" width="20.28515625" style="1" customWidth="1"/>
    <col min="3" max="3" width="19.5703125" style="1" customWidth="1"/>
    <col min="4" max="6" width="12.5703125" style="1" customWidth="1"/>
    <col min="7" max="7" width="12.7109375" style="1" customWidth="1"/>
    <col min="8" max="8" width="11.28515625" style="1" customWidth="1"/>
    <col min="9" max="9" width="9.5703125" style="1" customWidth="1"/>
    <col min="10" max="10" width="10.28515625" style="1" bestFit="1" customWidth="1"/>
    <col min="11" max="11" width="9.140625" style="1"/>
    <col min="12" max="12" width="10.140625" style="1" customWidth="1"/>
    <col min="13" max="16384" width="9.140625" style="1"/>
  </cols>
  <sheetData>
    <row r="1" spans="1:12" ht="33.75" x14ac:dyDescent="0.25">
      <c r="A1" s="11" t="s">
        <v>6</v>
      </c>
      <c r="B1" s="32" t="s">
        <v>87</v>
      </c>
      <c r="C1" s="32" t="s">
        <v>88</v>
      </c>
      <c r="D1" s="32" t="s">
        <v>89</v>
      </c>
      <c r="E1" s="65"/>
      <c r="F1" s="65"/>
    </row>
    <row r="2" spans="1:12" ht="15" customHeight="1" x14ac:dyDescent="0.25">
      <c r="A2" s="13" t="s">
        <v>84</v>
      </c>
      <c r="B2" s="31">
        <v>8.2118000000000002</v>
      </c>
      <c r="C2" s="34">
        <v>60</v>
      </c>
      <c r="D2" s="17">
        <f>60+460</f>
        <v>520</v>
      </c>
      <c r="E2" s="65"/>
      <c r="F2" s="65"/>
    </row>
    <row r="3" spans="1:12" ht="15" customHeight="1" x14ac:dyDescent="0.25">
      <c r="A3" s="13" t="s">
        <v>85</v>
      </c>
      <c r="B3" s="38">
        <v>0.61899999999999999</v>
      </c>
      <c r="C3" s="34">
        <v>46.07</v>
      </c>
      <c r="D3" s="17">
        <f>60+460</f>
        <v>520</v>
      </c>
      <c r="E3" s="65"/>
      <c r="F3" s="65"/>
    </row>
    <row r="4" spans="1:12" ht="15" customHeight="1" x14ac:dyDescent="0.25">
      <c r="A4" s="13" t="s">
        <v>86</v>
      </c>
      <c r="B4" s="38">
        <v>6.4999999999999997E-3</v>
      </c>
      <c r="C4" s="34">
        <v>130</v>
      </c>
      <c r="D4" s="17">
        <f>60+460</f>
        <v>520</v>
      </c>
      <c r="E4" s="65"/>
      <c r="F4" s="65"/>
    </row>
    <row r="6" spans="1:12" ht="15" customHeight="1" x14ac:dyDescent="0.25">
      <c r="A6" s="125" t="s">
        <v>77</v>
      </c>
      <c r="B6" s="126"/>
      <c r="C6" s="127"/>
    </row>
    <row r="7" spans="1:12" ht="15" customHeight="1" x14ac:dyDescent="0.25">
      <c r="A7" s="98" t="s">
        <v>78</v>
      </c>
      <c r="B7" s="98" t="s">
        <v>81</v>
      </c>
      <c r="C7" s="32" t="s">
        <v>82</v>
      </c>
    </row>
    <row r="8" spans="1:12" ht="22.5" x14ac:dyDescent="0.25">
      <c r="A8" s="29" t="s">
        <v>79</v>
      </c>
      <c r="B8" s="99" t="s">
        <v>80</v>
      </c>
      <c r="C8" s="34">
        <v>0.6</v>
      </c>
    </row>
    <row r="9" spans="1:12" ht="15" customHeight="1" x14ac:dyDescent="0.25">
      <c r="A9" s="39"/>
      <c r="B9" s="40"/>
      <c r="C9" s="41"/>
    </row>
    <row r="10" spans="1:12" ht="15" customHeight="1" x14ac:dyDescent="0.25">
      <c r="A10" s="1" t="s">
        <v>122</v>
      </c>
    </row>
    <row r="11" spans="1:12" ht="28.5" customHeight="1" x14ac:dyDescent="0.25">
      <c r="A11" s="43" t="s">
        <v>62</v>
      </c>
      <c r="B11" s="43" t="s">
        <v>90</v>
      </c>
      <c r="C11" s="33" t="s">
        <v>63</v>
      </c>
      <c r="D11" s="46" t="s">
        <v>123</v>
      </c>
      <c r="E11" s="46" t="s">
        <v>124</v>
      </c>
      <c r="F11" s="46" t="s">
        <v>101</v>
      </c>
      <c r="G11" s="46" t="s">
        <v>102</v>
      </c>
      <c r="H11" s="44" t="s">
        <v>103</v>
      </c>
      <c r="I11" s="44" t="s">
        <v>120</v>
      </c>
      <c r="J11" s="44" t="s">
        <v>121</v>
      </c>
      <c r="K11" s="46" t="s">
        <v>93</v>
      </c>
      <c r="L11" s="46" t="s">
        <v>104</v>
      </c>
    </row>
    <row r="12" spans="1:12" ht="15" customHeight="1" x14ac:dyDescent="0.25">
      <c r="A12" s="131" t="s">
        <v>64</v>
      </c>
      <c r="B12" s="128" t="s">
        <v>91</v>
      </c>
      <c r="C12" s="2" t="s">
        <v>69</v>
      </c>
      <c r="D12" s="130">
        <v>-20.265177999999999</v>
      </c>
      <c r="E12" s="130">
        <v>-40.247343999999998</v>
      </c>
      <c r="F12" s="26">
        <v>46460</v>
      </c>
      <c r="G12" s="26">
        <f>(F12*264.172)/8760</f>
        <v>1401.0766118721463</v>
      </c>
      <c r="H12" s="66">
        <f>(12.46*(($C$8)*($B$4)*($C$4))/$D$4)</f>
        <v>1.2148500000000001E-2</v>
      </c>
      <c r="I12" s="45">
        <f>(G12*H12)/1000</f>
        <v>1.7020979219328769E-2</v>
      </c>
      <c r="J12" s="45">
        <f t="shared" ref="J12:J28" si="0">I12*0.453592</f>
        <v>7.720580006053775E-3</v>
      </c>
      <c r="K12" s="123">
        <f>SUM(J12:J14)</f>
        <v>5.1513563542354621</v>
      </c>
      <c r="L12" s="123">
        <f>K12/1000*8760</f>
        <v>45.125881663102653</v>
      </c>
    </row>
    <row r="13" spans="1:12" ht="15" customHeight="1" x14ac:dyDescent="0.25">
      <c r="A13" s="130"/>
      <c r="B13" s="129"/>
      <c r="C13" s="2" t="s">
        <v>70</v>
      </c>
      <c r="D13" s="130"/>
      <c r="E13" s="130"/>
      <c r="F13" s="26">
        <v>3125</v>
      </c>
      <c r="G13" s="26">
        <f t="shared" ref="G13:G28" si="1">(F13*264.172)/8760</f>
        <v>94.239440639269418</v>
      </c>
      <c r="H13" s="66">
        <f>(12.46*(($C$8)*($B$4)*($C$4))/$D$4)</f>
        <v>1.2148500000000001E-2</v>
      </c>
      <c r="I13" s="64">
        <f t="shared" ref="I13:I28" si="2">(G13*H13)/1000</f>
        <v>1.1448678446061647E-3</v>
      </c>
      <c r="J13" s="45">
        <f t="shared" si="0"/>
        <v>5.1930289537059941E-4</v>
      </c>
      <c r="K13" s="123"/>
      <c r="L13" s="123"/>
    </row>
    <row r="14" spans="1:12" ht="15" customHeight="1" x14ac:dyDescent="0.25">
      <c r="A14" s="130"/>
      <c r="B14" s="129"/>
      <c r="C14" s="2" t="s">
        <v>71</v>
      </c>
      <c r="D14" s="130"/>
      <c r="E14" s="130"/>
      <c r="F14" s="26">
        <v>53079</v>
      </c>
      <c r="G14" s="26">
        <f t="shared" si="1"/>
        <v>1600.6832863013701</v>
      </c>
      <c r="H14" s="64">
        <f>(12.46*(($C$8)*($B$2)*($C$2))/$D$2)</f>
        <v>7.0836250153846159</v>
      </c>
      <c r="I14" s="64">
        <f t="shared" si="2"/>
        <v>11.338640168552439</v>
      </c>
      <c r="J14" s="45">
        <f t="shared" si="0"/>
        <v>5.1431164713340376</v>
      </c>
      <c r="K14" s="123"/>
      <c r="L14" s="123"/>
    </row>
    <row r="15" spans="1:12" ht="15" customHeight="1" x14ac:dyDescent="0.25">
      <c r="A15" s="130" t="s">
        <v>65</v>
      </c>
      <c r="B15" s="130" t="s">
        <v>91</v>
      </c>
      <c r="C15" s="2" t="s">
        <v>48</v>
      </c>
      <c r="D15" s="130">
        <v>-20.265252</v>
      </c>
      <c r="E15" s="130">
        <v>-40.247315999999998</v>
      </c>
      <c r="F15" s="26">
        <v>6968</v>
      </c>
      <c r="G15" s="26">
        <f t="shared" si="1"/>
        <v>210.13133515981738</v>
      </c>
      <c r="H15" s="64">
        <f>(12.46*(($C$8)*($B$3)*($C$3))/$D$3)</f>
        <v>0.40999145976923079</v>
      </c>
      <c r="I15" s="64">
        <f t="shared" si="2"/>
        <v>8.615205284543101E-2</v>
      </c>
      <c r="J15" s="45">
        <f t="shared" si="0"/>
        <v>3.9077881954264745E-2</v>
      </c>
      <c r="K15" s="123">
        <f>SUM(J15:J17)</f>
        <v>6.4547729383274977</v>
      </c>
      <c r="L15" s="123">
        <f>K15/1000*8760</f>
        <v>56.54381093974888</v>
      </c>
    </row>
    <row r="16" spans="1:12" ht="15" customHeight="1" x14ac:dyDescent="0.25">
      <c r="A16" s="130"/>
      <c r="B16" s="130"/>
      <c r="C16" s="2" t="s">
        <v>69</v>
      </c>
      <c r="D16" s="130"/>
      <c r="E16" s="130"/>
      <c r="F16" s="26">
        <v>58026</v>
      </c>
      <c r="G16" s="26">
        <f t="shared" si="1"/>
        <v>1749.868090410959</v>
      </c>
      <c r="H16" s="64">
        <f>(12.46*(($C$8)*($B$4)*($C$4))/$D$4)</f>
        <v>1.2148500000000001E-2</v>
      </c>
      <c r="I16" s="64">
        <f t="shared" si="2"/>
        <v>2.1258272496357537E-2</v>
      </c>
      <c r="J16" s="45">
        <f t="shared" si="0"/>
        <v>9.6425823381678082E-3</v>
      </c>
      <c r="K16" s="123"/>
      <c r="L16" s="123"/>
    </row>
    <row r="17" spans="1:12" ht="15" customHeight="1" x14ac:dyDescent="0.25">
      <c r="A17" s="130"/>
      <c r="B17" s="130"/>
      <c r="C17" s="2" t="s">
        <v>71</v>
      </c>
      <c r="D17" s="130"/>
      <c r="E17" s="130"/>
      <c r="F17" s="26">
        <v>66113</v>
      </c>
      <c r="G17" s="26">
        <f t="shared" si="1"/>
        <v>1993.7446844748858</v>
      </c>
      <c r="H17" s="64">
        <f>(12.46*(($C$8)*($B$2)*($C$2))/$D$2)</f>
        <v>7.0836250153846159</v>
      </c>
      <c r="I17" s="64">
        <f t="shared" si="2"/>
        <v>14.12293972123641</v>
      </c>
      <c r="J17" s="45">
        <f t="shared" si="0"/>
        <v>6.4060524740350653</v>
      </c>
      <c r="K17" s="123"/>
      <c r="L17" s="123"/>
    </row>
    <row r="18" spans="1:12" ht="15" customHeight="1" x14ac:dyDescent="0.25">
      <c r="A18" s="130" t="s">
        <v>66</v>
      </c>
      <c r="B18" s="130" t="s">
        <v>91</v>
      </c>
      <c r="C18" s="2" t="s">
        <v>69</v>
      </c>
      <c r="D18" s="130">
        <v>-20.265336000000001</v>
      </c>
      <c r="E18" s="130">
        <v>-40.247281000000001</v>
      </c>
      <c r="F18" s="26">
        <v>68931</v>
      </c>
      <c r="G18" s="26">
        <f t="shared" si="1"/>
        <v>2078.7260424657538</v>
      </c>
      <c r="H18" s="64">
        <f>(12.46*(($C$8)*($B$4)*($C$4))/$D$4)</f>
        <v>1.2148500000000001E-2</v>
      </c>
      <c r="I18" s="64">
        <f t="shared" si="2"/>
        <v>2.5253403326895213E-2</v>
      </c>
      <c r="J18" s="45">
        <f t="shared" si="0"/>
        <v>1.1454741721853054E-2</v>
      </c>
      <c r="K18" s="123">
        <f>SUM(J18:J20)</f>
        <v>12.204004216720406</v>
      </c>
      <c r="L18" s="123">
        <f>K18/1000*8760</f>
        <v>106.90707693847077</v>
      </c>
    </row>
    <row r="19" spans="1:12" ht="15" customHeight="1" x14ac:dyDescent="0.25">
      <c r="A19" s="130"/>
      <c r="B19" s="130"/>
      <c r="C19" s="2" t="s">
        <v>70</v>
      </c>
      <c r="D19" s="130"/>
      <c r="E19" s="130"/>
      <c r="F19" s="26">
        <v>59441</v>
      </c>
      <c r="G19" s="26">
        <f t="shared" si="1"/>
        <v>1792.5397091324203</v>
      </c>
      <c r="H19" s="64">
        <f>(12.46*(($C$8)*($B$4)*($C$4))/$D$4)</f>
        <v>1.2148500000000001E-2</v>
      </c>
      <c r="I19" s="64">
        <f t="shared" si="2"/>
        <v>2.1776668656395208E-2</v>
      </c>
      <c r="J19" s="45">
        <f t="shared" si="0"/>
        <v>9.8777226891916155E-3</v>
      </c>
      <c r="K19" s="123"/>
      <c r="L19" s="123"/>
    </row>
    <row r="20" spans="1:12" ht="15" customHeight="1" x14ac:dyDescent="0.25">
      <c r="A20" s="130"/>
      <c r="B20" s="130"/>
      <c r="C20" s="2" t="s">
        <v>71</v>
      </c>
      <c r="D20" s="130"/>
      <c r="E20" s="130"/>
      <c r="F20" s="26">
        <v>125730</v>
      </c>
      <c r="G20" s="26">
        <f t="shared" si="1"/>
        <v>3791.59195890411</v>
      </c>
      <c r="H20" s="64">
        <f>(12.46*(($C$8)*($B$2)*($C$2))/$D$2)</f>
        <v>7.0836250153846159</v>
      </c>
      <c r="I20" s="64">
        <f t="shared" si="2"/>
        <v>26.858215648224313</v>
      </c>
      <c r="J20" s="45">
        <f t="shared" si="0"/>
        <v>12.182671752309362</v>
      </c>
      <c r="K20" s="123"/>
      <c r="L20" s="123"/>
    </row>
    <row r="21" spans="1:12" ht="15" customHeight="1" x14ac:dyDescent="0.25">
      <c r="A21" s="130" t="s">
        <v>67</v>
      </c>
      <c r="B21" s="130" t="s">
        <v>91</v>
      </c>
      <c r="C21" s="2" t="s">
        <v>72</v>
      </c>
      <c r="D21" s="130">
        <v>-20.265411</v>
      </c>
      <c r="E21" s="130">
        <v>-40.247245999999997</v>
      </c>
      <c r="F21" s="26">
        <v>74179</v>
      </c>
      <c r="G21" s="26">
        <f t="shared" si="1"/>
        <v>2236.9879894977171</v>
      </c>
      <c r="H21" s="64">
        <f>(12.46*(($C$8)*($B$4)*($C$4))/$D$4)</f>
        <v>1.2148500000000001E-2</v>
      </c>
      <c r="I21" s="64">
        <f t="shared" si="2"/>
        <v>2.7176048590413018E-2</v>
      </c>
      <c r="J21" s="45">
        <f t="shared" si="0"/>
        <v>1.2326838232222621E-2</v>
      </c>
      <c r="K21" s="123">
        <f>SUM(J21:J23)</f>
        <v>10.329605670190903</v>
      </c>
      <c r="L21" s="123">
        <f>K21/1000*8760</f>
        <v>90.487345670872315</v>
      </c>
    </row>
    <row r="22" spans="1:12" ht="15" customHeight="1" x14ac:dyDescent="0.25">
      <c r="A22" s="130"/>
      <c r="B22" s="130"/>
      <c r="C22" s="2" t="s">
        <v>48</v>
      </c>
      <c r="D22" s="130"/>
      <c r="E22" s="130"/>
      <c r="F22" s="26">
        <v>7540</v>
      </c>
      <c r="G22" s="26">
        <f t="shared" si="1"/>
        <v>227.38092237442925</v>
      </c>
      <c r="H22" s="64">
        <f>(12.46*(($C$8)*($B$3)*($C$3))/$D$3)</f>
        <v>0.40999145976923079</v>
      </c>
      <c r="I22" s="64">
        <f t="shared" si="2"/>
        <v>9.3224236287966389E-2</v>
      </c>
      <c r="J22" s="45">
        <f t="shared" si="0"/>
        <v>4.2285767786331252E-2</v>
      </c>
      <c r="K22" s="123"/>
      <c r="L22" s="123"/>
    </row>
    <row r="23" spans="1:12" ht="15" customHeight="1" x14ac:dyDescent="0.25">
      <c r="A23" s="130"/>
      <c r="B23" s="130"/>
      <c r="C23" s="2" t="s">
        <v>71</v>
      </c>
      <c r="D23" s="130"/>
      <c r="E23" s="130"/>
      <c r="F23" s="26">
        <v>106042</v>
      </c>
      <c r="G23" s="26">
        <f t="shared" si="1"/>
        <v>3197.8684045662103</v>
      </c>
      <c r="H23" s="64">
        <f>(12.46*(($C$8)*($B$2)*($C$2))/$D$2)</f>
        <v>7.0836250153846159</v>
      </c>
      <c r="I23" s="64">
        <f t="shared" si="2"/>
        <v>22.6525006264933</v>
      </c>
      <c r="J23" s="45">
        <f t="shared" si="0"/>
        <v>10.274993064172349</v>
      </c>
      <c r="K23" s="123"/>
      <c r="L23" s="123"/>
    </row>
    <row r="24" spans="1:12" ht="15" customHeight="1" x14ac:dyDescent="0.25">
      <c r="A24" s="130" t="s">
        <v>68</v>
      </c>
      <c r="B24" s="130" t="s">
        <v>91</v>
      </c>
      <c r="C24" s="2" t="s">
        <v>69</v>
      </c>
      <c r="D24" s="130">
        <v>-20.265499999999999</v>
      </c>
      <c r="E24" s="130">
        <v>-40.247219999999999</v>
      </c>
      <c r="F24" s="26">
        <v>43495</v>
      </c>
      <c r="G24" s="26">
        <f t="shared" si="1"/>
        <v>1311.6622305936073</v>
      </c>
      <c r="H24" s="64">
        <f>(12.46*(($C$8)*($B$4)*($C$4))/$D$4)</f>
        <v>1.2148500000000001E-2</v>
      </c>
      <c r="I24" s="64">
        <f t="shared" si="2"/>
        <v>1.5934728608366439E-2</v>
      </c>
      <c r="J24" s="45">
        <f t="shared" si="0"/>
        <v>7.2278654189261498E-3</v>
      </c>
      <c r="K24" s="123">
        <f>SUM(J24:J25)</f>
        <v>1.3023119554335522E-2</v>
      </c>
      <c r="L24" s="124">
        <f>K24/1000*8760</f>
        <v>0.11408252729597916</v>
      </c>
    </row>
    <row r="25" spans="1:12" ht="15" customHeight="1" x14ac:dyDescent="0.25">
      <c r="A25" s="130"/>
      <c r="B25" s="130"/>
      <c r="C25" s="2" t="s">
        <v>70</v>
      </c>
      <c r="D25" s="130"/>
      <c r="E25" s="130"/>
      <c r="F25" s="26">
        <v>34874</v>
      </c>
      <c r="G25" s="26">
        <f t="shared" si="1"/>
        <v>1051.6820009132423</v>
      </c>
      <c r="H25" s="64">
        <f>(12.46*(($C$8)*($B$4)*($C$4))/$D$4)</f>
        <v>1.2148500000000001E-2</v>
      </c>
      <c r="I25" s="64">
        <f t="shared" si="2"/>
        <v>1.2776358788094525E-2</v>
      </c>
      <c r="J25" s="45">
        <f t="shared" si="0"/>
        <v>5.7952541354093718E-3</v>
      </c>
      <c r="K25" s="123"/>
      <c r="L25" s="124"/>
    </row>
    <row r="26" spans="1:12" ht="15" customHeight="1" x14ac:dyDescent="0.25">
      <c r="A26" s="130" t="s">
        <v>73</v>
      </c>
      <c r="B26" s="130" t="s">
        <v>91</v>
      </c>
      <c r="C26" s="2" t="s">
        <v>69</v>
      </c>
      <c r="D26" s="130">
        <v>-20.265564000000001</v>
      </c>
      <c r="E26" s="130">
        <v>-40.247182000000002</v>
      </c>
      <c r="F26" s="26">
        <v>65738</v>
      </c>
      <c r="G26" s="26">
        <f t="shared" si="1"/>
        <v>1982.4359515981737</v>
      </c>
      <c r="H26" s="64">
        <f>(12.46*(($C$8)*($B$4)*($C$4))/$D$4)</f>
        <v>1.2148500000000001E-2</v>
      </c>
      <c r="I26" s="64">
        <f t="shared" si="2"/>
        <v>2.4083623157990418E-2</v>
      </c>
      <c r="J26" s="45">
        <f t="shared" si="0"/>
        <v>1.0924138795479189E-2</v>
      </c>
      <c r="K26" s="123">
        <f>SUM(J26:J28)</f>
        <v>7.0306517055220201</v>
      </c>
      <c r="L26" s="123">
        <f>K26/1000*8760</f>
        <v>61.588508940372897</v>
      </c>
    </row>
    <row r="27" spans="1:12" ht="15" customHeight="1" x14ac:dyDescent="0.25">
      <c r="A27" s="130"/>
      <c r="B27" s="130"/>
      <c r="C27" s="2" t="s">
        <v>70</v>
      </c>
      <c r="D27" s="130"/>
      <c r="E27" s="130"/>
      <c r="F27" s="26">
        <v>82431</v>
      </c>
      <c r="G27" s="26">
        <f t="shared" si="1"/>
        <v>2485.8404260273978</v>
      </c>
      <c r="H27" s="64">
        <f>(12.46*(($C$8)*($B$4)*($C$4))/$D$4)</f>
        <v>1.2148500000000001E-2</v>
      </c>
      <c r="I27" s="64">
        <f t="shared" si="2"/>
        <v>3.0199232415593844E-2</v>
      </c>
      <c r="J27" s="45">
        <f t="shared" si="0"/>
        <v>1.3698130229854043E-2</v>
      </c>
      <c r="K27" s="123"/>
      <c r="L27" s="123"/>
    </row>
    <row r="28" spans="1:12" ht="15" customHeight="1" x14ac:dyDescent="0.25">
      <c r="A28" s="130"/>
      <c r="B28" s="130"/>
      <c r="C28" s="2" t="s">
        <v>71</v>
      </c>
      <c r="D28" s="130"/>
      <c r="E28" s="130"/>
      <c r="F28" s="26">
        <v>72305</v>
      </c>
      <c r="G28" s="26">
        <f t="shared" si="1"/>
        <v>2180.4744817351598</v>
      </c>
      <c r="H28" s="64">
        <f>(12.46*(($C$8)*($B$2)*($C$2))/$D$2)</f>
        <v>7.0836250153846159</v>
      </c>
      <c r="I28" s="64">
        <f t="shared" si="2"/>
        <v>15.445663584226985</v>
      </c>
      <c r="J28" s="45">
        <f t="shared" si="0"/>
        <v>7.0060294364966866</v>
      </c>
      <c r="K28" s="123"/>
      <c r="L28" s="123"/>
    </row>
    <row r="29" spans="1:12" ht="15" customHeight="1" x14ac:dyDescent="0.25">
      <c r="A29" s="132" t="s">
        <v>111</v>
      </c>
      <c r="B29" s="132"/>
      <c r="C29" s="132"/>
      <c r="D29" s="132"/>
      <c r="E29" s="132"/>
      <c r="F29" s="132"/>
      <c r="G29" s="132"/>
      <c r="H29" s="132"/>
      <c r="I29" s="107">
        <f>SUM(I12:I28)</f>
        <v>90.793960220970888</v>
      </c>
      <c r="J29" s="107">
        <f>SUM(J12:J28)</f>
        <v>41.183414004550635</v>
      </c>
      <c r="K29" s="107">
        <f t="shared" ref="K29:L29" si="3">SUM(K12:K28)</f>
        <v>41.18341400455062</v>
      </c>
      <c r="L29" s="107">
        <f t="shared" si="3"/>
        <v>360.76670667986349</v>
      </c>
    </row>
    <row r="30" spans="1:12" ht="15" customHeight="1" x14ac:dyDescent="0.25">
      <c r="G30" s="27"/>
      <c r="H30" s="27"/>
    </row>
    <row r="31" spans="1:12" ht="15" customHeight="1" x14ac:dyDescent="0.25">
      <c r="G31" s="27"/>
      <c r="H31" s="27"/>
    </row>
    <row r="32" spans="1:12" ht="17.25" customHeight="1" x14ac:dyDescent="0.25">
      <c r="A32" s="24" t="s">
        <v>74</v>
      </c>
      <c r="B32" s="24" t="s">
        <v>76</v>
      </c>
      <c r="G32" s="27"/>
      <c r="H32" s="27"/>
    </row>
    <row r="33" spans="1:8" ht="15" customHeight="1" x14ac:dyDescent="0.25">
      <c r="A33" s="1" t="s">
        <v>75</v>
      </c>
      <c r="B33" s="25">
        <f>SUM(J12,J13,J16,J18,J19,J21,J24,J25,J26,J27)/1000*8760</f>
        <v>0.78127949061174751</v>
      </c>
      <c r="G33" s="27"/>
      <c r="H33" s="27"/>
    </row>
    <row r="34" spans="1:8" ht="15" customHeight="1" x14ac:dyDescent="0.25">
      <c r="A34" s="1" t="s">
        <v>71</v>
      </c>
      <c r="B34" s="25">
        <f>SUM(J14,J17,J20,J23,J28)/1000*8760</f>
        <v>359.27268161752414</v>
      </c>
      <c r="G34" s="27"/>
      <c r="H34" s="27"/>
    </row>
    <row r="35" spans="1:8" ht="15" customHeight="1" x14ac:dyDescent="0.25">
      <c r="A35" s="1" t="s">
        <v>48</v>
      </c>
      <c r="B35" s="25">
        <f>SUM(J15,J22)/1000*8760</f>
        <v>0.71274557172762099</v>
      </c>
      <c r="G35" s="27"/>
      <c r="H35" s="27"/>
    </row>
    <row r="36" spans="1:8" ht="15" customHeight="1" x14ac:dyDescent="0.25">
      <c r="A36" s="107" t="s">
        <v>111</v>
      </c>
      <c r="B36" s="107">
        <f>SUM(B33:B35)</f>
        <v>360.76670667986349</v>
      </c>
      <c r="G36" s="27"/>
      <c r="H36" s="27"/>
    </row>
    <row r="37" spans="1:8" ht="15" customHeight="1" x14ac:dyDescent="0.25">
      <c r="G37" s="27"/>
      <c r="H37" s="27"/>
    </row>
    <row r="38" spans="1:8" ht="15" customHeight="1" x14ac:dyDescent="0.25">
      <c r="G38" s="27"/>
      <c r="H38" s="27"/>
    </row>
    <row r="39" spans="1:8" ht="15" customHeight="1" x14ac:dyDescent="0.25">
      <c r="G39" s="27"/>
      <c r="H39" s="27"/>
    </row>
    <row r="40" spans="1:8" ht="15" customHeight="1" x14ac:dyDescent="0.25">
      <c r="G40" s="27"/>
      <c r="H40" s="27"/>
    </row>
    <row r="41" spans="1:8" ht="15" customHeight="1" x14ac:dyDescent="0.25">
      <c r="G41" s="27"/>
      <c r="H41" s="27"/>
    </row>
    <row r="42" spans="1:8" ht="15" customHeight="1" x14ac:dyDescent="0.25">
      <c r="G42" s="28"/>
      <c r="H42" s="28"/>
    </row>
  </sheetData>
  <sheetProtection algorithmName="SHA-512" hashValue="gtoJEskanoTM75UGZhDLDl3K47/LI6+/STgiAFwX8RxK6UJI8fpN8UnJM8Fm8pfO24Z/MFVFiP53t4of2MxGeQ==" saltValue="LJnkMZPKRQJO4abPYYtUyw==" spinCount="100000" sheet="1" objects="1" scenarios="1"/>
  <mergeCells count="38">
    <mergeCell ref="D21:D23"/>
    <mergeCell ref="E21:E23"/>
    <mergeCell ref="D24:D25"/>
    <mergeCell ref="E24:E25"/>
    <mergeCell ref="D26:D28"/>
    <mergeCell ref="E26:E28"/>
    <mergeCell ref="D12:D14"/>
    <mergeCell ref="E12:E14"/>
    <mergeCell ref="D15:D17"/>
    <mergeCell ref="E15:E17"/>
    <mergeCell ref="D18:D20"/>
    <mergeCell ref="E18:E20"/>
    <mergeCell ref="A24:A25"/>
    <mergeCell ref="A26:A28"/>
    <mergeCell ref="B24:B25"/>
    <mergeCell ref="B26:B28"/>
    <mergeCell ref="A29:H29"/>
    <mergeCell ref="A6:C6"/>
    <mergeCell ref="B12:B14"/>
    <mergeCell ref="B15:B17"/>
    <mergeCell ref="B18:B20"/>
    <mergeCell ref="B21:B23"/>
    <mergeCell ref="A12:A14"/>
    <mergeCell ref="A15:A17"/>
    <mergeCell ref="A18:A20"/>
    <mergeCell ref="A21:A23"/>
    <mergeCell ref="K26:K28"/>
    <mergeCell ref="K24:K25"/>
    <mergeCell ref="L12:L14"/>
    <mergeCell ref="L15:L17"/>
    <mergeCell ref="L18:L20"/>
    <mergeCell ref="L21:L23"/>
    <mergeCell ref="L26:L28"/>
    <mergeCell ref="L24:L25"/>
    <mergeCell ref="K12:K14"/>
    <mergeCell ref="K15:K17"/>
    <mergeCell ref="K18:K20"/>
    <mergeCell ref="K21:K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24" sqref="I24"/>
    </sheetView>
  </sheetViews>
  <sheetFormatPr defaultRowHeight="15" customHeight="1" x14ac:dyDescent="0.2"/>
  <cols>
    <col min="1" max="1" width="22.42578125" style="89" bestFit="1" customWidth="1"/>
    <col min="2" max="2" width="23.85546875" style="89" customWidth="1"/>
    <col min="3" max="16384" width="9.140625" style="89"/>
  </cols>
  <sheetData>
    <row r="1" spans="1:2" ht="15" customHeight="1" x14ac:dyDescent="0.2">
      <c r="A1" s="133" t="s">
        <v>62</v>
      </c>
      <c r="B1" s="90" t="s">
        <v>113</v>
      </c>
    </row>
    <row r="2" spans="1:2" ht="15" customHeight="1" x14ac:dyDescent="0.2">
      <c r="A2" s="134"/>
      <c r="B2" s="90" t="s">
        <v>119</v>
      </c>
    </row>
    <row r="3" spans="1:2" ht="15" customHeight="1" x14ac:dyDescent="0.2">
      <c r="A3" s="87" t="s">
        <v>107</v>
      </c>
      <c r="B3" s="86">
        <f>'Emissão Tanques'!Z32</f>
        <v>5.3697556881643838</v>
      </c>
    </row>
    <row r="4" spans="1:2" ht="15" customHeight="1" x14ac:dyDescent="0.2">
      <c r="A4" s="88" t="s">
        <v>108</v>
      </c>
      <c r="B4" s="86">
        <f>'Emissão Plataforma de Abast.'!J29</f>
        <v>41.183414004550635</v>
      </c>
    </row>
    <row r="5" spans="1:2" ht="15" customHeight="1" x14ac:dyDescent="0.2">
      <c r="A5" s="106" t="s">
        <v>111</v>
      </c>
      <c r="B5" s="106">
        <f>SUM(B3:B4)</f>
        <v>46.553169692715016</v>
      </c>
    </row>
  </sheetData>
  <sheetProtection algorithmName="SHA-512" hashValue="tD/5QUtTgYxehGd+pLR+tBrm14cSbT3FWPQIUM/NDiPFyRYJVNrf5DqCeVwUmZ4CNy0UG5768IpTkE4VUAG6Lw==" saltValue="xJpVerYxoHWdxoN6tMQ33A==" spinCount="100000" sheet="1" objects="1" scenarios="1"/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FE-Líquidos de Petróleo</vt:lpstr>
      <vt:lpstr>Emissão Tanques</vt:lpstr>
      <vt:lpstr>Emissão Plataforma de Abast.</vt:lpstr>
      <vt:lpstr>Emissão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Alinie Rossi dos Santos</dc:creator>
  <cp:lastModifiedBy>Tatiane Jardim Morais</cp:lastModifiedBy>
  <dcterms:created xsi:type="dcterms:W3CDTF">2015-12-29T17:17:04Z</dcterms:created>
  <dcterms:modified xsi:type="dcterms:W3CDTF">2019-06-06T19:21:11Z</dcterms:modified>
</cp:coreProperties>
</file>